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https://vide-my.sharepoint.com/personal/ilze_kamarute_kem_gov_lv/Documents/Documents/NIMs 2024/Tulkojums/"/>
    </mc:Choice>
  </mc:AlternateContent>
  <xr:revisionPtr revIDLastSave="0" documentId="13_ncr:40009_{025F764E-2460-4879-B1EB-498A607BEAEE}" xr6:coauthVersionLast="47" xr6:coauthVersionMax="47" xr10:uidLastSave="{00000000-0000-0000-0000-000000000000}"/>
  <bookViews>
    <workbookView xWindow="-120" yWindow="-120" windowWidth="29040" windowHeight="15840" firstSheet="7" activeTab="15"/>
  </bookViews>
  <sheets>
    <sheet name="a_Contents" sheetId="9" r:id="rId1"/>
    <sheet name="b_Guidelines &amp; conditions" sheetId="10" r:id="rId2"/>
    <sheet name="A_InstallationData" sheetId="43" r:id="rId3"/>
    <sheet name="B+C_Emissions_Y1" sheetId="55" r:id="rId4"/>
    <sheet name="B+C_Emissions_Y2" sheetId="56" r:id="rId5"/>
    <sheet name="B+C_Emissions_Y3" sheetId="57" r:id="rId6"/>
    <sheet name="B+C_Emissions_Y4" sheetId="58" r:id="rId7"/>
    <sheet name="B+C_Emissions_Y5" sheetId="59" r:id="rId8"/>
    <sheet name="D_Emissions" sheetId="49" r:id="rId9"/>
    <sheet name="E_EnergyFlows" sheetId="41" r:id="rId10"/>
    <sheet name="F_ProductBM" sheetId="37" r:id="rId11"/>
    <sheet name="G_Fall-back" sheetId="42" r:id="rId12"/>
    <sheet name="H_SpecialBM" sheetId="47" r:id="rId13"/>
    <sheet name="I_MSspecific" sheetId="53" r:id="rId14"/>
    <sheet name="J_Comments" sheetId="51" r:id="rId15"/>
    <sheet name="K_Summary" sheetId="50" r:id="rId16"/>
    <sheet name="EUwideConstants" sheetId="34" state="hidden" r:id="rId17"/>
    <sheet name="MSParameters" sheetId="38" state="hidden" r:id="rId18"/>
    <sheet name="Translations" sheetId="33" state="hidden" r:id="rId19"/>
    <sheet name="VersionDocumentation" sheetId="25" state="hidden" r:id="rId20"/>
  </sheets>
  <externalReferences>
    <externalReference r:id="rId21"/>
  </externalReferences>
  <definedNames>
    <definedName name="_xlnm._FilterDatabase" localSheetId="16" hidden="1">EUwideConstants!$A$1:$AF$278</definedName>
    <definedName name="_xlnm._FilterDatabase" localSheetId="18" hidden="1">Translations!$A$1:$E$1541</definedName>
    <definedName name="CNTR_AnnexIActivities">A_InstallationData!$P$116:$P$121</definedName>
    <definedName name="CNTR_BaselinePeriod">A_InstallationData!$P$246</definedName>
    <definedName name="CNTR_BaslineYearRelevant">A_InstallationData!$I$253:$M$253</definedName>
    <definedName name="CNTR_Conditionality22a">A_InstallationData!$M$217</definedName>
    <definedName name="CNTR_Conditionality22a22b">K_Summary!$M$56</definedName>
    <definedName name="CNTR_Conditionality22b">A_InstallationData!$M$235</definedName>
    <definedName name="CNTR_ConditionalityOK">K_Summary!$P$55</definedName>
    <definedName name="CNTR_ConfirmationOK">K_Summary!$P$49</definedName>
    <definedName name="CNTR_ConnectionEntityList">A_InstallationData!$H$402:$H$411</definedName>
    <definedName name="CNTR_ConnectionEntityListCITL_IDs">A_InstallationData!$J$402:$J$411</definedName>
    <definedName name="CNTR_ConnectionEntityListTypes">A_InstallationData!$K$402:$K$411</definedName>
    <definedName name="CNTR_ConnectionListAndWithinInst">A_InstallationData!$H$401:$H$411</definedName>
    <definedName name="CNTR_ExistConnectionEntries">A_InstallationData!$G$414</definedName>
    <definedName name="CNTR_ExistProductSubEntries">A_InstallationData!$J$397</definedName>
    <definedName name="CNTR_ExistSubInstEntries">A_InstallationData!$G$397</definedName>
    <definedName name="CNTR_FallBackRelevant">'[1]E_Fall-backApproach'!$L$6</definedName>
    <definedName name="CNTR_FallBackSubInstListSigChanges">A_InstallationData!$M$295:$M$304</definedName>
    <definedName name="CNTR_FallBackSubInstRelevant">A_InstallationData!$J$295:$J$304</definedName>
    <definedName name="CNTR_HasEntries_A_I">A_InstallationData!$G$375</definedName>
    <definedName name="CNTR_HasErrors_A">A_InstallationData!$G$421</definedName>
    <definedName name="CNTR_MinMaxActual">K_Summary!$P$1559</definedName>
    <definedName name="CNTR_NACEInstallation">A_InstallationData!$L$129</definedName>
    <definedName name="CNTR_OnlyCombustion">A_InstallationData!$R$116</definedName>
    <definedName name="CNTR_ProdElec">E_EnergyFlows!$M$370</definedName>
    <definedName name="CNTR_SubInstLess1Year">A_InstallationData!$K$379:$K$394</definedName>
    <definedName name="CNTR_SubInstListBMnumbers">A_InstallationData!$I$379:$I$394</definedName>
    <definedName name="CNTR_SubInstListHALUnit">A_InstallationData!$M$379:$M$394</definedName>
    <definedName name="CNTR_SubInstListIsProdBM">A_InstallationData!$H$379:$H$394</definedName>
    <definedName name="CNTR_SubInstListNames">A_InstallationData!$F$379:$F$394</definedName>
    <definedName name="CNTR_SubInstStartDate">A_InstallationData!$J$379:$J$394</definedName>
    <definedName name="CNTR_TemplateVersion">a_Contents!$G$57</definedName>
    <definedName name="CNTR_UniqueID">A_InstallationData!$J$29</definedName>
    <definedName name="CTRL_InputMethodFuelDistribution">E_EnergyFlows!$P$25</definedName>
    <definedName name="CTRL_InputMethodHeatSubInstSplit">E_EnergyFlows!$P$230</definedName>
    <definedName name="EUconst_AbsRel">EUwideConstants!$B$8:$C$8</definedName>
    <definedName name="EUconst_AllocPrelim">EUwideConstants!$B$88</definedName>
    <definedName name="EUconst_Allowances">EUwideConstants!$B$68</definedName>
    <definedName name="EUconst_AllYears">EUwideConstants!$B$4:$R$4</definedName>
    <definedName name="EUconst_AnnexIActivities">EUwideConstants!$B$181:$B$208</definedName>
    <definedName name="EUconst_AnnexIActivitiesMW">EUwideConstants!$J$181:$J$208</definedName>
    <definedName name="EUconst_BaselinePeriods">EUwideConstants!$B$5:$C$5</definedName>
    <definedName name="EUconst_BM">EUwideConstants!$B$14</definedName>
    <definedName name="EUconst_BM_ARR_Range">EUwideConstants!$B$55:$C$55</definedName>
    <definedName name="EUconst_BMlist107">EUwideConstants!$F$269:$F$272</definedName>
    <definedName name="EUconst_BMlist10Pctvalues">EUwideConstants!$V$212:$V$264</definedName>
    <definedName name="EUconst_BMlist80Pctvalues">EUwideConstants!$W$212:$W$264</definedName>
    <definedName name="EUconst_BMlistARR">EUwideConstants!$R$212:$R$264</definedName>
    <definedName name="EUconst_BMlistBMARRvaluesMatrix">EUwideConstants!$P$212:$R$264</definedName>
    <definedName name="EUconst_BMlistBMmaxvalues">EUwideConstants!$S$212:$S$264</definedName>
    <definedName name="EUconst_BMlistBMminvalues">EUwideConstants!$T$212:$T$264</definedName>
    <definedName name="EUconst_BMlistBMvalues">EUwideConstants!$U$212:$U$264</definedName>
    <definedName name="EUconst_BMlistBMvaluesMatrix">EUwideConstants!$S$212:$U$264</definedName>
    <definedName name="EUconst_BMlistCBAMstatus">EUwideConstants!$I$212:$I$264</definedName>
    <definedName name="EUconst_BMlistCLstatus">EUwideConstants!$H$212:$H$264</definedName>
    <definedName name="EUconst_BMlistElExchangability">EUwideConstants!$J$212:$J$264</definedName>
    <definedName name="EUconst_BMlistMainNumberOfBM">EUwideConstants!$C$212:$C$264</definedName>
    <definedName name="EUconst_BMlistMatrix">EUwideConstants!$F$212:$J$264</definedName>
    <definedName name="EUconst_BMlistNames">EUwideConstants!$F$212:$F$264</definedName>
    <definedName name="EUconst_BMlistNotCWT">EUwideConstants!$M$212:$M$264</definedName>
    <definedName name="EUconst_BMlistNumberOfActivity">EUwideConstants!$B$212:$B$264</definedName>
    <definedName name="EUconst_BMlistNumberOfBM">EUwideConstants!$D$212:$D$264</definedName>
    <definedName name="EUconst_BMlistPulp">EUwideConstants!$N$212:$N$264</definedName>
    <definedName name="EUconst_BMlistSpecialJumpTable">EUwideConstants!$L$212:$L$264</definedName>
    <definedName name="EUconst_BMlistSpecialReporting">EUwideConstants!$K$212:$K$264</definedName>
    <definedName name="EUconst_BMlistUnits">EUwideConstants!$G$212:$G$264</definedName>
    <definedName name="EUconst_BMSubinst">EUwideConstants!$B$15</definedName>
    <definedName name="EUconst_CBAMFactor">EUwideConstants!$B$174:$K$174</definedName>
    <definedName name="EUconst_CLEFDistrict">EUwideConstants!$B$173:$K$173</definedName>
    <definedName name="EUconst_CLEFYears">EUwideConstants!$B$172:$K$172</definedName>
    <definedName name="EUconst_CLnonCL">EUwideConstants!$B$59:$C$59</definedName>
    <definedName name="EUconst_CNTR_AttributedEmissions">EUwideConstants!$B$153</definedName>
    <definedName name="EUconst_CNTR_CO2Feedstock">EUwideConstants!$B$166</definedName>
    <definedName name="EUconst_CNTR_ConditionalityOK">EUwideConstants!$B$168</definedName>
    <definedName name="EUconst_CNTR_ElectricityEF">EUwideConstants!$B$130</definedName>
    <definedName name="EUconst_CNTR_ElectricityExported">EUwideConstants!$B$152</definedName>
    <definedName name="EUconst_CNTR_ElectricityInput">EUwideConstants!$B$129</definedName>
    <definedName name="EUconst_CNTR_ELEXCH">EUwideConstants!$B$80</definedName>
    <definedName name="EUconst_CNTR_ELEXCH_max">EUwideConstants!$B$82</definedName>
    <definedName name="EUconst_CNTR_ELEXCH_min">EUwideConstants!$B$81</definedName>
    <definedName name="EUconst_CNTR_Emissions">EUwideConstants!$B$154</definedName>
    <definedName name="EUconst_CNTR_EmissionsIntSource1">EUwideConstants!$B$160</definedName>
    <definedName name="EUconst_CNTR_EmissionsIntSource2">EUwideConstants!$B$161</definedName>
    <definedName name="EUconst_CNTR_FuelEF">EUwideConstants!$B$128</definedName>
    <definedName name="EUconst_CNTR_FuelInput">EUwideConstants!$B$127</definedName>
    <definedName name="EUconst_CNTR_H2ActualPlusTheoretical">EUwideConstants!$B$163</definedName>
    <definedName name="EUconst_CNTR_H2AdditionalEmissions">EUwideConstants!$B$162</definedName>
    <definedName name="EUconst_CNTR_HAL">EUwideConstants!$B$78</definedName>
    <definedName name="EUconst_CNTR_HALPulpTotal">EUwideConstants!$B$167</definedName>
    <definedName name="EUconst_CNTR_HALspecial">EUwideConstants!$B$79</definedName>
    <definedName name="EUconst_CNTR_HEAT">EUwideConstants!$B$83</definedName>
    <definedName name="EUconst_CNTR_HeatExport">EUwideConstants!$B$136</definedName>
    <definedName name="EUconst_CNTR_HeatExportEF">EUwideConstants!$B$137</definedName>
    <definedName name="EUconst_CNTR_HeatImport">EUwideConstants!$B$148</definedName>
    <definedName name="EUconst_CNTR_HeatImportEF">EUwideConstants!$B$149</definedName>
    <definedName name="EUconst_CNTR_HeatImportFuel">EUwideConstants!$B$158</definedName>
    <definedName name="EUconst_CNTR_HeatImportFuelEF">EUwideConstants!$B$159</definedName>
    <definedName name="EUconst_CNTR_HeatImportNitric">EUwideConstants!$B$151</definedName>
    <definedName name="EUconst_CNTR_HeatImportProduct">EUwideConstants!$B$155</definedName>
    <definedName name="EUconst_CNTR_HeatImportProductEF">EUwideConstants!$B$156</definedName>
    <definedName name="EUconst_CNTR_HeatImportPulp">EUwideConstants!$B$150</definedName>
    <definedName name="EUconst_CNTR_HeatImportPulpEF">EUwideConstants!$B$157</definedName>
    <definedName name="EUconst_CNTR_HeatProduced">EUwideConstants!$B$134</definedName>
    <definedName name="EUconst_CNTR_HeatProducedElectricity">EUwideConstants!$B$135</definedName>
    <definedName name="EUconst_CNTR_HVC">EUwideConstants!$B$85</definedName>
    <definedName name="EUconst_CNTR_IntermediateExport">EUwideConstants!$B$165</definedName>
    <definedName name="EUconst_CNTR_IntermediateImport">EUwideConstants!$B$164</definedName>
    <definedName name="EUconst_CNTR_nonETSMeasHeat">EUwideConstants!$B$95</definedName>
    <definedName name="EUconst_CNTR_OtherEnergyEF">EUwideConstants!$B$132</definedName>
    <definedName name="EUconst_CNTR_OtherEnergyInput">EUwideConstants!$B$131</definedName>
    <definedName name="EUconst_CNTR_TotalEnergyInput">EUwideConstants!$B$133</definedName>
    <definedName name="EUconst_CNTR_VCM">EUwideConstants!$B$84</definedName>
    <definedName name="EUconst_CNTR_WGConsumed">EUwideConstants!$B$140</definedName>
    <definedName name="EUconst_CNTR_WGConsumedEF">EUwideConstants!$B$141</definedName>
    <definedName name="EUconst_CNTR_WGExport">EUwideConstants!$B$146</definedName>
    <definedName name="EUconst_CNTR_WGExportEF">EUwideConstants!$B$147</definedName>
    <definedName name="EUconst_CNTR_WGFlared">EUwideConstants!$B$142</definedName>
    <definedName name="EUconst_CNTR_WGFlaredEF">EUwideConstants!$B$143</definedName>
    <definedName name="EUconst_CNTR_WGImport">EUwideConstants!$B$144</definedName>
    <definedName name="EUconst_CNTR_WGImportEF">EUwideConstants!$B$145</definedName>
    <definedName name="EUconst_CNTR_WGProduced">EUwideConstants!$B$138</definedName>
    <definedName name="EUconst_CNTR_WGProducedEF">EUwideConstants!$B$139</definedName>
    <definedName name="EUconst_CombustionActivity">EUwideConstants!$B$181</definedName>
    <definedName name="EUconst_ConditionalityMissing">EUwideConstants!$B$94</definedName>
    <definedName name="EUconst_ConfirmAllowUseOfData">EUwideConstants!$B$71</definedName>
    <definedName name="EUconst_ConfirmApplicationForAlloc">EUwideConstants!$B$70:$B$70</definedName>
    <definedName name="EUconst_ConfirmationNotEligible">EUwideConstants!$B$69:$B$69</definedName>
    <definedName name="EUconst_ConnectedEntityTypes">EUwideConstants!$B$44:$F$44</definedName>
    <definedName name="EUconst_ConnectionShortTypes">EUwideConstants!$B$46:$D$46</definedName>
    <definedName name="EUconst_ConnectionTransferTypes">EUwideConstants!$B$47:$C$47</definedName>
    <definedName name="EUconst_ConnectionTypes">EUwideConstants!$B$45:$E$45</definedName>
    <definedName name="EUconst_CWTpa">EUwideConstants!$B$67</definedName>
    <definedName name="EUconst_DateMissing">EUwideConstants!$B$93</definedName>
    <definedName name="EUconst_ElBM">EUwideConstants!$B$53</definedName>
    <definedName name="EUconst_ERR_ActivityMissing">EUwideConstants!$B$121</definedName>
    <definedName name="EUconst_ERR_AttrEmBMapplied">EUwideConstants!$B$111</definedName>
    <definedName name="EUconst_ERR_DatesSorting">EUwideConstants!$B$120</definedName>
    <definedName name="EUconst_ERR_DoubleBMentry">EUwideConstants!$B$103</definedName>
    <definedName name="EUconst_ERR_Goto_DI2">EUwideConstants!$B$108</definedName>
    <definedName name="EUconst_ERR_Mandatory_abd">EUwideConstants!$B$100</definedName>
    <definedName name="EUconst_ERR_Mandatory_Bbc">EUwideConstants!$B$106</definedName>
    <definedName name="EUconst_ERR_Mandatory_ef">EUwideConstants!$B$101</definedName>
    <definedName name="EUconst_ERR_Mandatory_g">EUwideConstants!$B$102</definedName>
    <definedName name="EUconst_ERR_MandatoryDII3a">EUwideConstants!$B$110</definedName>
    <definedName name="EUconst_ERR_MandatoryEII4">EUwideConstants!$B$109</definedName>
    <definedName name="EUconst_ERR_MissingFallBackEntry">EUwideConstants!$B$105</definedName>
    <definedName name="EUconst_ERR_MissingSubInstEntry">EUwideConstants!$B$104</definedName>
    <definedName name="EUconst_ERR_StartWithFuels">EUwideConstants!$B$107</definedName>
    <definedName name="EUconst_Error">EUwideConstants!$B$87</definedName>
    <definedName name="EUconst_EUA">EUwideConstants!$B$10</definedName>
    <definedName name="EUconst_EUApa">EUwideConstants!$B$29</definedName>
    <definedName name="EUconst_EUApt">EUwideConstants!$B$30</definedName>
    <definedName name="EUconst_FallBackARR">EUwideConstants!$R$268:$R$277</definedName>
    <definedName name="EUconst_FallBackListBMARRvaluesMatrix">EUwideConstants!$P$268:$R$277</definedName>
    <definedName name="EUconst_FallBackListBMvalues">EUwideConstants!$U$268:$U$277</definedName>
    <definedName name="EUconst_FallBackListBMvaluesMatrix">EUwideConstants!$S$268:$U$277</definedName>
    <definedName name="EUconst_FallBackListCBAMstatus">EUwideConstants!$I$268:$I$277</definedName>
    <definedName name="EUconst_FallBackListCLstatus">EUwideConstants!$H$268:$H$277</definedName>
    <definedName name="EUconst_FallBackListMatrix">EUwideConstants!$F$268:$J$277</definedName>
    <definedName name="EUconst_FallbackListMissing">EUwideConstants!$K$268:$K$277</definedName>
    <definedName name="EUconst_FallBackListNames">EUwideConstants!$F$268:$F$277</definedName>
    <definedName name="EUconst_FallBackListNumber">EUwideConstants!$D$268:$D$277</definedName>
    <definedName name="EUconst_FallBackListUnits">EUwideConstants!$G$268:$G$277</definedName>
    <definedName name="EUconst_FBSubinst">EUwideConstants!$B$16</definedName>
    <definedName name="EUconst_Fuel">EUwideConstants!$B$13</definedName>
    <definedName name="EUconst_FuelBMvalue">EUwideConstants!$B$54</definedName>
    <definedName name="EUconst_FuelBMvalueForBM">EUwideConstants!$B$177</definedName>
    <definedName name="EUconst_FuelUseTypes">EUwideConstants!$B$50:$E$50</definedName>
    <definedName name="EUconst_GJ">EUwideConstants!$B$20</definedName>
    <definedName name="EUconst_GJpa">EUwideConstants!$B$32</definedName>
    <definedName name="EUconst_GJperTorKNm3">EUwideConstants!$B$62:$C$62</definedName>
    <definedName name="EUconst_GJperUnit">EUwideConstants!$B$65</definedName>
    <definedName name="EUconst_GJpt">EUwideConstants!$B$31</definedName>
    <definedName name="EUconst_HALsum">EUwideConstants!$B$86</definedName>
    <definedName name="EUconst_HeatBMvalue">EUwideConstants!$B$52</definedName>
    <definedName name="EUconst_HeatBMvalueForBM">EUwideConstants!$B$176</definedName>
    <definedName name="EUconst_HeatUseTypes">EUwideConstants!$B$49:$F$49</definedName>
    <definedName name="EUconst_Incomplete">EUwideConstants!$B$89</definedName>
    <definedName name="EUconst_Inconsistent">EUwideConstants!$B$91</definedName>
    <definedName name="EUconst_kNm3pa">EUwideConstants!$B$60</definedName>
    <definedName name="EUconst_MinOrMaxOrActual">EUwideConstants!$B$175:$D$175</definedName>
    <definedName name="EUconst_MNm3pa">EUwideConstants!$B$66</definedName>
    <definedName name="EUconst_Month">EUwideConstants!$B$12</definedName>
    <definedName name="EUconst_MSDHConditionalityList">EUwideConstants!$B$97:$E$97</definedName>
    <definedName name="EUconst_MsgAttrEm">EUwideConstants!$B$113</definedName>
    <definedName name="EUconst_MsgBackToSheetF">EUwideConstants!$B$124</definedName>
    <definedName name="EUconst_MsgEnterThisSection">EUwideConstants!$B$122</definedName>
    <definedName name="EUconst_MsgGoOn">EUwideConstants!$B$116</definedName>
    <definedName name="EUconst_MsgGoOn_cd">EUwideConstants!$B$125</definedName>
    <definedName name="EUconst_MsgGoOn_d">EUwideConstants!$B$118</definedName>
    <definedName name="EUconst_MsgGoOn_e">EUwideConstants!$B$126</definedName>
    <definedName name="EUconst_MsgGoOnIfNotRelevant">EUwideConstants!$B$119</definedName>
    <definedName name="EUconst_MsgGoToNextSubInst">EUwideConstants!$B$123</definedName>
    <definedName name="EUconst_MsgProceedEII2">EUwideConstants!$B$115</definedName>
    <definedName name="EUconst_MsgProceedF">EUwideConstants!$B$114</definedName>
    <definedName name="EUconst_MsgSeeFirst">EUwideConstants!$B$112</definedName>
    <definedName name="EUconst_MsgUseElExchTool">EUwideConstants!$B$117</definedName>
    <definedName name="EUconst_MSlist">EUwideConstants!$B$96:$AF$96</definedName>
    <definedName name="EUconst_MSlistEUTLcodes">EUwideConstants!$B$99:$AF$99</definedName>
    <definedName name="EUconst_MSlistISOcodes">EUwideConstants!$B$98:$AF$98</definedName>
    <definedName name="EUconst_MWh">EUwideConstants!$B$25</definedName>
    <definedName name="EUconst_MWhpa">EUwideConstants!$B$26</definedName>
    <definedName name="EUconst_NA">EUwideConstants!$B$9</definedName>
    <definedName name="EUconst_Negative">EUwideConstants!$B$90</definedName>
    <definedName name="EUconst_NGEFvalue">EUwideConstants!$B$170</definedName>
    <definedName name="EUconst_NotRelevant">EUwideConstants!$B$57</definedName>
    <definedName name="EUconst_OK">EUwideConstants!$B$92</definedName>
    <definedName name="EUconst_Or">EUwideConstants!$B$40</definedName>
    <definedName name="EUconst_ProcessEmissionTypes">EUwideConstants!$B$51:$J$51</definedName>
    <definedName name="EUconst_Relevant">EUwideConstants!$B$56</definedName>
    <definedName name="EUconst_RelevantNotRelevant">EUwideConstants!$B$58:$C$58</definedName>
    <definedName name="EUconst_relOrMWhpa">EUwideConstants!$B$42</definedName>
    <definedName name="EUconst_relOrtCO2pa">EUwideConstants!$B$43</definedName>
    <definedName name="EUconst_relOrTJpa">EUwideConstants!$B$41</definedName>
    <definedName name="EUconst_ReportingYears">EUwideConstants!$B$3:$F$3</definedName>
    <definedName name="EUconst_StatusOfDataCollection">EUwideConstants!$B$2</definedName>
    <definedName name="EUconst_SumBioCO2">EUwideConstants!$B$74</definedName>
    <definedName name="EUconst_SumCO2">EUwideConstants!$B$72</definedName>
    <definedName name="EUconst_SumEnergyIN">EUwideConstants!$B$75</definedName>
    <definedName name="EUconst_SumN2O">EUwideConstants!$B$76</definedName>
    <definedName name="EUconst_SumPFC">EUwideConstants!$B$77</definedName>
    <definedName name="EUconst_SumTransferCO2">EUwideConstants!$B$73</definedName>
    <definedName name="EUconst_t">EUwideConstants!$B$27</definedName>
    <definedName name="EUconst_tCO2">EUwideConstants!$B$22</definedName>
    <definedName name="EUconst_tCO2e">EUwideConstants!$B$21</definedName>
    <definedName name="EUconst_tCO2epa">EUwideConstants!$B$38</definedName>
    <definedName name="EUconst_tCO2ept">EUwideConstants!$B$39</definedName>
    <definedName name="EUconst_tCO2eptN2O">EUwideConstants!$B$37</definedName>
    <definedName name="EUconst_tCO2pa">EUwideConstants!$B$34</definedName>
    <definedName name="EUconst_tCO2pkNm3">EUwideConstants!$B$64</definedName>
    <definedName name="EUconst_tCO2pMWh">EUwideConstants!$B$169</definedName>
    <definedName name="EUconst_tCO2pt">EUwideConstants!$B$35</definedName>
    <definedName name="EUconst_tCO2pTJ">EUwideConstants!$B$33</definedName>
    <definedName name="EUconst_tCO2pTJorT">EUwideConstants!$B$63:$D$63</definedName>
    <definedName name="EUconst_TJ">EUwideConstants!$B$19</definedName>
    <definedName name="EUconst_TJpa">EUwideConstants!$B$24</definedName>
    <definedName name="EUconst_tN2O">EUwideConstants!$B$23</definedName>
    <definedName name="EUconst_tN2Opa">EUwideConstants!$B$36</definedName>
    <definedName name="EUconst_TonnesOrkNm3pa">EUwideConstants!$B$61:$C$61</definedName>
    <definedName name="EUconst_Tons">EUwideConstants!$B$18</definedName>
    <definedName name="EUconst_tpa">EUwideConstants!$B$28</definedName>
    <definedName name="Euconst_TrueFalse">EUwideConstants!$B$6:$C$6</definedName>
    <definedName name="Euconst_TrueFalseNA">EUwideConstants!$B$7:$D$7</definedName>
    <definedName name="EUconst_Unit">EUwideConstants!$B$11</definedName>
    <definedName name="EUconst_WasteGasCorrFactor">EUwideConstants!$B$171</definedName>
    <definedName name="EUconst_WithinInst">EUwideConstants!$B$48</definedName>
    <definedName name="EUconst_Year">EUwideConstants!$B$17</definedName>
    <definedName name="JUMP_A_Bottom">A_InstallationData!$D$362</definedName>
    <definedName name="JUMP_A_I">A_InstallationData!$D$8</definedName>
    <definedName name="JUMP_A_I1">A_InstallationData!$C$10</definedName>
    <definedName name="JUMP_A_I2">A_InstallationData!$C$74</definedName>
    <definedName name="JUMP_A_I3">A_InstallationData!$C$89</definedName>
    <definedName name="JUMP_A_I4">A_InstallationData!$C$110</definedName>
    <definedName name="JUMP_A_II">A_InstallationData!$D$173</definedName>
    <definedName name="JUMP_A_II1">A_InstallationData!$C$175</definedName>
    <definedName name="JUMP_A_II2">A_InstallationData!$C$245</definedName>
    <definedName name="JUMP_A_III">A_InstallationData!$D$256</definedName>
    <definedName name="JUMP_A_III1">A_InstallationData!$C$258</definedName>
    <definedName name="JUMP_A_IV">A_InstallationData!$D$309</definedName>
    <definedName name="JUMP_A_IV1">A_InstallationData!$C$311</definedName>
    <definedName name="JUMP_B_I">'B+C_Emissions_Y1'!$C$8</definedName>
    <definedName name="JUMP_B_II">'B+C_Emissions_Y1'!$C$14</definedName>
    <definedName name="JUMP_BY1_Emissions">'B+C_Emissions_Y1'!$D$114</definedName>
    <definedName name="JUMP_BY1_Fallback">'B+C_Emissions_Y1'!$D$129</definedName>
    <definedName name="JUMP_BY1_PFC">'B+C_Emissions_Y1'!$D$100</definedName>
    <definedName name="JUMP_BY1_Source">'B+C_Emissions_Y1'!$D$19</definedName>
    <definedName name="JUMP_BY1_Top">'B+C_Emissions_Y1'!$C$6</definedName>
    <definedName name="JUMP_BY2_Emissions">'B+C_Emissions_Y2'!$D$114</definedName>
    <definedName name="JUMP_BY2_Fallback">'B+C_Emissions_Y2'!$D$129</definedName>
    <definedName name="JUMP_BY2_PFC">'B+C_Emissions_Y2'!$D$100</definedName>
    <definedName name="JUMP_BY2_Source">'B+C_Emissions_Y2'!$D$19</definedName>
    <definedName name="JUMP_BY2_Top">'B+C_Emissions_Y2'!$C$6</definedName>
    <definedName name="JUMP_BY3_Emissions">'B+C_Emissions_Y3'!$D$114</definedName>
    <definedName name="JUMP_BY3_Fallback">'B+C_Emissions_Y3'!$D$129</definedName>
    <definedName name="JUMP_BY3_PFC">'B+C_Emissions_Y3'!$D$100</definedName>
    <definedName name="JUMP_BY3_Source">'B+C_Emissions_Y3'!$D$19</definedName>
    <definedName name="JUMP_BY3_Top">'B+C_Emissions_Y3'!$C$6</definedName>
    <definedName name="JUMP_BY4_Emissions">'B+C_Emissions_Y4'!$D$114</definedName>
    <definedName name="JUMP_BY4_Fallback">'B+C_Emissions_Y4'!$D$129</definedName>
    <definedName name="JUMP_BY4_PFC">'B+C_Emissions_Y4'!$D$100</definedName>
    <definedName name="JUMP_BY4_Source">'B+C_Emissions_Y4'!$D$19</definedName>
    <definedName name="JUMP_BY4_Top">'B+C_Emissions_Y4'!$C$6</definedName>
    <definedName name="JUMP_BY5_Emissions">'B+C_Emissions_Y5'!$D$114</definedName>
    <definedName name="JUMP_BY5_Fallback">'B+C_Emissions_Y5'!$D$129</definedName>
    <definedName name="JUMP_BY5_PFC">'B+C_Emissions_Y5'!$D$100</definedName>
    <definedName name="JUMP_BY5_Source">'B+C_Emissions_Y5'!$D$19</definedName>
    <definedName name="JUMP_BY5_Top">'B+C_Emissions_Y5'!$C$6</definedName>
    <definedName name="JUMP_Coverpage_Bottom">a_Contents!$C$71</definedName>
    <definedName name="JUMP_Coverpage_Top">a_Contents!$B$5</definedName>
    <definedName name="JUMP_D_Bottom">D_Emissions!$D$303</definedName>
    <definedName name="JUMP_D_I">D_Emissions!$D$8</definedName>
    <definedName name="JUMP_D_II">D_Emissions!$D$63</definedName>
    <definedName name="JUMP_D_III">D_Emissions!$D$76</definedName>
    <definedName name="JUMP_D_III2">D_Emissions!$C$143</definedName>
    <definedName name="JUMP_D_IV">D_Emissions!$D$188</definedName>
    <definedName name="JUMP_D_IV2">D_Emissions!$C$256</definedName>
    <definedName name="JUMP_D_Top">D_Emissions!$C$6</definedName>
    <definedName name="JUMP_E_Bottom">E_EnergyFlows!$D$396</definedName>
    <definedName name="JUMP_E_HeatFinal">E_EnergyFlows!$E$234</definedName>
    <definedName name="JUMP_E_I">E_EnergyFlows!$D$8</definedName>
    <definedName name="JUMP_E_II">E_EnergyFlows!$D$61</definedName>
    <definedName name="JUMP_E_II_2">E_EnergyFlows!$C$63</definedName>
    <definedName name="JUMP_E_III">E_EnergyFlows!$D$252</definedName>
    <definedName name="JUMP_E_IV">E_EnergyFlows!$D$366</definedName>
    <definedName name="JUMP_E_Top">E_EnergyFlows!$C$6</definedName>
    <definedName name="JUMP_EmissionTotals">D_Emissions!$D$13</definedName>
    <definedName name="JUMP_F_Bottom">F_ProductBM!$D$1812</definedName>
    <definedName name="JUMP_F_I">F_ProductBM!$D$11</definedName>
    <definedName name="JUMP_F_Top">F_ProductBM!$C$7</definedName>
    <definedName name="JUMP_F1">F_ProductBM!$C$13</definedName>
    <definedName name="JUMP_F10">F_ProductBM!$C$1638</definedName>
    <definedName name="JUMP_F2">F_ProductBM!$C$246</definedName>
    <definedName name="JUMP_F3">F_ProductBM!$C$420</definedName>
    <definedName name="JUMP_F4">F_ProductBM!$C$594</definedName>
    <definedName name="JUMP_F5">F_ProductBM!$C$768</definedName>
    <definedName name="JUMP_F6">F_ProductBM!$C$942</definedName>
    <definedName name="JUMP_F7">F_ProductBM!$C$1116</definedName>
    <definedName name="JUMP_F8">F_ProductBM!$C$1290</definedName>
    <definedName name="JUMP_F9">F_ProductBM!$C$1464</definedName>
    <definedName name="JUMP_G_Bottom">'G_Fall-back'!$D$785</definedName>
    <definedName name="JUMP_G_I">'G_Fall-back'!$D$11</definedName>
    <definedName name="JUMP_G_Top">'G_Fall-back'!$C$7</definedName>
    <definedName name="JUMP_G1">'G_Fall-back'!$C$13</definedName>
    <definedName name="JUMP_G10">'G_Fall-back'!$C$743</definedName>
    <definedName name="JUMP_G2">'G_Fall-back'!$C$151</definedName>
    <definedName name="JUMP_G3">'G_Fall-back'!$C$247</definedName>
    <definedName name="JUMP_G4">'G_Fall-back'!$C$343</definedName>
    <definedName name="JUMP_G5">'G_Fall-back'!$C$439</definedName>
    <definedName name="JUMP_G6">'G_Fall-back'!$C$516</definedName>
    <definedName name="JUMP_G7">'G_Fall-back'!$C$587</definedName>
    <definedName name="JUMP_G8">'G_Fall-back'!$C$658</definedName>
    <definedName name="JUMP_G9">'G_Fall-back'!$C$701</definedName>
    <definedName name="JUMP_Guidelines_Bottom">'b_Guidelines &amp; conditions'!$B$92</definedName>
    <definedName name="JUMP_Guidelines_Home">'b_Guidelines &amp; conditions'!$B$7</definedName>
    <definedName name="JUMP_H_Bottom">H_SpecialBM!$D$399</definedName>
    <definedName name="JUMP_H_I">H_SpecialBM!$D$9</definedName>
    <definedName name="JUMP_H_II">H_SpecialBM!$D$99</definedName>
    <definedName name="JUMP_H_III">H_SpecialBM!$D$131</definedName>
    <definedName name="JUMP_H_IV">H_SpecialBM!$D$165</definedName>
    <definedName name="JUMP_H_IX">H_SpecialBM!$D$371</definedName>
    <definedName name="JUMP_H_Top">H_SpecialBM!$C$7</definedName>
    <definedName name="JUMP_H_V">H_SpecialBM!$D$217</definedName>
    <definedName name="JUMP_H_VI">H_SpecialBM!$D$257</definedName>
    <definedName name="JUMP_H_VII">H_SpecialBM!$D$309</definedName>
    <definedName name="JUMP_H_VIII">H_SpecialBM!$D$342</definedName>
    <definedName name="JUMP_I_Bottom">I_MSspecific!$C$30</definedName>
    <definedName name="JUMP_I_MSspecific">I_MSspecific!$C$7</definedName>
    <definedName name="JUMP_I_Top">I_MSspecific!$B$5</definedName>
    <definedName name="JUMP_J_I">J_Comments!$C$7</definedName>
    <definedName name="JUMP_J_II">J_Comments!$C$57</definedName>
    <definedName name="JUMP_J_Top">J_Comments!$B$5</definedName>
    <definedName name="JUMP_K_Bottom">K_Summary!$D$1644</definedName>
    <definedName name="JUMP_K_I">K_Summary!$D$8</definedName>
    <definedName name="JUMP_K_II">K_Summary!$C$44</definedName>
    <definedName name="JUMP_K_III">K_Summary!$C$79</definedName>
    <definedName name="JUMP_K_III2">K_Summary!$C$98</definedName>
    <definedName name="JUMP_K_IV">K_Summary!$C$484</definedName>
    <definedName name="JUMP_K_Top">K_Summary!$C$6</definedName>
    <definedName name="JUMP_K_V">K_Summary!$C$1538</definedName>
    <definedName name="JUMP_K_V_Disclaimer">K_Summary!$D$1553</definedName>
    <definedName name="JUMP_TOC_Home">a_Contents!$A$5</definedName>
    <definedName name="MSconst_AllowInstEmmisionTotals">MSParameters!$B$5</definedName>
    <definedName name="MSconst_RequireArt27aInfo">MSParameters!$B$4</definedName>
    <definedName name="MSconst_RequireArt27Info">MSParameters!$B$3</definedName>
    <definedName name="MSconst_RequirePermitInfo">MSParameters!$B$2</definedName>
    <definedName name="_xlnm.Print_Area" localSheetId="0">a_Contents!$A$4:$L$70</definedName>
    <definedName name="_xlnm.Print_Area" localSheetId="2">A_InstallationData!$C$5:$O$361</definedName>
    <definedName name="_xlnm.Print_Area" localSheetId="1">'b_Guidelines &amp; conditions'!$A$4:$K$91</definedName>
    <definedName name="_xlnm.Print_Area" localSheetId="3">'B+C_Emissions_Y1'!$C$5:$AY$132</definedName>
    <definedName name="_xlnm.Print_Area" localSheetId="4">'B+C_Emissions_Y2'!$C$5:$AY$132</definedName>
    <definedName name="_xlnm.Print_Area" localSheetId="5">'B+C_Emissions_Y3'!$C$5:$AY$132</definedName>
    <definedName name="_xlnm.Print_Area" localSheetId="6">'B+C_Emissions_Y4'!$C$5:$AY$132</definedName>
    <definedName name="_xlnm.Print_Area" localSheetId="7">'B+C_Emissions_Y5'!$C$5:$AY$132</definedName>
    <definedName name="_xlnm.Print_Area" localSheetId="8">D_Emissions!$C$5:$N$302</definedName>
    <definedName name="_xlnm.Print_Area" localSheetId="9">E_EnergyFlows!$B$5:$N$395</definedName>
    <definedName name="_xlnm.Print_Area" localSheetId="10">F_ProductBM!$B$6:$O$12</definedName>
    <definedName name="_xlnm.Print_Area" localSheetId="11">'G_Fall-back'!$B$6:$N$784</definedName>
    <definedName name="_xlnm.Print_Area" localSheetId="12">H_SpecialBM!$B$6:$N$398</definedName>
    <definedName name="_xlnm.Print_Area" localSheetId="13">I_MSspecific!$A$4:$M$29</definedName>
    <definedName name="_xlnm.Print_Area" localSheetId="14">J_Comments!$A$4:$M$69</definedName>
    <definedName name="_xlnm.Print_Area" localSheetId="15">K_Summary!$C$5:$N$1643</definedName>
    <definedName name="_xlnm.Print_Area" localSheetId="19">VersionDocumentation!$A$1:$E$86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8" i="10" l="1"/>
  <c r="E290" i="43"/>
  <c r="E291" i="43"/>
  <c r="I294" i="43"/>
  <c r="E1617" i="50"/>
  <c r="D12" i="56"/>
  <c r="N279" i="43"/>
  <c r="N278" i="43"/>
  <c r="N277" i="43"/>
  <c r="N276" i="43"/>
  <c r="N275" i="43"/>
  <c r="N274" i="43"/>
  <c r="N273" i="43"/>
  <c r="N272" i="43"/>
  <c r="N270" i="43"/>
  <c r="B14" i="25"/>
  <c r="B15" i="25"/>
  <c r="C1" i="38"/>
  <c r="B1" i="38"/>
  <c r="A1" i="38"/>
  <c r="F277" i="34"/>
  <c r="E320" i="49"/>
  <c r="F276" i="34"/>
  <c r="E319" i="49" s="1"/>
  <c r="F275" i="34"/>
  <c r="E318" i="49" s="1"/>
  <c r="F274" i="34"/>
  <c r="F273" i="34"/>
  <c r="F272" i="34"/>
  <c r="E129" i="50" s="1"/>
  <c r="P129" i="50" s="1"/>
  <c r="F271" i="34"/>
  <c r="I343" i="42" s="1"/>
  <c r="E392" i="42" s="1"/>
  <c r="F270" i="34"/>
  <c r="I247" i="42" s="1"/>
  <c r="F269" i="34"/>
  <c r="E413" i="41"/>
  <c r="F268" i="34"/>
  <c r="I13" i="42" s="1"/>
  <c r="I267" i="34"/>
  <c r="F219" i="34"/>
  <c r="F218" i="34"/>
  <c r="F214" i="34"/>
  <c r="I211" i="34"/>
  <c r="H207" i="34"/>
  <c r="H204" i="34"/>
  <c r="B204" i="34"/>
  <c r="A262" i="34" s="1"/>
  <c r="H198" i="34"/>
  <c r="H195" i="34"/>
  <c r="H187" i="34"/>
  <c r="B187" i="34" s="1"/>
  <c r="H185" i="34"/>
  <c r="B185" i="34"/>
  <c r="H182" i="34"/>
  <c r="B101" i="34"/>
  <c r="G96" i="34"/>
  <c r="C97" i="34" s="1"/>
  <c r="C44" i="34"/>
  <c r="B37" i="34"/>
  <c r="E1610" i="50"/>
  <c r="E1609" i="50"/>
  <c r="E1608" i="50"/>
  <c r="E1603" i="50"/>
  <c r="E1602" i="50"/>
  <c r="S1577" i="50"/>
  <c r="N1577" i="50"/>
  <c r="E1573" i="50"/>
  <c r="E1569" i="50"/>
  <c r="F1548" i="50"/>
  <c r="F1530" i="50"/>
  <c r="F1510" i="50"/>
  <c r="F1490" i="50"/>
  <c r="E1475" i="50"/>
  <c r="E1470" i="50"/>
  <c r="E1469" i="50"/>
  <c r="E1465" i="50"/>
  <c r="F1458" i="50"/>
  <c r="E1443" i="50"/>
  <c r="E1438" i="50"/>
  <c r="E1437" i="50"/>
  <c r="E1433" i="50"/>
  <c r="F1426" i="50"/>
  <c r="E1411" i="50"/>
  <c r="E1406" i="50"/>
  <c r="E1405" i="50"/>
  <c r="E1401" i="50"/>
  <c r="F1394" i="50"/>
  <c r="E1366" i="50"/>
  <c r="E1365" i="50"/>
  <c r="E1364" i="50"/>
  <c r="E1363" i="50"/>
  <c r="E1362" i="50"/>
  <c r="E1354" i="50"/>
  <c r="E1353" i="50"/>
  <c r="F1348" i="50"/>
  <c r="E1320" i="50"/>
  <c r="E1319" i="50"/>
  <c r="E1318" i="50"/>
  <c r="E1317" i="50"/>
  <c r="E1316" i="50"/>
  <c r="E1308" i="50"/>
  <c r="E1307" i="50"/>
  <c r="F1302" i="50"/>
  <c r="E1274" i="50"/>
  <c r="E1273" i="50"/>
  <c r="E1272" i="50"/>
  <c r="E1271" i="50"/>
  <c r="E1270" i="50"/>
  <c r="E1262" i="50"/>
  <c r="E1261" i="50"/>
  <c r="F1256" i="50"/>
  <c r="E1228" i="50"/>
  <c r="E1227" i="50"/>
  <c r="E1226" i="50"/>
  <c r="E1225" i="50"/>
  <c r="E1224" i="50"/>
  <c r="E1216" i="50"/>
  <c r="E1215" i="50"/>
  <c r="F1210" i="50"/>
  <c r="E1193" i="50"/>
  <c r="E1191" i="50"/>
  <c r="E1189" i="50"/>
  <c r="E1188" i="50"/>
  <c r="E1185" i="50"/>
  <c r="E1148" i="50"/>
  <c r="F1141" i="50"/>
  <c r="E1124" i="50"/>
  <c r="E1122" i="50"/>
  <c r="E1120" i="50"/>
  <c r="E1119" i="50"/>
  <c r="E1116" i="50"/>
  <c r="E1079" i="50"/>
  <c r="F1072" i="50"/>
  <c r="E1055" i="50"/>
  <c r="E1053" i="50"/>
  <c r="E1051" i="50"/>
  <c r="E1050" i="50"/>
  <c r="E1047" i="50"/>
  <c r="E1010" i="50"/>
  <c r="F1003" i="50"/>
  <c r="E986" i="50"/>
  <c r="E984" i="50"/>
  <c r="E982" i="50"/>
  <c r="E981" i="50"/>
  <c r="E978" i="50"/>
  <c r="E941" i="50"/>
  <c r="F934" i="50"/>
  <c r="E917" i="50"/>
  <c r="E915" i="50"/>
  <c r="E913" i="50"/>
  <c r="E912" i="50"/>
  <c r="E909" i="50"/>
  <c r="E872" i="50"/>
  <c r="F865" i="50"/>
  <c r="E848" i="50"/>
  <c r="E846" i="50"/>
  <c r="E844" i="50"/>
  <c r="E843" i="50"/>
  <c r="E840" i="50"/>
  <c r="E803" i="50"/>
  <c r="F796" i="50"/>
  <c r="E779" i="50"/>
  <c r="E777" i="50"/>
  <c r="E775" i="50"/>
  <c r="E774" i="50"/>
  <c r="E771" i="50"/>
  <c r="E734" i="50"/>
  <c r="F727" i="50"/>
  <c r="E710" i="50"/>
  <c r="E708" i="50"/>
  <c r="E706" i="50"/>
  <c r="E705" i="50"/>
  <c r="E702" i="50"/>
  <c r="E665" i="50"/>
  <c r="F658" i="50"/>
  <c r="E641" i="50"/>
  <c r="E639" i="50"/>
  <c r="E637" i="50"/>
  <c r="E636" i="50"/>
  <c r="E633" i="50"/>
  <c r="E596" i="50"/>
  <c r="F589" i="50"/>
  <c r="E572" i="50"/>
  <c r="E570" i="50"/>
  <c r="E568" i="50"/>
  <c r="E567" i="50"/>
  <c r="E564" i="50"/>
  <c r="E527" i="50"/>
  <c r="F520" i="50"/>
  <c r="R506" i="50"/>
  <c r="D505" i="50"/>
  <c r="F499" i="50"/>
  <c r="F490" i="50"/>
  <c r="E400" i="50"/>
  <c r="E273" i="50"/>
  <c r="E249" i="50"/>
  <c r="D238" i="50"/>
  <c r="E110" i="50"/>
  <c r="D75" i="50"/>
  <c r="E73" i="50"/>
  <c r="E71" i="50"/>
  <c r="L56" i="50"/>
  <c r="E56" i="50"/>
  <c r="E55" i="50"/>
  <c r="E53" i="50"/>
  <c r="D51" i="50"/>
  <c r="M23" i="50"/>
  <c r="R393" i="47"/>
  <c r="R392" i="47"/>
  <c r="E365" i="47"/>
  <c r="E336" i="47"/>
  <c r="E334" i="47"/>
  <c r="E305" i="47"/>
  <c r="E303" i="47"/>
  <c r="E302" i="47"/>
  <c r="E301" i="47"/>
  <c r="E299" i="47"/>
  <c r="E298" i="47"/>
  <c r="E296" i="47"/>
  <c r="E295" i="47"/>
  <c r="E294" i="47"/>
  <c r="E293" i="47"/>
  <c r="E292" i="47"/>
  <c r="E291" i="47"/>
  <c r="E290" i="47"/>
  <c r="E288" i="47"/>
  <c r="E287" i="47"/>
  <c r="E286" i="47"/>
  <c r="E284" i="47"/>
  <c r="E281" i="47"/>
  <c r="E278" i="47"/>
  <c r="E276" i="47"/>
  <c r="E263" i="47"/>
  <c r="E251" i="47"/>
  <c r="E248" i="47"/>
  <c r="E193" i="47"/>
  <c r="E192" i="47"/>
  <c r="E159" i="47"/>
  <c r="E158" i="47"/>
  <c r="E125" i="47"/>
  <c r="E124" i="47"/>
  <c r="E93" i="47"/>
  <c r="E90" i="47"/>
  <c r="N757" i="42"/>
  <c r="M757" i="42"/>
  <c r="N715" i="42"/>
  <c r="M715" i="42"/>
  <c r="N673" i="42"/>
  <c r="M673" i="42"/>
  <c r="E651" i="42"/>
  <c r="E650" i="42"/>
  <c r="E644" i="42"/>
  <c r="E641" i="42"/>
  <c r="N604" i="42"/>
  <c r="M604" i="42"/>
  <c r="E580" i="42"/>
  <c r="E579" i="42"/>
  <c r="E573" i="42"/>
  <c r="E570" i="42"/>
  <c r="N533" i="42"/>
  <c r="M533" i="42"/>
  <c r="E507" i="42"/>
  <c r="E506" i="42"/>
  <c r="E500" i="42"/>
  <c r="E498" i="42"/>
  <c r="E495" i="42"/>
  <c r="N456" i="42"/>
  <c r="M456" i="42"/>
  <c r="E411" i="42"/>
  <c r="E410" i="42"/>
  <c r="E405" i="42"/>
  <c r="E403" i="42"/>
  <c r="E401" i="42"/>
  <c r="E394" i="42"/>
  <c r="N357" i="42"/>
  <c r="M357" i="42"/>
  <c r="E315" i="42"/>
  <c r="E314" i="42"/>
  <c r="E309" i="42"/>
  <c r="E307" i="42"/>
  <c r="E305" i="42"/>
  <c r="E298" i="42"/>
  <c r="N261" i="42"/>
  <c r="M261" i="42"/>
  <c r="E219" i="42"/>
  <c r="E218" i="42"/>
  <c r="E213" i="42"/>
  <c r="E211" i="42"/>
  <c r="E209" i="42"/>
  <c r="E202" i="42"/>
  <c r="N165" i="42"/>
  <c r="M165" i="42"/>
  <c r="E114" i="42"/>
  <c r="E113" i="42"/>
  <c r="E110" i="42"/>
  <c r="E107" i="42"/>
  <c r="E105" i="42"/>
  <c r="E103" i="42"/>
  <c r="E94" i="42"/>
  <c r="E92" i="42"/>
  <c r="E91" i="42"/>
  <c r="N42" i="42"/>
  <c r="M42" i="42"/>
  <c r="E40" i="42"/>
  <c r="E39" i="42"/>
  <c r="E36" i="42"/>
  <c r="E1833" i="37"/>
  <c r="E1830" i="37"/>
  <c r="E1828" i="37"/>
  <c r="E1825" i="37"/>
  <c r="E1722" i="37"/>
  <c r="E1710" i="37"/>
  <c r="E1696" i="37"/>
  <c r="E1694" i="37"/>
  <c r="N1665" i="37"/>
  <c r="E1665" i="37"/>
  <c r="E1648" i="37"/>
  <c r="E1548" i="37"/>
  <c r="E1536" i="37"/>
  <c r="E1522" i="37"/>
  <c r="E1520" i="37"/>
  <c r="N1491" i="37"/>
  <c r="E1491" i="37"/>
  <c r="E1474" i="37"/>
  <c r="E1374" i="37"/>
  <c r="E1362" i="37"/>
  <c r="E1348" i="37"/>
  <c r="E1346" i="37"/>
  <c r="N1317" i="37"/>
  <c r="E1317" i="37"/>
  <c r="E1300" i="37"/>
  <c r="E1200" i="37"/>
  <c r="E1188" i="37"/>
  <c r="E1174" i="37"/>
  <c r="E1172" i="37"/>
  <c r="N1143" i="37"/>
  <c r="E1143" i="37"/>
  <c r="E1126" i="37"/>
  <c r="E1026" i="37"/>
  <c r="E1014" i="37"/>
  <c r="E1000" i="37"/>
  <c r="E998" i="37"/>
  <c r="N969" i="37"/>
  <c r="E969" i="37"/>
  <c r="E952" i="37"/>
  <c r="E852" i="37"/>
  <c r="E840" i="37"/>
  <c r="E826" i="37"/>
  <c r="E824" i="37"/>
  <c r="N795" i="37"/>
  <c r="E795" i="37"/>
  <c r="E778" i="37"/>
  <c r="E678" i="37"/>
  <c r="E666" i="37"/>
  <c r="E652" i="37"/>
  <c r="E650" i="37"/>
  <c r="N621" i="37"/>
  <c r="E621" i="37"/>
  <c r="E604" i="37"/>
  <c r="E504" i="37"/>
  <c r="E492" i="37"/>
  <c r="E478" i="37"/>
  <c r="E476" i="37"/>
  <c r="N447" i="37"/>
  <c r="E447" i="37"/>
  <c r="E430" i="37"/>
  <c r="E330" i="37"/>
  <c r="E318" i="37"/>
  <c r="E304" i="37"/>
  <c r="E302" i="37"/>
  <c r="N273" i="37"/>
  <c r="E273" i="37"/>
  <c r="E256" i="37"/>
  <c r="E135" i="37"/>
  <c r="E123" i="37"/>
  <c r="E103" i="37"/>
  <c r="E98" i="37"/>
  <c r="E97" i="37"/>
  <c r="N59" i="37"/>
  <c r="E59" i="37"/>
  <c r="E55" i="37"/>
  <c r="E54" i="37"/>
  <c r="E53" i="37"/>
  <c r="E33" i="37"/>
  <c r="E32" i="37"/>
  <c r="E392" i="41"/>
  <c r="E391" i="41"/>
  <c r="E371" i="41"/>
  <c r="E359" i="41"/>
  <c r="E466" i="50" s="1"/>
  <c r="E358" i="41"/>
  <c r="E357" i="41"/>
  <c r="E465" i="50" s="1"/>
  <c r="E285" i="41"/>
  <c r="E284" i="41"/>
  <c r="E250" i="41"/>
  <c r="E249" i="41"/>
  <c r="E199" i="41"/>
  <c r="E129" i="41"/>
  <c r="E127" i="41"/>
  <c r="E126" i="41"/>
  <c r="E122" i="41"/>
  <c r="E114" i="41"/>
  <c r="E100" i="41"/>
  <c r="E97" i="41"/>
  <c r="E94" i="41"/>
  <c r="E92" i="41"/>
  <c r="D87" i="41"/>
  <c r="E47" i="41"/>
  <c r="E58" i="41" s="1"/>
  <c r="E242" i="50" s="1"/>
  <c r="E43" i="41"/>
  <c r="E42" i="41"/>
  <c r="E53" i="41" s="1"/>
  <c r="E243" i="50" s="1"/>
  <c r="E39" i="41"/>
  <c r="F34" i="41"/>
  <c r="F33" i="41"/>
  <c r="F32" i="41"/>
  <c r="F31" i="41"/>
  <c r="E29" i="41"/>
  <c r="E23" i="41"/>
  <c r="E94" i="50" s="1"/>
  <c r="E22" i="41"/>
  <c r="E93" i="50" s="1"/>
  <c r="E21" i="41"/>
  <c r="E92" i="50" s="1"/>
  <c r="E20" i="41"/>
  <c r="F18" i="41"/>
  <c r="F17" i="41"/>
  <c r="F16" i="41"/>
  <c r="F15" i="41"/>
  <c r="E14" i="41"/>
  <c r="E13" i="41"/>
  <c r="D8" i="41"/>
  <c r="C26" i="9" s="1"/>
  <c r="G3" i="41"/>
  <c r="E99" i="49"/>
  <c r="E94" i="49"/>
  <c r="E84" i="49"/>
  <c r="E61" i="49"/>
  <c r="E96" i="50" s="1"/>
  <c r="E60" i="49"/>
  <c r="E53" i="49"/>
  <c r="E38" i="49"/>
  <c r="E18" i="49"/>
  <c r="K400" i="43"/>
  <c r="L378" i="43"/>
  <c r="F378" i="43"/>
  <c r="F318" i="43"/>
  <c r="R294" i="43"/>
  <c r="M294" i="43"/>
  <c r="E288" i="43"/>
  <c r="E287" i="43"/>
  <c r="E286" i="43"/>
  <c r="R269" i="43"/>
  <c r="M269" i="43"/>
  <c r="J269" i="43"/>
  <c r="I269" i="43"/>
  <c r="E266" i="43"/>
  <c r="E265" i="43"/>
  <c r="E264" i="43"/>
  <c r="E262" i="43"/>
  <c r="E250" i="43"/>
  <c r="E243" i="43"/>
  <c r="E242" i="43"/>
  <c r="E241" i="43"/>
  <c r="E239" i="43"/>
  <c r="D238" i="43"/>
  <c r="E236" i="43"/>
  <c r="E235" i="43"/>
  <c r="E233" i="43"/>
  <c r="E232" i="43"/>
  <c r="E230" i="43"/>
  <c r="E229" i="43"/>
  <c r="E70" i="50" s="1"/>
  <c r="E227" i="43"/>
  <c r="E226" i="43"/>
  <c r="E69" i="50" s="1"/>
  <c r="F224" i="43"/>
  <c r="F223" i="43"/>
  <c r="F222" i="43"/>
  <c r="E221" i="43"/>
  <c r="D220" i="43"/>
  <c r="E68" i="50" s="1"/>
  <c r="E218" i="43"/>
  <c r="E217" i="43"/>
  <c r="E215" i="43"/>
  <c r="E214" i="43"/>
  <c r="E213" i="43"/>
  <c r="E211" i="43"/>
  <c r="E210" i="43"/>
  <c r="E65" i="50" s="1"/>
  <c r="M207" i="43"/>
  <c r="M62" i="50"/>
  <c r="K207" i="43"/>
  <c r="K62" i="50" s="1"/>
  <c r="I207" i="43"/>
  <c r="I62" i="50" s="1"/>
  <c r="G207" i="43"/>
  <c r="G62" i="50" s="1"/>
  <c r="E207" i="43"/>
  <c r="E62" i="50" s="1"/>
  <c r="E205" i="43"/>
  <c r="F204" i="43"/>
  <c r="F203" i="43"/>
  <c r="F202" i="43"/>
  <c r="F201" i="43"/>
  <c r="F200" i="43"/>
  <c r="E199" i="43"/>
  <c r="E198" i="43"/>
  <c r="E196" i="43"/>
  <c r="E195" i="43"/>
  <c r="E60" i="50"/>
  <c r="E193" i="43"/>
  <c r="E192" i="43"/>
  <c r="E190" i="43"/>
  <c r="D189" i="43"/>
  <c r="E58" i="50" s="1"/>
  <c r="E185" i="43"/>
  <c r="E180" i="43"/>
  <c r="D175" i="43"/>
  <c r="D173" i="43"/>
  <c r="C11" i="9" s="1"/>
  <c r="E171" i="43"/>
  <c r="E168" i="43"/>
  <c r="E167" i="43"/>
  <c r="F139" i="43"/>
  <c r="E123" i="43"/>
  <c r="M115" i="43"/>
  <c r="E51" i="43"/>
  <c r="E48" i="43"/>
  <c r="F45" i="43"/>
  <c r="F44" i="43"/>
  <c r="G4" i="43"/>
  <c r="B16" i="10"/>
  <c r="B13" i="10"/>
  <c r="B12" i="10"/>
  <c r="B9" i="10"/>
  <c r="X121" i="43"/>
  <c r="X120" i="43"/>
  <c r="X119" i="43"/>
  <c r="X118" i="43"/>
  <c r="X117" i="43"/>
  <c r="X116" i="43"/>
  <c r="E404" i="42"/>
  <c r="E402" i="42"/>
  <c r="E400" i="42"/>
  <c r="E399" i="42"/>
  <c r="E398" i="42"/>
  <c r="E397" i="42"/>
  <c r="E308" i="42"/>
  <c r="E306" i="42"/>
  <c r="E304" i="42"/>
  <c r="E303" i="42"/>
  <c r="E302" i="42"/>
  <c r="E301" i="42"/>
  <c r="E212" i="42"/>
  <c r="E210" i="42"/>
  <c r="E208" i="42"/>
  <c r="E207" i="42"/>
  <c r="E206" i="42"/>
  <c r="E205" i="42"/>
  <c r="E99" i="42"/>
  <c r="E106" i="42"/>
  <c r="E104" i="42"/>
  <c r="E169" i="43"/>
  <c r="R345" i="43"/>
  <c r="R344" i="43"/>
  <c r="R343" i="43"/>
  <c r="R342" i="43"/>
  <c r="R341" i="43"/>
  <c r="R340" i="43"/>
  <c r="R339" i="43"/>
  <c r="R338" i="43"/>
  <c r="R337" i="43"/>
  <c r="R336" i="43"/>
  <c r="M71" i="50"/>
  <c r="M235" i="43"/>
  <c r="I56" i="50"/>
  <c r="M272" i="50"/>
  <c r="L272" i="50"/>
  <c r="K272" i="50"/>
  <c r="J272" i="50"/>
  <c r="L1521" i="50"/>
  <c r="J1521" i="50"/>
  <c r="I1521" i="50"/>
  <c r="L1501" i="50"/>
  <c r="J1501" i="50"/>
  <c r="I1501" i="50"/>
  <c r="L1481" i="50"/>
  <c r="J1481" i="50"/>
  <c r="I1481" i="50"/>
  <c r="L1449" i="50"/>
  <c r="J1449" i="50"/>
  <c r="I1449" i="50"/>
  <c r="L1417" i="50"/>
  <c r="J1417" i="50"/>
  <c r="I1417" i="50"/>
  <c r="L1385" i="50"/>
  <c r="J1385" i="50"/>
  <c r="I1385" i="50"/>
  <c r="L1339" i="50"/>
  <c r="J1339" i="50"/>
  <c r="I1339" i="50"/>
  <c r="L1293" i="50"/>
  <c r="J1293" i="50"/>
  <c r="I1293" i="50"/>
  <c r="L1247" i="50"/>
  <c r="J1247" i="50"/>
  <c r="I1247" i="50"/>
  <c r="M400" i="50"/>
  <c r="L400" i="50"/>
  <c r="K400" i="50"/>
  <c r="J400" i="50"/>
  <c r="I400" i="50"/>
  <c r="S294" i="41"/>
  <c r="S295" i="41"/>
  <c r="S296" i="41" s="1"/>
  <c r="S302" i="41" s="1"/>
  <c r="S303" i="41" s="1"/>
  <c r="S304" i="41" s="1"/>
  <c r="S338" i="41" s="1"/>
  <c r="S354" i="41" s="1"/>
  <c r="S359" i="41" s="1"/>
  <c r="P420" i="41"/>
  <c r="P419" i="41"/>
  <c r="P418" i="41"/>
  <c r="P415" i="41"/>
  <c r="P414" i="41"/>
  <c r="P413" i="41"/>
  <c r="P412" i="41"/>
  <c r="B177" i="34"/>
  <c r="B176" i="34"/>
  <c r="W645" i="42"/>
  <c r="V645" i="42"/>
  <c r="U645" i="42"/>
  <c r="T645" i="42"/>
  <c r="S645" i="42"/>
  <c r="W574" i="42"/>
  <c r="V574" i="42"/>
  <c r="U574" i="42"/>
  <c r="T574" i="42"/>
  <c r="S574" i="42"/>
  <c r="W501" i="42"/>
  <c r="V501" i="42"/>
  <c r="U501" i="42"/>
  <c r="T501" i="42"/>
  <c r="S501" i="42"/>
  <c r="W432" i="42"/>
  <c r="V432" i="42"/>
  <c r="U432" i="42"/>
  <c r="T432" i="42"/>
  <c r="S432" i="42"/>
  <c r="W428" i="42"/>
  <c r="V428" i="42"/>
  <c r="U428" i="42"/>
  <c r="T428" i="42"/>
  <c r="S428" i="42"/>
  <c r="W424" i="42"/>
  <c r="V424" i="42"/>
  <c r="U424" i="42"/>
  <c r="T424" i="42"/>
  <c r="S424" i="42"/>
  <c r="W420" i="42"/>
  <c r="V420" i="42"/>
  <c r="U420" i="42"/>
  <c r="T420" i="42"/>
  <c r="S420" i="42"/>
  <c r="W416" i="42"/>
  <c r="V416" i="42"/>
  <c r="U416" i="42"/>
  <c r="T416" i="42"/>
  <c r="S416" i="42"/>
  <c r="W336" i="42"/>
  <c r="V336" i="42"/>
  <c r="U336" i="42"/>
  <c r="T336" i="42"/>
  <c r="S336" i="42"/>
  <c r="W332" i="42"/>
  <c r="V332" i="42"/>
  <c r="U332" i="42"/>
  <c r="T332" i="42"/>
  <c r="S332" i="42"/>
  <c r="W328" i="42"/>
  <c r="V328" i="42"/>
  <c r="U328" i="42"/>
  <c r="T328" i="42"/>
  <c r="S328" i="42"/>
  <c r="W324" i="42"/>
  <c r="V324" i="42"/>
  <c r="U324" i="42"/>
  <c r="T324" i="42"/>
  <c r="S324" i="42"/>
  <c r="W320" i="42"/>
  <c r="V320" i="42"/>
  <c r="U320" i="42"/>
  <c r="T320" i="42"/>
  <c r="S320" i="42"/>
  <c r="W240" i="42"/>
  <c r="V240" i="42"/>
  <c r="U240" i="42"/>
  <c r="T240" i="42"/>
  <c r="S240" i="42"/>
  <c r="W236" i="42"/>
  <c r="V236" i="42"/>
  <c r="U236" i="42"/>
  <c r="T236" i="42"/>
  <c r="S236" i="42"/>
  <c r="W232" i="42"/>
  <c r="V232" i="42"/>
  <c r="U232" i="42"/>
  <c r="T232" i="42"/>
  <c r="S232" i="42"/>
  <c r="W228" i="42"/>
  <c r="V228" i="42"/>
  <c r="U228" i="42"/>
  <c r="T228" i="42"/>
  <c r="S228" i="42"/>
  <c r="W224" i="42"/>
  <c r="V224" i="42"/>
  <c r="U224" i="42"/>
  <c r="T224" i="42"/>
  <c r="S224" i="42"/>
  <c r="W144" i="42"/>
  <c r="V144" i="42"/>
  <c r="U144" i="42"/>
  <c r="T144" i="42"/>
  <c r="S144" i="42"/>
  <c r="W140" i="42"/>
  <c r="V140" i="42"/>
  <c r="U140" i="42"/>
  <c r="T140" i="42"/>
  <c r="S140" i="42"/>
  <c r="W136" i="42"/>
  <c r="V136" i="42"/>
  <c r="U136" i="42"/>
  <c r="T136" i="42"/>
  <c r="S136" i="42"/>
  <c r="W132" i="42"/>
  <c r="V132" i="42"/>
  <c r="U132" i="42"/>
  <c r="T132" i="42"/>
  <c r="S132" i="42"/>
  <c r="W128" i="42"/>
  <c r="V128" i="42"/>
  <c r="U128" i="42"/>
  <c r="T128" i="42"/>
  <c r="S128" i="42"/>
  <c r="W1741" i="37"/>
  <c r="V1741" i="37"/>
  <c r="U1741" i="37"/>
  <c r="T1741" i="37"/>
  <c r="S1741" i="37"/>
  <c r="W1733" i="37"/>
  <c r="V1733" i="37"/>
  <c r="U1733" i="37"/>
  <c r="T1733" i="37"/>
  <c r="S1733" i="37"/>
  <c r="W1567" i="37"/>
  <c r="V1567" i="37"/>
  <c r="U1567" i="37"/>
  <c r="T1567" i="37"/>
  <c r="S1567" i="37"/>
  <c r="W1559" i="37"/>
  <c r="V1559" i="37"/>
  <c r="U1559" i="37"/>
  <c r="T1559" i="37"/>
  <c r="S1559" i="37"/>
  <c r="W1393" i="37"/>
  <c r="V1393" i="37"/>
  <c r="U1393" i="37"/>
  <c r="T1393" i="37"/>
  <c r="S1393" i="37"/>
  <c r="W1385" i="37"/>
  <c r="V1385" i="37"/>
  <c r="U1385" i="37"/>
  <c r="T1385" i="37"/>
  <c r="S1385" i="37"/>
  <c r="W1219" i="37"/>
  <c r="V1219" i="37"/>
  <c r="U1219" i="37"/>
  <c r="T1219" i="37"/>
  <c r="S1219" i="37"/>
  <c r="W1211" i="37"/>
  <c r="V1211" i="37"/>
  <c r="U1211" i="37"/>
  <c r="T1211" i="37"/>
  <c r="S1211" i="37"/>
  <c r="W1045" i="37"/>
  <c r="V1045" i="37"/>
  <c r="U1045" i="37"/>
  <c r="T1045" i="37"/>
  <c r="S1045" i="37"/>
  <c r="W1037" i="37"/>
  <c r="V1037" i="37"/>
  <c r="U1037" i="37"/>
  <c r="T1037" i="37"/>
  <c r="S1037" i="37"/>
  <c r="W871" i="37"/>
  <c r="V871" i="37"/>
  <c r="U871" i="37"/>
  <c r="T871" i="37"/>
  <c r="S871" i="37"/>
  <c r="W863" i="37"/>
  <c r="V863" i="37"/>
  <c r="U863" i="37"/>
  <c r="T863" i="37"/>
  <c r="S863" i="37"/>
  <c r="W697" i="37"/>
  <c r="V697" i="37"/>
  <c r="U697" i="37"/>
  <c r="T697" i="37"/>
  <c r="S697" i="37"/>
  <c r="W689" i="37"/>
  <c r="V689" i="37"/>
  <c r="U689" i="37"/>
  <c r="T689" i="37"/>
  <c r="S689" i="37"/>
  <c r="W523" i="37"/>
  <c r="V523" i="37"/>
  <c r="U523" i="37"/>
  <c r="T523" i="37"/>
  <c r="S523" i="37"/>
  <c r="W515" i="37"/>
  <c r="V515" i="37"/>
  <c r="U515" i="37"/>
  <c r="T515" i="37"/>
  <c r="S515" i="37"/>
  <c r="W349" i="37"/>
  <c r="V349" i="37"/>
  <c r="U349" i="37"/>
  <c r="T349" i="37"/>
  <c r="S349" i="37"/>
  <c r="W341" i="37"/>
  <c r="V341" i="37"/>
  <c r="U341" i="37"/>
  <c r="T341" i="37"/>
  <c r="S341" i="37"/>
  <c r="W161" i="37"/>
  <c r="V161" i="37"/>
  <c r="U161" i="37"/>
  <c r="T161" i="37"/>
  <c r="S161" i="37"/>
  <c r="W153" i="37"/>
  <c r="V153" i="37"/>
  <c r="U153" i="37"/>
  <c r="T153" i="37"/>
  <c r="S153" i="37"/>
  <c r="M466" i="50"/>
  <c r="L466" i="50"/>
  <c r="K466" i="50"/>
  <c r="J466" i="50"/>
  <c r="I466" i="50"/>
  <c r="D465" i="50"/>
  <c r="M92" i="50"/>
  <c r="L92" i="50"/>
  <c r="K92" i="50"/>
  <c r="J92" i="50"/>
  <c r="I92" i="50"/>
  <c r="M93" i="50"/>
  <c r="L93" i="50"/>
  <c r="K93" i="50"/>
  <c r="J93" i="50"/>
  <c r="I93" i="50"/>
  <c r="E91" i="50"/>
  <c r="D98" i="50"/>
  <c r="E100" i="50"/>
  <c r="P1193" i="50"/>
  <c r="P1191" i="50"/>
  <c r="P1189" i="50"/>
  <c r="P1188" i="50"/>
  <c r="E1186" i="50"/>
  <c r="E1181" i="50"/>
  <c r="E1178" i="50"/>
  <c r="E1176" i="50"/>
  <c r="E1174" i="50"/>
  <c r="E1173" i="50"/>
  <c r="E1172" i="50"/>
  <c r="E1171" i="50"/>
  <c r="E1170" i="50"/>
  <c r="E1169" i="50"/>
  <c r="E1168" i="50"/>
  <c r="E1167" i="50"/>
  <c r="E1166" i="50"/>
  <c r="E1165" i="50"/>
  <c r="E1163" i="50"/>
  <c r="E1162" i="50"/>
  <c r="E1160" i="50"/>
  <c r="E1159" i="50"/>
  <c r="E1157" i="50"/>
  <c r="E1156" i="50"/>
  <c r="E1154" i="50"/>
  <c r="E1153" i="50"/>
  <c r="E1152" i="50"/>
  <c r="E1151" i="50"/>
  <c r="E1149" i="50"/>
  <c r="E1146" i="50"/>
  <c r="M1141" i="50"/>
  <c r="K1141" i="50"/>
  <c r="I1141" i="50"/>
  <c r="E1139" i="50"/>
  <c r="E1137" i="50"/>
  <c r="E1136" i="50"/>
  <c r="E1133" i="50"/>
  <c r="I1132" i="50"/>
  <c r="G1132" i="50"/>
  <c r="M1130" i="50"/>
  <c r="L1130" i="50"/>
  <c r="K1130" i="50"/>
  <c r="J1130" i="50"/>
  <c r="H1130" i="50"/>
  <c r="P1124" i="50"/>
  <c r="P1122" i="50"/>
  <c r="P1120" i="50"/>
  <c r="P1119" i="50"/>
  <c r="E1117" i="50"/>
  <c r="E1112" i="50"/>
  <c r="E1109" i="50"/>
  <c r="E1107" i="50"/>
  <c r="E1105" i="50"/>
  <c r="E1104" i="50"/>
  <c r="E1103" i="50"/>
  <c r="E1102" i="50"/>
  <c r="E1101" i="50"/>
  <c r="E1100" i="50"/>
  <c r="E1099" i="50"/>
  <c r="E1098" i="50"/>
  <c r="E1097" i="50"/>
  <c r="E1096" i="50"/>
  <c r="E1094" i="50"/>
  <c r="E1093" i="50"/>
  <c r="E1091" i="50"/>
  <c r="E1090" i="50"/>
  <c r="E1088" i="50"/>
  <c r="E1087" i="50"/>
  <c r="E1085" i="50"/>
  <c r="E1084" i="50"/>
  <c r="E1083" i="50"/>
  <c r="E1082" i="50"/>
  <c r="E1080" i="50"/>
  <c r="E1077" i="50"/>
  <c r="M1072" i="50"/>
  <c r="K1072" i="50"/>
  <c r="I1072" i="50"/>
  <c r="E1070" i="50"/>
  <c r="E1068" i="50"/>
  <c r="E1067" i="50"/>
  <c r="E1064" i="50"/>
  <c r="I1063" i="50"/>
  <c r="G1063" i="50"/>
  <c r="M1061" i="50"/>
  <c r="L1061" i="50"/>
  <c r="K1061" i="50"/>
  <c r="J1061" i="50"/>
  <c r="H1061" i="50"/>
  <c r="P1055" i="50"/>
  <c r="P1053" i="50"/>
  <c r="P1051" i="50"/>
  <c r="P1050" i="50"/>
  <c r="E1048" i="50"/>
  <c r="E1043" i="50"/>
  <c r="E1040" i="50"/>
  <c r="E1038" i="50"/>
  <c r="E1036" i="50"/>
  <c r="E1035" i="50"/>
  <c r="E1034" i="50"/>
  <c r="E1033" i="50"/>
  <c r="E1032" i="50"/>
  <c r="E1031" i="50"/>
  <c r="E1030" i="50"/>
  <c r="E1029" i="50"/>
  <c r="E1028" i="50"/>
  <c r="E1027" i="50"/>
  <c r="E1025" i="50"/>
  <c r="E1024" i="50"/>
  <c r="E1022" i="50"/>
  <c r="E1021" i="50"/>
  <c r="E1019" i="50"/>
  <c r="E1018" i="50"/>
  <c r="E1016" i="50"/>
  <c r="E1015" i="50"/>
  <c r="E1014" i="50"/>
  <c r="E1013" i="50"/>
  <c r="E1011" i="50"/>
  <c r="E1008" i="50"/>
  <c r="M1003" i="50"/>
  <c r="K1003" i="50"/>
  <c r="I1003" i="50"/>
  <c r="E1001" i="50"/>
  <c r="E999" i="50"/>
  <c r="E998" i="50"/>
  <c r="E995" i="50"/>
  <c r="I994" i="50"/>
  <c r="G994" i="50"/>
  <c r="M992" i="50"/>
  <c r="L992" i="50"/>
  <c r="K992" i="50"/>
  <c r="J992" i="50"/>
  <c r="H992" i="50"/>
  <c r="P986" i="50"/>
  <c r="P984" i="50"/>
  <c r="P982" i="50"/>
  <c r="P981" i="50"/>
  <c r="E979" i="50"/>
  <c r="E974" i="50"/>
  <c r="E971" i="50"/>
  <c r="E969" i="50"/>
  <c r="E967" i="50"/>
  <c r="E966" i="50"/>
  <c r="E965" i="50"/>
  <c r="E964" i="50"/>
  <c r="E963" i="50"/>
  <c r="E962" i="50"/>
  <c r="E961" i="50"/>
  <c r="E960" i="50"/>
  <c r="E959" i="50"/>
  <c r="E958" i="50"/>
  <c r="E956" i="50"/>
  <c r="E955" i="50"/>
  <c r="E953" i="50"/>
  <c r="E952" i="50"/>
  <c r="E950" i="50"/>
  <c r="E949" i="50"/>
  <c r="E947" i="50"/>
  <c r="E946" i="50"/>
  <c r="E945" i="50"/>
  <c r="E944" i="50"/>
  <c r="E942" i="50"/>
  <c r="E939" i="50"/>
  <c r="M934" i="50"/>
  <c r="K934" i="50"/>
  <c r="I934" i="50"/>
  <c r="E932" i="50"/>
  <c r="E930" i="50"/>
  <c r="E929" i="50"/>
  <c r="E926" i="50"/>
  <c r="I925" i="50"/>
  <c r="G925" i="50"/>
  <c r="M923" i="50"/>
  <c r="L923" i="50"/>
  <c r="K923" i="50"/>
  <c r="J923" i="50"/>
  <c r="H923" i="50"/>
  <c r="P917" i="50"/>
  <c r="P915" i="50"/>
  <c r="P913" i="50"/>
  <c r="P912" i="50"/>
  <c r="E910" i="50"/>
  <c r="E905" i="50"/>
  <c r="E902" i="50"/>
  <c r="E900" i="50"/>
  <c r="E898" i="50"/>
  <c r="E897" i="50"/>
  <c r="E896" i="50"/>
  <c r="E895" i="50"/>
  <c r="E894" i="50"/>
  <c r="E893" i="50"/>
  <c r="E892" i="50"/>
  <c r="E891" i="50"/>
  <c r="E890" i="50"/>
  <c r="E889" i="50"/>
  <c r="E887" i="50"/>
  <c r="E886" i="50"/>
  <c r="E884" i="50"/>
  <c r="E883" i="50"/>
  <c r="E881" i="50"/>
  <c r="E880" i="50"/>
  <c r="E878" i="50"/>
  <c r="E877" i="50"/>
  <c r="E876" i="50"/>
  <c r="E875" i="50"/>
  <c r="E873" i="50"/>
  <c r="E870" i="50"/>
  <c r="M865" i="50"/>
  <c r="K865" i="50"/>
  <c r="I865" i="50"/>
  <c r="E863" i="50"/>
  <c r="E861" i="50"/>
  <c r="E860" i="50"/>
  <c r="E857" i="50"/>
  <c r="I856" i="50"/>
  <c r="G856" i="50"/>
  <c r="M854" i="50"/>
  <c r="L854" i="50"/>
  <c r="K854" i="50"/>
  <c r="J854" i="50"/>
  <c r="H854" i="50"/>
  <c r="P848" i="50"/>
  <c r="P846" i="50"/>
  <c r="P844" i="50"/>
  <c r="P843" i="50"/>
  <c r="E841" i="50"/>
  <c r="E836" i="50"/>
  <c r="E833" i="50"/>
  <c r="E831" i="50"/>
  <c r="E829" i="50"/>
  <c r="E828" i="50"/>
  <c r="E827" i="50"/>
  <c r="E826" i="50"/>
  <c r="E825" i="50"/>
  <c r="E824" i="50"/>
  <c r="E823" i="50"/>
  <c r="E822" i="50"/>
  <c r="E821" i="50"/>
  <c r="E820" i="50"/>
  <c r="E818" i="50"/>
  <c r="E817" i="50"/>
  <c r="E815" i="50"/>
  <c r="E814" i="50"/>
  <c r="E812" i="50"/>
  <c r="E811" i="50"/>
  <c r="E809" i="50"/>
  <c r="E808" i="50"/>
  <c r="E807" i="50"/>
  <c r="E806" i="50"/>
  <c r="E804" i="50"/>
  <c r="E801" i="50"/>
  <c r="M796" i="50"/>
  <c r="K796" i="50"/>
  <c r="I796" i="50"/>
  <c r="E794" i="50"/>
  <c r="E792" i="50"/>
  <c r="E791" i="50"/>
  <c r="E788" i="50"/>
  <c r="I787" i="50"/>
  <c r="G787" i="50"/>
  <c r="M785" i="50"/>
  <c r="L785" i="50"/>
  <c r="K785" i="50"/>
  <c r="J785" i="50"/>
  <c r="H785" i="50"/>
  <c r="P779" i="50"/>
  <c r="P777" i="50"/>
  <c r="P775" i="50"/>
  <c r="P774" i="50"/>
  <c r="E772" i="50"/>
  <c r="E767" i="50"/>
  <c r="E764" i="50"/>
  <c r="E762" i="50"/>
  <c r="E760" i="50"/>
  <c r="E759" i="50"/>
  <c r="E758" i="50"/>
  <c r="E757" i="50"/>
  <c r="E756" i="50"/>
  <c r="E755" i="50"/>
  <c r="E754" i="50"/>
  <c r="E753" i="50"/>
  <c r="E752" i="50"/>
  <c r="E751" i="50"/>
  <c r="E749" i="50"/>
  <c r="E748" i="50"/>
  <c r="E746" i="50"/>
  <c r="E745" i="50"/>
  <c r="E743" i="50"/>
  <c r="E742" i="50"/>
  <c r="E740" i="50"/>
  <c r="E739" i="50"/>
  <c r="E738" i="50"/>
  <c r="E737" i="50"/>
  <c r="E735" i="50"/>
  <c r="E732" i="50"/>
  <c r="M727" i="50"/>
  <c r="K727" i="50"/>
  <c r="I727" i="50"/>
  <c r="E725" i="50"/>
  <c r="E723" i="50"/>
  <c r="E722" i="50"/>
  <c r="E719" i="50"/>
  <c r="I718" i="50"/>
  <c r="G718" i="50"/>
  <c r="M716" i="50"/>
  <c r="L716" i="50"/>
  <c r="K716" i="50"/>
  <c r="J716" i="50"/>
  <c r="H716" i="50"/>
  <c r="P710" i="50"/>
  <c r="P708" i="50"/>
  <c r="P706" i="50"/>
  <c r="P705" i="50"/>
  <c r="E703" i="50"/>
  <c r="E698" i="50"/>
  <c r="E695" i="50"/>
  <c r="E693" i="50"/>
  <c r="E691" i="50"/>
  <c r="E690" i="50"/>
  <c r="E689" i="50"/>
  <c r="E688" i="50"/>
  <c r="E687" i="50"/>
  <c r="E686" i="50"/>
  <c r="E685" i="50"/>
  <c r="E684" i="50"/>
  <c r="E683" i="50"/>
  <c r="E682" i="50"/>
  <c r="E680" i="50"/>
  <c r="E679" i="50"/>
  <c r="E677" i="50"/>
  <c r="E676" i="50"/>
  <c r="E674" i="50"/>
  <c r="E673" i="50"/>
  <c r="E671" i="50"/>
  <c r="E670" i="50"/>
  <c r="E669" i="50"/>
  <c r="E668" i="50"/>
  <c r="E666" i="50"/>
  <c r="E663" i="50"/>
  <c r="M658" i="50"/>
  <c r="K658" i="50"/>
  <c r="I658" i="50"/>
  <c r="E656" i="50"/>
  <c r="E654" i="50"/>
  <c r="E653" i="50"/>
  <c r="E650" i="50"/>
  <c r="I649" i="50"/>
  <c r="G649" i="50"/>
  <c r="M647" i="50"/>
  <c r="L647" i="50"/>
  <c r="K647" i="50"/>
  <c r="J647" i="50"/>
  <c r="H647" i="50"/>
  <c r="C576" i="50"/>
  <c r="P641" i="50"/>
  <c r="P639" i="50"/>
  <c r="P637" i="50"/>
  <c r="P636" i="50"/>
  <c r="E634" i="50"/>
  <c r="E629" i="50"/>
  <c r="E626" i="50"/>
  <c r="E624" i="50"/>
  <c r="E622" i="50"/>
  <c r="E621" i="50"/>
  <c r="E620" i="50"/>
  <c r="E619" i="50"/>
  <c r="E618" i="50"/>
  <c r="E617" i="50"/>
  <c r="E616" i="50"/>
  <c r="E615" i="50"/>
  <c r="E614" i="50"/>
  <c r="E613" i="50"/>
  <c r="E611" i="50"/>
  <c r="E610" i="50"/>
  <c r="E608" i="50"/>
  <c r="E607" i="50"/>
  <c r="E605" i="50"/>
  <c r="E604" i="50"/>
  <c r="E602" i="50"/>
  <c r="E601" i="50"/>
  <c r="E600" i="50"/>
  <c r="E599" i="50"/>
  <c r="E597" i="50"/>
  <c r="E594" i="50"/>
  <c r="M589" i="50"/>
  <c r="K589" i="50"/>
  <c r="I589" i="50"/>
  <c r="E587" i="50"/>
  <c r="E585" i="50"/>
  <c r="E584" i="50"/>
  <c r="E581" i="50"/>
  <c r="I580" i="50"/>
  <c r="G580" i="50"/>
  <c r="M578" i="50"/>
  <c r="L578" i="50"/>
  <c r="K578" i="50"/>
  <c r="J578" i="50"/>
  <c r="H578" i="50"/>
  <c r="D219" i="34"/>
  <c r="D212" i="34"/>
  <c r="E212" i="34" s="1"/>
  <c r="C213" i="34"/>
  <c r="P219" i="34"/>
  <c r="L219" i="34"/>
  <c r="K219" i="34"/>
  <c r="E1806" i="37"/>
  <c r="E1802" i="37"/>
  <c r="AA1799" i="37"/>
  <c r="E1798" i="37"/>
  <c r="E1796" i="37"/>
  <c r="E1795" i="37"/>
  <c r="E1792" i="37"/>
  <c r="E1790" i="37"/>
  <c r="E1788" i="37"/>
  <c r="E1786" i="37"/>
  <c r="M1785" i="37"/>
  <c r="L1785" i="37"/>
  <c r="K1785" i="37"/>
  <c r="J1785" i="37"/>
  <c r="I1785" i="37"/>
  <c r="E1785" i="37"/>
  <c r="E1784" i="37"/>
  <c r="E1783" i="37"/>
  <c r="E1780" i="37"/>
  <c r="E1778" i="37"/>
  <c r="M1777" i="37"/>
  <c r="W1777" i="37" s="1"/>
  <c r="L1777" i="37"/>
  <c r="V1777" i="37"/>
  <c r="K1777" i="37"/>
  <c r="U1777" i="37" s="1"/>
  <c r="J1777" i="37"/>
  <c r="T1777" i="37" s="1"/>
  <c r="I1777" i="37"/>
  <c r="S1777" i="37" s="1"/>
  <c r="E1777" i="37"/>
  <c r="E1776" i="37"/>
  <c r="E1775" i="37"/>
  <c r="E1772" i="37"/>
  <c r="E1770" i="37"/>
  <c r="M1769" i="37"/>
  <c r="L1769" i="37"/>
  <c r="K1769" i="37"/>
  <c r="J1769" i="37"/>
  <c r="I1769" i="37"/>
  <c r="E1769" i="37"/>
  <c r="E1768" i="37"/>
  <c r="E1767" i="37"/>
  <c r="E1764" i="37"/>
  <c r="E1762" i="37"/>
  <c r="M1761" i="37"/>
  <c r="L1761" i="37"/>
  <c r="K1761" i="37"/>
  <c r="J1761" i="37"/>
  <c r="I1761" i="37"/>
  <c r="E1761" i="37"/>
  <c r="E1760" i="37"/>
  <c r="E1759" i="37"/>
  <c r="E1756" i="37"/>
  <c r="E1754" i="37"/>
  <c r="M1753" i="37"/>
  <c r="L1753" i="37"/>
  <c r="K1753" i="37"/>
  <c r="J1753" i="37"/>
  <c r="I1753" i="37"/>
  <c r="E1753" i="37"/>
  <c r="E1752" i="37"/>
  <c r="E1751" i="37"/>
  <c r="E1748" i="37"/>
  <c r="E1746" i="37"/>
  <c r="E1744" i="37"/>
  <c r="E1742" i="37"/>
  <c r="E1741" i="37"/>
  <c r="E1740" i="37"/>
  <c r="E1738" i="37"/>
  <c r="E1737" i="37"/>
  <c r="E1736" i="37"/>
  <c r="E1734" i="37"/>
  <c r="E1733" i="37"/>
  <c r="E1732" i="37"/>
  <c r="E1731" i="37"/>
  <c r="E1730" i="37"/>
  <c r="E1728" i="37"/>
  <c r="E1726" i="37"/>
  <c r="M1724" i="37"/>
  <c r="M1721" i="37" s="1"/>
  <c r="M1722" i="37" s="1"/>
  <c r="L1724" i="37"/>
  <c r="L1721" i="37" s="1"/>
  <c r="L1722" i="37" s="1"/>
  <c r="K1724" i="37"/>
  <c r="K1721" i="37" s="1"/>
  <c r="K1722" i="37" s="1"/>
  <c r="J1724" i="37"/>
  <c r="J1721" i="37" s="1"/>
  <c r="J1722" i="37" s="1"/>
  <c r="I1724" i="37"/>
  <c r="I1721" i="37"/>
  <c r="I1722" i="37" s="1"/>
  <c r="E1724" i="37"/>
  <c r="M1723" i="37"/>
  <c r="L1723" i="37"/>
  <c r="K1723" i="37"/>
  <c r="J1723" i="37"/>
  <c r="I1723" i="37"/>
  <c r="E1723" i="37"/>
  <c r="E1721" i="37"/>
  <c r="E1720" i="37"/>
  <c r="E1719" i="37"/>
  <c r="E1718" i="37"/>
  <c r="E1717" i="37"/>
  <c r="E1716" i="37"/>
  <c r="E1714" i="37"/>
  <c r="M1712" i="37"/>
  <c r="M1709" i="37" s="1"/>
  <c r="M1710" i="37" s="1"/>
  <c r="L1712" i="37"/>
  <c r="L1709" i="37" s="1"/>
  <c r="L1710" i="37" s="1"/>
  <c r="K1712" i="37"/>
  <c r="K1709" i="37" s="1"/>
  <c r="K1710" i="37" s="1"/>
  <c r="J1712" i="37"/>
  <c r="J1709" i="37" s="1"/>
  <c r="J1710" i="37" s="1"/>
  <c r="I1712" i="37"/>
  <c r="I1709" i="37" s="1"/>
  <c r="I1710" i="37" s="1"/>
  <c r="E1712" i="37"/>
  <c r="M1711" i="37"/>
  <c r="L1711" i="37"/>
  <c r="K1711" i="37"/>
  <c r="J1711" i="37"/>
  <c r="I1711" i="37"/>
  <c r="E1711" i="37"/>
  <c r="E1709" i="37"/>
  <c r="E1708" i="37"/>
  <c r="E1707" i="37"/>
  <c r="E1706" i="37"/>
  <c r="E1705" i="37"/>
  <c r="E1704" i="37"/>
  <c r="E1702" i="37"/>
  <c r="E1700" i="37"/>
  <c r="E1699" i="37"/>
  <c r="E1697" i="37"/>
  <c r="E1691" i="37"/>
  <c r="E1690" i="37"/>
  <c r="E1688" i="37"/>
  <c r="E1686" i="37"/>
  <c r="E1685" i="37"/>
  <c r="E1684" i="37"/>
  <c r="E1683" i="37"/>
  <c r="D1679" i="37"/>
  <c r="M1676" i="37"/>
  <c r="L1676" i="37"/>
  <c r="K1676" i="37"/>
  <c r="J1676" i="37"/>
  <c r="I1676" i="37"/>
  <c r="E1676" i="37"/>
  <c r="D1667" i="37"/>
  <c r="D1668" i="37" s="1"/>
  <c r="D1669" i="37" s="1"/>
  <c r="D1670" i="37" s="1"/>
  <c r="D1671" i="37" s="1"/>
  <c r="D1672" i="37"/>
  <c r="D1673" i="37" s="1"/>
  <c r="D1674" i="37" s="1"/>
  <c r="D1675" i="37" s="1"/>
  <c r="F1665" i="37"/>
  <c r="E1663" i="37"/>
  <c r="E1661" i="37"/>
  <c r="D1659" i="37"/>
  <c r="M1657" i="37"/>
  <c r="L1657" i="37"/>
  <c r="K1657" i="37"/>
  <c r="J1657" i="37"/>
  <c r="I1657" i="37"/>
  <c r="E1657" i="37"/>
  <c r="E1656" i="37"/>
  <c r="E1655" i="37"/>
  <c r="E1654" i="37"/>
  <c r="Q1652" i="37"/>
  <c r="E1652" i="37"/>
  <c r="P1650" i="37"/>
  <c r="E1650" i="37"/>
  <c r="E1649" i="37"/>
  <c r="Q1648" i="37"/>
  <c r="E1646" i="37"/>
  <c r="E1644" i="37"/>
  <c r="E1643" i="37"/>
  <c r="E1641" i="37"/>
  <c r="E1640" i="37"/>
  <c r="E1632" i="37"/>
  <c r="E1628" i="37"/>
  <c r="AA1625" i="37"/>
  <c r="E1624" i="37"/>
  <c r="E1622" i="37"/>
  <c r="E1621" i="37"/>
  <c r="E1618" i="37"/>
  <c r="E1616" i="37"/>
  <c r="E1614" i="37"/>
  <c r="E1612" i="37"/>
  <c r="M1611" i="37"/>
  <c r="L1611" i="37"/>
  <c r="K1611" i="37"/>
  <c r="J1611" i="37"/>
  <c r="I1611" i="37"/>
  <c r="E1611" i="37"/>
  <c r="E1610" i="37"/>
  <c r="E1609" i="37"/>
  <c r="E1606" i="37"/>
  <c r="E1604" i="37"/>
  <c r="M1603" i="37"/>
  <c r="W1603" i="37" s="1"/>
  <c r="L1603" i="37"/>
  <c r="V1603" i="37"/>
  <c r="K1603" i="37"/>
  <c r="U1603" i="37"/>
  <c r="J1603" i="37"/>
  <c r="T1603" i="37" s="1"/>
  <c r="I1603" i="37"/>
  <c r="S1603" i="37" s="1"/>
  <c r="E1603" i="37"/>
  <c r="E1602" i="37"/>
  <c r="E1601" i="37"/>
  <c r="E1598" i="37"/>
  <c r="E1596" i="37"/>
  <c r="M1595" i="37"/>
  <c r="L1595" i="37"/>
  <c r="K1595" i="37"/>
  <c r="J1595" i="37"/>
  <c r="I1595" i="37"/>
  <c r="E1595" i="37"/>
  <c r="E1594" i="37"/>
  <c r="E1593" i="37"/>
  <c r="E1590" i="37"/>
  <c r="E1588" i="37"/>
  <c r="M1587" i="37"/>
  <c r="L1587" i="37"/>
  <c r="K1587" i="37"/>
  <c r="J1587" i="37"/>
  <c r="I1587" i="37"/>
  <c r="E1587" i="37"/>
  <c r="E1586" i="37"/>
  <c r="E1585" i="37"/>
  <c r="E1582" i="37"/>
  <c r="E1580" i="37"/>
  <c r="M1579" i="37"/>
  <c r="L1579" i="37"/>
  <c r="K1579" i="37"/>
  <c r="J1579" i="37"/>
  <c r="I1579" i="37"/>
  <c r="E1579" i="37"/>
  <c r="E1578" i="37"/>
  <c r="E1577" i="37"/>
  <c r="E1574" i="37"/>
  <c r="E1572" i="37"/>
  <c r="E1570" i="37"/>
  <c r="E1568" i="37"/>
  <c r="E1567" i="37"/>
  <c r="E1566" i="37"/>
  <c r="E1564" i="37"/>
  <c r="E1563" i="37"/>
  <c r="E1562" i="37"/>
  <c r="E1560" i="37"/>
  <c r="E1559" i="37"/>
  <c r="E1558" i="37"/>
  <c r="E1557" i="37"/>
  <c r="E1556" i="37"/>
  <c r="E1554" i="37"/>
  <c r="E1552" i="37"/>
  <c r="M1550" i="37"/>
  <c r="M1547" i="37" s="1"/>
  <c r="M1548" i="37" s="1"/>
  <c r="L1550" i="37"/>
  <c r="L1547" i="37" s="1"/>
  <c r="L1548" i="37" s="1"/>
  <c r="K1550" i="37"/>
  <c r="K1547" i="37" s="1"/>
  <c r="K1548" i="37" s="1"/>
  <c r="J1550" i="37"/>
  <c r="J1547" i="37"/>
  <c r="J1548" i="37" s="1"/>
  <c r="I1550" i="37"/>
  <c r="I1547" i="37" s="1"/>
  <c r="I1548" i="37" s="1"/>
  <c r="E1550" i="37"/>
  <c r="M1549" i="37"/>
  <c r="L1549" i="37"/>
  <c r="K1549" i="37"/>
  <c r="J1549" i="37"/>
  <c r="I1549" i="37"/>
  <c r="E1549" i="37"/>
  <c r="E1547" i="37"/>
  <c r="E1546" i="37"/>
  <c r="E1545" i="37"/>
  <c r="E1544" i="37"/>
  <c r="E1543" i="37"/>
  <c r="E1542" i="37"/>
  <c r="E1540" i="37"/>
  <c r="M1538" i="37"/>
  <c r="M1535" i="37" s="1"/>
  <c r="M1536" i="37" s="1"/>
  <c r="L1538" i="37"/>
  <c r="L1535" i="37" s="1"/>
  <c r="L1536" i="37" s="1"/>
  <c r="K1538" i="37"/>
  <c r="K1535" i="37" s="1"/>
  <c r="K1536" i="37" s="1"/>
  <c r="J1538" i="37"/>
  <c r="J1535" i="37" s="1"/>
  <c r="J1536" i="37" s="1"/>
  <c r="I1538" i="37"/>
  <c r="I1535" i="37"/>
  <c r="I1536" i="37" s="1"/>
  <c r="E1538" i="37"/>
  <c r="M1537" i="37"/>
  <c r="L1537" i="37"/>
  <c r="K1537" i="37"/>
  <c r="J1537" i="37"/>
  <c r="I1537" i="37"/>
  <c r="E1537" i="37"/>
  <c r="E1535" i="37"/>
  <c r="E1534" i="37"/>
  <c r="E1533" i="37"/>
  <c r="E1532" i="37"/>
  <c r="E1531" i="37"/>
  <c r="E1530" i="37"/>
  <c r="E1528" i="37"/>
  <c r="E1526" i="37"/>
  <c r="E1525" i="37"/>
  <c r="E1523" i="37"/>
  <c r="E1517" i="37"/>
  <c r="E1516" i="37"/>
  <c r="E1514" i="37"/>
  <c r="E1512" i="37"/>
  <c r="E1511" i="37"/>
  <c r="E1510" i="37"/>
  <c r="E1509" i="37"/>
  <c r="D1505" i="37"/>
  <c r="M1502" i="37"/>
  <c r="L1502" i="37"/>
  <c r="K1502" i="37"/>
  <c r="J1502" i="37"/>
  <c r="I1502" i="37"/>
  <c r="E1502" i="37"/>
  <c r="D1493" i="37"/>
  <c r="D1494" i="37" s="1"/>
  <c r="D1495" i="37"/>
  <c r="D1496" i="37" s="1"/>
  <c r="D1497" i="37" s="1"/>
  <c r="D1498" i="37" s="1"/>
  <c r="D1499" i="37" s="1"/>
  <c r="D1500" i="37" s="1"/>
  <c r="D1501" i="37" s="1"/>
  <c r="F1491" i="37"/>
  <c r="E1489" i="37"/>
  <c r="E1487" i="37"/>
  <c r="D1485" i="37"/>
  <c r="M1483" i="37"/>
  <c r="L1483" i="37"/>
  <c r="K1483" i="37"/>
  <c r="J1483" i="37"/>
  <c r="I1483" i="37"/>
  <c r="E1483" i="37"/>
  <c r="E1482" i="37"/>
  <c r="E1481" i="37"/>
  <c r="E1480" i="37"/>
  <c r="Q1478" i="37"/>
  <c r="E1478" i="37"/>
  <c r="P1476" i="37"/>
  <c r="E1476" i="37"/>
  <c r="E1475" i="37"/>
  <c r="Q1474" i="37"/>
  <c r="E1472" i="37"/>
  <c r="E1470" i="37"/>
  <c r="E1469" i="37"/>
  <c r="E1467" i="37"/>
  <c r="E1466" i="37"/>
  <c r="E1458" i="37"/>
  <c r="E1454" i="37"/>
  <c r="AA1451" i="37"/>
  <c r="E1450" i="37"/>
  <c r="E1448" i="37"/>
  <c r="E1447" i="37"/>
  <c r="E1444" i="37"/>
  <c r="E1442" i="37"/>
  <c r="E1440" i="37"/>
  <c r="E1438" i="37"/>
  <c r="M1437" i="37"/>
  <c r="L1437" i="37"/>
  <c r="K1437" i="37"/>
  <c r="J1437" i="37"/>
  <c r="I1437" i="37"/>
  <c r="E1437" i="37"/>
  <c r="E1436" i="37"/>
  <c r="E1435" i="37"/>
  <c r="E1432" i="37"/>
  <c r="E1430" i="37"/>
  <c r="M1429" i="37"/>
  <c r="W1429" i="37"/>
  <c r="L1429" i="37"/>
  <c r="V1429" i="37" s="1"/>
  <c r="K1429" i="37"/>
  <c r="U1429" i="37"/>
  <c r="J1429" i="37"/>
  <c r="T1429" i="37" s="1"/>
  <c r="I1429" i="37"/>
  <c r="S1429" i="37"/>
  <c r="E1429" i="37"/>
  <c r="E1428" i="37"/>
  <c r="E1427" i="37"/>
  <c r="E1424" i="37"/>
  <c r="E1422" i="37"/>
  <c r="M1421" i="37"/>
  <c r="L1421" i="37"/>
  <c r="K1421" i="37"/>
  <c r="J1421" i="37"/>
  <c r="I1421" i="37"/>
  <c r="E1421" i="37"/>
  <c r="E1420" i="37"/>
  <c r="E1419" i="37"/>
  <c r="E1416" i="37"/>
  <c r="E1414" i="37"/>
  <c r="M1413" i="37"/>
  <c r="L1413" i="37"/>
  <c r="K1413" i="37"/>
  <c r="J1413" i="37"/>
  <c r="I1413" i="37"/>
  <c r="E1413" i="37"/>
  <c r="E1412" i="37"/>
  <c r="E1411" i="37"/>
  <c r="E1408" i="37"/>
  <c r="E1406" i="37"/>
  <c r="M1405" i="37"/>
  <c r="L1405" i="37"/>
  <c r="K1405" i="37"/>
  <c r="J1405" i="37"/>
  <c r="I1405" i="37"/>
  <c r="E1405" i="37"/>
  <c r="E1404" i="37"/>
  <c r="E1403" i="37"/>
  <c r="E1400" i="37"/>
  <c r="E1398" i="37"/>
  <c r="E1396" i="37"/>
  <c r="E1394" i="37"/>
  <c r="E1393" i="37"/>
  <c r="E1392" i="37"/>
  <c r="E1390" i="37"/>
  <c r="E1389" i="37"/>
  <c r="E1388" i="37"/>
  <c r="E1386" i="37"/>
  <c r="E1385" i="37"/>
  <c r="E1384" i="37"/>
  <c r="E1383" i="37"/>
  <c r="E1382" i="37"/>
  <c r="E1380" i="37"/>
  <c r="E1378" i="37"/>
  <c r="M1376" i="37"/>
  <c r="M1373" i="37" s="1"/>
  <c r="M1374" i="37" s="1"/>
  <c r="L1376" i="37"/>
  <c r="L1373" i="37" s="1"/>
  <c r="L1374" i="37" s="1"/>
  <c r="K1376" i="37"/>
  <c r="K1373" i="37"/>
  <c r="K1374" i="37" s="1"/>
  <c r="J1376" i="37"/>
  <c r="J1373" i="37" s="1"/>
  <c r="J1374" i="37" s="1"/>
  <c r="I1376" i="37"/>
  <c r="I1373" i="37"/>
  <c r="I1374" i="37" s="1"/>
  <c r="E1376" i="37"/>
  <c r="M1375" i="37"/>
  <c r="L1375" i="37"/>
  <c r="K1375" i="37"/>
  <c r="J1375" i="37"/>
  <c r="I1375" i="37"/>
  <c r="E1375" i="37"/>
  <c r="E1373" i="37"/>
  <c r="E1372" i="37"/>
  <c r="E1371" i="37"/>
  <c r="E1370" i="37"/>
  <c r="E1369" i="37"/>
  <c r="E1368" i="37"/>
  <c r="E1366" i="37"/>
  <c r="M1364" i="37"/>
  <c r="M1361" i="37" s="1"/>
  <c r="M1362" i="37" s="1"/>
  <c r="L1364" i="37"/>
  <c r="L1361" i="37" s="1"/>
  <c r="L1362" i="37" s="1"/>
  <c r="K1364" i="37"/>
  <c r="K1361" i="37" s="1"/>
  <c r="K1362" i="37" s="1"/>
  <c r="J1364" i="37"/>
  <c r="J1361" i="37" s="1"/>
  <c r="J1362" i="37" s="1"/>
  <c r="I1364" i="37"/>
  <c r="I1361" i="37"/>
  <c r="I1362" i="37" s="1"/>
  <c r="E1364" i="37"/>
  <c r="M1363" i="37"/>
  <c r="L1363" i="37"/>
  <c r="K1363" i="37"/>
  <c r="J1363" i="37"/>
  <c r="I1363" i="37"/>
  <c r="E1363" i="37"/>
  <c r="E1361" i="37"/>
  <c r="E1360" i="37"/>
  <c r="E1359" i="37"/>
  <c r="E1358" i="37"/>
  <c r="E1357" i="37"/>
  <c r="E1356" i="37"/>
  <c r="E1354" i="37"/>
  <c r="E1352" i="37"/>
  <c r="E1351" i="37"/>
  <c r="E1349" i="37"/>
  <c r="E1343" i="37"/>
  <c r="E1342" i="37"/>
  <c r="E1340" i="37"/>
  <c r="E1338" i="37"/>
  <c r="E1337" i="37"/>
  <c r="E1336" i="37"/>
  <c r="E1335" i="37"/>
  <c r="D1331" i="37"/>
  <c r="M1328" i="37"/>
  <c r="L1328" i="37"/>
  <c r="K1328" i="37"/>
  <c r="J1328" i="37"/>
  <c r="I1328" i="37"/>
  <c r="E1328" i="37"/>
  <c r="D1319" i="37"/>
  <c r="D1320" i="37" s="1"/>
  <c r="D1321" i="37" s="1"/>
  <c r="D1322" i="37" s="1"/>
  <c r="D1323" i="37" s="1"/>
  <c r="D1324" i="37" s="1"/>
  <c r="D1325" i="37" s="1"/>
  <c r="D1326" i="37" s="1"/>
  <c r="D1327" i="37" s="1"/>
  <c r="F1317" i="37"/>
  <c r="E1315" i="37"/>
  <c r="E1313" i="37"/>
  <c r="D1311" i="37"/>
  <c r="M1309" i="37"/>
  <c r="L1309" i="37"/>
  <c r="K1309" i="37"/>
  <c r="J1309" i="37"/>
  <c r="I1309" i="37"/>
  <c r="E1309" i="37"/>
  <c r="E1308" i="37"/>
  <c r="E1307" i="37"/>
  <c r="E1306" i="37"/>
  <c r="Q1304" i="37"/>
  <c r="E1304" i="37"/>
  <c r="P1302" i="37"/>
  <c r="E1302" i="37"/>
  <c r="E1301" i="37"/>
  <c r="Q1300" i="37"/>
  <c r="E1298" i="37"/>
  <c r="E1296" i="37"/>
  <c r="E1295" i="37"/>
  <c r="E1293" i="37"/>
  <c r="E1292" i="37"/>
  <c r="E1284" i="37"/>
  <c r="E1280" i="37"/>
  <c r="AA1277" i="37"/>
  <c r="AA1282" i="37"/>
  <c r="E1276" i="37"/>
  <c r="E1274" i="37"/>
  <c r="E1273" i="37"/>
  <c r="E1270" i="37"/>
  <c r="E1268" i="37"/>
  <c r="E1266" i="37"/>
  <c r="E1264" i="37"/>
  <c r="M1263" i="37"/>
  <c r="L1263" i="37"/>
  <c r="K1263" i="37"/>
  <c r="J1263" i="37"/>
  <c r="I1263" i="37"/>
  <c r="E1263" i="37"/>
  <c r="E1262" i="37"/>
  <c r="E1261" i="37"/>
  <c r="E1258" i="37"/>
  <c r="E1256" i="37"/>
  <c r="M1255" i="37"/>
  <c r="W1255" i="37"/>
  <c r="L1255" i="37"/>
  <c r="V1255" i="37" s="1"/>
  <c r="K1255" i="37"/>
  <c r="U1255" i="37"/>
  <c r="J1255" i="37"/>
  <c r="T1255" i="37" s="1"/>
  <c r="I1255" i="37"/>
  <c r="S1255" i="37"/>
  <c r="E1255" i="37"/>
  <c r="E1254" i="37"/>
  <c r="E1253" i="37"/>
  <c r="E1250" i="37"/>
  <c r="E1248" i="37"/>
  <c r="M1247" i="37"/>
  <c r="L1247" i="37"/>
  <c r="K1247" i="37"/>
  <c r="J1247" i="37"/>
  <c r="I1247" i="37"/>
  <c r="E1247" i="37"/>
  <c r="E1246" i="37"/>
  <c r="E1245" i="37"/>
  <c r="E1242" i="37"/>
  <c r="E1240" i="37"/>
  <c r="M1239" i="37"/>
  <c r="L1239" i="37"/>
  <c r="K1239" i="37"/>
  <c r="J1239" i="37"/>
  <c r="I1239" i="37"/>
  <c r="E1239" i="37"/>
  <c r="E1238" i="37"/>
  <c r="E1237" i="37"/>
  <c r="E1234" i="37"/>
  <c r="E1232" i="37"/>
  <c r="M1231" i="37"/>
  <c r="L1231" i="37"/>
  <c r="K1231" i="37"/>
  <c r="J1231" i="37"/>
  <c r="I1231" i="37"/>
  <c r="E1231" i="37"/>
  <c r="E1230" i="37"/>
  <c r="E1229" i="37"/>
  <c r="E1226" i="37"/>
  <c r="E1224" i="37"/>
  <c r="E1222" i="37"/>
  <c r="E1220" i="37"/>
  <c r="E1219" i="37"/>
  <c r="E1218" i="37"/>
  <c r="E1216" i="37"/>
  <c r="E1215" i="37"/>
  <c r="E1214" i="37"/>
  <c r="E1212" i="37"/>
  <c r="E1211" i="37"/>
  <c r="E1210" i="37"/>
  <c r="E1209" i="37"/>
  <c r="E1208" i="37"/>
  <c r="E1206" i="37"/>
  <c r="E1204" i="37"/>
  <c r="M1202" i="37"/>
  <c r="M1199" i="37" s="1"/>
  <c r="M1200" i="37" s="1"/>
  <c r="L1202" i="37"/>
  <c r="L1199" i="37" s="1"/>
  <c r="L1200" i="37" s="1"/>
  <c r="K1202" i="37"/>
  <c r="K1199" i="37" s="1"/>
  <c r="K1200" i="37" s="1"/>
  <c r="J1202" i="37"/>
  <c r="J1199" i="37"/>
  <c r="J1200" i="37" s="1"/>
  <c r="I1202" i="37"/>
  <c r="I1199" i="37" s="1"/>
  <c r="I1200" i="37" s="1"/>
  <c r="E1202" i="37"/>
  <c r="M1201" i="37"/>
  <c r="L1201" i="37"/>
  <c r="K1201" i="37"/>
  <c r="J1201" i="37"/>
  <c r="I1201" i="37"/>
  <c r="E1201" i="37"/>
  <c r="E1199" i="37"/>
  <c r="E1198" i="37"/>
  <c r="E1197" i="37"/>
  <c r="E1196" i="37"/>
  <c r="E1195" i="37"/>
  <c r="E1194" i="37"/>
  <c r="E1192" i="37"/>
  <c r="M1190" i="37"/>
  <c r="M1187" i="37" s="1"/>
  <c r="M1188" i="37" s="1"/>
  <c r="L1190" i="37"/>
  <c r="L1187" i="37"/>
  <c r="L1188" i="37" s="1"/>
  <c r="K1190" i="37"/>
  <c r="K1187" i="37" s="1"/>
  <c r="K1188" i="37" s="1"/>
  <c r="J1190" i="37"/>
  <c r="J1187" i="37" s="1"/>
  <c r="J1188" i="37" s="1"/>
  <c r="I1190" i="37"/>
  <c r="I1187" i="37"/>
  <c r="I1188" i="37" s="1"/>
  <c r="E1190" i="37"/>
  <c r="M1189" i="37"/>
  <c r="L1189" i="37"/>
  <c r="K1189" i="37"/>
  <c r="J1189" i="37"/>
  <c r="I1189" i="37"/>
  <c r="E1189" i="37"/>
  <c r="E1187" i="37"/>
  <c r="E1186" i="37"/>
  <c r="E1185" i="37"/>
  <c r="E1184" i="37"/>
  <c r="E1183" i="37"/>
  <c r="E1182" i="37"/>
  <c r="E1180" i="37"/>
  <c r="E1178" i="37"/>
  <c r="E1177" i="37"/>
  <c r="E1175" i="37"/>
  <c r="E1169" i="37"/>
  <c r="E1168" i="37"/>
  <c r="E1166" i="37"/>
  <c r="E1164" i="37"/>
  <c r="E1163" i="37"/>
  <c r="E1162" i="37"/>
  <c r="E1161" i="37"/>
  <c r="D1157" i="37"/>
  <c r="M1154" i="37"/>
  <c r="L1154" i="37"/>
  <c r="K1154" i="37"/>
  <c r="J1154" i="37"/>
  <c r="I1154" i="37"/>
  <c r="E1154" i="37"/>
  <c r="D1145" i="37"/>
  <c r="D1146" i="37" s="1"/>
  <c r="D1147" i="37" s="1"/>
  <c r="D1148" i="37" s="1"/>
  <c r="D1149" i="37" s="1"/>
  <c r="D1150" i="37" s="1"/>
  <c r="D1151" i="37" s="1"/>
  <c r="D1152" i="37" s="1"/>
  <c r="D1153" i="37" s="1"/>
  <c r="F1143" i="37"/>
  <c r="E1141" i="37"/>
  <c r="E1139" i="37"/>
  <c r="D1137" i="37"/>
  <c r="M1135" i="37"/>
  <c r="L1135" i="37"/>
  <c r="K1135" i="37"/>
  <c r="J1135" i="37"/>
  <c r="I1135" i="37"/>
  <c r="E1135" i="37"/>
  <c r="E1134" i="37"/>
  <c r="E1133" i="37"/>
  <c r="E1132" i="37"/>
  <c r="Q1130" i="37"/>
  <c r="E1130" i="37"/>
  <c r="P1128" i="37"/>
  <c r="E1128" i="37"/>
  <c r="E1127" i="37"/>
  <c r="Q1126" i="37"/>
  <c r="E1124" i="37"/>
  <c r="E1122" i="37"/>
  <c r="E1121" i="37"/>
  <c r="E1119" i="37"/>
  <c r="E1118" i="37"/>
  <c r="E1110" i="37"/>
  <c r="E1106" i="37"/>
  <c r="AA1103" i="37"/>
  <c r="E1102" i="37"/>
  <c r="E1100" i="37"/>
  <c r="E1099" i="37"/>
  <c r="E1096" i="37"/>
  <c r="E1094" i="37"/>
  <c r="E1092" i="37"/>
  <c r="E1090" i="37"/>
  <c r="M1089" i="37"/>
  <c r="L1089" i="37"/>
  <c r="K1089" i="37"/>
  <c r="J1089" i="37"/>
  <c r="I1089" i="37"/>
  <c r="E1089" i="37"/>
  <c r="E1088" i="37"/>
  <c r="E1087" i="37"/>
  <c r="E1084" i="37"/>
  <c r="E1082" i="37"/>
  <c r="M1081" i="37"/>
  <c r="W1081" i="37"/>
  <c r="L1081" i="37"/>
  <c r="V1081" i="37"/>
  <c r="K1081" i="37"/>
  <c r="U1081" i="37" s="1"/>
  <c r="J1081" i="37"/>
  <c r="T1081" i="37" s="1"/>
  <c r="I1081" i="37"/>
  <c r="S1081" i="37"/>
  <c r="E1081" i="37"/>
  <c r="E1080" i="37"/>
  <c r="E1079" i="37"/>
  <c r="E1076" i="37"/>
  <c r="E1074" i="37"/>
  <c r="M1073" i="37"/>
  <c r="L1073" i="37"/>
  <c r="K1073" i="37"/>
  <c r="J1073" i="37"/>
  <c r="I1073" i="37"/>
  <c r="E1073" i="37"/>
  <c r="E1072" i="37"/>
  <c r="E1071" i="37"/>
  <c r="E1068" i="37"/>
  <c r="E1066" i="37"/>
  <c r="M1065" i="37"/>
  <c r="L1065" i="37"/>
  <c r="K1065" i="37"/>
  <c r="J1065" i="37"/>
  <c r="I1065" i="37"/>
  <c r="E1065" i="37"/>
  <c r="E1064" i="37"/>
  <c r="E1063" i="37"/>
  <c r="E1060" i="37"/>
  <c r="E1058" i="37"/>
  <c r="M1057" i="37"/>
  <c r="L1057" i="37"/>
  <c r="K1057" i="37"/>
  <c r="J1057" i="37"/>
  <c r="I1057" i="37"/>
  <c r="E1057" i="37"/>
  <c r="E1056" i="37"/>
  <c r="E1055" i="37"/>
  <c r="E1052" i="37"/>
  <c r="E1050" i="37"/>
  <c r="E1048" i="37"/>
  <c r="E1046" i="37"/>
  <c r="E1045" i="37"/>
  <c r="E1044" i="37"/>
  <c r="E1042" i="37"/>
  <c r="E1041" i="37"/>
  <c r="E1040" i="37"/>
  <c r="E1038" i="37"/>
  <c r="E1037" i="37"/>
  <c r="E1036" i="37"/>
  <c r="E1035" i="37"/>
  <c r="E1034" i="37"/>
  <c r="E1032" i="37"/>
  <c r="E1030" i="37"/>
  <c r="M1028" i="37"/>
  <c r="M1025" i="37" s="1"/>
  <c r="M1026" i="37" s="1"/>
  <c r="L1028" i="37"/>
  <c r="L1025" i="37" s="1"/>
  <c r="L1026" i="37" s="1"/>
  <c r="K1028" i="37"/>
  <c r="K1025" i="37"/>
  <c r="K1026" i="37"/>
  <c r="J1028" i="37"/>
  <c r="J1025" i="37" s="1"/>
  <c r="J1026" i="37"/>
  <c r="I1028" i="37"/>
  <c r="I1025" i="37" s="1"/>
  <c r="I1026" i="37" s="1"/>
  <c r="E1028" i="37"/>
  <c r="M1027" i="37"/>
  <c r="L1027" i="37"/>
  <c r="K1027" i="37"/>
  <c r="J1027" i="37"/>
  <c r="I1027" i="37"/>
  <c r="E1027" i="37"/>
  <c r="E1025" i="37"/>
  <c r="E1024" i="37"/>
  <c r="E1023" i="37"/>
  <c r="E1022" i="37"/>
  <c r="E1021" i="37"/>
  <c r="E1020" i="37"/>
  <c r="E1018" i="37"/>
  <c r="M1016" i="37"/>
  <c r="M1013" i="37"/>
  <c r="M1014" i="37" s="1"/>
  <c r="L1016" i="37"/>
  <c r="L1013" i="37" s="1"/>
  <c r="L1014" i="37" s="1"/>
  <c r="K1016" i="37"/>
  <c r="K1013" i="37" s="1"/>
  <c r="K1014" i="37" s="1"/>
  <c r="J1016" i="37"/>
  <c r="J1013" i="37"/>
  <c r="J1014" i="37" s="1"/>
  <c r="I1016" i="37"/>
  <c r="I1013" i="37" s="1"/>
  <c r="I1014" i="37" s="1"/>
  <c r="E1016" i="37"/>
  <c r="M1015" i="37"/>
  <c r="L1015" i="37"/>
  <c r="K1015" i="37"/>
  <c r="J1015" i="37"/>
  <c r="I1015" i="37"/>
  <c r="E1015" i="37"/>
  <c r="E1013" i="37"/>
  <c r="E1012" i="37"/>
  <c r="E1011" i="37"/>
  <c r="E1010" i="37"/>
  <c r="E1009" i="37"/>
  <c r="E1008" i="37"/>
  <c r="E1006" i="37"/>
  <c r="E1004" i="37"/>
  <c r="E1003" i="37"/>
  <c r="E1001" i="37"/>
  <c r="E995" i="37"/>
  <c r="E994" i="37"/>
  <c r="E992" i="37"/>
  <c r="E990" i="37"/>
  <c r="E989" i="37"/>
  <c r="E988" i="37"/>
  <c r="E987" i="37"/>
  <c r="D983" i="37"/>
  <c r="M980" i="37"/>
  <c r="L980" i="37"/>
  <c r="K980" i="37"/>
  <c r="J980" i="37"/>
  <c r="I980" i="37"/>
  <c r="E980" i="37"/>
  <c r="D971" i="37"/>
  <c r="D972" i="37" s="1"/>
  <c r="D973" i="37" s="1"/>
  <c r="D974" i="37" s="1"/>
  <c r="D975" i="37" s="1"/>
  <c r="D976" i="37" s="1"/>
  <c r="D977" i="37" s="1"/>
  <c r="D978" i="37" s="1"/>
  <c r="D979" i="37" s="1"/>
  <c r="F969" i="37"/>
  <c r="E967" i="37"/>
  <c r="E965" i="37"/>
  <c r="D963" i="37"/>
  <c r="M961" i="37"/>
  <c r="L961" i="37"/>
  <c r="K961" i="37"/>
  <c r="J961" i="37"/>
  <c r="I961" i="37"/>
  <c r="E961" i="37"/>
  <c r="E960" i="37"/>
  <c r="E959" i="37"/>
  <c r="E958" i="37"/>
  <c r="Q956" i="37"/>
  <c r="E956" i="37"/>
  <c r="P954" i="37"/>
  <c r="E954" i="37"/>
  <c r="E953" i="37"/>
  <c r="Q952" i="37"/>
  <c r="E950" i="37"/>
  <c r="E948" i="37"/>
  <c r="E947" i="37"/>
  <c r="E945" i="37"/>
  <c r="E944" i="37"/>
  <c r="E936" i="37"/>
  <c r="E932" i="37"/>
  <c r="AA929" i="37"/>
  <c r="AA934" i="37"/>
  <c r="E928" i="37"/>
  <c r="E926" i="37"/>
  <c r="E925" i="37"/>
  <c r="E922" i="37"/>
  <c r="E920" i="37"/>
  <c r="E918" i="37"/>
  <c r="E916" i="37"/>
  <c r="M915" i="37"/>
  <c r="L915" i="37"/>
  <c r="K915" i="37"/>
  <c r="J915" i="37"/>
  <c r="I915" i="37"/>
  <c r="E915" i="37"/>
  <c r="E914" i="37"/>
  <c r="E913" i="37"/>
  <c r="E910" i="37"/>
  <c r="E908" i="37"/>
  <c r="M907" i="37"/>
  <c r="W907" i="37" s="1"/>
  <c r="L907" i="37"/>
  <c r="V907" i="37" s="1"/>
  <c r="K907" i="37"/>
  <c r="U907" i="37"/>
  <c r="J907" i="37"/>
  <c r="T907" i="37"/>
  <c r="I907" i="37"/>
  <c r="S907" i="37" s="1"/>
  <c r="E907" i="37"/>
  <c r="E906" i="37"/>
  <c r="E905" i="37"/>
  <c r="E902" i="37"/>
  <c r="E900" i="37"/>
  <c r="M899" i="37"/>
  <c r="L899" i="37"/>
  <c r="K899" i="37"/>
  <c r="J899" i="37"/>
  <c r="I899" i="37"/>
  <c r="E899" i="37"/>
  <c r="E898" i="37"/>
  <c r="E897" i="37"/>
  <c r="E894" i="37"/>
  <c r="E892" i="37"/>
  <c r="M891" i="37"/>
  <c r="L891" i="37"/>
  <c r="K891" i="37"/>
  <c r="J891" i="37"/>
  <c r="I891" i="37"/>
  <c r="E891" i="37"/>
  <c r="E890" i="37"/>
  <c r="E889" i="37"/>
  <c r="E886" i="37"/>
  <c r="E884" i="37"/>
  <c r="M883" i="37"/>
  <c r="L883" i="37"/>
  <c r="K883" i="37"/>
  <c r="J883" i="37"/>
  <c r="I883" i="37"/>
  <c r="E883" i="37"/>
  <c r="E882" i="37"/>
  <c r="E881" i="37"/>
  <c r="E878" i="37"/>
  <c r="E876" i="37"/>
  <c r="E874" i="37"/>
  <c r="E872" i="37"/>
  <c r="E871" i="37"/>
  <c r="E870" i="37"/>
  <c r="E868" i="37"/>
  <c r="E867" i="37"/>
  <c r="E866" i="37"/>
  <c r="E864" i="37"/>
  <c r="E863" i="37"/>
  <c r="E862" i="37"/>
  <c r="E861" i="37"/>
  <c r="E860" i="37"/>
  <c r="E858" i="37"/>
  <c r="E856" i="37"/>
  <c r="M854" i="37"/>
  <c r="M851" i="37" s="1"/>
  <c r="M852" i="37" s="1"/>
  <c r="L854" i="37"/>
  <c r="L851" i="37"/>
  <c r="L852" i="37" s="1"/>
  <c r="K854" i="37"/>
  <c r="K851" i="37" s="1"/>
  <c r="K852" i="37" s="1"/>
  <c r="J854" i="37"/>
  <c r="J851" i="37" s="1"/>
  <c r="J852" i="37" s="1"/>
  <c r="I854" i="37"/>
  <c r="I851" i="37" s="1"/>
  <c r="I852" i="37" s="1"/>
  <c r="E854" i="37"/>
  <c r="M853" i="37"/>
  <c r="L853" i="37"/>
  <c r="K853" i="37"/>
  <c r="J853" i="37"/>
  <c r="I853" i="37"/>
  <c r="E853" i="37"/>
  <c r="E851" i="37"/>
  <c r="E850" i="37"/>
  <c r="E849" i="37"/>
  <c r="E848" i="37"/>
  <c r="E847" i="37"/>
  <c r="E846" i="37"/>
  <c r="E844" i="37"/>
  <c r="M842" i="37"/>
  <c r="M839" i="37" s="1"/>
  <c r="M840" i="37"/>
  <c r="L842" i="37"/>
  <c r="L839" i="37" s="1"/>
  <c r="L840" i="37" s="1"/>
  <c r="K842" i="37"/>
  <c r="K839" i="37"/>
  <c r="K840" i="37" s="1"/>
  <c r="J842" i="37"/>
  <c r="J839" i="37" s="1"/>
  <c r="J840" i="37" s="1"/>
  <c r="I842" i="37"/>
  <c r="I839" i="37" s="1"/>
  <c r="I840" i="37" s="1"/>
  <c r="E842" i="37"/>
  <c r="M841" i="37"/>
  <c r="L841" i="37"/>
  <c r="K841" i="37"/>
  <c r="J841" i="37"/>
  <c r="I841" i="37"/>
  <c r="E841" i="37"/>
  <c r="E839" i="37"/>
  <c r="E838" i="37"/>
  <c r="E837" i="37"/>
  <c r="E836" i="37"/>
  <c r="E835" i="37"/>
  <c r="E834" i="37"/>
  <c r="E832" i="37"/>
  <c r="E830" i="37"/>
  <c r="E829" i="37"/>
  <c r="E827" i="37"/>
  <c r="E821" i="37"/>
  <c r="E820" i="37"/>
  <c r="E818" i="37"/>
  <c r="E816" i="37"/>
  <c r="E815" i="37"/>
  <c r="E814" i="37"/>
  <c r="E813" i="37"/>
  <c r="D809" i="37"/>
  <c r="M806" i="37"/>
  <c r="L806" i="37"/>
  <c r="K806" i="37"/>
  <c r="J806" i="37"/>
  <c r="I806" i="37"/>
  <c r="E806" i="37"/>
  <c r="D797" i="37"/>
  <c r="D798" i="37"/>
  <c r="D799" i="37" s="1"/>
  <c r="D800" i="37" s="1"/>
  <c r="D801" i="37"/>
  <c r="D802" i="37" s="1"/>
  <c r="D803" i="37" s="1"/>
  <c r="D804" i="37" s="1"/>
  <c r="D805" i="37" s="1"/>
  <c r="F795" i="37"/>
  <c r="E793" i="37"/>
  <c r="E791" i="37"/>
  <c r="D789" i="37"/>
  <c r="M787" i="37"/>
  <c r="L787" i="37"/>
  <c r="K787" i="37"/>
  <c r="J787" i="37"/>
  <c r="I787" i="37"/>
  <c r="E787" i="37"/>
  <c r="E786" i="37"/>
  <c r="E785" i="37"/>
  <c r="E784" i="37"/>
  <c r="Q782" i="37"/>
  <c r="E782" i="37"/>
  <c r="P780" i="37"/>
  <c r="E780" i="37"/>
  <c r="E779" i="37"/>
  <c r="Q778" i="37"/>
  <c r="E776" i="37"/>
  <c r="E774" i="37"/>
  <c r="E773" i="37"/>
  <c r="E771" i="37"/>
  <c r="E770" i="37"/>
  <c r="E762" i="37"/>
  <c r="E758" i="37"/>
  <c r="AA755" i="37"/>
  <c r="E754" i="37"/>
  <c r="E752" i="37"/>
  <c r="E751" i="37"/>
  <c r="E748" i="37"/>
  <c r="E746" i="37"/>
  <c r="E744" i="37"/>
  <c r="E742" i="37"/>
  <c r="M741" i="37"/>
  <c r="L741" i="37"/>
  <c r="K741" i="37"/>
  <c r="J741" i="37"/>
  <c r="I741" i="37"/>
  <c r="E741" i="37"/>
  <c r="E740" i="37"/>
  <c r="E739" i="37"/>
  <c r="E736" i="37"/>
  <c r="E734" i="37"/>
  <c r="M733" i="37"/>
  <c r="W733" i="37" s="1"/>
  <c r="L733" i="37"/>
  <c r="V733" i="37" s="1"/>
  <c r="K733" i="37"/>
  <c r="U733" i="37" s="1"/>
  <c r="J733" i="37"/>
  <c r="T733" i="37"/>
  <c r="I733" i="37"/>
  <c r="S733" i="37" s="1"/>
  <c r="E733" i="37"/>
  <c r="E732" i="37"/>
  <c r="E731" i="37"/>
  <c r="E728" i="37"/>
  <c r="E726" i="37"/>
  <c r="M725" i="37"/>
  <c r="L725" i="37"/>
  <c r="K725" i="37"/>
  <c r="J725" i="37"/>
  <c r="I725" i="37"/>
  <c r="E725" i="37"/>
  <c r="E724" i="37"/>
  <c r="E723" i="37"/>
  <c r="E720" i="37"/>
  <c r="E718" i="37"/>
  <c r="M717" i="37"/>
  <c r="L717" i="37"/>
  <c r="K717" i="37"/>
  <c r="J717" i="37"/>
  <c r="I717" i="37"/>
  <c r="E717" i="37"/>
  <c r="E716" i="37"/>
  <c r="E715" i="37"/>
  <c r="E712" i="37"/>
  <c r="E710" i="37"/>
  <c r="M709" i="37"/>
  <c r="L709" i="37"/>
  <c r="K709" i="37"/>
  <c r="J709" i="37"/>
  <c r="I709" i="37"/>
  <c r="E709" i="37"/>
  <c r="E708" i="37"/>
  <c r="E707" i="37"/>
  <c r="E704" i="37"/>
  <c r="E702" i="37"/>
  <c r="E700" i="37"/>
  <c r="E698" i="37"/>
  <c r="E697" i="37"/>
  <c r="E696" i="37"/>
  <c r="E694" i="37"/>
  <c r="E693" i="37"/>
  <c r="E692" i="37"/>
  <c r="E690" i="37"/>
  <c r="E689" i="37"/>
  <c r="E688" i="37"/>
  <c r="E687" i="37"/>
  <c r="E686" i="37"/>
  <c r="E684" i="37"/>
  <c r="E682" i="37"/>
  <c r="M680" i="37"/>
  <c r="M677" i="37"/>
  <c r="M678" i="37" s="1"/>
  <c r="L680" i="37"/>
  <c r="L677" i="37" s="1"/>
  <c r="L678" i="37" s="1"/>
  <c r="K680" i="37"/>
  <c r="K677" i="37" s="1"/>
  <c r="K678" i="37" s="1"/>
  <c r="J680" i="37"/>
  <c r="J677" i="37" s="1"/>
  <c r="J678" i="37" s="1"/>
  <c r="I680" i="37"/>
  <c r="I677" i="37" s="1"/>
  <c r="I678" i="37" s="1"/>
  <c r="E680" i="37"/>
  <c r="M679" i="37"/>
  <c r="L679" i="37"/>
  <c r="K679" i="37"/>
  <c r="J679" i="37"/>
  <c r="I679" i="37"/>
  <c r="E679" i="37"/>
  <c r="E677" i="37"/>
  <c r="E676" i="37"/>
  <c r="E675" i="37"/>
  <c r="E674" i="37"/>
  <c r="E673" i="37"/>
  <c r="E672" i="37"/>
  <c r="E670" i="37"/>
  <c r="M668" i="37"/>
  <c r="M665" i="37" s="1"/>
  <c r="M666" i="37" s="1"/>
  <c r="L668" i="37"/>
  <c r="L665" i="37"/>
  <c r="L666" i="37" s="1"/>
  <c r="K668" i="37"/>
  <c r="K665" i="37"/>
  <c r="K666" i="37" s="1"/>
  <c r="J668" i="37"/>
  <c r="J665" i="37" s="1"/>
  <c r="J666" i="37" s="1"/>
  <c r="I668" i="37"/>
  <c r="I665" i="37" s="1"/>
  <c r="I666" i="37" s="1"/>
  <c r="E668" i="37"/>
  <c r="M667" i="37"/>
  <c r="L667" i="37"/>
  <c r="K667" i="37"/>
  <c r="J667" i="37"/>
  <c r="I667" i="37"/>
  <c r="E667" i="37"/>
  <c r="E665" i="37"/>
  <c r="E664" i="37"/>
  <c r="E663" i="37"/>
  <c r="E662" i="37"/>
  <c r="E661" i="37"/>
  <c r="E660" i="37"/>
  <c r="E658" i="37"/>
  <c r="E656" i="37"/>
  <c r="E655" i="37"/>
  <c r="E653" i="37"/>
  <c r="E647" i="37"/>
  <c r="E646" i="37"/>
  <c r="E644" i="37"/>
  <c r="E642" i="37"/>
  <c r="E641" i="37"/>
  <c r="E640" i="37"/>
  <c r="E639" i="37"/>
  <c r="D635" i="37"/>
  <c r="M632" i="37"/>
  <c r="L632" i="37"/>
  <c r="K632" i="37"/>
  <c r="J632" i="37"/>
  <c r="I632" i="37"/>
  <c r="E632" i="37"/>
  <c r="D623" i="37"/>
  <c r="D624" i="37"/>
  <c r="D625" i="37" s="1"/>
  <c r="D626" i="37" s="1"/>
  <c r="D627" i="37" s="1"/>
  <c r="D628" i="37" s="1"/>
  <c r="D629" i="37" s="1"/>
  <c r="D630" i="37" s="1"/>
  <c r="D631" i="37" s="1"/>
  <c r="F621" i="37"/>
  <c r="E619" i="37"/>
  <c r="E617" i="37"/>
  <c r="D615" i="37"/>
  <c r="M613" i="37"/>
  <c r="L613" i="37"/>
  <c r="K613" i="37"/>
  <c r="J613" i="37"/>
  <c r="I613" i="37"/>
  <c r="E613" i="37"/>
  <c r="E612" i="37"/>
  <c r="E611" i="37"/>
  <c r="E610" i="37"/>
  <c r="Q608" i="37"/>
  <c r="E608" i="37"/>
  <c r="P606" i="37"/>
  <c r="E606" i="37"/>
  <c r="E605" i="37"/>
  <c r="Q604" i="37"/>
  <c r="E602" i="37"/>
  <c r="E600" i="37"/>
  <c r="E599" i="37"/>
  <c r="E597" i="37"/>
  <c r="E596" i="37"/>
  <c r="E414" i="37"/>
  <c r="E410" i="37"/>
  <c r="AA407" i="37"/>
  <c r="AA412" i="37" s="1"/>
  <c r="E406" i="37"/>
  <c r="E404" i="37"/>
  <c r="E403" i="37"/>
  <c r="E400" i="37"/>
  <c r="E398" i="37"/>
  <c r="E396" i="37"/>
  <c r="E394" i="37"/>
  <c r="M393" i="37"/>
  <c r="L393" i="37"/>
  <c r="K393" i="37"/>
  <c r="J393" i="37"/>
  <c r="I393" i="37"/>
  <c r="E393" i="37"/>
  <c r="E392" i="37"/>
  <c r="E391" i="37"/>
  <c r="E388" i="37"/>
  <c r="E386" i="37"/>
  <c r="M385" i="37"/>
  <c r="W385" i="37" s="1"/>
  <c r="L385" i="37"/>
  <c r="V385" i="37"/>
  <c r="K385" i="37"/>
  <c r="U385" i="37" s="1"/>
  <c r="J385" i="37"/>
  <c r="T385" i="37" s="1"/>
  <c r="I385" i="37"/>
  <c r="S385" i="37" s="1"/>
  <c r="E385" i="37"/>
  <c r="E384" i="37"/>
  <c r="E383" i="37"/>
  <c r="E380" i="37"/>
  <c r="E378" i="37"/>
  <c r="M377" i="37"/>
  <c r="L377" i="37"/>
  <c r="K377" i="37"/>
  <c r="J377" i="37"/>
  <c r="I377" i="37"/>
  <c r="E377" i="37"/>
  <c r="E376" i="37"/>
  <c r="E375" i="37"/>
  <c r="E372" i="37"/>
  <c r="E370" i="37"/>
  <c r="M369" i="37"/>
  <c r="L369" i="37"/>
  <c r="K369" i="37"/>
  <c r="J369" i="37"/>
  <c r="I369" i="37"/>
  <c r="E369" i="37"/>
  <c r="E368" i="37"/>
  <c r="E367" i="37"/>
  <c r="E364" i="37"/>
  <c r="E362" i="37"/>
  <c r="M361" i="37"/>
  <c r="L361" i="37"/>
  <c r="K361" i="37"/>
  <c r="J361" i="37"/>
  <c r="I361" i="37"/>
  <c r="E361" i="37"/>
  <c r="E360" i="37"/>
  <c r="E359" i="37"/>
  <c r="E356" i="37"/>
  <c r="E354" i="37"/>
  <c r="E352" i="37"/>
  <c r="E350" i="37"/>
  <c r="E349" i="37"/>
  <c r="E348" i="37"/>
  <c r="E346" i="37"/>
  <c r="E345" i="37"/>
  <c r="E344" i="37"/>
  <c r="E342" i="37"/>
  <c r="E341" i="37"/>
  <c r="E340" i="37"/>
  <c r="E339" i="37"/>
  <c r="E338" i="37"/>
  <c r="E336" i="37"/>
  <c r="E334" i="37"/>
  <c r="M332" i="37"/>
  <c r="M329" i="37" s="1"/>
  <c r="M330" i="37" s="1"/>
  <c r="L332" i="37"/>
  <c r="L329" i="37" s="1"/>
  <c r="L330" i="37" s="1"/>
  <c r="K332" i="37"/>
  <c r="K329" i="37" s="1"/>
  <c r="K330" i="37" s="1"/>
  <c r="J332" i="37"/>
  <c r="J329" i="37" s="1"/>
  <c r="J330" i="37" s="1"/>
  <c r="I332" i="37"/>
  <c r="I329" i="37" s="1"/>
  <c r="I330" i="37" s="1"/>
  <c r="E332" i="37"/>
  <c r="M331" i="37"/>
  <c r="L331" i="37"/>
  <c r="K331" i="37"/>
  <c r="J331" i="37"/>
  <c r="I331" i="37"/>
  <c r="E331" i="37"/>
  <c r="E329" i="37"/>
  <c r="E328" i="37"/>
  <c r="E327" i="37"/>
  <c r="E326" i="37"/>
  <c r="E325" i="37"/>
  <c r="E324" i="37"/>
  <c r="E322" i="37"/>
  <c r="M320" i="37"/>
  <c r="M317" i="37" s="1"/>
  <c r="M318" i="37" s="1"/>
  <c r="L320" i="37"/>
  <c r="L317" i="37" s="1"/>
  <c r="L318" i="37" s="1"/>
  <c r="K320" i="37"/>
  <c r="K317" i="37" s="1"/>
  <c r="K318" i="37" s="1"/>
  <c r="J320" i="37"/>
  <c r="J317" i="37" s="1"/>
  <c r="J318" i="37" s="1"/>
  <c r="I320" i="37"/>
  <c r="I317" i="37" s="1"/>
  <c r="I318" i="37" s="1"/>
  <c r="E320" i="37"/>
  <c r="M319" i="37"/>
  <c r="L319" i="37"/>
  <c r="K319" i="37"/>
  <c r="J319" i="37"/>
  <c r="I319" i="37"/>
  <c r="E319" i="37"/>
  <c r="E317" i="37"/>
  <c r="E316" i="37"/>
  <c r="E315" i="37"/>
  <c r="E314" i="37"/>
  <c r="E313" i="37"/>
  <c r="E312" i="37"/>
  <c r="E310" i="37"/>
  <c r="E308" i="37"/>
  <c r="E307" i="37"/>
  <c r="E305" i="37"/>
  <c r="E299" i="37"/>
  <c r="E298" i="37"/>
  <c r="E296" i="37"/>
  <c r="E294" i="37"/>
  <c r="E293" i="37"/>
  <c r="E292" i="37"/>
  <c r="E291" i="37"/>
  <c r="D287" i="37"/>
  <c r="M284" i="37"/>
  <c r="L284" i="37"/>
  <c r="K284" i="37"/>
  <c r="J284" i="37"/>
  <c r="I284" i="37"/>
  <c r="E284" i="37"/>
  <c r="D275" i="37"/>
  <c r="D276" i="37" s="1"/>
  <c r="D277" i="37" s="1"/>
  <c r="D278" i="37" s="1"/>
  <c r="D279" i="37" s="1"/>
  <c r="D280" i="37" s="1"/>
  <c r="D281" i="37" s="1"/>
  <c r="D282" i="37" s="1"/>
  <c r="D283" i="37" s="1"/>
  <c r="F273" i="37"/>
  <c r="E271" i="37"/>
  <c r="E269" i="37"/>
  <c r="D267" i="37"/>
  <c r="M265" i="37"/>
  <c r="L265" i="37"/>
  <c r="K265" i="37"/>
  <c r="J265" i="37"/>
  <c r="I265" i="37"/>
  <c r="E265" i="37"/>
  <c r="E264" i="37"/>
  <c r="E263" i="37"/>
  <c r="E262" i="37"/>
  <c r="Q260" i="37"/>
  <c r="E260" i="37"/>
  <c r="P258" i="37"/>
  <c r="E258" i="37"/>
  <c r="E257" i="37"/>
  <c r="Q256" i="37"/>
  <c r="E254" i="37"/>
  <c r="E252" i="37"/>
  <c r="E251" i="37"/>
  <c r="E249" i="37"/>
  <c r="E248" i="37"/>
  <c r="C246" i="37"/>
  <c r="C420" i="37"/>
  <c r="E588" i="37"/>
  <c r="E584" i="37"/>
  <c r="AA581" i="37"/>
  <c r="AA590" i="37" s="1"/>
  <c r="E580" i="37"/>
  <c r="E578" i="37"/>
  <c r="E577" i="37"/>
  <c r="E574" i="37"/>
  <c r="E572" i="37"/>
  <c r="E570" i="37"/>
  <c r="E568" i="37"/>
  <c r="M567" i="37"/>
  <c r="L567" i="37"/>
  <c r="K567" i="37"/>
  <c r="J567" i="37"/>
  <c r="I567" i="37"/>
  <c r="E567" i="37"/>
  <c r="E566" i="37"/>
  <c r="E565" i="37"/>
  <c r="E562" i="37"/>
  <c r="E560" i="37"/>
  <c r="M559" i="37"/>
  <c r="W559" i="37"/>
  <c r="L559" i="37"/>
  <c r="V559" i="37" s="1"/>
  <c r="K559" i="37"/>
  <c r="U559" i="37"/>
  <c r="J559" i="37"/>
  <c r="T559" i="37" s="1"/>
  <c r="I559" i="37"/>
  <c r="S559" i="37"/>
  <c r="E559" i="37"/>
  <c r="E558" i="37"/>
  <c r="E557" i="37"/>
  <c r="E554" i="37"/>
  <c r="E552" i="37"/>
  <c r="M551" i="37"/>
  <c r="L551" i="37"/>
  <c r="K551" i="37"/>
  <c r="J551" i="37"/>
  <c r="I551" i="37"/>
  <c r="E551" i="37"/>
  <c r="E550" i="37"/>
  <c r="E549" i="37"/>
  <c r="E546" i="37"/>
  <c r="E544" i="37"/>
  <c r="M543" i="37"/>
  <c r="L543" i="37"/>
  <c r="K543" i="37"/>
  <c r="J543" i="37"/>
  <c r="I543" i="37"/>
  <c r="E543" i="37"/>
  <c r="E542" i="37"/>
  <c r="E541" i="37"/>
  <c r="E538" i="37"/>
  <c r="E536" i="37"/>
  <c r="M535" i="37"/>
  <c r="L535" i="37"/>
  <c r="K535" i="37"/>
  <c r="J535" i="37"/>
  <c r="I535" i="37"/>
  <c r="E535" i="37"/>
  <c r="E534" i="37"/>
  <c r="E533" i="37"/>
  <c r="E530" i="37"/>
  <c r="E528" i="37"/>
  <c r="E526" i="37"/>
  <c r="E524" i="37"/>
  <c r="E523" i="37"/>
  <c r="E522" i="37"/>
  <c r="E520" i="37"/>
  <c r="E519" i="37"/>
  <c r="E518" i="37"/>
  <c r="E516" i="37"/>
  <c r="E515" i="37"/>
  <c r="E514" i="37"/>
  <c r="E513" i="37"/>
  <c r="E512" i="37"/>
  <c r="E510" i="37"/>
  <c r="E508" i="37"/>
  <c r="M506" i="37"/>
  <c r="M503" i="37" s="1"/>
  <c r="M504" i="37"/>
  <c r="L506" i="37"/>
  <c r="L503" i="37" s="1"/>
  <c r="L504" i="37" s="1"/>
  <c r="K506" i="37"/>
  <c r="K503" i="37"/>
  <c r="K504" i="37" s="1"/>
  <c r="J506" i="37"/>
  <c r="J503" i="37"/>
  <c r="J504" i="37" s="1"/>
  <c r="I506" i="37"/>
  <c r="I503" i="37" s="1"/>
  <c r="I504" i="37"/>
  <c r="E506" i="37"/>
  <c r="M505" i="37"/>
  <c r="L505" i="37"/>
  <c r="K505" i="37"/>
  <c r="J505" i="37"/>
  <c r="I505" i="37"/>
  <c r="E505" i="37"/>
  <c r="E503" i="37"/>
  <c r="E502" i="37"/>
  <c r="E501" i="37"/>
  <c r="E500" i="37"/>
  <c r="E499" i="37"/>
  <c r="E498" i="37"/>
  <c r="E496" i="37"/>
  <c r="M494" i="37"/>
  <c r="M491" i="37"/>
  <c r="M492" i="37" s="1"/>
  <c r="L494" i="37"/>
  <c r="L491" i="37" s="1"/>
  <c r="L492" i="37"/>
  <c r="K494" i="37"/>
  <c r="K491" i="37" s="1"/>
  <c r="K492" i="37" s="1"/>
  <c r="J494" i="37"/>
  <c r="J491" i="37"/>
  <c r="J492" i="37" s="1"/>
  <c r="I494" i="37"/>
  <c r="I491" i="37"/>
  <c r="I492" i="37" s="1"/>
  <c r="E494" i="37"/>
  <c r="M493" i="37"/>
  <c r="L493" i="37"/>
  <c r="K493" i="37"/>
  <c r="J493" i="37"/>
  <c r="I493" i="37"/>
  <c r="E493" i="37"/>
  <c r="E491" i="37"/>
  <c r="E490" i="37"/>
  <c r="E489" i="37"/>
  <c r="E488" i="37"/>
  <c r="E487" i="37"/>
  <c r="E486" i="37"/>
  <c r="E484" i="37"/>
  <c r="E482" i="37"/>
  <c r="E481" i="37"/>
  <c r="E479" i="37"/>
  <c r="E473" i="37"/>
  <c r="E472" i="37"/>
  <c r="E470" i="37"/>
  <c r="E468" i="37"/>
  <c r="E467" i="37"/>
  <c r="E466" i="37"/>
  <c r="E465" i="37"/>
  <c r="D461" i="37"/>
  <c r="M458" i="37"/>
  <c r="L458" i="37"/>
  <c r="K458" i="37"/>
  <c r="J458" i="37"/>
  <c r="I458" i="37"/>
  <c r="E458" i="37"/>
  <c r="D449" i="37"/>
  <c r="D450" i="37" s="1"/>
  <c r="D451" i="37" s="1"/>
  <c r="D452" i="37" s="1"/>
  <c r="D453" i="37" s="1"/>
  <c r="D454" i="37" s="1"/>
  <c r="D455" i="37" s="1"/>
  <c r="D456" i="37" s="1"/>
  <c r="D457" i="37" s="1"/>
  <c r="F447" i="37"/>
  <c r="E445" i="37"/>
  <c r="E443" i="37"/>
  <c r="D441" i="37"/>
  <c r="M439" i="37"/>
  <c r="L439" i="37"/>
  <c r="K439" i="37"/>
  <c r="J439" i="37"/>
  <c r="I439" i="37"/>
  <c r="E439" i="37"/>
  <c r="E438" i="37"/>
  <c r="E437" i="37"/>
  <c r="E436" i="37"/>
  <c r="Q434" i="37"/>
  <c r="E434" i="37"/>
  <c r="P432" i="37"/>
  <c r="E432" i="37"/>
  <c r="E431" i="37"/>
  <c r="Q430" i="37"/>
  <c r="E428" i="37"/>
  <c r="E426" i="37"/>
  <c r="E425" i="37"/>
  <c r="E423" i="37"/>
  <c r="E422" i="37"/>
  <c r="E48" i="50"/>
  <c r="P1836" i="37"/>
  <c r="P1837" i="37"/>
  <c r="P1838" i="37"/>
  <c r="P572" i="50"/>
  <c r="P570" i="50"/>
  <c r="P568" i="50"/>
  <c r="P567" i="50"/>
  <c r="M73" i="50"/>
  <c r="M70" i="50"/>
  <c r="M69" i="50"/>
  <c r="M66" i="50"/>
  <c r="M65" i="50"/>
  <c r="M63" i="50"/>
  <c r="K63" i="50"/>
  <c r="I63" i="50"/>
  <c r="G63" i="50"/>
  <c r="E63" i="50"/>
  <c r="M60" i="50"/>
  <c r="M59" i="50"/>
  <c r="E59" i="50"/>
  <c r="E66" i="50"/>
  <c r="M29" i="50"/>
  <c r="M28" i="50"/>
  <c r="M27" i="50"/>
  <c r="M26" i="50"/>
  <c r="M25" i="50"/>
  <c r="M24" i="50"/>
  <c r="G806" i="42"/>
  <c r="G807" i="42"/>
  <c r="G808" i="42"/>
  <c r="E117" i="43"/>
  <c r="E118" i="43"/>
  <c r="E119" i="43"/>
  <c r="E120" i="43" s="1"/>
  <c r="P226" i="43"/>
  <c r="P213" i="43"/>
  <c r="P210" i="43"/>
  <c r="P195" i="43"/>
  <c r="P192" i="43"/>
  <c r="X208" i="43"/>
  <c r="X210" i="43"/>
  <c r="S210" i="43" s="1"/>
  <c r="S226" i="43"/>
  <c r="S192" i="43"/>
  <c r="M217" i="43"/>
  <c r="I55" i="50"/>
  <c r="X195" i="43"/>
  <c r="S195" i="43"/>
  <c r="X229" i="43"/>
  <c r="X232" i="43" s="1"/>
  <c r="E1535" i="50"/>
  <c r="M1530" i="50"/>
  <c r="K1530" i="50"/>
  <c r="I1530" i="50"/>
  <c r="E1528" i="50"/>
  <c r="E1527" i="50"/>
  <c r="M1521" i="50"/>
  <c r="H1521" i="50"/>
  <c r="E1474" i="50"/>
  <c r="E1472" i="50"/>
  <c r="E1468" i="50"/>
  <c r="E1467" i="50"/>
  <c r="E1466" i="50"/>
  <c r="E1463" i="50"/>
  <c r="M1458" i="50"/>
  <c r="K1458" i="50"/>
  <c r="I1458" i="50"/>
  <c r="E1456" i="50"/>
  <c r="E1455" i="50"/>
  <c r="M1449" i="50"/>
  <c r="H1449" i="50"/>
  <c r="E1333" i="50"/>
  <c r="E1332" i="50"/>
  <c r="E1331" i="50"/>
  <c r="E1330" i="50"/>
  <c r="E1329" i="50"/>
  <c r="E1328" i="50"/>
  <c r="E1327" i="50"/>
  <c r="E1326" i="50"/>
  <c r="E1325" i="50"/>
  <c r="E1324" i="50"/>
  <c r="E1322" i="50"/>
  <c r="E1315" i="50"/>
  <c r="E1314" i="50"/>
  <c r="E1313" i="50"/>
  <c r="E1312" i="50"/>
  <c r="E1310" i="50"/>
  <c r="M1302" i="50"/>
  <c r="K1302" i="50"/>
  <c r="I1302" i="50"/>
  <c r="E1300" i="50"/>
  <c r="E1299" i="50"/>
  <c r="M1293" i="50"/>
  <c r="H1293" i="50"/>
  <c r="L283" i="47"/>
  <c r="L301" i="47" s="1"/>
  <c r="M782" i="42"/>
  <c r="L782" i="42"/>
  <c r="K782" i="42"/>
  <c r="J782" i="42"/>
  <c r="I782" i="42"/>
  <c r="E782" i="42"/>
  <c r="E781" i="42"/>
  <c r="E780" i="42"/>
  <c r="E779" i="42"/>
  <c r="E778" i="42"/>
  <c r="E777" i="42"/>
  <c r="E776" i="42"/>
  <c r="E775" i="42"/>
  <c r="E774" i="42"/>
  <c r="E773" i="42"/>
  <c r="D773" i="42"/>
  <c r="D774" i="42" s="1"/>
  <c r="D775" i="42" s="1"/>
  <c r="D776" i="42" s="1"/>
  <c r="D777" i="42" s="1"/>
  <c r="D778" i="42" s="1"/>
  <c r="D779" i="42" s="1"/>
  <c r="D780" i="42" s="1"/>
  <c r="D781" i="42" s="1"/>
  <c r="E772" i="42"/>
  <c r="E771" i="42"/>
  <c r="E769" i="42"/>
  <c r="D759" i="42"/>
  <c r="D760" i="42" s="1"/>
  <c r="D761" i="42" s="1"/>
  <c r="D762" i="42"/>
  <c r="D763" i="42" s="1"/>
  <c r="D764" i="42" s="1"/>
  <c r="D765" i="42"/>
  <c r="D766" i="42" s="1"/>
  <c r="D767" i="42" s="1"/>
  <c r="H757" i="42"/>
  <c r="E757" i="42"/>
  <c r="E755" i="42"/>
  <c r="D753" i="42"/>
  <c r="E750" i="42"/>
  <c r="E749" i="42"/>
  <c r="E748" i="42"/>
  <c r="Q744" i="42"/>
  <c r="P743" i="42"/>
  <c r="E654" i="42"/>
  <c r="E653" i="42"/>
  <c r="E648" i="42"/>
  <c r="E647" i="42"/>
  <c r="E645" i="42"/>
  <c r="E642" i="42"/>
  <c r="E638" i="42"/>
  <c r="E637" i="42"/>
  <c r="E636" i="42"/>
  <c r="D632" i="42"/>
  <c r="M629" i="42"/>
  <c r="L629" i="42"/>
  <c r="K629" i="42"/>
  <c r="J629" i="42"/>
  <c r="I629" i="42"/>
  <c r="E629" i="42"/>
  <c r="E628" i="42"/>
  <c r="E627" i="42"/>
  <c r="E626" i="42"/>
  <c r="E625" i="42"/>
  <c r="E624" i="42"/>
  <c r="E623" i="42"/>
  <c r="E622" i="42"/>
  <c r="E621" i="42"/>
  <c r="E620" i="42"/>
  <c r="D620" i="42"/>
  <c r="D621" i="42" s="1"/>
  <c r="D622" i="42" s="1"/>
  <c r="D623" i="42"/>
  <c r="D624" i="42" s="1"/>
  <c r="D625" i="42" s="1"/>
  <c r="D626" i="42" s="1"/>
  <c r="D627" i="42" s="1"/>
  <c r="D628" i="42" s="1"/>
  <c r="E619" i="42"/>
  <c r="E618" i="42"/>
  <c r="E616" i="42"/>
  <c r="D614" i="42"/>
  <c r="D606" i="42"/>
  <c r="D607" i="42" s="1"/>
  <c r="D608" i="42" s="1"/>
  <c r="D609" i="42"/>
  <c r="D610" i="42" s="1"/>
  <c r="D611" i="42" s="1"/>
  <c r="D612" i="42"/>
  <c r="D613" i="42" s="1"/>
  <c r="G604" i="42"/>
  <c r="E604" i="42"/>
  <c r="F602" i="42"/>
  <c r="F601" i="42"/>
  <c r="E600" i="42"/>
  <c r="E599" i="42"/>
  <c r="D597" i="42"/>
  <c r="E594" i="42"/>
  <c r="E593" i="42"/>
  <c r="E592" i="42"/>
  <c r="P587" i="42"/>
  <c r="Q588" i="42"/>
  <c r="P343" i="42"/>
  <c r="Q344" i="42" s="1"/>
  <c r="E348" i="42"/>
  <c r="E349" i="42"/>
  <c r="E350" i="42"/>
  <c r="D353" i="42"/>
  <c r="E355" i="42"/>
  <c r="E357" i="42"/>
  <c r="G357" i="42"/>
  <c r="E371" i="42" s="1"/>
  <c r="E358" i="42"/>
  <c r="D359" i="42"/>
  <c r="D360" i="42" s="1"/>
  <c r="D361" i="42"/>
  <c r="D362" i="42" s="1"/>
  <c r="D363" i="42" s="1"/>
  <c r="D364" i="42"/>
  <c r="D365" i="42" s="1"/>
  <c r="D366" i="42" s="1"/>
  <c r="D367" i="42" s="1"/>
  <c r="E359" i="42"/>
  <c r="E360" i="42"/>
  <c r="E361" i="42"/>
  <c r="E362" i="42"/>
  <c r="E363" i="42"/>
  <c r="E364" i="42"/>
  <c r="E365" i="42"/>
  <c r="E366" i="42"/>
  <c r="E367" i="42"/>
  <c r="E369" i="42"/>
  <c r="E372" i="42"/>
  <c r="H372" i="42"/>
  <c r="D373" i="42"/>
  <c r="D374" i="42" s="1"/>
  <c r="D375" i="42" s="1"/>
  <c r="D376" i="42" s="1"/>
  <c r="D377" i="42" s="1"/>
  <c r="D378" i="42" s="1"/>
  <c r="D379" i="42" s="1"/>
  <c r="D380" i="42" s="1"/>
  <c r="D381" i="42" s="1"/>
  <c r="E373" i="42"/>
  <c r="H373" i="42"/>
  <c r="E374" i="42"/>
  <c r="H374" i="42"/>
  <c r="E375" i="42"/>
  <c r="H375" i="42"/>
  <c r="E376" i="42"/>
  <c r="H376" i="42"/>
  <c r="E377" i="42"/>
  <c r="H377" i="42"/>
  <c r="E378" i="42"/>
  <c r="H378" i="42"/>
  <c r="E379" i="42"/>
  <c r="H379" i="42"/>
  <c r="E380" i="42"/>
  <c r="H380" i="42"/>
  <c r="E381" i="42"/>
  <c r="H381" i="42"/>
  <c r="E382" i="42"/>
  <c r="I382" i="42"/>
  <c r="J382" i="42"/>
  <c r="K382" i="42"/>
  <c r="L382" i="42"/>
  <c r="M382" i="42"/>
  <c r="D385" i="42"/>
  <c r="E389" i="42"/>
  <c r="E390" i="42"/>
  <c r="E391" i="42"/>
  <c r="E395" i="42"/>
  <c r="E407" i="42"/>
  <c r="E408" i="42"/>
  <c r="E409" i="42"/>
  <c r="E413" i="42"/>
  <c r="E414" i="42"/>
  <c r="E415" i="42"/>
  <c r="E416" i="42"/>
  <c r="E417" i="42"/>
  <c r="E419" i="42"/>
  <c r="E420" i="42"/>
  <c r="E421" i="42"/>
  <c r="E423" i="42"/>
  <c r="E424" i="42"/>
  <c r="E425" i="42"/>
  <c r="E427" i="42"/>
  <c r="E428" i="42"/>
  <c r="E429" i="42"/>
  <c r="E431" i="42"/>
  <c r="E432" i="42"/>
  <c r="E433" i="42"/>
  <c r="E435" i="42"/>
  <c r="I435" i="42"/>
  <c r="J435" i="42"/>
  <c r="K435" i="42"/>
  <c r="L435" i="42"/>
  <c r="M435" i="42"/>
  <c r="M339" i="42"/>
  <c r="L339" i="42"/>
  <c r="K339" i="42"/>
  <c r="J339" i="42"/>
  <c r="I339" i="42"/>
  <c r="E339" i="42"/>
  <c r="E337" i="42"/>
  <c r="E336" i="42"/>
  <c r="E335" i="42"/>
  <c r="E333" i="42"/>
  <c r="E332" i="42"/>
  <c r="E331" i="42"/>
  <c r="E329" i="42"/>
  <c r="E328" i="42"/>
  <c r="E327" i="42"/>
  <c r="E325" i="42"/>
  <c r="E324" i="42"/>
  <c r="E323" i="42"/>
  <c r="E321" i="42"/>
  <c r="E320" i="42"/>
  <c r="E319" i="42"/>
  <c r="E318" i="42"/>
  <c r="E317" i="42"/>
  <c r="E313" i="42"/>
  <c r="E312" i="42"/>
  <c r="E311" i="42"/>
  <c r="E299" i="42"/>
  <c r="E295" i="42"/>
  <c r="E294" i="42"/>
  <c r="E293" i="42"/>
  <c r="D289" i="42"/>
  <c r="M286" i="42"/>
  <c r="L286" i="42"/>
  <c r="K286" i="42"/>
  <c r="J286" i="42"/>
  <c r="I286" i="42"/>
  <c r="E286" i="42"/>
  <c r="E285" i="42"/>
  <c r="E284" i="42"/>
  <c r="E283" i="42"/>
  <c r="E282" i="42"/>
  <c r="E281" i="42"/>
  <c r="E280" i="42"/>
  <c r="E279" i="42"/>
  <c r="E278" i="42"/>
  <c r="E277" i="42"/>
  <c r="D277" i="42"/>
  <c r="D278" i="42" s="1"/>
  <c r="D279" i="42" s="1"/>
  <c r="D280" i="42" s="1"/>
  <c r="D281" i="42" s="1"/>
  <c r="D282" i="42" s="1"/>
  <c r="D283" i="42" s="1"/>
  <c r="D284" i="42" s="1"/>
  <c r="D285" i="42" s="1"/>
  <c r="E276" i="42"/>
  <c r="E273" i="42"/>
  <c r="D263" i="42"/>
  <c r="D264" i="42"/>
  <c r="D265" i="42" s="1"/>
  <c r="D266" i="42" s="1"/>
  <c r="D267" i="42"/>
  <c r="D268" i="42" s="1"/>
  <c r="D269" i="42" s="1"/>
  <c r="D270" i="42" s="1"/>
  <c r="D271" i="42" s="1"/>
  <c r="I261" i="42"/>
  <c r="E275" i="42" s="1"/>
  <c r="G261" i="42"/>
  <c r="E261" i="42"/>
  <c r="E259" i="42"/>
  <c r="D257" i="42"/>
  <c r="E254" i="42"/>
  <c r="E253" i="42"/>
  <c r="E252" i="42"/>
  <c r="P247" i="42"/>
  <c r="Q248" i="42"/>
  <c r="P337" i="42"/>
  <c r="M284" i="47"/>
  <c r="M302" i="47" s="1"/>
  <c r="H295" i="47"/>
  <c r="E240" i="37"/>
  <c r="E239" i="37"/>
  <c r="E235" i="37"/>
  <c r="AA232" i="37"/>
  <c r="AA236" i="37" s="1"/>
  <c r="E231" i="37"/>
  <c r="E229" i="37"/>
  <c r="E228" i="37"/>
  <c r="E227" i="37"/>
  <c r="E226" i="37"/>
  <c r="E223" i="37"/>
  <c r="E222" i="37"/>
  <c r="E221" i="37"/>
  <c r="E220" i="37"/>
  <c r="E218" i="37"/>
  <c r="E216" i="37"/>
  <c r="E215" i="37"/>
  <c r="E214" i="37"/>
  <c r="E212" i="37"/>
  <c r="M211" i="37"/>
  <c r="L211" i="37"/>
  <c r="K211" i="37"/>
  <c r="J211" i="37"/>
  <c r="I211" i="37"/>
  <c r="E211" i="37"/>
  <c r="E210" i="37"/>
  <c r="E209" i="37"/>
  <c r="E207" i="37"/>
  <c r="E206" i="37"/>
  <c r="E205" i="37"/>
  <c r="E203" i="37"/>
  <c r="M202" i="37"/>
  <c r="W202" i="37" s="1"/>
  <c r="L202" i="37"/>
  <c r="V202" i="37"/>
  <c r="K202" i="37"/>
  <c r="U202" i="37" s="1"/>
  <c r="J202" i="37"/>
  <c r="T202" i="37" s="1"/>
  <c r="I202" i="37"/>
  <c r="S202" i="37" s="1"/>
  <c r="E202" i="37"/>
  <c r="E201" i="37"/>
  <c r="E200" i="37"/>
  <c r="E198" i="37"/>
  <c r="E197" i="37"/>
  <c r="E196" i="37"/>
  <c r="E194" i="37"/>
  <c r="M193" i="37"/>
  <c r="L193" i="37"/>
  <c r="K193" i="37"/>
  <c r="J193" i="37"/>
  <c r="I193" i="37"/>
  <c r="E193" i="37"/>
  <c r="E192" i="37"/>
  <c r="E191" i="37"/>
  <c r="E189" i="37"/>
  <c r="E188" i="37"/>
  <c r="E187" i="37"/>
  <c r="E186" i="37"/>
  <c r="E184" i="37"/>
  <c r="M183" i="37"/>
  <c r="L183" i="37"/>
  <c r="K183" i="37"/>
  <c r="J183" i="37"/>
  <c r="I183" i="37"/>
  <c r="E183" i="37"/>
  <c r="E182" i="37"/>
  <c r="E181" i="37"/>
  <c r="E179" i="37"/>
  <c r="E178" i="37"/>
  <c r="E177" i="37"/>
  <c r="E175" i="37"/>
  <c r="M174" i="37"/>
  <c r="L174" i="37"/>
  <c r="K174" i="37"/>
  <c r="J174" i="37"/>
  <c r="I174" i="37"/>
  <c r="E174" i="37"/>
  <c r="E173" i="37"/>
  <c r="E172" i="37"/>
  <c r="E170" i="37"/>
  <c r="E169" i="37"/>
  <c r="E168" i="37"/>
  <c r="E167" i="37"/>
  <c r="E166" i="37"/>
  <c r="E164" i="37"/>
  <c r="E162" i="37"/>
  <c r="E161" i="37"/>
  <c r="E160" i="37"/>
  <c r="E158" i="37"/>
  <c r="E157" i="37"/>
  <c r="E156" i="37"/>
  <c r="E154" i="37"/>
  <c r="E153" i="37"/>
  <c r="E152" i="37"/>
  <c r="E151" i="37"/>
  <c r="E150" i="37"/>
  <c r="E149" i="37"/>
  <c r="E148" i="37"/>
  <c r="E147" i="37"/>
  <c r="E146" i="37"/>
  <c r="E144" i="37"/>
  <c r="E142" i="37"/>
  <c r="E141" i="37"/>
  <c r="E140" i="37"/>
  <c r="E139" i="37"/>
  <c r="M137" i="37"/>
  <c r="M134" i="37" s="1"/>
  <c r="M135" i="37" s="1"/>
  <c r="L137" i="37"/>
  <c r="L134" i="37"/>
  <c r="L135" i="37" s="1"/>
  <c r="K137" i="37"/>
  <c r="K134" i="37" s="1"/>
  <c r="K135" i="37" s="1"/>
  <c r="J137" i="37"/>
  <c r="J134" i="37" s="1"/>
  <c r="J135" i="37" s="1"/>
  <c r="I137" i="37"/>
  <c r="I134" i="37" s="1"/>
  <c r="I135" i="37" s="1"/>
  <c r="E137" i="37"/>
  <c r="M136" i="37"/>
  <c r="L136" i="37"/>
  <c r="K136" i="37"/>
  <c r="J136" i="37"/>
  <c r="I136" i="37"/>
  <c r="E136" i="37"/>
  <c r="E134" i="37"/>
  <c r="E133" i="37"/>
  <c r="E132" i="37"/>
  <c r="E131" i="37"/>
  <c r="E130" i="37"/>
  <c r="E129" i="37"/>
  <c r="E127" i="37"/>
  <c r="M125" i="37"/>
  <c r="M122" i="37" s="1"/>
  <c r="M123" i="37" s="1"/>
  <c r="L125" i="37"/>
  <c r="L122" i="37" s="1"/>
  <c r="L123" i="37"/>
  <c r="K125" i="37"/>
  <c r="K122" i="37"/>
  <c r="K123" i="37" s="1"/>
  <c r="J125" i="37"/>
  <c r="J122" i="37" s="1"/>
  <c r="J123" i="37" s="1"/>
  <c r="I125" i="37"/>
  <c r="I122" i="37" s="1"/>
  <c r="I123" i="37" s="1"/>
  <c r="E125" i="37"/>
  <c r="M124" i="37"/>
  <c r="L124" i="37"/>
  <c r="K124" i="37"/>
  <c r="J124" i="37"/>
  <c r="I124" i="37"/>
  <c r="E124" i="37"/>
  <c r="E122" i="37"/>
  <c r="E121" i="37"/>
  <c r="E120" i="37"/>
  <c r="E119" i="37"/>
  <c r="E118" i="37"/>
  <c r="E117" i="37"/>
  <c r="E115" i="37"/>
  <c r="E114" i="37"/>
  <c r="E113" i="37"/>
  <c r="E112" i="37"/>
  <c r="E111" i="37"/>
  <c r="E110" i="37"/>
  <c r="E109" i="37"/>
  <c r="E108" i="37"/>
  <c r="E107" i="37"/>
  <c r="E106" i="37"/>
  <c r="E104" i="37"/>
  <c r="E101" i="37"/>
  <c r="E100" i="37"/>
  <c r="E99" i="37"/>
  <c r="E94" i="37"/>
  <c r="F93" i="37"/>
  <c r="F92" i="37"/>
  <c r="F91" i="37"/>
  <c r="F90" i="37"/>
  <c r="F89" i="37"/>
  <c r="F88" i="37"/>
  <c r="F87" i="37"/>
  <c r="E86" i="37"/>
  <c r="E85" i="37"/>
  <c r="E84" i="37"/>
  <c r="E82" i="37"/>
  <c r="E80" i="37"/>
  <c r="E79" i="37"/>
  <c r="E78" i="37"/>
  <c r="E77" i="37"/>
  <c r="D73" i="37"/>
  <c r="M70" i="37"/>
  <c r="L70" i="37"/>
  <c r="K70" i="37"/>
  <c r="J70" i="37"/>
  <c r="I70" i="37"/>
  <c r="E70" i="37"/>
  <c r="D61" i="37"/>
  <c r="D62" i="37"/>
  <c r="D63" i="37" s="1"/>
  <c r="D64" i="37" s="1"/>
  <c r="D65" i="37" s="1"/>
  <c r="D66" i="37" s="1"/>
  <c r="D67" i="37" s="1"/>
  <c r="D68" i="37" s="1"/>
  <c r="D69" i="37" s="1"/>
  <c r="F59" i="37"/>
  <c r="E57" i="37"/>
  <c r="E52" i="37"/>
  <c r="E51" i="37"/>
  <c r="E50" i="37"/>
  <c r="E49" i="37"/>
  <c r="D47" i="37"/>
  <c r="M45" i="37"/>
  <c r="L45" i="37"/>
  <c r="K45" i="37"/>
  <c r="J45" i="37"/>
  <c r="I45" i="37"/>
  <c r="E45" i="37"/>
  <c r="E44" i="37"/>
  <c r="E43" i="37"/>
  <c r="E42" i="37"/>
  <c r="E41" i="37"/>
  <c r="E40" i="37"/>
  <c r="E39" i="37"/>
  <c r="E38" i="37"/>
  <c r="Q37" i="37"/>
  <c r="E37" i="37"/>
  <c r="P35" i="37"/>
  <c r="E35" i="37"/>
  <c r="E34" i="37"/>
  <c r="Q32" i="37"/>
  <c r="E30" i="37"/>
  <c r="E29" i="37"/>
  <c r="E27" i="37"/>
  <c r="E26" i="37"/>
  <c r="E24" i="37"/>
  <c r="E23" i="37"/>
  <c r="E22" i="37"/>
  <c r="E21" i="37"/>
  <c r="E20" i="37"/>
  <c r="E19" i="37"/>
  <c r="F17" i="37"/>
  <c r="F16" i="37"/>
  <c r="E15" i="37"/>
  <c r="E14" i="37"/>
  <c r="P13" i="37"/>
  <c r="H296" i="47"/>
  <c r="H294" i="47"/>
  <c r="H293" i="47"/>
  <c r="H292" i="47"/>
  <c r="H290" i="47"/>
  <c r="M283" i="47"/>
  <c r="M301" i="47" s="1"/>
  <c r="M303" i="47" s="1"/>
  <c r="M305" i="47" s="1"/>
  <c r="I283" i="47"/>
  <c r="I301" i="47" s="1"/>
  <c r="E283" i="47"/>
  <c r="E280" i="47"/>
  <c r="E277" i="47"/>
  <c r="E275" i="47"/>
  <c r="E273" i="47"/>
  <c r="E271" i="47"/>
  <c r="E270" i="47"/>
  <c r="E269" i="47"/>
  <c r="E266" i="47"/>
  <c r="E265" i="47"/>
  <c r="E262" i="47"/>
  <c r="E261" i="47"/>
  <c r="D259" i="47"/>
  <c r="E334" i="41"/>
  <c r="E332" i="41"/>
  <c r="M420" i="41"/>
  <c r="L420" i="41"/>
  <c r="K420" i="41"/>
  <c r="J420" i="41"/>
  <c r="I420" i="41"/>
  <c r="M419" i="41"/>
  <c r="L419" i="41"/>
  <c r="K419" i="41"/>
  <c r="J419" i="41"/>
  <c r="I419" i="41"/>
  <c r="S45" i="41"/>
  <c r="P274" i="34"/>
  <c r="E277" i="34"/>
  <c r="E276" i="34"/>
  <c r="E275" i="34"/>
  <c r="E274" i="34"/>
  <c r="E273" i="34"/>
  <c r="E272" i="34"/>
  <c r="E271" i="34"/>
  <c r="E270" i="34"/>
  <c r="E269" i="34"/>
  <c r="E268" i="34"/>
  <c r="G274" i="34"/>
  <c r="G276" i="34"/>
  <c r="D717" i="42"/>
  <c r="D718" i="42" s="1"/>
  <c r="D719" i="42"/>
  <c r="D720" i="42" s="1"/>
  <c r="D721" i="42" s="1"/>
  <c r="D722" i="42" s="1"/>
  <c r="D723" i="42" s="1"/>
  <c r="D724" i="42" s="1"/>
  <c r="D725" i="42" s="1"/>
  <c r="D543" i="42"/>
  <c r="S242" i="41"/>
  <c r="P270" i="34"/>
  <c r="G270" i="34"/>
  <c r="E1361" i="50"/>
  <c r="E1360" i="50"/>
  <c r="E1269" i="50"/>
  <c r="E1268" i="50"/>
  <c r="E1435" i="50"/>
  <c r="E1403" i="50"/>
  <c r="E1222" i="50"/>
  <c r="H35" i="51"/>
  <c r="I439" i="42"/>
  <c r="E447" i="42" s="1"/>
  <c r="I418" i="41"/>
  <c r="U267" i="34"/>
  <c r="T267" i="34"/>
  <c r="S267" i="34"/>
  <c r="O267" i="34"/>
  <c r="K267" i="34"/>
  <c r="J267" i="34"/>
  <c r="H267" i="34"/>
  <c r="G267" i="34"/>
  <c r="F267" i="34"/>
  <c r="E267" i="34"/>
  <c r="D267" i="34"/>
  <c r="A266" i="34"/>
  <c r="F264" i="34"/>
  <c r="K263" i="34"/>
  <c r="F263" i="34"/>
  <c r="K262" i="34"/>
  <c r="F262" i="34"/>
  <c r="F261" i="34"/>
  <c r="F260" i="34"/>
  <c r="K259" i="34"/>
  <c r="F259" i="34"/>
  <c r="K258" i="34"/>
  <c r="F258" i="34"/>
  <c r="F257" i="34"/>
  <c r="F256" i="34"/>
  <c r="K255" i="34"/>
  <c r="G255" i="34"/>
  <c r="F255" i="34"/>
  <c r="K254" i="34"/>
  <c r="F254" i="34"/>
  <c r="F253" i="34"/>
  <c r="F252" i="34"/>
  <c r="K251" i="34"/>
  <c r="F251" i="34"/>
  <c r="F250" i="34"/>
  <c r="G249" i="34"/>
  <c r="F249" i="34"/>
  <c r="G248" i="34"/>
  <c r="F248" i="34"/>
  <c r="G247" i="34"/>
  <c r="F247" i="34"/>
  <c r="F246" i="34"/>
  <c r="G245" i="34"/>
  <c r="F245" i="34"/>
  <c r="G244" i="34"/>
  <c r="F244" i="34"/>
  <c r="G243" i="34"/>
  <c r="F243" i="34"/>
  <c r="G242" i="34"/>
  <c r="F242" i="34"/>
  <c r="K241" i="34"/>
  <c r="G241" i="34"/>
  <c r="F241" i="34"/>
  <c r="K240" i="34"/>
  <c r="G240" i="34"/>
  <c r="F240" i="34"/>
  <c r="K239" i="34"/>
  <c r="G239" i="34"/>
  <c r="F239" i="34"/>
  <c r="F238" i="34"/>
  <c r="F237" i="34"/>
  <c r="F236" i="34"/>
  <c r="F235" i="34"/>
  <c r="F234" i="34"/>
  <c r="F233" i="34"/>
  <c r="F232" i="34"/>
  <c r="F231" i="34"/>
  <c r="F230" i="34"/>
  <c r="F229" i="34"/>
  <c r="F228" i="34"/>
  <c r="F227" i="34"/>
  <c r="F226" i="34"/>
  <c r="K225" i="34"/>
  <c r="F225" i="34"/>
  <c r="K224" i="34"/>
  <c r="F224" i="34"/>
  <c r="F223" i="34"/>
  <c r="F222" i="34"/>
  <c r="F221" i="34"/>
  <c r="F220" i="34"/>
  <c r="F217" i="34"/>
  <c r="F216" i="34"/>
  <c r="F215" i="34"/>
  <c r="F213" i="34"/>
  <c r="K212" i="34"/>
  <c r="G212" i="34"/>
  <c r="F212" i="34"/>
  <c r="U211" i="34"/>
  <c r="T211" i="34"/>
  <c r="S211" i="34"/>
  <c r="O211" i="34"/>
  <c r="N211" i="34"/>
  <c r="M211" i="34"/>
  <c r="L211" i="34"/>
  <c r="K211" i="34"/>
  <c r="J211" i="34"/>
  <c r="H211" i="34"/>
  <c r="G211" i="34"/>
  <c r="F211" i="34"/>
  <c r="E211" i="34"/>
  <c r="D211" i="34"/>
  <c r="B211" i="34"/>
  <c r="A211" i="34"/>
  <c r="A210" i="34"/>
  <c r="H208" i="34"/>
  <c r="B208" i="34" s="1"/>
  <c r="B207" i="34"/>
  <c r="H206" i="34"/>
  <c r="B206" i="34" s="1"/>
  <c r="H205" i="34"/>
  <c r="B205" i="34" s="1"/>
  <c r="A264" i="34" s="1"/>
  <c r="H203" i="34"/>
  <c r="B203" i="34" s="1"/>
  <c r="H202" i="34"/>
  <c r="B202" i="34" s="1"/>
  <c r="A253" i="34" s="1"/>
  <c r="H201" i="34"/>
  <c r="B201" i="34" s="1"/>
  <c r="H200" i="34"/>
  <c r="B200" i="34"/>
  <c r="A252" i="34"/>
  <c r="H199" i="34"/>
  <c r="B199" i="34" s="1"/>
  <c r="A251" i="34" s="1"/>
  <c r="B198" i="34"/>
  <c r="A250" i="34" s="1"/>
  <c r="H197" i="34"/>
  <c r="B197" i="34"/>
  <c r="H196" i="34"/>
  <c r="B196" i="34" s="1"/>
  <c r="B195" i="34"/>
  <c r="A236" i="34"/>
  <c r="H194" i="34"/>
  <c r="B194" i="34" s="1"/>
  <c r="A235" i="34" s="1"/>
  <c r="H193" i="34"/>
  <c r="B193" i="34" s="1"/>
  <c r="H192" i="34"/>
  <c r="B192" i="34" s="1"/>
  <c r="H191" i="34"/>
  <c r="B191" i="34" s="1"/>
  <c r="H190" i="34"/>
  <c r="B190" i="34" s="1"/>
  <c r="H189" i="34"/>
  <c r="B189" i="34" s="1"/>
  <c r="H188" i="34"/>
  <c r="B188" i="34" s="1"/>
  <c r="H186" i="34"/>
  <c r="B186" i="34" s="1"/>
  <c r="H184" i="34"/>
  <c r="B184" i="34"/>
  <c r="A214" i="34" s="1"/>
  <c r="H183" i="34"/>
  <c r="B183" i="34"/>
  <c r="A213" i="34" s="1"/>
  <c r="B182" i="34"/>
  <c r="A212" i="34" s="1"/>
  <c r="H181" i="34"/>
  <c r="B181" i="34" s="1"/>
  <c r="P116" i="43"/>
  <c r="B180" i="34"/>
  <c r="A180" i="34"/>
  <c r="A179" i="34"/>
  <c r="D175" i="34"/>
  <c r="C175" i="34"/>
  <c r="B175" i="34"/>
  <c r="P1559" i="50"/>
  <c r="B126" i="34"/>
  <c r="B125" i="34"/>
  <c r="B124" i="34"/>
  <c r="B123" i="34"/>
  <c r="B122" i="34"/>
  <c r="E259" i="41" s="1"/>
  <c r="B120" i="34"/>
  <c r="B119" i="34"/>
  <c r="B118" i="34"/>
  <c r="B117" i="34"/>
  <c r="B116" i="34"/>
  <c r="D12" i="55"/>
  <c r="B115" i="34"/>
  <c r="B114" i="34"/>
  <c r="B113" i="34"/>
  <c r="E74" i="49" s="1"/>
  <c r="B112" i="34"/>
  <c r="B111" i="34"/>
  <c r="B110" i="34"/>
  <c r="B109" i="34"/>
  <c r="B108" i="34"/>
  <c r="B107" i="34"/>
  <c r="B106" i="34"/>
  <c r="B105" i="34"/>
  <c r="B104" i="34"/>
  <c r="B103" i="34"/>
  <c r="B102" i="34"/>
  <c r="B100" i="34"/>
  <c r="AF99" i="34"/>
  <c r="AE99" i="34"/>
  <c r="AD99" i="34"/>
  <c r="AC99" i="34"/>
  <c r="AB99" i="34"/>
  <c r="AA99" i="34"/>
  <c r="Z99" i="34"/>
  <c r="Y99" i="34"/>
  <c r="X99" i="34"/>
  <c r="W99" i="34"/>
  <c r="V99" i="34"/>
  <c r="U99" i="34"/>
  <c r="T99" i="34"/>
  <c r="S99" i="34"/>
  <c r="R99" i="34"/>
  <c r="Q99" i="34"/>
  <c r="P99" i="34"/>
  <c r="O99" i="34"/>
  <c r="N99" i="34"/>
  <c r="M99" i="34"/>
  <c r="L99" i="34"/>
  <c r="K99" i="34"/>
  <c r="J99" i="34"/>
  <c r="I99" i="34"/>
  <c r="H99" i="34"/>
  <c r="G99" i="34"/>
  <c r="F99" i="34"/>
  <c r="E99" i="34"/>
  <c r="D99" i="34"/>
  <c r="C99" i="34"/>
  <c r="B99" i="34"/>
  <c r="AF98" i="34"/>
  <c r="AE98" i="34"/>
  <c r="AD98" i="34"/>
  <c r="AC98" i="34"/>
  <c r="AB98" i="34"/>
  <c r="AA98" i="34"/>
  <c r="Z98" i="34"/>
  <c r="Y98" i="34"/>
  <c r="X98" i="34"/>
  <c r="W98" i="34"/>
  <c r="V98" i="34"/>
  <c r="U98" i="34"/>
  <c r="T98" i="34"/>
  <c r="S98" i="34"/>
  <c r="R98" i="34"/>
  <c r="Q98" i="34"/>
  <c r="P98" i="34"/>
  <c r="O98" i="34"/>
  <c r="N98" i="34"/>
  <c r="M98" i="34"/>
  <c r="L98" i="34"/>
  <c r="K98" i="34"/>
  <c r="J98" i="34"/>
  <c r="I98" i="34"/>
  <c r="H98" i="34"/>
  <c r="G98" i="34"/>
  <c r="F98" i="34"/>
  <c r="E98" i="34"/>
  <c r="D98" i="34"/>
  <c r="C98" i="34"/>
  <c r="B98" i="34"/>
  <c r="AF96" i="34"/>
  <c r="AE96" i="34"/>
  <c r="AD96" i="34"/>
  <c r="AC96" i="34"/>
  <c r="AB96" i="34"/>
  <c r="AA96" i="34"/>
  <c r="Z96" i="34"/>
  <c r="Y96" i="34"/>
  <c r="E97" i="34" s="1"/>
  <c r="X96" i="34"/>
  <c r="W96" i="34"/>
  <c r="V96" i="34"/>
  <c r="U96" i="34"/>
  <c r="T96" i="34"/>
  <c r="S96" i="34"/>
  <c r="R96" i="34"/>
  <c r="D97" i="34" s="1"/>
  <c r="Q96" i="34"/>
  <c r="P96" i="34"/>
  <c r="O96" i="34"/>
  <c r="N96" i="34"/>
  <c r="M96" i="34"/>
  <c r="L96" i="34"/>
  <c r="K96" i="34"/>
  <c r="J96" i="34"/>
  <c r="I96" i="34"/>
  <c r="H96" i="34"/>
  <c r="F96" i="34"/>
  <c r="E96" i="34"/>
  <c r="D96" i="34"/>
  <c r="B97" i="34"/>
  <c r="C96" i="34"/>
  <c r="B96" i="34"/>
  <c r="B95" i="34"/>
  <c r="B93" i="34"/>
  <c r="B92" i="34"/>
  <c r="B91" i="34"/>
  <c r="C29" i="10" s="1"/>
  <c r="B90" i="34"/>
  <c r="C30" i="10" s="1"/>
  <c r="B89" i="34"/>
  <c r="C28" i="10"/>
  <c r="B71" i="34"/>
  <c r="E186" i="43"/>
  <c r="E49" i="50" s="1"/>
  <c r="B70" i="34"/>
  <c r="B69" i="34"/>
  <c r="B68" i="34"/>
  <c r="H213" i="47" s="1"/>
  <c r="C62" i="34"/>
  <c r="C59" i="34"/>
  <c r="B59" i="34"/>
  <c r="B57" i="34"/>
  <c r="AC516" i="42" s="1"/>
  <c r="M701" i="42"/>
  <c r="B56" i="34"/>
  <c r="M247" i="42"/>
  <c r="J51" i="34"/>
  <c r="I51" i="34"/>
  <c r="H51" i="34"/>
  <c r="G51" i="34"/>
  <c r="F51" i="34"/>
  <c r="E51" i="34"/>
  <c r="D51" i="34"/>
  <c r="C51" i="34"/>
  <c r="E50" i="34"/>
  <c r="D50" i="34"/>
  <c r="C50" i="34"/>
  <c r="B50" i="34"/>
  <c r="F49" i="34"/>
  <c r="E49" i="34"/>
  <c r="D49" i="34"/>
  <c r="C49" i="34"/>
  <c r="B49" i="34"/>
  <c r="B48" i="34"/>
  <c r="H401" i="43" s="1"/>
  <c r="C47" i="34"/>
  <c r="B47" i="34"/>
  <c r="C46" i="34"/>
  <c r="B46" i="34"/>
  <c r="E45" i="34"/>
  <c r="D45" i="34"/>
  <c r="C45" i="34"/>
  <c r="B45" i="34"/>
  <c r="F44" i="34"/>
  <c r="E44" i="34"/>
  <c r="D44" i="34"/>
  <c r="B44" i="34"/>
  <c r="B40" i="34"/>
  <c r="B18" i="34"/>
  <c r="B17" i="34"/>
  <c r="B36" i="34" s="1"/>
  <c r="B16" i="34"/>
  <c r="D343" i="42" s="1"/>
  <c r="B15" i="34"/>
  <c r="B14" i="34"/>
  <c r="B13" i="34"/>
  <c r="B12" i="34"/>
  <c r="B11" i="34"/>
  <c r="B10" i="34"/>
  <c r="B30" i="34" s="1"/>
  <c r="B9" i="34"/>
  <c r="P279" i="43"/>
  <c r="Q279" i="43" s="1"/>
  <c r="C8" i="34"/>
  <c r="B8" i="34"/>
  <c r="C1" i="34"/>
  <c r="B1" i="34"/>
  <c r="A1" i="34"/>
  <c r="E1642" i="50"/>
  <c r="D1640" i="50"/>
  <c r="D1619" i="50"/>
  <c r="E1616" i="50"/>
  <c r="E1614" i="50"/>
  <c r="E1613" i="50"/>
  <c r="E1607" i="50"/>
  <c r="E1606" i="50"/>
  <c r="E1605" i="50"/>
  <c r="D1600" i="50"/>
  <c r="D1598" i="50"/>
  <c r="D1577" i="50"/>
  <c r="E1575" i="50"/>
  <c r="E1568" i="50"/>
  <c r="E1567" i="50"/>
  <c r="E1566" i="50"/>
  <c r="E1564" i="50"/>
  <c r="E1562" i="50"/>
  <c r="E1561" i="50"/>
  <c r="E1560" i="50"/>
  <c r="E1559" i="50"/>
  <c r="E1557" i="50"/>
  <c r="E1556" i="50"/>
  <c r="D1555" i="50"/>
  <c r="D1553" i="50"/>
  <c r="F1551" i="50"/>
  <c r="F1550" i="50"/>
  <c r="F1549" i="50"/>
  <c r="F1547" i="50"/>
  <c r="F1546" i="50"/>
  <c r="F1545" i="50"/>
  <c r="E1544" i="50"/>
  <c r="F1543" i="50"/>
  <c r="F1542" i="50"/>
  <c r="F1541" i="50"/>
  <c r="E1540" i="50"/>
  <c r="D1538" i="50"/>
  <c r="C54" i="9" s="1"/>
  <c r="E1515" i="50"/>
  <c r="M1510" i="50"/>
  <c r="K1510" i="50"/>
  <c r="I1510" i="50"/>
  <c r="E1508" i="50"/>
  <c r="E1507" i="50"/>
  <c r="M1501" i="50"/>
  <c r="H1501" i="50"/>
  <c r="E1495" i="50"/>
  <c r="M1490" i="50"/>
  <c r="K1490" i="50"/>
  <c r="I1490" i="50"/>
  <c r="E1488" i="50"/>
  <c r="E1487" i="50"/>
  <c r="M1481" i="50"/>
  <c r="H1481" i="50"/>
  <c r="E1442" i="50"/>
  <c r="E1440" i="50"/>
  <c r="E1436" i="50"/>
  <c r="E1434" i="50"/>
  <c r="E1431" i="50"/>
  <c r="M1426" i="50"/>
  <c r="K1426" i="50"/>
  <c r="I1426" i="50"/>
  <c r="E1424" i="50"/>
  <c r="E1423" i="50"/>
  <c r="M1417" i="50"/>
  <c r="H1417" i="50"/>
  <c r="E1410" i="50"/>
  <c r="E1408" i="50"/>
  <c r="E1404" i="50"/>
  <c r="E1402" i="50"/>
  <c r="E1399" i="50"/>
  <c r="M1394" i="50"/>
  <c r="K1394" i="50"/>
  <c r="I1394" i="50"/>
  <c r="E1392" i="50"/>
  <c r="E1391" i="50"/>
  <c r="M1385" i="50"/>
  <c r="H1385" i="50"/>
  <c r="E1379" i="50"/>
  <c r="E1378" i="50"/>
  <c r="E1377" i="50"/>
  <c r="E1376" i="50"/>
  <c r="E1375" i="50"/>
  <c r="E1374" i="50"/>
  <c r="E1373" i="50"/>
  <c r="E1372" i="50"/>
  <c r="E1371" i="50"/>
  <c r="E1370" i="50"/>
  <c r="E1368" i="50"/>
  <c r="E1359" i="50"/>
  <c r="E1358" i="50"/>
  <c r="E1356" i="50"/>
  <c r="M1348" i="50"/>
  <c r="K1348" i="50"/>
  <c r="I1348" i="50"/>
  <c r="E1346" i="50"/>
  <c r="E1345" i="50"/>
  <c r="M1339" i="50"/>
  <c r="H1339" i="50"/>
  <c r="E1287" i="50"/>
  <c r="E1286" i="50"/>
  <c r="E1285" i="50"/>
  <c r="E1284" i="50"/>
  <c r="E1283" i="50"/>
  <c r="E1282" i="50"/>
  <c r="E1281" i="50"/>
  <c r="E1280" i="50"/>
  <c r="E1279" i="50"/>
  <c r="E1278" i="50"/>
  <c r="E1276" i="50"/>
  <c r="E1267" i="50"/>
  <c r="E1266" i="50"/>
  <c r="E1264" i="50"/>
  <c r="M1256" i="50"/>
  <c r="K1256" i="50"/>
  <c r="I1256" i="50"/>
  <c r="E1254" i="50"/>
  <c r="E1253" i="50"/>
  <c r="M1247" i="50"/>
  <c r="H1247" i="50"/>
  <c r="E1241" i="50"/>
  <c r="E1240" i="50"/>
  <c r="E1239" i="50"/>
  <c r="E1238" i="50"/>
  <c r="E1237" i="50"/>
  <c r="E1236" i="50"/>
  <c r="E1235" i="50"/>
  <c r="E1234" i="50"/>
  <c r="E1233" i="50"/>
  <c r="E1232" i="50"/>
  <c r="E1230" i="50"/>
  <c r="E1223" i="50"/>
  <c r="E1221" i="50"/>
  <c r="E1220" i="50"/>
  <c r="E1218" i="50"/>
  <c r="M1210" i="50"/>
  <c r="K1210" i="50"/>
  <c r="I1210" i="50"/>
  <c r="E1208" i="50"/>
  <c r="E1207" i="50"/>
  <c r="M1201" i="50"/>
  <c r="L1201" i="50"/>
  <c r="J1201" i="50"/>
  <c r="I1201" i="50"/>
  <c r="H1201" i="50"/>
  <c r="E560" i="50"/>
  <c r="E557" i="50"/>
  <c r="E565" i="50"/>
  <c r="E555" i="50"/>
  <c r="E518" i="50"/>
  <c r="E553" i="50"/>
  <c r="E552" i="50"/>
  <c r="E551" i="50"/>
  <c r="E550" i="50"/>
  <c r="E549" i="50"/>
  <c r="E548" i="50"/>
  <c r="E547" i="50"/>
  <c r="E546" i="50"/>
  <c r="E545" i="50"/>
  <c r="E544" i="50"/>
  <c r="E542" i="50"/>
  <c r="E541" i="50"/>
  <c r="E539" i="50"/>
  <c r="E538" i="50"/>
  <c r="E536" i="50"/>
  <c r="E535" i="50"/>
  <c r="E533" i="50"/>
  <c r="E532" i="50"/>
  <c r="E531" i="50"/>
  <c r="E530" i="50"/>
  <c r="E528" i="50"/>
  <c r="E525" i="50"/>
  <c r="M520" i="50"/>
  <c r="K520" i="50"/>
  <c r="I520" i="50"/>
  <c r="E516" i="50"/>
  <c r="E515" i="50"/>
  <c r="E512" i="50"/>
  <c r="I511" i="50"/>
  <c r="G511" i="50"/>
  <c r="M509" i="50"/>
  <c r="L509" i="50"/>
  <c r="K509" i="50"/>
  <c r="J509" i="50"/>
  <c r="H509" i="50"/>
  <c r="F503" i="50"/>
  <c r="D503" i="50"/>
  <c r="F502" i="50"/>
  <c r="D502" i="50"/>
  <c r="F501" i="50"/>
  <c r="F500" i="50"/>
  <c r="D500" i="50"/>
  <c r="F498" i="50"/>
  <c r="F497" i="50"/>
  <c r="F496" i="50"/>
  <c r="D496" i="50"/>
  <c r="F495" i="50"/>
  <c r="D495" i="50"/>
  <c r="F494" i="50"/>
  <c r="D494" i="50"/>
  <c r="F493" i="50"/>
  <c r="D493" i="50"/>
  <c r="F492" i="50"/>
  <c r="D492" i="50"/>
  <c r="F491" i="50"/>
  <c r="D491" i="50"/>
  <c r="F489" i="50"/>
  <c r="D489" i="50"/>
  <c r="D488" i="50"/>
  <c r="D486" i="50"/>
  <c r="D484" i="50"/>
  <c r="C53" i="9" s="1"/>
  <c r="H372" i="50"/>
  <c r="D371" i="50"/>
  <c r="D268" i="50"/>
  <c r="E233" i="50"/>
  <c r="E231" i="50"/>
  <c r="E230" i="50"/>
  <c r="E221" i="50"/>
  <c r="E219" i="50"/>
  <c r="E218" i="50"/>
  <c r="H216" i="50"/>
  <c r="D212" i="50"/>
  <c r="E205" i="50"/>
  <c r="E203" i="50"/>
  <c r="E202" i="50"/>
  <c r="E199" i="50"/>
  <c r="E194" i="50"/>
  <c r="E189" i="50"/>
  <c r="E187" i="50"/>
  <c r="E180" i="50"/>
  <c r="E178" i="50"/>
  <c r="E177" i="50"/>
  <c r="E174" i="50"/>
  <c r="E169" i="50"/>
  <c r="E164" i="50"/>
  <c r="E162" i="50"/>
  <c r="D160" i="50"/>
  <c r="E135" i="50"/>
  <c r="E158" i="50"/>
  <c r="E114" i="50"/>
  <c r="E137" i="50" s="1"/>
  <c r="F109" i="50"/>
  <c r="F108" i="50"/>
  <c r="F107" i="50"/>
  <c r="F106" i="50"/>
  <c r="F105" i="50"/>
  <c r="F104" i="50"/>
  <c r="F103" i="50"/>
  <c r="F102" i="50"/>
  <c r="E101" i="50"/>
  <c r="D81" i="50"/>
  <c r="D79" i="50"/>
  <c r="C52" i="9" s="1"/>
  <c r="E77" i="50"/>
  <c r="D46" i="50"/>
  <c r="D44" i="50"/>
  <c r="C51" i="9" s="1"/>
  <c r="L32" i="50"/>
  <c r="I32" i="50"/>
  <c r="E32" i="50"/>
  <c r="D31" i="50"/>
  <c r="E23" i="50"/>
  <c r="K21" i="50"/>
  <c r="E21" i="50"/>
  <c r="K20" i="50"/>
  <c r="K19" i="50"/>
  <c r="E19" i="50"/>
  <c r="K18" i="50"/>
  <c r="E18" i="50"/>
  <c r="K17" i="50"/>
  <c r="E17" i="50"/>
  <c r="E15" i="50"/>
  <c r="E14" i="50"/>
  <c r="E13" i="50"/>
  <c r="K12" i="50"/>
  <c r="E12" i="50"/>
  <c r="D10" i="50"/>
  <c r="D8" i="50"/>
  <c r="C50" i="9"/>
  <c r="D6" i="50"/>
  <c r="C49" i="9" s="1"/>
  <c r="G4" i="50"/>
  <c r="E4" i="50"/>
  <c r="M3" i="50"/>
  <c r="K3" i="50"/>
  <c r="I3" i="50"/>
  <c r="G3" i="50"/>
  <c r="E3" i="50"/>
  <c r="I2" i="50"/>
  <c r="G2" i="50"/>
  <c r="E2" i="50"/>
  <c r="B2" i="50"/>
  <c r="C59" i="51"/>
  <c r="C57" i="51"/>
  <c r="C48" i="9" s="1"/>
  <c r="F46" i="51"/>
  <c r="D46" i="51"/>
  <c r="C44" i="51"/>
  <c r="C43" i="51"/>
  <c r="K35" i="51"/>
  <c r="I35" i="51"/>
  <c r="F35" i="51"/>
  <c r="D35" i="51"/>
  <c r="C35" i="51"/>
  <c r="C33" i="51"/>
  <c r="C32" i="51"/>
  <c r="F27" i="51"/>
  <c r="D27" i="51"/>
  <c r="C25" i="51"/>
  <c r="C24" i="51"/>
  <c r="F19" i="51"/>
  <c r="D19" i="51"/>
  <c r="C17" i="51"/>
  <c r="C16" i="51"/>
  <c r="C14" i="51"/>
  <c r="C13" i="51"/>
  <c r="C12" i="51"/>
  <c r="C11" i="51"/>
  <c r="C10" i="51"/>
  <c r="C9" i="51"/>
  <c r="C7" i="51"/>
  <c r="C47" i="9" s="1"/>
  <c r="C5" i="51"/>
  <c r="C46" i="9" s="1"/>
  <c r="D3" i="51"/>
  <c r="D2" i="51"/>
  <c r="L1" i="51"/>
  <c r="J1" i="51"/>
  <c r="H1" i="51"/>
  <c r="F1" i="51"/>
  <c r="D1" i="51"/>
  <c r="A1" i="51"/>
  <c r="C30" i="53"/>
  <c r="C7" i="53"/>
  <c r="C45" i="9"/>
  <c r="C5" i="53"/>
  <c r="C44" i="9" s="1"/>
  <c r="D3" i="53"/>
  <c r="D2" i="53"/>
  <c r="L1" i="53"/>
  <c r="J1" i="53"/>
  <c r="H1" i="53"/>
  <c r="F1" i="53"/>
  <c r="D1" i="53"/>
  <c r="A1" i="53"/>
  <c r="D399" i="47"/>
  <c r="E393" i="47"/>
  <c r="E392" i="47"/>
  <c r="E391" i="47"/>
  <c r="E390" i="47"/>
  <c r="E389" i="47"/>
  <c r="E388" i="47"/>
  <c r="E387" i="47"/>
  <c r="E386" i="47"/>
  <c r="E383" i="47"/>
  <c r="E382" i="47"/>
  <c r="F380" i="47"/>
  <c r="F379" i="47"/>
  <c r="F378" i="47"/>
  <c r="F377" i="47"/>
  <c r="E376" i="47"/>
  <c r="E375" i="47"/>
  <c r="D373" i="47"/>
  <c r="D371" i="47"/>
  <c r="C43" i="9" s="1"/>
  <c r="E367" i="47"/>
  <c r="E364" i="47"/>
  <c r="E363" i="47"/>
  <c r="E361" i="47"/>
  <c r="E360" i="47"/>
  <c r="E359" i="47"/>
  <c r="E358" i="47"/>
  <c r="E357" i="47"/>
  <c r="E355" i="47"/>
  <c r="E354" i="47"/>
  <c r="E353" i="47"/>
  <c r="E350" i="47"/>
  <c r="E349" i="47"/>
  <c r="E347" i="47"/>
  <c r="E346" i="47"/>
  <c r="D344" i="47"/>
  <c r="D342" i="47"/>
  <c r="E338" i="47"/>
  <c r="E335" i="47"/>
  <c r="E333" i="47"/>
  <c r="E331" i="47"/>
  <c r="E329" i="47"/>
  <c r="E328" i="47"/>
  <c r="E327" i="47"/>
  <c r="E325" i="47"/>
  <c r="E323" i="47"/>
  <c r="E322" i="47"/>
  <c r="E321" i="47"/>
  <c r="E318" i="47"/>
  <c r="E317" i="47"/>
  <c r="E315" i="47"/>
  <c r="E314" i="47"/>
  <c r="E313" i="47"/>
  <c r="D311" i="47"/>
  <c r="D309" i="47"/>
  <c r="C41" i="9" s="1"/>
  <c r="D257" i="47"/>
  <c r="I4" i="47" s="1"/>
  <c r="E253" i="47"/>
  <c r="E250" i="47"/>
  <c r="E249" i="47"/>
  <c r="E247" i="47"/>
  <c r="E245" i="47"/>
  <c r="E244" i="47"/>
  <c r="E243" i="47"/>
  <c r="E242" i="47"/>
  <c r="E241" i="47"/>
  <c r="E240" i="47"/>
  <c r="E239" i="47"/>
  <c r="E238" i="47"/>
  <c r="H237" i="47"/>
  <c r="G237" i="47"/>
  <c r="E237" i="47"/>
  <c r="E235" i="47"/>
  <c r="F234" i="47"/>
  <c r="F233" i="47"/>
  <c r="E232" i="47"/>
  <c r="E231" i="47"/>
  <c r="E230" i="47"/>
  <c r="E229" i="47"/>
  <c r="E226" i="47"/>
  <c r="E225" i="47"/>
  <c r="E223" i="47"/>
  <c r="E222" i="47"/>
  <c r="E221" i="47"/>
  <c r="D219" i="47"/>
  <c r="D217" i="47"/>
  <c r="C39" i="9" s="1"/>
  <c r="E213" i="47"/>
  <c r="E211" i="47"/>
  <c r="E210" i="47"/>
  <c r="E208" i="47"/>
  <c r="E207" i="47"/>
  <c r="E206" i="47"/>
  <c r="G205" i="47"/>
  <c r="E205" i="47"/>
  <c r="E204" i="47"/>
  <c r="E203" i="47"/>
  <c r="E201" i="47"/>
  <c r="E200" i="47"/>
  <c r="E199" i="47"/>
  <c r="D197" i="47"/>
  <c r="E195" i="47"/>
  <c r="E191" i="47"/>
  <c r="E189" i="47"/>
  <c r="E188" i="47"/>
  <c r="E187" i="47"/>
  <c r="E186" i="47"/>
  <c r="F185" i="47"/>
  <c r="F184" i="47"/>
  <c r="F183" i="47"/>
  <c r="E182" i="47"/>
  <c r="E181" i="47"/>
  <c r="E179" i="47"/>
  <c r="E177" i="47"/>
  <c r="E176" i="47"/>
  <c r="E173" i="47"/>
  <c r="E172" i="47"/>
  <c r="E170" i="47"/>
  <c r="E169" i="47"/>
  <c r="D167" i="47"/>
  <c r="D165" i="47"/>
  <c r="C38" i="9" s="1"/>
  <c r="E161" i="47"/>
  <c r="E157" i="47"/>
  <c r="E155" i="47"/>
  <c r="E154" i="47"/>
  <c r="F151" i="47"/>
  <c r="F149" i="47"/>
  <c r="E148" i="47"/>
  <c r="E147" i="47"/>
  <c r="E145" i="47"/>
  <c r="E143" i="47"/>
  <c r="E142" i="47"/>
  <c r="E139" i="47"/>
  <c r="E138" i="47"/>
  <c r="E136" i="47"/>
  <c r="E135" i="47"/>
  <c r="D133" i="47"/>
  <c r="D131" i="47"/>
  <c r="K3" i="47" s="1"/>
  <c r="E127" i="47"/>
  <c r="E123" i="47"/>
  <c r="E121" i="47"/>
  <c r="E120" i="47"/>
  <c r="F118" i="47"/>
  <c r="F117" i="47"/>
  <c r="E116" i="47"/>
  <c r="E115" i="47"/>
  <c r="E113" i="47"/>
  <c r="E111" i="47"/>
  <c r="E110" i="47"/>
  <c r="E107" i="47"/>
  <c r="E106" i="47"/>
  <c r="E104" i="47"/>
  <c r="E103" i="47"/>
  <c r="D101" i="47"/>
  <c r="D99" i="47"/>
  <c r="E95" i="47"/>
  <c r="E92" i="47"/>
  <c r="E91" i="47"/>
  <c r="E89" i="47"/>
  <c r="E87" i="47"/>
  <c r="E86" i="47"/>
  <c r="E85" i="47"/>
  <c r="E84" i="47"/>
  <c r="E83" i="47"/>
  <c r="E82" i="47"/>
  <c r="E81" i="47"/>
  <c r="E80" i="47"/>
  <c r="E79" i="47"/>
  <c r="E78" i="47"/>
  <c r="E77" i="47"/>
  <c r="E76" i="47"/>
  <c r="E75" i="47"/>
  <c r="E74" i="47"/>
  <c r="E73" i="47"/>
  <c r="E72" i="47"/>
  <c r="E71" i="47"/>
  <c r="E70" i="47"/>
  <c r="E69" i="47"/>
  <c r="E68" i="47"/>
  <c r="E67" i="47"/>
  <c r="E66" i="47"/>
  <c r="E65" i="47"/>
  <c r="E64" i="47"/>
  <c r="E63" i="47"/>
  <c r="E62" i="47"/>
  <c r="E61" i="47"/>
  <c r="E60" i="47"/>
  <c r="E59" i="47"/>
  <c r="E58" i="47"/>
  <c r="E57" i="47"/>
  <c r="E56" i="47"/>
  <c r="E55" i="47"/>
  <c r="E54" i="47"/>
  <c r="E53" i="47"/>
  <c r="E52" i="47"/>
  <c r="E51" i="47"/>
  <c r="E50" i="47"/>
  <c r="E49" i="47"/>
  <c r="E48" i="47"/>
  <c r="E47" i="47"/>
  <c r="E46" i="47"/>
  <c r="E45" i="47"/>
  <c r="E44" i="47"/>
  <c r="E43" i="47"/>
  <c r="E42" i="47"/>
  <c r="E41" i="47"/>
  <c r="E40" i="47"/>
  <c r="E39" i="47"/>
  <c r="E38" i="47"/>
  <c r="E37" i="47"/>
  <c r="E36" i="47"/>
  <c r="E35" i="47"/>
  <c r="E34" i="47"/>
  <c r="E33" i="47"/>
  <c r="E32" i="47"/>
  <c r="H31" i="47"/>
  <c r="G31" i="47"/>
  <c r="E31" i="47"/>
  <c r="E29" i="47"/>
  <c r="F28" i="47"/>
  <c r="F27" i="47"/>
  <c r="F26" i="47"/>
  <c r="F25" i="47"/>
  <c r="E24" i="47"/>
  <c r="E23" i="47"/>
  <c r="E22" i="47"/>
  <c r="E21" i="47"/>
  <c r="E18" i="47"/>
  <c r="E17" i="47"/>
  <c r="E15" i="47"/>
  <c r="E14" i="47"/>
  <c r="E13" i="47"/>
  <c r="D11" i="47"/>
  <c r="D9" i="47"/>
  <c r="C35" i="9"/>
  <c r="D7" i="47"/>
  <c r="C34" i="9" s="1"/>
  <c r="E4" i="47"/>
  <c r="E3" i="47"/>
  <c r="M2" i="47"/>
  <c r="K2" i="47"/>
  <c r="I2" i="47"/>
  <c r="G2" i="47"/>
  <c r="E2" i="47"/>
  <c r="B2" i="47"/>
  <c r="D785" i="42"/>
  <c r="E740" i="42"/>
  <c r="E729" i="42"/>
  <c r="E727" i="42"/>
  <c r="H715" i="42"/>
  <c r="E715" i="42"/>
  <c r="E713" i="42"/>
  <c r="D711" i="42"/>
  <c r="E708" i="42"/>
  <c r="E707" i="42"/>
  <c r="E706" i="42"/>
  <c r="E698" i="42"/>
  <c r="E687" i="42"/>
  <c r="E685" i="42"/>
  <c r="H673" i="42"/>
  <c r="E673" i="42"/>
  <c r="E671" i="42"/>
  <c r="E670" i="42"/>
  <c r="D668" i="42"/>
  <c r="E665" i="42"/>
  <c r="E664" i="42"/>
  <c r="E663" i="42"/>
  <c r="E583" i="42"/>
  <c r="E582" i="42"/>
  <c r="E577" i="42"/>
  <c r="E576" i="42"/>
  <c r="E574" i="42"/>
  <c r="E571" i="42"/>
  <c r="E567" i="42"/>
  <c r="E566" i="42"/>
  <c r="E565" i="42"/>
  <c r="D561" i="42"/>
  <c r="E558" i="42"/>
  <c r="E547" i="42"/>
  <c r="E545" i="42"/>
  <c r="G533" i="42"/>
  <c r="E533" i="42"/>
  <c r="F531" i="42"/>
  <c r="F530" i="42"/>
  <c r="E529" i="42"/>
  <c r="E528" i="42"/>
  <c r="D526" i="42"/>
  <c r="E523" i="42"/>
  <c r="E522" i="42"/>
  <c r="E521" i="42"/>
  <c r="E512" i="42"/>
  <c r="E511" i="42"/>
  <c r="E510" i="42"/>
  <c r="E509" i="42"/>
  <c r="E504" i="42"/>
  <c r="E503" i="42"/>
  <c r="E501" i="42"/>
  <c r="E497" i="42"/>
  <c r="E496" i="42"/>
  <c r="E492" i="42"/>
  <c r="E491" i="42"/>
  <c r="E490" i="42"/>
  <c r="E489" i="42"/>
  <c r="E488" i="42"/>
  <c r="D484" i="42"/>
  <c r="E481" i="42"/>
  <c r="E470" i="42"/>
  <c r="E468" i="42"/>
  <c r="G456" i="42"/>
  <c r="E456" i="42"/>
  <c r="F454" i="42"/>
  <c r="F453" i="42"/>
  <c r="E452" i="42"/>
  <c r="E451" i="42"/>
  <c r="D449" i="42"/>
  <c r="E446" i="42"/>
  <c r="E445" i="42"/>
  <c r="E444" i="42"/>
  <c r="E243" i="42"/>
  <c r="E241" i="42"/>
  <c r="E240" i="42"/>
  <c r="E239" i="42"/>
  <c r="E237" i="42"/>
  <c r="E236" i="42"/>
  <c r="E235" i="42"/>
  <c r="E233" i="42"/>
  <c r="E232" i="42"/>
  <c r="E231" i="42"/>
  <c r="E229" i="42"/>
  <c r="E228" i="42"/>
  <c r="E227" i="42"/>
  <c r="E225" i="42"/>
  <c r="E224" i="42"/>
  <c r="E223" i="42"/>
  <c r="E222" i="42"/>
  <c r="E221" i="42"/>
  <c r="E217" i="42"/>
  <c r="E216" i="42"/>
  <c r="E215" i="42"/>
  <c r="E203" i="42"/>
  <c r="E199" i="42"/>
  <c r="E198" i="42"/>
  <c r="E197" i="42"/>
  <c r="D193" i="42"/>
  <c r="E190" i="42"/>
  <c r="E177" i="42"/>
  <c r="I165" i="42"/>
  <c r="E179" i="42" s="1"/>
  <c r="G165" i="42"/>
  <c r="E165" i="42"/>
  <c r="E163" i="42"/>
  <c r="D161" i="42"/>
  <c r="E158" i="42"/>
  <c r="E157" i="42"/>
  <c r="E156" i="42"/>
  <c r="E147" i="42"/>
  <c r="E145" i="42"/>
  <c r="E144" i="42"/>
  <c r="E143" i="42"/>
  <c r="E141" i="42"/>
  <c r="E140" i="42"/>
  <c r="E139" i="42"/>
  <c r="E137" i="42"/>
  <c r="E136" i="42"/>
  <c r="E135" i="42"/>
  <c r="E133" i="42"/>
  <c r="E132" i="42"/>
  <c r="E131" i="42"/>
  <c r="E129" i="42"/>
  <c r="E128" i="42"/>
  <c r="E127" i="42"/>
  <c r="E126" i="42"/>
  <c r="E125" i="42"/>
  <c r="E124" i="42"/>
  <c r="F123" i="42"/>
  <c r="F122" i="42"/>
  <c r="F121" i="42"/>
  <c r="F120" i="42"/>
  <c r="F119" i="42"/>
  <c r="E118" i="42"/>
  <c r="E117" i="42"/>
  <c r="E116" i="42"/>
  <c r="E112" i="42"/>
  <c r="E111" i="42"/>
  <c r="E109" i="42"/>
  <c r="E102" i="42"/>
  <c r="E101" i="42"/>
  <c r="E100" i="42"/>
  <c r="E97" i="42"/>
  <c r="E96" i="42"/>
  <c r="E95" i="42"/>
  <c r="E93" i="42"/>
  <c r="E88" i="42"/>
  <c r="F87" i="42"/>
  <c r="F86" i="42"/>
  <c r="F85" i="42"/>
  <c r="F84" i="42"/>
  <c r="F83" i="42"/>
  <c r="E82" i="42"/>
  <c r="E81" i="42"/>
  <c r="E80" i="42"/>
  <c r="E78" i="42"/>
  <c r="E77" i="42"/>
  <c r="E76" i="42"/>
  <c r="E75" i="42"/>
  <c r="E74" i="42"/>
  <c r="D70" i="42"/>
  <c r="E67" i="42"/>
  <c r="E54" i="42"/>
  <c r="I42" i="42"/>
  <c r="E56" i="42"/>
  <c r="G42" i="42"/>
  <c r="E42" i="42"/>
  <c r="E38" i="42"/>
  <c r="E37" i="42"/>
  <c r="E35" i="42"/>
  <c r="E34" i="42"/>
  <c r="F33" i="42"/>
  <c r="F32" i="42"/>
  <c r="F31" i="42"/>
  <c r="E30" i="42"/>
  <c r="E29" i="42"/>
  <c r="D27" i="42"/>
  <c r="E24" i="42"/>
  <c r="E22" i="42"/>
  <c r="E21" i="42"/>
  <c r="E20" i="42"/>
  <c r="F18" i="42"/>
  <c r="F17" i="42"/>
  <c r="E16" i="42"/>
  <c r="E15" i="42"/>
  <c r="D11" i="42"/>
  <c r="C33" i="9" s="1"/>
  <c r="E9" i="42"/>
  <c r="D7" i="42"/>
  <c r="C32" i="9" s="1"/>
  <c r="E4" i="42"/>
  <c r="E3" i="42"/>
  <c r="M2" i="42"/>
  <c r="K2" i="42"/>
  <c r="I2" i="42"/>
  <c r="G2" i="42"/>
  <c r="E2" i="42"/>
  <c r="B2" i="42"/>
  <c r="D1812" i="37"/>
  <c r="D11" i="37"/>
  <c r="C31" i="9"/>
  <c r="E9" i="37"/>
  <c r="D7" i="37"/>
  <c r="C30" i="9" s="1"/>
  <c r="E4" i="37"/>
  <c r="E3" i="37"/>
  <c r="M2" i="37"/>
  <c r="K2" i="37"/>
  <c r="I2" i="37"/>
  <c r="G2" i="37"/>
  <c r="E2" i="37"/>
  <c r="B2" i="37"/>
  <c r="D396" i="41"/>
  <c r="E393" i="41"/>
  <c r="E389" i="41"/>
  <c r="E482" i="50"/>
  <c r="E388" i="41"/>
  <c r="E386" i="41"/>
  <c r="E481" i="50" s="1"/>
  <c r="E385" i="41"/>
  <c r="E383" i="41"/>
  <c r="E480" i="50" s="1"/>
  <c r="E382" i="41"/>
  <c r="E380" i="41"/>
  <c r="E479" i="50" s="1"/>
  <c r="E379" i="41"/>
  <c r="E377" i="41"/>
  <c r="E478" i="50" s="1"/>
  <c r="E376" i="41"/>
  <c r="E477" i="50" s="1"/>
  <c r="E374" i="41"/>
  <c r="E373" i="41"/>
  <c r="E370" i="41"/>
  <c r="E474" i="50" s="1"/>
  <c r="D368" i="41"/>
  <c r="D472" i="50" s="1"/>
  <c r="D366" i="41"/>
  <c r="C29" i="9" s="1"/>
  <c r="E364" i="41"/>
  <c r="E470" i="50"/>
  <c r="E363" i="41"/>
  <c r="E469" i="50"/>
  <c r="E362" i="41"/>
  <c r="E361" i="41"/>
  <c r="E468" i="50" s="1"/>
  <c r="E355" i="41"/>
  <c r="E463" i="50" s="1"/>
  <c r="E354" i="41"/>
  <c r="E462" i="50"/>
  <c r="E343" i="41"/>
  <c r="E451" i="50" s="1"/>
  <c r="E342" i="41"/>
  <c r="E341" i="41"/>
  <c r="E340" i="41"/>
  <c r="E450" i="50" s="1"/>
  <c r="E338" i="41"/>
  <c r="E448" i="50" s="1"/>
  <c r="E337" i="41"/>
  <c r="E447" i="50" s="1"/>
  <c r="E335" i="41"/>
  <c r="E445" i="50" s="1"/>
  <c r="E327" i="41"/>
  <c r="E437" i="50" s="1"/>
  <c r="E326" i="41"/>
  <c r="E325" i="41"/>
  <c r="E436" i="50" s="1"/>
  <c r="E323" i="41"/>
  <c r="E434" i="50" s="1"/>
  <c r="E312" i="41"/>
  <c r="E423" i="50" s="1"/>
  <c r="E311" i="41"/>
  <c r="E310" i="41"/>
  <c r="E422" i="50" s="1"/>
  <c r="E308" i="41"/>
  <c r="E420" i="50" s="1"/>
  <c r="E307" i="41"/>
  <c r="E419" i="50" s="1"/>
  <c r="E305" i="41"/>
  <c r="E417" i="50" s="1"/>
  <c r="E301" i="41"/>
  <c r="E413" i="50" s="1"/>
  <c r="E300" i="41"/>
  <c r="E299" i="41"/>
  <c r="E412" i="50" s="1"/>
  <c r="E297" i="41"/>
  <c r="E410" i="50" s="1"/>
  <c r="E293" i="41"/>
  <c r="E406" i="50" s="1"/>
  <c r="E292" i="41"/>
  <c r="E291" i="41"/>
  <c r="E290" i="41"/>
  <c r="E405" i="50" s="1"/>
  <c r="E288" i="41"/>
  <c r="E403" i="50" s="1"/>
  <c r="E287" i="41"/>
  <c r="E402" i="50" s="1"/>
  <c r="E283" i="41"/>
  <c r="E398" i="50" s="1"/>
  <c r="E282" i="41"/>
  <c r="E397" i="50" s="1"/>
  <c r="E281" i="41"/>
  <c r="E396" i="50" s="1"/>
  <c r="E280" i="41"/>
  <c r="E395" i="50"/>
  <c r="E279" i="41"/>
  <c r="E278" i="41"/>
  <c r="E277" i="41"/>
  <c r="E394" i="50" s="1"/>
  <c r="E275" i="41"/>
  <c r="E392" i="50" s="1"/>
  <c r="E264" i="41"/>
  <c r="E381" i="50"/>
  <c r="E263" i="41"/>
  <c r="E262" i="41"/>
  <c r="E380" i="50" s="1"/>
  <c r="E260" i="41"/>
  <c r="E258" i="41"/>
  <c r="D256" i="41"/>
  <c r="D255" i="41"/>
  <c r="D254" i="41"/>
  <c r="D378" i="50"/>
  <c r="D252" i="41"/>
  <c r="C28" i="9" s="1"/>
  <c r="E244" i="41"/>
  <c r="E239" i="41"/>
  <c r="E237" i="41"/>
  <c r="E236" i="41"/>
  <c r="E235" i="41"/>
  <c r="E234" i="41"/>
  <c r="E232" i="41"/>
  <c r="E231" i="41"/>
  <c r="E230" i="41"/>
  <c r="E228" i="41"/>
  <c r="E369" i="50" s="1"/>
  <c r="E226" i="41"/>
  <c r="E225" i="41"/>
  <c r="E224" i="41"/>
  <c r="E367" i="50" s="1"/>
  <c r="E222" i="41"/>
  <c r="E365" i="50" s="1"/>
  <c r="E221" i="41"/>
  <c r="E364" i="50" s="1"/>
  <c r="E219" i="41"/>
  <c r="E362" i="50" s="1"/>
  <c r="E218" i="41"/>
  <c r="E361" i="50" s="1"/>
  <c r="E216" i="41"/>
  <c r="E215" i="41"/>
  <c r="E214" i="41"/>
  <c r="E359" i="50" s="1"/>
  <c r="E212" i="41"/>
  <c r="E357" i="50" s="1"/>
  <c r="E206" i="41"/>
  <c r="E351" i="50" s="1"/>
  <c r="E204" i="41"/>
  <c r="E203" i="41"/>
  <c r="E350" i="50"/>
  <c r="E201" i="41"/>
  <c r="E348" i="50" s="1"/>
  <c r="E200" i="41"/>
  <c r="E347" i="50"/>
  <c r="E197" i="41"/>
  <c r="E345" i="50" s="1"/>
  <c r="E196" i="41"/>
  <c r="E344" i="50" s="1"/>
  <c r="E194" i="41"/>
  <c r="E342" i="50" s="1"/>
  <c r="E193" i="41"/>
  <c r="E341" i="50" s="1"/>
  <c r="E192" i="41"/>
  <c r="E191" i="41"/>
  <c r="E189" i="41"/>
  <c r="E339" i="50" s="1"/>
  <c r="E186" i="41"/>
  <c r="E336" i="50" s="1"/>
  <c r="E184" i="41"/>
  <c r="E182" i="41"/>
  <c r="E334" i="50" s="1"/>
  <c r="E176" i="41"/>
  <c r="E328" i="50" s="1"/>
  <c r="E175" i="41"/>
  <c r="E174" i="41"/>
  <c r="E173" i="41"/>
  <c r="E327" i="50" s="1"/>
  <c r="E171" i="41"/>
  <c r="E325" i="50"/>
  <c r="E170" i="41"/>
  <c r="E324" i="50" s="1"/>
  <c r="E168" i="41"/>
  <c r="E322" i="50" s="1"/>
  <c r="E167" i="41"/>
  <c r="E321" i="50"/>
  <c r="E165" i="41"/>
  <c r="E164" i="41"/>
  <c r="E163" i="41"/>
  <c r="E161" i="41"/>
  <c r="E319" i="50" s="1"/>
  <c r="E160" i="41"/>
  <c r="E318" i="50" s="1"/>
  <c r="E158" i="41"/>
  <c r="E316" i="50" s="1"/>
  <c r="E146" i="41"/>
  <c r="E145" i="41"/>
  <c r="E144" i="41"/>
  <c r="E304" i="50"/>
  <c r="E142" i="41"/>
  <c r="E302" i="50" s="1"/>
  <c r="E141" i="41"/>
  <c r="E301" i="50"/>
  <c r="E140" i="41"/>
  <c r="E300" i="50" s="1"/>
  <c r="E138" i="41"/>
  <c r="E137" i="41"/>
  <c r="E136" i="41"/>
  <c r="E298" i="50" s="1"/>
  <c r="E134" i="41"/>
  <c r="E133" i="41"/>
  <c r="E132" i="41"/>
  <c r="E131" i="41"/>
  <c r="E296" i="50"/>
  <c r="E125" i="41"/>
  <c r="E295" i="50" s="1"/>
  <c r="E123" i="41"/>
  <c r="E293" i="50" s="1"/>
  <c r="E292" i="50"/>
  <c r="E102" i="41"/>
  <c r="E276" i="50" s="1"/>
  <c r="E99" i="41"/>
  <c r="E275" i="50" s="1"/>
  <c r="E120" i="41"/>
  <c r="E290" i="50" s="1"/>
  <c r="E116" i="41"/>
  <c r="E286" i="50" s="1"/>
  <c r="E115" i="41"/>
  <c r="E113" i="41"/>
  <c r="E285" i="50" s="1"/>
  <c r="E111" i="41"/>
  <c r="E283" i="50" s="1"/>
  <c r="E107" i="41"/>
  <c r="E279" i="50" s="1"/>
  <c r="E105" i="41"/>
  <c r="E104" i="41"/>
  <c r="E278" i="50" s="1"/>
  <c r="E96" i="41"/>
  <c r="E272" i="50" s="1"/>
  <c r="E93" i="41"/>
  <c r="E91" i="41"/>
  <c r="E270" i="50" s="1"/>
  <c r="E89" i="41"/>
  <c r="E86" i="41"/>
  <c r="E85" i="41"/>
  <c r="E84" i="41"/>
  <c r="E83" i="41"/>
  <c r="E82" i="41"/>
  <c r="E81" i="41"/>
  <c r="E80" i="41"/>
  <c r="D79" i="41"/>
  <c r="E78" i="41"/>
  <c r="E77" i="41"/>
  <c r="D76" i="41"/>
  <c r="D75" i="41"/>
  <c r="D74" i="41"/>
  <c r="D72" i="41"/>
  <c r="E69" i="41"/>
  <c r="E67" i="41"/>
  <c r="E66" i="41"/>
  <c r="E65" i="41"/>
  <c r="D63" i="41"/>
  <c r="D61" i="41"/>
  <c r="C27" i="9" s="1"/>
  <c r="E50" i="41"/>
  <c r="E48" i="41"/>
  <c r="E59" i="41" s="1"/>
  <c r="E247" i="50" s="1"/>
  <c r="E54" i="41"/>
  <c r="E241" i="50" s="1"/>
  <c r="E41" i="41"/>
  <c r="E52" i="41" s="1"/>
  <c r="E240" i="50" s="1"/>
  <c r="E38" i="41"/>
  <c r="E37" i="41"/>
  <c r="E36" i="41"/>
  <c r="E35" i="41"/>
  <c r="E30" i="41"/>
  <c r="E27" i="41"/>
  <c r="E26" i="41"/>
  <c r="E25" i="41"/>
  <c r="D10" i="41"/>
  <c r="D6" i="41"/>
  <c r="C25" i="9"/>
  <c r="G4" i="41"/>
  <c r="E4" i="41"/>
  <c r="M3" i="41"/>
  <c r="K3" i="41"/>
  <c r="I3" i="41"/>
  <c r="E3" i="41"/>
  <c r="M2" i="41"/>
  <c r="K2" i="41"/>
  <c r="I2" i="41"/>
  <c r="G2" i="41"/>
  <c r="E2" i="41"/>
  <c r="B2" i="41"/>
  <c r="D303" i="49"/>
  <c r="E301" i="49"/>
  <c r="E234" i="50" s="1"/>
  <c r="E298" i="49"/>
  <c r="E296" i="49"/>
  <c r="E295" i="49"/>
  <c r="E293" i="49"/>
  <c r="E291" i="49"/>
  <c r="M290" i="49"/>
  <c r="M236" i="50" s="1"/>
  <c r="J290" i="49"/>
  <c r="J236" i="50"/>
  <c r="E290" i="49"/>
  <c r="E236" i="50" s="1"/>
  <c r="E288" i="49"/>
  <c r="E286" i="49"/>
  <c r="E232" i="50" s="1"/>
  <c r="E284" i="49"/>
  <c r="E282" i="49"/>
  <c r="E281" i="49"/>
  <c r="E279" i="49"/>
  <c r="E277" i="49"/>
  <c r="E276" i="49"/>
  <c r="E274" i="49"/>
  <c r="E272" i="49"/>
  <c r="E229" i="50" s="1"/>
  <c r="E269" i="49"/>
  <c r="E264" i="49"/>
  <c r="E227" i="50" s="1"/>
  <c r="E262" i="49"/>
  <c r="E260" i="49"/>
  <c r="E226" i="50" s="1"/>
  <c r="D256" i="49"/>
  <c r="E253" i="49"/>
  <c r="E222" i="50" s="1"/>
  <c r="E251" i="49"/>
  <c r="E250" i="49"/>
  <c r="E249" i="49"/>
  <c r="E248" i="49"/>
  <c r="E246" i="49"/>
  <c r="E245" i="49"/>
  <c r="E244" i="49"/>
  <c r="E243" i="49"/>
  <c r="E241" i="49"/>
  <c r="M240" i="49"/>
  <c r="M224" i="50" s="1"/>
  <c r="J240" i="49"/>
  <c r="J224" i="50" s="1"/>
  <c r="E240" i="49"/>
  <c r="E224" i="50" s="1"/>
  <c r="E239" i="49"/>
  <c r="E237" i="49"/>
  <c r="E220" i="50" s="1"/>
  <c r="E235" i="49"/>
  <c r="E234" i="49"/>
  <c r="E232" i="49"/>
  <c r="E231" i="49"/>
  <c r="E230" i="49"/>
  <c r="E229" i="49"/>
  <c r="E228" i="49"/>
  <c r="E227" i="49"/>
  <c r="E225" i="49"/>
  <c r="E224" i="49"/>
  <c r="E223" i="49"/>
  <c r="E222" i="49"/>
  <c r="E221" i="49"/>
  <c r="E219" i="49"/>
  <c r="E217" i="50" s="1"/>
  <c r="E217" i="49"/>
  <c r="E216" i="49"/>
  <c r="E212" i="49"/>
  <c r="E211" i="49"/>
  <c r="E210" i="49"/>
  <c r="E215" i="50" s="1"/>
  <c r="E208" i="49"/>
  <c r="E206" i="49"/>
  <c r="E205" i="49"/>
  <c r="E204" i="49"/>
  <c r="E214" i="50"/>
  <c r="D202" i="49"/>
  <c r="E200" i="49"/>
  <c r="F199" i="49"/>
  <c r="F198" i="49"/>
  <c r="F197" i="49"/>
  <c r="F196" i="49"/>
  <c r="F195" i="49"/>
  <c r="E194" i="49"/>
  <c r="E193" i="49"/>
  <c r="E192" i="49"/>
  <c r="E191" i="49"/>
  <c r="E190" i="49"/>
  <c r="D188" i="49"/>
  <c r="C24" i="9" s="1"/>
  <c r="E186" i="49"/>
  <c r="E210" i="50" s="1"/>
  <c r="E185" i="49"/>
  <c r="E209" i="50" s="1"/>
  <c r="E183" i="49"/>
  <c r="E181" i="49"/>
  <c r="E207" i="50" s="1"/>
  <c r="E180" i="49"/>
  <c r="E206" i="50" s="1"/>
  <c r="E178" i="49"/>
  <c r="E176" i="49"/>
  <c r="E175" i="49"/>
  <c r="E173" i="49"/>
  <c r="E171" i="49"/>
  <c r="E201" i="50" s="1"/>
  <c r="E170" i="49"/>
  <c r="E200" i="50" s="1"/>
  <c r="E168" i="49"/>
  <c r="L166" i="49"/>
  <c r="I166" i="49"/>
  <c r="E166" i="49"/>
  <c r="E164" i="49"/>
  <c r="E197" i="50" s="1"/>
  <c r="E163" i="49"/>
  <c r="E196" i="50" s="1"/>
  <c r="E162" i="49"/>
  <c r="E195" i="50" s="1"/>
  <c r="E160" i="49"/>
  <c r="E158" i="49"/>
  <c r="E192" i="50" s="1"/>
  <c r="E157" i="49"/>
  <c r="E155" i="49"/>
  <c r="E153" i="49"/>
  <c r="E191" i="50" s="1"/>
  <c r="E151" i="49"/>
  <c r="E149" i="49"/>
  <c r="E190" i="50" s="1"/>
  <c r="E147" i="49"/>
  <c r="D143" i="49"/>
  <c r="E141" i="49"/>
  <c r="E185" i="50" s="1"/>
  <c r="E140" i="49"/>
  <c r="E184" i="50" s="1"/>
  <c r="E138" i="49"/>
  <c r="E137" i="49"/>
  <c r="E135" i="49"/>
  <c r="E182" i="50" s="1"/>
  <c r="E134" i="49"/>
  <c r="E181" i="50" s="1"/>
  <c r="E132" i="49"/>
  <c r="E131" i="49"/>
  <c r="E130" i="49"/>
  <c r="E129" i="49"/>
  <c r="E127" i="49"/>
  <c r="E126" i="49"/>
  <c r="E124" i="49"/>
  <c r="E123" i="49"/>
  <c r="E122" i="49"/>
  <c r="E121" i="49"/>
  <c r="E120" i="49"/>
  <c r="E118" i="49"/>
  <c r="E176" i="50" s="1"/>
  <c r="E117" i="49"/>
  <c r="E175" i="50" s="1"/>
  <c r="E115" i="49"/>
  <c r="E114" i="49"/>
  <c r="E113" i="49"/>
  <c r="L111" i="49"/>
  <c r="I111" i="49"/>
  <c r="E111" i="49"/>
  <c r="E109" i="49"/>
  <c r="E172" i="50" s="1"/>
  <c r="E108" i="49"/>
  <c r="E171" i="50"/>
  <c r="E107" i="49"/>
  <c r="E170" i="50" s="1"/>
  <c r="E105" i="49"/>
  <c r="E104" i="49"/>
  <c r="E102" i="49"/>
  <c r="E167" i="50" s="1"/>
  <c r="E101" i="49"/>
  <c r="E98" i="49"/>
  <c r="E96" i="49"/>
  <c r="E166" i="50" s="1"/>
  <c r="E93" i="49"/>
  <c r="E91" i="49"/>
  <c r="E165" i="50" s="1"/>
  <c r="E89" i="49"/>
  <c r="E88" i="49"/>
  <c r="D86" i="49"/>
  <c r="E83" i="49"/>
  <c r="E82" i="49"/>
  <c r="E81" i="49"/>
  <c r="E80" i="49"/>
  <c r="E79" i="49"/>
  <c r="E78" i="49"/>
  <c r="D76" i="49"/>
  <c r="C23" i="9" s="1"/>
  <c r="E73" i="49"/>
  <c r="E72" i="49"/>
  <c r="D70" i="49"/>
  <c r="E68" i="49"/>
  <c r="E67" i="49"/>
  <c r="D65" i="49"/>
  <c r="D63" i="49"/>
  <c r="C22" i="9" s="1"/>
  <c r="E59" i="49"/>
  <c r="E58" i="49"/>
  <c r="E90" i="50" s="1"/>
  <c r="E112" i="50" s="1"/>
  <c r="E57" i="49"/>
  <c r="E89" i="50" s="1"/>
  <c r="E56" i="49"/>
  <c r="E88" i="50" s="1"/>
  <c r="E55" i="49"/>
  <c r="E87" i="50" s="1"/>
  <c r="E54" i="49"/>
  <c r="E86" i="50" s="1"/>
  <c r="E85" i="50"/>
  <c r="E52" i="49"/>
  <c r="E84" i="50" s="1"/>
  <c r="E51" i="49"/>
  <c r="E83" i="50" s="1"/>
  <c r="E50" i="49"/>
  <c r="E49" i="49"/>
  <c r="E48" i="49"/>
  <c r="D47" i="49"/>
  <c r="E44" i="49"/>
  <c r="E43" i="49"/>
  <c r="E42" i="49"/>
  <c r="E41" i="49"/>
  <c r="E40" i="49"/>
  <c r="E39" i="49"/>
  <c r="E37" i="49"/>
  <c r="E36" i="49"/>
  <c r="F34" i="49"/>
  <c r="F33" i="49"/>
  <c r="F32" i="49"/>
  <c r="F31" i="49"/>
  <c r="F30" i="49"/>
  <c r="F29" i="49"/>
  <c r="E28" i="49"/>
  <c r="E27" i="49"/>
  <c r="D26" i="49"/>
  <c r="E24" i="49"/>
  <c r="E23" i="49"/>
  <c r="E22" i="49"/>
  <c r="E21" i="49"/>
  <c r="E20" i="49"/>
  <c r="E19" i="49"/>
  <c r="E17" i="49"/>
  <c r="E16" i="49"/>
  <c r="E14" i="49"/>
  <c r="D13" i="49"/>
  <c r="D11" i="49"/>
  <c r="D10" i="49"/>
  <c r="D8" i="49"/>
  <c r="C21" i="9" s="1"/>
  <c r="D6" i="49"/>
  <c r="C20" i="9" s="1"/>
  <c r="I4" i="49"/>
  <c r="G4" i="49"/>
  <c r="E4" i="49"/>
  <c r="M3" i="49"/>
  <c r="K3" i="49"/>
  <c r="I3" i="49"/>
  <c r="G3" i="49"/>
  <c r="E3" i="49"/>
  <c r="M2" i="49"/>
  <c r="K2" i="49"/>
  <c r="I2" i="49"/>
  <c r="G2" i="49"/>
  <c r="E2" i="49"/>
  <c r="B2" i="49"/>
  <c r="D132" i="59"/>
  <c r="D131" i="59"/>
  <c r="C131" i="59"/>
  <c r="AY130" i="59"/>
  <c r="AX130" i="59"/>
  <c r="AW130" i="59"/>
  <c r="AV130" i="59"/>
  <c r="AU130" i="59"/>
  <c r="AT130" i="59"/>
  <c r="AS130" i="59"/>
  <c r="AR130" i="59"/>
  <c r="AQ130" i="59"/>
  <c r="AP130" i="59"/>
  <c r="AO130" i="59"/>
  <c r="AN130" i="59"/>
  <c r="AM130" i="59"/>
  <c r="AL130" i="59"/>
  <c r="AK130" i="59"/>
  <c r="AJ130" i="59"/>
  <c r="AI130" i="59"/>
  <c r="AH130" i="59"/>
  <c r="AG130" i="59"/>
  <c r="AF130" i="59"/>
  <c r="AE130" i="59"/>
  <c r="AD130" i="59"/>
  <c r="AC130" i="59"/>
  <c r="AB130" i="59"/>
  <c r="AA130" i="59"/>
  <c r="Z130" i="59"/>
  <c r="Y130" i="59"/>
  <c r="X130" i="59"/>
  <c r="W130" i="59"/>
  <c r="V130" i="59"/>
  <c r="U130" i="59"/>
  <c r="T130" i="59"/>
  <c r="S130" i="59"/>
  <c r="R130" i="59"/>
  <c r="Q130" i="59"/>
  <c r="P130" i="59"/>
  <c r="O130" i="59"/>
  <c r="N130" i="59"/>
  <c r="M130" i="59"/>
  <c r="L130" i="59"/>
  <c r="K130" i="59"/>
  <c r="J130" i="59"/>
  <c r="I130" i="59"/>
  <c r="H130" i="59"/>
  <c r="G130" i="59"/>
  <c r="F130" i="59"/>
  <c r="E130" i="59"/>
  <c r="D130" i="59"/>
  <c r="D129" i="59"/>
  <c r="AC117" i="59"/>
  <c r="AA117" i="59"/>
  <c r="Y117" i="59"/>
  <c r="E117" i="59"/>
  <c r="D117" i="59"/>
  <c r="C117" i="59"/>
  <c r="AC116" i="59"/>
  <c r="AA116" i="59"/>
  <c r="Y116" i="59"/>
  <c r="E116" i="59"/>
  <c r="C116" i="59"/>
  <c r="AY115" i="59"/>
  <c r="AX115" i="59"/>
  <c r="AW115" i="59"/>
  <c r="AV115" i="59"/>
  <c r="AU115" i="59"/>
  <c r="AT115" i="59"/>
  <c r="AS115" i="59"/>
  <c r="AR115" i="59"/>
  <c r="AQ115" i="59"/>
  <c r="AP115" i="59"/>
  <c r="AO115" i="59"/>
  <c r="AN115" i="59"/>
  <c r="AM115" i="59"/>
  <c r="AL115" i="59"/>
  <c r="AK115" i="59"/>
  <c r="AJ115" i="59"/>
  <c r="AI115" i="59"/>
  <c r="AH115" i="59"/>
  <c r="AG115" i="59"/>
  <c r="AF115" i="59"/>
  <c r="AE115" i="59"/>
  <c r="AD115" i="59"/>
  <c r="AC115" i="59"/>
  <c r="AB115" i="59"/>
  <c r="AA115" i="59"/>
  <c r="Z115" i="59"/>
  <c r="Y115" i="59"/>
  <c r="X115" i="59"/>
  <c r="W115" i="59"/>
  <c r="V115" i="59"/>
  <c r="U115" i="59"/>
  <c r="T115" i="59"/>
  <c r="S115" i="59"/>
  <c r="R115" i="59"/>
  <c r="Q115" i="59"/>
  <c r="P115" i="59"/>
  <c r="O115" i="59"/>
  <c r="N115" i="59"/>
  <c r="M115" i="59"/>
  <c r="L115" i="59"/>
  <c r="K115" i="59"/>
  <c r="J115" i="59"/>
  <c r="I115" i="59"/>
  <c r="H115" i="59"/>
  <c r="G115" i="59"/>
  <c r="F115" i="59"/>
  <c r="E115" i="59"/>
  <c r="D115" i="59"/>
  <c r="D114" i="59"/>
  <c r="E102" i="59"/>
  <c r="D102" i="59"/>
  <c r="C102" i="59"/>
  <c r="AY101" i="59"/>
  <c r="AX101" i="59"/>
  <c r="AW101" i="59"/>
  <c r="AV101" i="59"/>
  <c r="AU101" i="59"/>
  <c r="AT101" i="59"/>
  <c r="AS101" i="59"/>
  <c r="AR101" i="59"/>
  <c r="AQ101" i="59"/>
  <c r="AP101" i="59"/>
  <c r="AO101" i="59"/>
  <c r="AN101" i="59"/>
  <c r="AM101" i="59"/>
  <c r="AL101" i="59"/>
  <c r="AK101" i="59"/>
  <c r="AJ101" i="59"/>
  <c r="AI101" i="59"/>
  <c r="AH101" i="59"/>
  <c r="AG101" i="59"/>
  <c r="AF101" i="59"/>
  <c r="AE101" i="59"/>
  <c r="AD101" i="59"/>
  <c r="AC101" i="59"/>
  <c r="AB101" i="59"/>
  <c r="AA101" i="59"/>
  <c r="Z101" i="59"/>
  <c r="Y101" i="59"/>
  <c r="X101" i="59"/>
  <c r="W101" i="59"/>
  <c r="V101" i="59"/>
  <c r="U101" i="59"/>
  <c r="T101" i="59"/>
  <c r="S101" i="59"/>
  <c r="R101" i="59"/>
  <c r="Q101" i="59"/>
  <c r="P101" i="59"/>
  <c r="O101" i="59"/>
  <c r="N101" i="59"/>
  <c r="M101" i="59"/>
  <c r="L101" i="59"/>
  <c r="K101" i="59"/>
  <c r="J101" i="59"/>
  <c r="I101" i="59"/>
  <c r="H101" i="59"/>
  <c r="G101" i="59"/>
  <c r="F101" i="59"/>
  <c r="E101" i="59"/>
  <c r="D101" i="59"/>
  <c r="D100" i="59"/>
  <c r="E23" i="59"/>
  <c r="D23" i="59"/>
  <c r="C23" i="59"/>
  <c r="E22" i="59"/>
  <c r="D22" i="59"/>
  <c r="C22" i="59"/>
  <c r="E21" i="59"/>
  <c r="D21" i="59"/>
  <c r="C21"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V20" i="59"/>
  <c r="U20" i="59"/>
  <c r="T20" i="59"/>
  <c r="S20" i="59"/>
  <c r="R20" i="59"/>
  <c r="Q20" i="59"/>
  <c r="P20" i="59"/>
  <c r="O20" i="59"/>
  <c r="N20" i="59"/>
  <c r="M20" i="59"/>
  <c r="L20" i="59"/>
  <c r="K20" i="59"/>
  <c r="J20" i="59"/>
  <c r="I20" i="59"/>
  <c r="H20" i="59"/>
  <c r="G20" i="59"/>
  <c r="F20" i="59"/>
  <c r="E20" i="59"/>
  <c r="D20" i="59"/>
  <c r="D19" i="59"/>
  <c r="D18" i="59"/>
  <c r="D17" i="59"/>
  <c r="D16" i="59"/>
  <c r="D15" i="59"/>
  <c r="D14" i="59"/>
  <c r="D11" i="59"/>
  <c r="D10" i="59"/>
  <c r="D8" i="59"/>
  <c r="D6" i="59"/>
  <c r="L3" i="59"/>
  <c r="J3" i="59"/>
  <c r="H3" i="59"/>
  <c r="F3" i="59"/>
  <c r="E3" i="59"/>
  <c r="L2" i="59"/>
  <c r="J2" i="59"/>
  <c r="H2" i="59"/>
  <c r="F2" i="59"/>
  <c r="E2" i="59"/>
  <c r="B2" i="59"/>
  <c r="D132" i="58"/>
  <c r="D131" i="58"/>
  <c r="C131" i="58"/>
  <c r="AY130" i="58"/>
  <c r="AX130" i="58"/>
  <c r="AW130" i="58"/>
  <c r="AV130" i="58"/>
  <c r="AU130" i="58"/>
  <c r="AT130" i="58"/>
  <c r="AS130" i="58"/>
  <c r="AR130" i="58"/>
  <c r="AQ130" i="58"/>
  <c r="AP130" i="58"/>
  <c r="AO130" i="58"/>
  <c r="AN130" i="58"/>
  <c r="AM130" i="58"/>
  <c r="AL130" i="58"/>
  <c r="AK130" i="58"/>
  <c r="AJ130" i="58"/>
  <c r="AI130" i="58"/>
  <c r="AH130" i="58"/>
  <c r="AG130" i="58"/>
  <c r="AF130" i="58"/>
  <c r="AE130" i="58"/>
  <c r="AD130" i="58"/>
  <c r="AC130" i="58"/>
  <c r="AB130" i="58"/>
  <c r="AA130" i="58"/>
  <c r="Z130" i="58"/>
  <c r="Y130" i="58"/>
  <c r="X130" i="58"/>
  <c r="W130" i="58"/>
  <c r="V130" i="58"/>
  <c r="U130" i="58"/>
  <c r="T130" i="58"/>
  <c r="S130" i="58"/>
  <c r="R130" i="58"/>
  <c r="Q130" i="58"/>
  <c r="P130" i="58"/>
  <c r="O130" i="58"/>
  <c r="N130" i="58"/>
  <c r="M130" i="58"/>
  <c r="L130" i="58"/>
  <c r="K130" i="58"/>
  <c r="J130" i="58"/>
  <c r="I130" i="58"/>
  <c r="H130" i="58"/>
  <c r="G130" i="58"/>
  <c r="F130" i="58"/>
  <c r="E130" i="58"/>
  <c r="D130" i="58"/>
  <c r="D129" i="58"/>
  <c r="AC117" i="58"/>
  <c r="AA117" i="58"/>
  <c r="Y117" i="58"/>
  <c r="E117" i="58"/>
  <c r="D117" i="58"/>
  <c r="C117" i="58"/>
  <c r="AC116" i="58"/>
  <c r="AA116" i="58"/>
  <c r="Y116" i="58"/>
  <c r="E116" i="58"/>
  <c r="C116" i="58"/>
  <c r="AY115" i="58"/>
  <c r="AX115" i="58"/>
  <c r="AW115" i="58"/>
  <c r="AV115" i="58"/>
  <c r="AU115" i="58"/>
  <c r="AT115" i="58"/>
  <c r="AS115" i="58"/>
  <c r="AR115" i="58"/>
  <c r="AQ115" i="58"/>
  <c r="AP115" i="58"/>
  <c r="AO115" i="58"/>
  <c r="AN115" i="58"/>
  <c r="AM115" i="58"/>
  <c r="AL115" i="58"/>
  <c r="AK115" i="58"/>
  <c r="AJ115" i="58"/>
  <c r="AI115" i="58"/>
  <c r="AH115" i="58"/>
  <c r="AG115" i="58"/>
  <c r="AF115" i="58"/>
  <c r="AE115" i="58"/>
  <c r="AD115" i="58"/>
  <c r="AC115" i="58"/>
  <c r="AB115" i="58"/>
  <c r="AA115" i="58"/>
  <c r="Z115" i="58"/>
  <c r="Y115" i="58"/>
  <c r="X115" i="58"/>
  <c r="W115" i="58"/>
  <c r="V115" i="58"/>
  <c r="U115" i="58"/>
  <c r="T115" i="58"/>
  <c r="S115" i="58"/>
  <c r="R115" i="58"/>
  <c r="Q115" i="58"/>
  <c r="P115" i="58"/>
  <c r="O115" i="58"/>
  <c r="N115" i="58"/>
  <c r="M115" i="58"/>
  <c r="L115" i="58"/>
  <c r="K115" i="58"/>
  <c r="J115" i="58"/>
  <c r="I115" i="58"/>
  <c r="H115" i="58"/>
  <c r="G115" i="58"/>
  <c r="F115" i="58"/>
  <c r="E115" i="58"/>
  <c r="D115" i="58"/>
  <c r="D114" i="58"/>
  <c r="E102" i="58"/>
  <c r="D102" i="58"/>
  <c r="C102" i="58"/>
  <c r="AY101" i="58"/>
  <c r="AX101" i="58"/>
  <c r="AW101" i="58"/>
  <c r="AV101" i="58"/>
  <c r="AU101" i="58"/>
  <c r="AT101" i="58"/>
  <c r="AS101" i="58"/>
  <c r="AR101" i="58"/>
  <c r="AQ101" i="58"/>
  <c r="AP101" i="58"/>
  <c r="AO101" i="58"/>
  <c r="AN101" i="58"/>
  <c r="AM101" i="58"/>
  <c r="AL101" i="58"/>
  <c r="AK101" i="58"/>
  <c r="AJ101" i="58"/>
  <c r="AI101" i="58"/>
  <c r="AH101" i="58"/>
  <c r="AG101" i="58"/>
  <c r="AF101" i="58"/>
  <c r="AE101" i="58"/>
  <c r="AD101" i="58"/>
  <c r="AC101" i="58"/>
  <c r="AB101" i="58"/>
  <c r="AA101" i="58"/>
  <c r="Z101" i="58"/>
  <c r="Y101" i="58"/>
  <c r="X101" i="58"/>
  <c r="W101" i="58"/>
  <c r="V101" i="58"/>
  <c r="U101" i="58"/>
  <c r="T101" i="58"/>
  <c r="S101" i="58"/>
  <c r="R101" i="58"/>
  <c r="Q101" i="58"/>
  <c r="P101" i="58"/>
  <c r="O101" i="58"/>
  <c r="N101" i="58"/>
  <c r="M101" i="58"/>
  <c r="L101" i="58"/>
  <c r="K101" i="58"/>
  <c r="J101" i="58"/>
  <c r="I101" i="58"/>
  <c r="H101" i="58"/>
  <c r="G101" i="58"/>
  <c r="F101" i="58"/>
  <c r="E101" i="58"/>
  <c r="D101" i="58"/>
  <c r="D100" i="58"/>
  <c r="E23" i="58"/>
  <c r="D23" i="58"/>
  <c r="C23" i="58"/>
  <c r="E22" i="58"/>
  <c r="D22" i="58"/>
  <c r="C22" i="58"/>
  <c r="E21" i="58"/>
  <c r="D21" i="58"/>
  <c r="C21" i="58"/>
  <c r="AY20" i="58"/>
  <c r="AX20" i="58"/>
  <c r="AW20" i="58"/>
  <c r="AV20" i="58"/>
  <c r="AU20" i="58"/>
  <c r="AT20" i="58"/>
  <c r="AS20" i="58"/>
  <c r="AR20" i="58"/>
  <c r="AQ20" i="58"/>
  <c r="AP20" i="58"/>
  <c r="AO20" i="58"/>
  <c r="AN20" i="58"/>
  <c r="AM20" i="58"/>
  <c r="AL20" i="58"/>
  <c r="AK20" i="58"/>
  <c r="AJ20" i="58"/>
  <c r="AI20" i="58"/>
  <c r="AH20" i="58"/>
  <c r="AG20" i="58"/>
  <c r="AF20" i="58"/>
  <c r="AE20" i="58"/>
  <c r="AD20" i="58"/>
  <c r="AC20" i="58"/>
  <c r="AB20" i="58"/>
  <c r="AA20" i="58"/>
  <c r="Z20" i="58"/>
  <c r="Y20" i="58"/>
  <c r="X20" i="58"/>
  <c r="W20" i="58"/>
  <c r="V20" i="58"/>
  <c r="U20" i="58"/>
  <c r="T20" i="58"/>
  <c r="S20" i="58"/>
  <c r="R20" i="58"/>
  <c r="Q20" i="58"/>
  <c r="P20" i="58"/>
  <c r="O20" i="58"/>
  <c r="N20" i="58"/>
  <c r="M20" i="58"/>
  <c r="L20" i="58"/>
  <c r="K20" i="58"/>
  <c r="J20" i="58"/>
  <c r="I20" i="58"/>
  <c r="H20" i="58"/>
  <c r="G20" i="58"/>
  <c r="F20" i="58"/>
  <c r="E20" i="58"/>
  <c r="D20" i="58"/>
  <c r="D19" i="58"/>
  <c r="D18" i="58"/>
  <c r="D17" i="58"/>
  <c r="D16" i="58"/>
  <c r="D15" i="58"/>
  <c r="D14" i="58"/>
  <c r="D11" i="58"/>
  <c r="D10" i="58"/>
  <c r="D8" i="58"/>
  <c r="D6" i="58"/>
  <c r="L3" i="58"/>
  <c r="J3" i="58"/>
  <c r="H3" i="58"/>
  <c r="F3" i="58"/>
  <c r="E3" i="58"/>
  <c r="L2" i="58"/>
  <c r="J2" i="58"/>
  <c r="H2" i="58"/>
  <c r="F2" i="58"/>
  <c r="E2" i="58"/>
  <c r="B2" i="58"/>
  <c r="D132" i="57"/>
  <c r="D131" i="57"/>
  <c r="C131" i="57"/>
  <c r="AY130" i="57"/>
  <c r="AX130" i="57"/>
  <c r="AW130" i="57"/>
  <c r="AV130" i="57"/>
  <c r="AU130" i="57"/>
  <c r="AT130" i="57"/>
  <c r="AS130" i="57"/>
  <c r="AR130" i="57"/>
  <c r="AQ130" i="57"/>
  <c r="AP130" i="57"/>
  <c r="AO130" i="57"/>
  <c r="AN130" i="57"/>
  <c r="AM130" i="57"/>
  <c r="AL130" i="57"/>
  <c r="AK130" i="57"/>
  <c r="AJ130" i="57"/>
  <c r="AI130" i="57"/>
  <c r="AH130" i="57"/>
  <c r="AG130" i="57"/>
  <c r="AF130" i="57"/>
  <c r="AE130" i="57"/>
  <c r="AD130" i="57"/>
  <c r="AC130" i="57"/>
  <c r="AB130" i="57"/>
  <c r="AA130" i="57"/>
  <c r="Z130" i="57"/>
  <c r="Y130" i="57"/>
  <c r="X130" i="57"/>
  <c r="W130" i="57"/>
  <c r="V130" i="57"/>
  <c r="U130" i="57"/>
  <c r="T130" i="57"/>
  <c r="S130" i="57"/>
  <c r="R130" i="57"/>
  <c r="Q130" i="57"/>
  <c r="P130" i="57"/>
  <c r="O130" i="57"/>
  <c r="N130" i="57"/>
  <c r="M130" i="57"/>
  <c r="L130" i="57"/>
  <c r="K130" i="57"/>
  <c r="J130" i="57"/>
  <c r="I130" i="57"/>
  <c r="H130" i="57"/>
  <c r="G130" i="57"/>
  <c r="F130" i="57"/>
  <c r="E130" i="57"/>
  <c r="D130" i="57"/>
  <c r="D129" i="57"/>
  <c r="AC117" i="57"/>
  <c r="AA117" i="57"/>
  <c r="Y117" i="57"/>
  <c r="E117" i="57"/>
  <c r="D117" i="57"/>
  <c r="C117" i="57"/>
  <c r="AC116" i="57"/>
  <c r="AA116" i="57"/>
  <c r="Y116" i="57"/>
  <c r="E116" i="57"/>
  <c r="C116" i="57"/>
  <c r="AY115" i="57"/>
  <c r="AX115" i="57"/>
  <c r="AW115" i="57"/>
  <c r="AV115" i="57"/>
  <c r="AU115" i="57"/>
  <c r="AT115" i="57"/>
  <c r="AS115" i="57"/>
  <c r="AR115" i="57"/>
  <c r="AQ115" i="57"/>
  <c r="AP115" i="57"/>
  <c r="AO115" i="57"/>
  <c r="AN115" i="57"/>
  <c r="AM115" i="57"/>
  <c r="AL115" i="57"/>
  <c r="AK115" i="57"/>
  <c r="AJ115" i="57"/>
  <c r="AI115" i="57"/>
  <c r="AH115" i="57"/>
  <c r="AG115" i="57"/>
  <c r="AF115" i="57"/>
  <c r="AE115" i="57"/>
  <c r="AD115" i="57"/>
  <c r="AC115" i="57"/>
  <c r="AB115" i="57"/>
  <c r="AA115" i="57"/>
  <c r="Z115" i="57"/>
  <c r="Y115" i="57"/>
  <c r="X115" i="57"/>
  <c r="W115" i="57"/>
  <c r="V115" i="57"/>
  <c r="U115" i="57"/>
  <c r="T115" i="57"/>
  <c r="S115" i="57"/>
  <c r="R115" i="57"/>
  <c r="Q115" i="57"/>
  <c r="P115" i="57"/>
  <c r="O115" i="57"/>
  <c r="N115" i="57"/>
  <c r="M115" i="57"/>
  <c r="L115" i="57"/>
  <c r="K115" i="57"/>
  <c r="J115" i="57"/>
  <c r="I115" i="57"/>
  <c r="H115" i="57"/>
  <c r="G115" i="57"/>
  <c r="F115" i="57"/>
  <c r="E115" i="57"/>
  <c r="D115" i="57"/>
  <c r="D114" i="57"/>
  <c r="E102" i="57"/>
  <c r="D102" i="57"/>
  <c r="C102" i="57"/>
  <c r="AY101" i="57"/>
  <c r="AX101" i="57"/>
  <c r="AW101" i="57"/>
  <c r="AV101" i="57"/>
  <c r="AU101" i="57"/>
  <c r="AT101" i="57"/>
  <c r="AS101" i="57"/>
  <c r="AR101" i="57"/>
  <c r="AQ101" i="57"/>
  <c r="AP101" i="57"/>
  <c r="AO101" i="57"/>
  <c r="AN101" i="57"/>
  <c r="AM101" i="57"/>
  <c r="AL101" i="57"/>
  <c r="AK101" i="57"/>
  <c r="AJ101" i="57"/>
  <c r="AI101" i="57"/>
  <c r="AH101" i="57"/>
  <c r="AG101" i="57"/>
  <c r="AF101" i="57"/>
  <c r="AE101" i="57"/>
  <c r="AD101" i="57"/>
  <c r="AC101" i="57"/>
  <c r="AB101" i="57"/>
  <c r="AA101" i="57"/>
  <c r="Z101" i="57"/>
  <c r="Y101" i="57"/>
  <c r="X101" i="57"/>
  <c r="W101" i="57"/>
  <c r="V101" i="57"/>
  <c r="U101" i="57"/>
  <c r="T101" i="57"/>
  <c r="S101" i="57"/>
  <c r="R101" i="57"/>
  <c r="Q101" i="57"/>
  <c r="P101" i="57"/>
  <c r="O101" i="57"/>
  <c r="N101" i="57"/>
  <c r="M101" i="57"/>
  <c r="L101" i="57"/>
  <c r="K101" i="57"/>
  <c r="J101" i="57"/>
  <c r="I101" i="57"/>
  <c r="H101" i="57"/>
  <c r="G101" i="57"/>
  <c r="F101" i="57"/>
  <c r="E101" i="57"/>
  <c r="D101" i="57"/>
  <c r="D100" i="57"/>
  <c r="E23" i="57"/>
  <c r="D23" i="57"/>
  <c r="C23" i="57"/>
  <c r="E22" i="57"/>
  <c r="D22" i="57"/>
  <c r="C22" i="57"/>
  <c r="E21" i="57"/>
  <c r="D21" i="57"/>
  <c r="C21" i="57"/>
  <c r="AY20" i="57"/>
  <c r="AX20" i="57"/>
  <c r="AW20" i="57"/>
  <c r="AV20" i="57"/>
  <c r="AU20" i="57"/>
  <c r="AT20" i="57"/>
  <c r="AS20" i="57"/>
  <c r="AR20" i="57"/>
  <c r="AQ20" i="57"/>
  <c r="AP20" i="57"/>
  <c r="AO20" i="57"/>
  <c r="AN20" i="57"/>
  <c r="AM20" i="57"/>
  <c r="AL20" i="57"/>
  <c r="AK20" i="57"/>
  <c r="AJ20" i="57"/>
  <c r="AI20" i="57"/>
  <c r="AH20" i="57"/>
  <c r="AG20" i="57"/>
  <c r="AF20" i="57"/>
  <c r="AE20" i="57"/>
  <c r="AD20" i="57"/>
  <c r="AC20" i="57"/>
  <c r="AB20" i="57"/>
  <c r="AA20" i="57"/>
  <c r="Z20" i="57"/>
  <c r="Y20" i="57"/>
  <c r="X20" i="57"/>
  <c r="W20" i="57"/>
  <c r="V20" i="57"/>
  <c r="U20" i="57"/>
  <c r="T20" i="57"/>
  <c r="S20" i="57"/>
  <c r="R20" i="57"/>
  <c r="Q20" i="57"/>
  <c r="P20" i="57"/>
  <c r="O20" i="57"/>
  <c r="N20" i="57"/>
  <c r="M20" i="57"/>
  <c r="L20" i="57"/>
  <c r="K20" i="57"/>
  <c r="J20" i="57"/>
  <c r="I20" i="57"/>
  <c r="H20" i="57"/>
  <c r="G20" i="57"/>
  <c r="F20" i="57"/>
  <c r="E20" i="57"/>
  <c r="D20" i="57"/>
  <c r="D19" i="57"/>
  <c r="D18" i="57"/>
  <c r="D17" i="57"/>
  <c r="D16" i="57"/>
  <c r="D15" i="57"/>
  <c r="D14" i="57"/>
  <c r="D11" i="57"/>
  <c r="D10" i="57"/>
  <c r="D8" i="57"/>
  <c r="D6" i="57"/>
  <c r="L3" i="57"/>
  <c r="J3" i="57"/>
  <c r="H3" i="57"/>
  <c r="F3" i="57"/>
  <c r="E3" i="57"/>
  <c r="L2" i="57"/>
  <c r="J2" i="57"/>
  <c r="H2" i="57"/>
  <c r="F2" i="57"/>
  <c r="E2" i="57"/>
  <c r="B2" i="57"/>
  <c r="D132" i="56"/>
  <c r="D131" i="56"/>
  <c r="C131" i="56"/>
  <c r="AY130" i="56"/>
  <c r="AX130" i="56"/>
  <c r="AW130" i="56"/>
  <c r="AV130" i="56"/>
  <c r="AU130" i="56"/>
  <c r="AT130" i="56"/>
  <c r="AS130" i="56"/>
  <c r="AR130" i="56"/>
  <c r="AQ130" i="56"/>
  <c r="AP130" i="56"/>
  <c r="AO130" i="56"/>
  <c r="AN130" i="56"/>
  <c r="AM130" i="56"/>
  <c r="AL130" i="56"/>
  <c r="AK130" i="56"/>
  <c r="AJ130" i="56"/>
  <c r="AI130" i="56"/>
  <c r="AH130" i="56"/>
  <c r="AG130" i="56"/>
  <c r="AF130" i="56"/>
  <c r="AE130" i="56"/>
  <c r="AD130" i="56"/>
  <c r="AC130" i="56"/>
  <c r="AB130" i="56"/>
  <c r="AA130" i="56"/>
  <c r="Z130" i="56"/>
  <c r="Y130" i="56"/>
  <c r="X130" i="56"/>
  <c r="W130" i="56"/>
  <c r="V130" i="56"/>
  <c r="U130" i="56"/>
  <c r="T130" i="56"/>
  <c r="S130" i="56"/>
  <c r="R130" i="56"/>
  <c r="Q130" i="56"/>
  <c r="P130" i="56"/>
  <c r="O130" i="56"/>
  <c r="N130" i="56"/>
  <c r="M130" i="56"/>
  <c r="L130" i="56"/>
  <c r="K130" i="56"/>
  <c r="J130" i="56"/>
  <c r="I130" i="56"/>
  <c r="H130" i="56"/>
  <c r="G130" i="56"/>
  <c r="F130" i="56"/>
  <c r="E130" i="56"/>
  <c r="D130" i="56"/>
  <c r="D129" i="56"/>
  <c r="AC117" i="56"/>
  <c r="AA117" i="56"/>
  <c r="Y117" i="56"/>
  <c r="E117" i="56"/>
  <c r="D117" i="56"/>
  <c r="C117" i="56"/>
  <c r="AC116" i="56"/>
  <c r="AA116" i="56"/>
  <c r="Y116" i="56"/>
  <c r="E116" i="56"/>
  <c r="C116" i="56"/>
  <c r="AY115" i="56"/>
  <c r="AX115" i="56"/>
  <c r="AW115" i="56"/>
  <c r="AV115" i="56"/>
  <c r="AU115" i="56"/>
  <c r="AT115" i="56"/>
  <c r="AS115" i="56"/>
  <c r="AR115" i="56"/>
  <c r="AQ115" i="56"/>
  <c r="AP115" i="56"/>
  <c r="AO115" i="56"/>
  <c r="AN115" i="56"/>
  <c r="AM115" i="56"/>
  <c r="AL115" i="56"/>
  <c r="AK115" i="56"/>
  <c r="AJ115" i="56"/>
  <c r="AI115" i="56"/>
  <c r="AH115" i="56"/>
  <c r="AG115" i="56"/>
  <c r="AF115" i="56"/>
  <c r="AE115" i="56"/>
  <c r="AD115" i="56"/>
  <c r="AC115" i="56"/>
  <c r="AB115" i="56"/>
  <c r="AA115" i="56"/>
  <c r="Z115" i="56"/>
  <c r="Y115" i="56"/>
  <c r="X115" i="56"/>
  <c r="W115" i="56"/>
  <c r="V115" i="56"/>
  <c r="U115" i="56"/>
  <c r="T115" i="56"/>
  <c r="S115" i="56"/>
  <c r="R115" i="56"/>
  <c r="Q115" i="56"/>
  <c r="P115" i="56"/>
  <c r="O115" i="56"/>
  <c r="N115" i="56"/>
  <c r="M115" i="56"/>
  <c r="L115" i="56"/>
  <c r="K115" i="56"/>
  <c r="J115" i="56"/>
  <c r="I115" i="56"/>
  <c r="H115" i="56"/>
  <c r="G115" i="56"/>
  <c r="F115" i="56"/>
  <c r="E115" i="56"/>
  <c r="D115" i="56"/>
  <c r="D114" i="56"/>
  <c r="E102" i="56"/>
  <c r="D102" i="56"/>
  <c r="C102" i="56"/>
  <c r="AY101" i="56"/>
  <c r="AX101" i="56"/>
  <c r="AW101" i="56"/>
  <c r="AV101" i="56"/>
  <c r="AU101" i="56"/>
  <c r="AT101" i="56"/>
  <c r="AS101" i="56"/>
  <c r="AR101" i="56"/>
  <c r="AQ101" i="56"/>
  <c r="AP101" i="56"/>
  <c r="AO101" i="56"/>
  <c r="AN101" i="56"/>
  <c r="AM101" i="56"/>
  <c r="AL101" i="56"/>
  <c r="AK101" i="56"/>
  <c r="AJ101" i="56"/>
  <c r="AI101" i="56"/>
  <c r="AH101" i="56"/>
  <c r="AG101" i="56"/>
  <c r="AF101" i="56"/>
  <c r="AE101" i="56"/>
  <c r="AD101" i="56"/>
  <c r="AC101" i="56"/>
  <c r="AB101" i="56"/>
  <c r="AA101" i="56"/>
  <c r="Z101" i="56"/>
  <c r="Y101" i="56"/>
  <c r="X101" i="56"/>
  <c r="W101" i="56"/>
  <c r="V101" i="56"/>
  <c r="U101" i="56"/>
  <c r="T101" i="56"/>
  <c r="S101" i="56"/>
  <c r="R101" i="56"/>
  <c r="Q101" i="56"/>
  <c r="P101" i="56"/>
  <c r="O101" i="56"/>
  <c r="N101" i="56"/>
  <c r="M101" i="56"/>
  <c r="L101" i="56"/>
  <c r="K101" i="56"/>
  <c r="J101" i="56"/>
  <c r="I101" i="56"/>
  <c r="H101" i="56"/>
  <c r="G101" i="56"/>
  <c r="F101" i="56"/>
  <c r="E101" i="56"/>
  <c r="D101" i="56"/>
  <c r="D100" i="56"/>
  <c r="E23" i="56"/>
  <c r="D23" i="56"/>
  <c r="C23" i="56"/>
  <c r="E22" i="56"/>
  <c r="D22" i="56"/>
  <c r="C22" i="56"/>
  <c r="E21" i="56"/>
  <c r="D21" i="56"/>
  <c r="C21" i="56"/>
  <c r="AY20" i="56"/>
  <c r="AX20" i="56"/>
  <c r="AW20" i="56"/>
  <c r="AV20" i="56"/>
  <c r="AU20" i="56"/>
  <c r="AT20" i="56"/>
  <c r="AS20" i="56"/>
  <c r="AR20" i="56"/>
  <c r="AQ20" i="56"/>
  <c r="AP20" i="56"/>
  <c r="AO20" i="56"/>
  <c r="AN20" i="56"/>
  <c r="AM20" i="56"/>
  <c r="AL20" i="56"/>
  <c r="AK20" i="56"/>
  <c r="AJ20" i="56"/>
  <c r="AI20" i="56"/>
  <c r="AH20" i="56"/>
  <c r="AG20" i="56"/>
  <c r="AF20" i="56"/>
  <c r="AE20" i="56"/>
  <c r="AD20" i="56"/>
  <c r="AC20" i="56"/>
  <c r="AB20" i="56"/>
  <c r="AA20" i="56"/>
  <c r="Z20" i="56"/>
  <c r="Y20" i="56"/>
  <c r="X20" i="56"/>
  <c r="W20" i="56"/>
  <c r="V20" i="56"/>
  <c r="U20" i="56"/>
  <c r="T20" i="56"/>
  <c r="S20" i="56"/>
  <c r="R20" i="56"/>
  <c r="Q20" i="56"/>
  <c r="P20" i="56"/>
  <c r="O20" i="56"/>
  <c r="N20" i="56"/>
  <c r="M20" i="56"/>
  <c r="L20" i="56"/>
  <c r="K20" i="56"/>
  <c r="J20" i="56"/>
  <c r="I20" i="56"/>
  <c r="H20" i="56"/>
  <c r="G20" i="56"/>
  <c r="F20" i="56"/>
  <c r="E20" i="56"/>
  <c r="D20" i="56"/>
  <c r="D19" i="56"/>
  <c r="D18" i="56"/>
  <c r="D17" i="56"/>
  <c r="D16" i="56"/>
  <c r="D15" i="56"/>
  <c r="D14" i="56"/>
  <c r="D11" i="56"/>
  <c r="D10" i="56"/>
  <c r="D8" i="56"/>
  <c r="D6" i="56"/>
  <c r="L3" i="56"/>
  <c r="J3" i="56"/>
  <c r="H3" i="56"/>
  <c r="F3" i="56"/>
  <c r="E3" i="56"/>
  <c r="L2" i="56"/>
  <c r="J2" i="56"/>
  <c r="H2" i="56"/>
  <c r="F2" i="56"/>
  <c r="E2" i="56"/>
  <c r="B2" i="56"/>
  <c r="D132" i="55"/>
  <c r="D131" i="55"/>
  <c r="C131" i="55"/>
  <c r="AY130" i="55"/>
  <c r="AX130" i="55"/>
  <c r="AW130" i="55"/>
  <c r="AV130" i="55"/>
  <c r="AU130" i="55"/>
  <c r="AT130" i="55"/>
  <c r="AS130" i="55"/>
  <c r="AR130" i="55"/>
  <c r="AQ130" i="55"/>
  <c r="AP130" i="55"/>
  <c r="AO130" i="55"/>
  <c r="AN130" i="55"/>
  <c r="AM130" i="55"/>
  <c r="AL130" i="55"/>
  <c r="AK130" i="55"/>
  <c r="AJ130" i="55"/>
  <c r="AI130" i="55"/>
  <c r="AH130" i="55"/>
  <c r="AG130" i="55"/>
  <c r="AF130" i="55"/>
  <c r="AE130" i="55"/>
  <c r="AD130" i="55"/>
  <c r="AC130" i="55"/>
  <c r="AB130" i="55"/>
  <c r="AA130" i="55"/>
  <c r="Z130" i="55"/>
  <c r="Y130" i="55"/>
  <c r="X130" i="55"/>
  <c r="W130" i="55"/>
  <c r="V130" i="55"/>
  <c r="U130" i="55"/>
  <c r="T130" i="55"/>
  <c r="S130" i="55"/>
  <c r="R130" i="55"/>
  <c r="Q130" i="55"/>
  <c r="P130" i="55"/>
  <c r="O130" i="55"/>
  <c r="N130" i="55"/>
  <c r="M130" i="55"/>
  <c r="L130" i="55"/>
  <c r="K130" i="55"/>
  <c r="J130" i="55"/>
  <c r="I130" i="55"/>
  <c r="H130" i="55"/>
  <c r="G130" i="55"/>
  <c r="F130" i="55"/>
  <c r="E130" i="55"/>
  <c r="D130" i="55"/>
  <c r="D129" i="55"/>
  <c r="AC117" i="55"/>
  <c r="AA117" i="55"/>
  <c r="Y117" i="55"/>
  <c r="E117" i="55"/>
  <c r="D117" i="55"/>
  <c r="C117" i="55"/>
  <c r="AC116" i="55"/>
  <c r="AA116" i="55"/>
  <c r="Y116" i="55"/>
  <c r="E116" i="55"/>
  <c r="C116" i="55"/>
  <c r="AY115" i="55"/>
  <c r="AX115" i="55"/>
  <c r="AW115" i="55"/>
  <c r="AV115" i="55"/>
  <c r="AU115" i="55"/>
  <c r="AT115" i="55"/>
  <c r="AS115" i="55"/>
  <c r="AR115" i="55"/>
  <c r="AQ115" i="55"/>
  <c r="AP115" i="55"/>
  <c r="AO115" i="55"/>
  <c r="AN115" i="55"/>
  <c r="AM115" i="55"/>
  <c r="AL115" i="55"/>
  <c r="AK115" i="55"/>
  <c r="AJ115" i="55"/>
  <c r="AI115" i="55"/>
  <c r="AH115" i="55"/>
  <c r="AG115" i="55"/>
  <c r="AF115" i="55"/>
  <c r="AE115" i="55"/>
  <c r="AD115" i="55"/>
  <c r="AC115" i="55"/>
  <c r="AB115" i="55"/>
  <c r="AA115" i="55"/>
  <c r="Z115" i="55"/>
  <c r="Y115" i="55"/>
  <c r="X115" i="55"/>
  <c r="W115" i="55"/>
  <c r="V115" i="55"/>
  <c r="U115" i="55"/>
  <c r="T115" i="55"/>
  <c r="S115" i="55"/>
  <c r="R115" i="55"/>
  <c r="Q115" i="55"/>
  <c r="P115" i="55"/>
  <c r="O115" i="55"/>
  <c r="N115" i="55"/>
  <c r="M115" i="55"/>
  <c r="L115" i="55"/>
  <c r="K115" i="55"/>
  <c r="J115" i="55"/>
  <c r="I115" i="55"/>
  <c r="H115" i="55"/>
  <c r="G115" i="55"/>
  <c r="F115" i="55"/>
  <c r="E115" i="55"/>
  <c r="D115" i="55"/>
  <c r="D114" i="55"/>
  <c r="E102" i="55"/>
  <c r="D102" i="55"/>
  <c r="C102" i="55"/>
  <c r="AY101" i="55"/>
  <c r="AX101" i="55"/>
  <c r="AW101" i="55"/>
  <c r="AV101" i="55"/>
  <c r="AU101" i="55"/>
  <c r="AT101" i="55"/>
  <c r="AS101" i="55"/>
  <c r="AR101" i="55"/>
  <c r="AQ101" i="55"/>
  <c r="AP101" i="55"/>
  <c r="AO101" i="55"/>
  <c r="AN101" i="55"/>
  <c r="AM101" i="55"/>
  <c r="AL101" i="55"/>
  <c r="AK101" i="55"/>
  <c r="AJ101" i="55"/>
  <c r="AI101" i="55"/>
  <c r="AH101" i="55"/>
  <c r="AG101" i="55"/>
  <c r="AF101" i="55"/>
  <c r="AE101" i="55"/>
  <c r="AD101" i="55"/>
  <c r="AC101" i="55"/>
  <c r="AB101" i="55"/>
  <c r="AA101" i="55"/>
  <c r="Z101" i="55"/>
  <c r="Y101" i="55"/>
  <c r="X101" i="55"/>
  <c r="W101" i="55"/>
  <c r="V101" i="55"/>
  <c r="U101" i="55"/>
  <c r="T101" i="55"/>
  <c r="S101" i="55"/>
  <c r="R101" i="55"/>
  <c r="Q101" i="55"/>
  <c r="P101" i="55"/>
  <c r="O101" i="55"/>
  <c r="N101" i="55"/>
  <c r="M101" i="55"/>
  <c r="L101" i="55"/>
  <c r="K101" i="55"/>
  <c r="J101" i="55"/>
  <c r="I101" i="55"/>
  <c r="H101" i="55"/>
  <c r="G101" i="55"/>
  <c r="F101" i="55"/>
  <c r="E101" i="55"/>
  <c r="D101" i="55"/>
  <c r="D100" i="55"/>
  <c r="E23" i="55"/>
  <c r="D23" i="55"/>
  <c r="C23" i="55"/>
  <c r="E22" i="55"/>
  <c r="D22" i="55"/>
  <c r="C22" i="55"/>
  <c r="E21" i="55"/>
  <c r="D21" i="55"/>
  <c r="C21" i="55"/>
  <c r="AY20" i="55"/>
  <c r="AX20" i="55"/>
  <c r="AW20" i="55"/>
  <c r="AV20" i="55"/>
  <c r="AU20" i="55"/>
  <c r="AT20" i="55"/>
  <c r="AS20" i="55"/>
  <c r="AR20" i="55"/>
  <c r="AQ20" i="55"/>
  <c r="AP20" i="55"/>
  <c r="AO20" i="55"/>
  <c r="AN20" i="55"/>
  <c r="AM20" i="55"/>
  <c r="AL20" i="55"/>
  <c r="AK20" i="55"/>
  <c r="AJ20" i="55"/>
  <c r="AI20" i="55"/>
  <c r="AH20" i="55"/>
  <c r="AG20" i="55"/>
  <c r="AF20" i="55"/>
  <c r="AE20" i="55"/>
  <c r="AD20" i="55"/>
  <c r="AC20" i="55"/>
  <c r="AB20" i="55"/>
  <c r="AA20" i="55"/>
  <c r="Z20" i="55"/>
  <c r="Y20" i="55"/>
  <c r="X20" i="55"/>
  <c r="W20" i="55"/>
  <c r="V20" i="55"/>
  <c r="U20" i="55"/>
  <c r="T20" i="55"/>
  <c r="S20" i="55"/>
  <c r="R20" i="55"/>
  <c r="Q20" i="55"/>
  <c r="P20" i="55"/>
  <c r="O20" i="55"/>
  <c r="N20" i="55"/>
  <c r="M20" i="55"/>
  <c r="L20" i="55"/>
  <c r="K20" i="55"/>
  <c r="J20" i="55"/>
  <c r="I20" i="55"/>
  <c r="H20" i="55"/>
  <c r="G20" i="55"/>
  <c r="F20" i="55"/>
  <c r="E20" i="55"/>
  <c r="D20" i="55"/>
  <c r="D19" i="55"/>
  <c r="D18" i="55"/>
  <c r="D17" i="55"/>
  <c r="D16" i="55"/>
  <c r="D15" i="55"/>
  <c r="D14" i="55"/>
  <c r="D11" i="55"/>
  <c r="D10" i="55"/>
  <c r="D8" i="55"/>
  <c r="D6" i="55"/>
  <c r="C14" i="9" s="1"/>
  <c r="L3" i="55"/>
  <c r="J3" i="55"/>
  <c r="H3" i="55"/>
  <c r="F3" i="55"/>
  <c r="E3" i="55"/>
  <c r="L2" i="55"/>
  <c r="J2" i="55"/>
  <c r="H2" i="55"/>
  <c r="F2" i="55"/>
  <c r="E2" i="55"/>
  <c r="B2" i="55"/>
  <c r="D362" i="43"/>
  <c r="M350" i="43"/>
  <c r="J350" i="43"/>
  <c r="H350" i="43"/>
  <c r="F350" i="43"/>
  <c r="E350" i="43"/>
  <c r="E349" i="43"/>
  <c r="E348" i="43"/>
  <c r="E347" i="43"/>
  <c r="M335" i="43"/>
  <c r="K335" i="43"/>
  <c r="I335" i="43"/>
  <c r="F335" i="43"/>
  <c r="E335" i="43"/>
  <c r="F333" i="43"/>
  <c r="F332" i="43"/>
  <c r="E331" i="43"/>
  <c r="F330" i="43"/>
  <c r="F329" i="43"/>
  <c r="F328" i="43"/>
  <c r="F327" i="43"/>
  <c r="E326" i="43"/>
  <c r="F325" i="43"/>
  <c r="F324" i="43"/>
  <c r="F323" i="43"/>
  <c r="E322" i="43"/>
  <c r="F321" i="43"/>
  <c r="F320" i="43"/>
  <c r="F319" i="43"/>
  <c r="F317" i="43"/>
  <c r="E316" i="43"/>
  <c r="E315" i="43"/>
  <c r="E314" i="43"/>
  <c r="E313" i="43"/>
  <c r="E312" i="43"/>
  <c r="E311" i="43"/>
  <c r="D309" i="43"/>
  <c r="C13" i="9" s="1"/>
  <c r="L294" i="43"/>
  <c r="K294" i="43"/>
  <c r="J294" i="43"/>
  <c r="E294" i="43"/>
  <c r="D294" i="43"/>
  <c r="E292" i="43"/>
  <c r="E289" i="43"/>
  <c r="E285" i="43"/>
  <c r="D284" i="43"/>
  <c r="L269" i="43"/>
  <c r="K269" i="43"/>
  <c r="E269" i="43"/>
  <c r="D269" i="43"/>
  <c r="E267" i="43"/>
  <c r="E263" i="43"/>
  <c r="E261" i="43"/>
  <c r="E260" i="43"/>
  <c r="D258" i="43"/>
  <c r="D256" i="43"/>
  <c r="C12" i="9"/>
  <c r="E254" i="43"/>
  <c r="E253" i="43"/>
  <c r="E252" i="43"/>
  <c r="E251" i="43"/>
  <c r="E249" i="43"/>
  <c r="E247" i="43"/>
  <c r="E246" i="43"/>
  <c r="D245" i="43"/>
  <c r="E184" i="43"/>
  <c r="E183" i="43"/>
  <c r="E178" i="43"/>
  <c r="E165" i="43"/>
  <c r="E164" i="43"/>
  <c r="F162" i="43"/>
  <c r="N161" i="43"/>
  <c r="E160" i="43"/>
  <c r="E159" i="43"/>
  <c r="F157" i="43"/>
  <c r="F155" i="43"/>
  <c r="F153" i="43"/>
  <c r="F151" i="43"/>
  <c r="F150" i="43"/>
  <c r="E149" i="43"/>
  <c r="E148" i="43"/>
  <c r="F145" i="43"/>
  <c r="F143" i="43"/>
  <c r="F141" i="43"/>
  <c r="F138" i="43"/>
  <c r="F137" i="43"/>
  <c r="E136" i="43"/>
  <c r="E135" i="43"/>
  <c r="E133" i="43"/>
  <c r="E132" i="43"/>
  <c r="E131" i="43"/>
  <c r="F129" i="43"/>
  <c r="E128" i="43"/>
  <c r="E127" i="43"/>
  <c r="E126" i="43"/>
  <c r="E125" i="43"/>
  <c r="E124" i="43"/>
  <c r="F115" i="43"/>
  <c r="E115" i="43"/>
  <c r="E114" i="43"/>
  <c r="E113" i="43"/>
  <c r="E112" i="43"/>
  <c r="D110" i="43"/>
  <c r="G108" i="43"/>
  <c r="G107" i="43"/>
  <c r="G106" i="43"/>
  <c r="E105" i="43"/>
  <c r="G103" i="43"/>
  <c r="G102" i="43"/>
  <c r="G101" i="43"/>
  <c r="G100" i="43"/>
  <c r="E99" i="43"/>
  <c r="E98" i="43"/>
  <c r="G96" i="43"/>
  <c r="G95" i="43"/>
  <c r="G94" i="43"/>
  <c r="G93" i="43"/>
  <c r="G92" i="43"/>
  <c r="E91" i="43"/>
  <c r="D89" i="43"/>
  <c r="G87" i="43"/>
  <c r="G86" i="43"/>
  <c r="G85" i="43"/>
  <c r="G84" i="43"/>
  <c r="E83" i="43"/>
  <c r="G81" i="43"/>
  <c r="G80" i="43"/>
  <c r="G79" i="43"/>
  <c r="G78" i="43"/>
  <c r="E77" i="43"/>
  <c r="E75" i="43"/>
  <c r="D74" i="43"/>
  <c r="G72" i="43"/>
  <c r="G71" i="43"/>
  <c r="G70" i="43"/>
  <c r="G69" i="43"/>
  <c r="E68" i="43"/>
  <c r="G66" i="43"/>
  <c r="G65" i="43"/>
  <c r="G64" i="43"/>
  <c r="G63" i="43"/>
  <c r="G62" i="43"/>
  <c r="G61" i="43"/>
  <c r="G60" i="43"/>
  <c r="G59" i="43"/>
  <c r="G58" i="43"/>
  <c r="E57" i="43"/>
  <c r="E56" i="43"/>
  <c r="E54" i="43"/>
  <c r="E53" i="43"/>
  <c r="E52" i="43"/>
  <c r="E50" i="43"/>
  <c r="E47" i="43"/>
  <c r="F42" i="43"/>
  <c r="F41" i="43"/>
  <c r="F40" i="43"/>
  <c r="F38" i="43"/>
  <c r="F37" i="43"/>
  <c r="F36" i="43"/>
  <c r="F34" i="43"/>
  <c r="E33" i="43"/>
  <c r="E32" i="43"/>
  <c r="E31" i="43"/>
  <c r="E29" i="43"/>
  <c r="E27" i="43"/>
  <c r="E26" i="43"/>
  <c r="E25" i="43"/>
  <c r="E23" i="43"/>
  <c r="E22" i="43"/>
  <c r="E21" i="43"/>
  <c r="E20" i="43"/>
  <c r="E18" i="43"/>
  <c r="E16" i="43"/>
  <c r="E15" i="43"/>
  <c r="E13" i="43"/>
  <c r="E12" i="43"/>
  <c r="D10" i="43"/>
  <c r="D8" i="43"/>
  <c r="C10" i="9"/>
  <c r="D6" i="43"/>
  <c r="C9" i="9" s="1"/>
  <c r="M4" i="43"/>
  <c r="K4" i="43"/>
  <c r="I4" i="43"/>
  <c r="E4" i="43"/>
  <c r="M3" i="43"/>
  <c r="K3" i="43"/>
  <c r="I3" i="43"/>
  <c r="G3" i="43"/>
  <c r="E3" i="43"/>
  <c r="M2" i="43"/>
  <c r="K2" i="43"/>
  <c r="I2" i="43"/>
  <c r="G2" i="43"/>
  <c r="E2" i="43"/>
  <c r="B2" i="43"/>
  <c r="B92" i="10"/>
  <c r="B74" i="10"/>
  <c r="B73" i="10"/>
  <c r="B71" i="10"/>
  <c r="B70" i="10"/>
  <c r="D68" i="10"/>
  <c r="B68" i="10"/>
  <c r="D67" i="10"/>
  <c r="B67" i="10"/>
  <c r="B66" i="10"/>
  <c r="B65" i="10"/>
  <c r="D55" i="10"/>
  <c r="B53" i="10"/>
  <c r="B51" i="10"/>
  <c r="B48" i="10"/>
  <c r="B46" i="10"/>
  <c r="B45" i="10"/>
  <c r="B44" i="10"/>
  <c r="B43" i="10"/>
  <c r="D41" i="10"/>
  <c r="D40" i="10"/>
  <c r="D39" i="10"/>
  <c r="D38" i="10"/>
  <c r="D37" i="10"/>
  <c r="D36" i="10"/>
  <c r="D35" i="10"/>
  <c r="B35" i="10"/>
  <c r="D34" i="10"/>
  <c r="B34" i="10"/>
  <c r="B33" i="10"/>
  <c r="D31" i="10"/>
  <c r="D30" i="10"/>
  <c r="D29" i="10"/>
  <c r="D28" i="10"/>
  <c r="B27" i="10"/>
  <c r="B26" i="10"/>
  <c r="B25" i="10"/>
  <c r="B24" i="10"/>
  <c r="B23" i="10"/>
  <c r="B22" i="10"/>
  <c r="B21" i="10"/>
  <c r="B20" i="10"/>
  <c r="B18" i="10"/>
  <c r="B15" i="10"/>
  <c r="B14" i="10"/>
  <c r="B11" i="10"/>
  <c r="B7" i="10"/>
  <c r="B5" i="10"/>
  <c r="C8" i="9" s="1"/>
  <c r="B3" i="10"/>
  <c r="B2" i="10"/>
  <c r="J1" i="10"/>
  <c r="H1" i="10"/>
  <c r="F1" i="10"/>
  <c r="D1" i="10"/>
  <c r="B1" i="10"/>
  <c r="G70" i="9"/>
  <c r="C70" i="9"/>
  <c r="C64" i="9"/>
  <c r="C62" i="9"/>
  <c r="C61" i="9"/>
  <c r="C60" i="9"/>
  <c r="C59" i="9"/>
  <c r="C57" i="9"/>
  <c r="C56" i="9"/>
  <c r="B7" i="9"/>
  <c r="B5" i="9"/>
  <c r="B3" i="9"/>
  <c r="B2" i="9"/>
  <c r="K1" i="9"/>
  <c r="I1" i="9"/>
  <c r="B1" i="9"/>
  <c r="C38" i="51"/>
  <c r="C39" i="51"/>
  <c r="C40" i="51"/>
  <c r="C41" i="51"/>
  <c r="C36" i="51"/>
  <c r="C37" i="51"/>
  <c r="M158" i="49"/>
  <c r="M192" i="50" s="1"/>
  <c r="L158" i="49"/>
  <c r="K158" i="49"/>
  <c r="K192" i="50" s="1"/>
  <c r="J158" i="49"/>
  <c r="J192" i="50" s="1"/>
  <c r="I158" i="49"/>
  <c r="I192" i="50"/>
  <c r="M102" i="49"/>
  <c r="L102" i="49"/>
  <c r="L167" i="50"/>
  <c r="K102" i="49"/>
  <c r="J102" i="49"/>
  <c r="I102" i="49"/>
  <c r="I272" i="50"/>
  <c r="M65" i="41"/>
  <c r="M373" i="43"/>
  <c r="M77" i="50"/>
  <c r="L373" i="43"/>
  <c r="L77" i="50" s="1"/>
  <c r="K373" i="43"/>
  <c r="K77" i="50" s="1"/>
  <c r="J373" i="43"/>
  <c r="J77" i="50"/>
  <c r="I373" i="43"/>
  <c r="I77" i="50"/>
  <c r="G375" i="43"/>
  <c r="V270" i="43" s="1"/>
  <c r="K226" i="34"/>
  <c r="J10" i="55"/>
  <c r="C31" i="10"/>
  <c r="X153" i="43"/>
  <c r="X141" i="43"/>
  <c r="C1621" i="50"/>
  <c r="C1622" i="50"/>
  <c r="C1623" i="50" s="1"/>
  <c r="C1624" i="50"/>
  <c r="C1625" i="50" s="1"/>
  <c r="C1626" i="50" s="1"/>
  <c r="C1627" i="50" s="1"/>
  <c r="C1628" i="50" s="1"/>
  <c r="C1629" i="50" s="1"/>
  <c r="C1630" i="50" s="1"/>
  <c r="C1631" i="50" s="1"/>
  <c r="C1632" i="50" s="1"/>
  <c r="C1633" i="50" s="1"/>
  <c r="C1634" i="50" s="1"/>
  <c r="C1635" i="50" s="1"/>
  <c r="C1636" i="50" s="1"/>
  <c r="C1637" i="50" s="1"/>
  <c r="C1638" i="50" s="1"/>
  <c r="C1639" i="50" s="1"/>
  <c r="C1579" i="50"/>
  <c r="C1580" i="50" s="1"/>
  <c r="C1581" i="50" s="1"/>
  <c r="C1582" i="50" s="1"/>
  <c r="C1583" i="50" s="1"/>
  <c r="C1584" i="50" s="1"/>
  <c r="C1585" i="50" s="1"/>
  <c r="C1586" i="50" s="1"/>
  <c r="C1587" i="50"/>
  <c r="C1588" i="50" s="1"/>
  <c r="C1589" i="50" s="1"/>
  <c r="C1590" i="50" s="1"/>
  <c r="C1591" i="50" s="1"/>
  <c r="C1592" i="50" s="1"/>
  <c r="C1593" i="50" s="1"/>
  <c r="C1594" i="50" s="1"/>
  <c r="C1595" i="50"/>
  <c r="C1596" i="50" s="1"/>
  <c r="C1597" i="50" s="1"/>
  <c r="C1245" i="50"/>
  <c r="L1202" i="50"/>
  <c r="Q1199" i="50"/>
  <c r="Q702" i="42"/>
  <c r="S96" i="41"/>
  <c r="S108" i="41"/>
  <c r="S109" i="41" s="1"/>
  <c r="S110" i="41" s="1"/>
  <c r="S117" i="41" s="1"/>
  <c r="S118" i="41" s="1"/>
  <c r="S119" i="41" s="1"/>
  <c r="S102" i="41" s="1"/>
  <c r="S140" i="41" s="1"/>
  <c r="S142" i="41"/>
  <c r="S177" i="41" s="1"/>
  <c r="S178" i="41" s="1"/>
  <c r="S179" i="41" s="1"/>
  <c r="S180" i="41" s="1"/>
  <c r="S181" i="41" s="1"/>
  <c r="S201" i="41" s="1"/>
  <c r="S207" i="41" s="1"/>
  <c r="S208" i="41"/>
  <c r="S209" i="41" s="1"/>
  <c r="S210" i="41" s="1"/>
  <c r="S211" i="41" s="1"/>
  <c r="Q70" i="41"/>
  <c r="Q259" i="41"/>
  <c r="M482" i="50"/>
  <c r="L482" i="50"/>
  <c r="K482" i="50"/>
  <c r="J482" i="50"/>
  <c r="M480" i="50"/>
  <c r="L480" i="50"/>
  <c r="K480" i="50"/>
  <c r="J480" i="50"/>
  <c r="M479" i="50"/>
  <c r="L479" i="50"/>
  <c r="K479" i="50"/>
  <c r="J479" i="50"/>
  <c r="M478" i="50"/>
  <c r="L478" i="50"/>
  <c r="K478" i="50"/>
  <c r="J478" i="50"/>
  <c r="M477" i="50"/>
  <c r="L477" i="50"/>
  <c r="K477" i="50"/>
  <c r="J477" i="50"/>
  <c r="I482" i="50"/>
  <c r="I480" i="50"/>
  <c r="I479" i="50"/>
  <c r="I478" i="50"/>
  <c r="I477" i="50"/>
  <c r="L474" i="50"/>
  <c r="M462" i="50"/>
  <c r="L462" i="50"/>
  <c r="K462" i="50"/>
  <c r="J462" i="50"/>
  <c r="I462" i="50"/>
  <c r="M448" i="50"/>
  <c r="L448" i="50"/>
  <c r="K448" i="50"/>
  <c r="J448" i="50"/>
  <c r="I448" i="50"/>
  <c r="M416" i="50"/>
  <c r="L416" i="50"/>
  <c r="K416" i="50"/>
  <c r="J416" i="50"/>
  <c r="I416" i="50"/>
  <c r="M415" i="50"/>
  <c r="L415" i="50"/>
  <c r="K415" i="50"/>
  <c r="J415" i="50"/>
  <c r="I415" i="50"/>
  <c r="M414" i="50"/>
  <c r="L414" i="50"/>
  <c r="K414" i="50"/>
  <c r="J414" i="50"/>
  <c r="M409" i="50"/>
  <c r="L409" i="50"/>
  <c r="K409" i="50"/>
  <c r="J409" i="50"/>
  <c r="I409" i="50"/>
  <c r="M408" i="50"/>
  <c r="L408" i="50"/>
  <c r="K408" i="50"/>
  <c r="J408" i="50"/>
  <c r="I408" i="50"/>
  <c r="M407" i="50"/>
  <c r="L407" i="50"/>
  <c r="K407" i="50"/>
  <c r="J407" i="50"/>
  <c r="E409" i="50"/>
  <c r="E408" i="50"/>
  <c r="E416" i="50"/>
  <c r="E415" i="50"/>
  <c r="E414" i="50"/>
  <c r="I414" i="50"/>
  <c r="I407" i="50"/>
  <c r="E407" i="50"/>
  <c r="D380" i="50"/>
  <c r="D394" i="50"/>
  <c r="D402" i="50"/>
  <c r="D405" i="50"/>
  <c r="D412" i="50"/>
  <c r="D419" i="50"/>
  <c r="D422" i="50"/>
  <c r="D436" i="50"/>
  <c r="D447" i="50"/>
  <c r="D450" i="50"/>
  <c r="D468" i="50"/>
  <c r="H470" i="50"/>
  <c r="E356" i="50"/>
  <c r="E355" i="50"/>
  <c r="E354" i="50"/>
  <c r="E353" i="50"/>
  <c r="E352" i="50"/>
  <c r="M282" i="50"/>
  <c r="L282" i="50"/>
  <c r="K282" i="50"/>
  <c r="J282" i="50"/>
  <c r="M281" i="50"/>
  <c r="L281" i="50"/>
  <c r="K281" i="50"/>
  <c r="J281" i="50"/>
  <c r="M280" i="50"/>
  <c r="L280" i="50"/>
  <c r="K280" i="50"/>
  <c r="J280" i="50"/>
  <c r="M289" i="50"/>
  <c r="L289" i="50"/>
  <c r="K289" i="50"/>
  <c r="J289" i="50"/>
  <c r="M288" i="50"/>
  <c r="L288" i="50"/>
  <c r="K288" i="50"/>
  <c r="J288" i="50"/>
  <c r="M287" i="50"/>
  <c r="L287" i="50"/>
  <c r="K287" i="50"/>
  <c r="J287" i="50"/>
  <c r="I287" i="50"/>
  <c r="I288" i="50"/>
  <c r="I289" i="50"/>
  <c r="M276" i="50"/>
  <c r="L276" i="50"/>
  <c r="K276" i="50"/>
  <c r="J276" i="50"/>
  <c r="M300" i="50"/>
  <c r="L300" i="50"/>
  <c r="K300" i="50"/>
  <c r="J300" i="50"/>
  <c r="M302" i="50"/>
  <c r="L302" i="50"/>
  <c r="K302" i="50"/>
  <c r="J302" i="50"/>
  <c r="M315" i="50"/>
  <c r="L315" i="50"/>
  <c r="K315" i="50"/>
  <c r="J315" i="50"/>
  <c r="M314" i="50"/>
  <c r="L314" i="50"/>
  <c r="K314" i="50"/>
  <c r="J314" i="50"/>
  <c r="M313" i="50"/>
  <c r="L313" i="50"/>
  <c r="K313" i="50"/>
  <c r="J313" i="50"/>
  <c r="M312" i="50"/>
  <c r="L312" i="50"/>
  <c r="K312" i="50"/>
  <c r="J312" i="50"/>
  <c r="M311" i="50"/>
  <c r="L311" i="50"/>
  <c r="K311" i="50"/>
  <c r="J311" i="50"/>
  <c r="M310" i="50"/>
  <c r="L310" i="50"/>
  <c r="K310" i="50"/>
  <c r="J310" i="50"/>
  <c r="M309" i="50"/>
  <c r="L309" i="50"/>
  <c r="K309" i="50"/>
  <c r="J309" i="50"/>
  <c r="M308" i="50"/>
  <c r="L308" i="50"/>
  <c r="K308" i="50"/>
  <c r="J308" i="50"/>
  <c r="M307" i="50"/>
  <c r="L307" i="50"/>
  <c r="K307" i="50"/>
  <c r="J307" i="50"/>
  <c r="M306" i="50"/>
  <c r="L306" i="50"/>
  <c r="K306" i="50"/>
  <c r="J306" i="50"/>
  <c r="M333" i="50"/>
  <c r="L333" i="50"/>
  <c r="K333" i="50"/>
  <c r="J333" i="50"/>
  <c r="M332" i="50"/>
  <c r="L332" i="50"/>
  <c r="K332" i="50"/>
  <c r="J332" i="50"/>
  <c r="M331" i="50"/>
  <c r="L331" i="50"/>
  <c r="K331" i="50"/>
  <c r="J331" i="50"/>
  <c r="M330" i="50"/>
  <c r="L330" i="50"/>
  <c r="K330" i="50"/>
  <c r="J330" i="50"/>
  <c r="M329" i="50"/>
  <c r="L329" i="50"/>
  <c r="K329" i="50"/>
  <c r="J329" i="50"/>
  <c r="M348" i="50"/>
  <c r="L348" i="50"/>
  <c r="K348" i="50"/>
  <c r="J348" i="50"/>
  <c r="M355" i="50"/>
  <c r="L355" i="50"/>
  <c r="K355" i="50"/>
  <c r="J355" i="50"/>
  <c r="M354" i="50"/>
  <c r="L354" i="50"/>
  <c r="K354" i="50"/>
  <c r="J354" i="50"/>
  <c r="M353" i="50"/>
  <c r="L353" i="50"/>
  <c r="K353" i="50"/>
  <c r="J353" i="50"/>
  <c r="M352" i="50"/>
  <c r="L352" i="50"/>
  <c r="K352" i="50"/>
  <c r="J352" i="50"/>
  <c r="E289" i="50"/>
  <c r="E288" i="50"/>
  <c r="E287" i="50"/>
  <c r="E282" i="50"/>
  <c r="E281" i="50"/>
  <c r="E280" i="50"/>
  <c r="E333" i="50"/>
  <c r="E332" i="50"/>
  <c r="E331" i="50"/>
  <c r="E330" i="50"/>
  <c r="E329" i="50"/>
  <c r="I355" i="50"/>
  <c r="I354" i="50"/>
  <c r="I353" i="50"/>
  <c r="I352" i="50"/>
  <c r="I348" i="50"/>
  <c r="I333" i="50"/>
  <c r="I332" i="50"/>
  <c r="I331" i="50"/>
  <c r="I330" i="50"/>
  <c r="I329" i="50"/>
  <c r="I315" i="50"/>
  <c r="I314" i="50"/>
  <c r="I313" i="50"/>
  <c r="I312" i="50"/>
  <c r="I311" i="50"/>
  <c r="I310" i="50"/>
  <c r="I309" i="50"/>
  <c r="I308" i="50"/>
  <c r="I307" i="50"/>
  <c r="I306" i="50"/>
  <c r="I302" i="50"/>
  <c r="I300" i="50"/>
  <c r="I276" i="50"/>
  <c r="I282" i="50"/>
  <c r="I281" i="50"/>
  <c r="I280" i="50"/>
  <c r="D270" i="50"/>
  <c r="D278" i="50"/>
  <c r="D285" i="50"/>
  <c r="D275" i="50"/>
  <c r="D292" i="50"/>
  <c r="D295" i="50"/>
  <c r="H296" i="50"/>
  <c r="D298" i="50"/>
  <c r="D304" i="50"/>
  <c r="H322" i="50"/>
  <c r="H325" i="50"/>
  <c r="D327" i="50"/>
  <c r="D336" i="50"/>
  <c r="D344" i="50"/>
  <c r="H345" i="50"/>
  <c r="D347" i="50"/>
  <c r="D350" i="50"/>
  <c r="D359" i="50"/>
  <c r="H362" i="50"/>
  <c r="D364" i="50"/>
  <c r="D367" i="50"/>
  <c r="M220" i="50"/>
  <c r="L220" i="50"/>
  <c r="K220" i="50"/>
  <c r="J220" i="50"/>
  <c r="M219" i="50"/>
  <c r="L219" i="50"/>
  <c r="K219" i="50"/>
  <c r="J219" i="50"/>
  <c r="M218" i="50"/>
  <c r="L218" i="50"/>
  <c r="K218" i="50"/>
  <c r="J218" i="50"/>
  <c r="M217" i="50"/>
  <c r="L217" i="50"/>
  <c r="K217" i="50"/>
  <c r="J217" i="50"/>
  <c r="M232" i="50"/>
  <c r="L232" i="50"/>
  <c r="K232" i="50"/>
  <c r="J232" i="50"/>
  <c r="M231" i="50"/>
  <c r="L231" i="50"/>
  <c r="K231" i="50"/>
  <c r="J231" i="50"/>
  <c r="M230" i="50"/>
  <c r="L230" i="50"/>
  <c r="K230" i="50"/>
  <c r="J230" i="50"/>
  <c r="M229" i="50"/>
  <c r="L229" i="50"/>
  <c r="K229" i="50"/>
  <c r="J229" i="50"/>
  <c r="N236" i="50"/>
  <c r="K236" i="50"/>
  <c r="H231" i="50"/>
  <c r="I232" i="50"/>
  <c r="I231" i="50"/>
  <c r="I230" i="50"/>
  <c r="I229" i="50"/>
  <c r="H227" i="50"/>
  <c r="L226" i="50"/>
  <c r="N224" i="50"/>
  <c r="K224" i="50"/>
  <c r="H219" i="50"/>
  <c r="I220" i="50"/>
  <c r="I219" i="50"/>
  <c r="I218" i="50"/>
  <c r="I217" i="50"/>
  <c r="H215" i="50"/>
  <c r="L214" i="50"/>
  <c r="M191" i="50"/>
  <c r="L191" i="50"/>
  <c r="K191" i="50"/>
  <c r="J191" i="50"/>
  <c r="M190" i="50"/>
  <c r="L190" i="50"/>
  <c r="K190" i="50"/>
  <c r="J190" i="50"/>
  <c r="M196" i="50"/>
  <c r="L196" i="50"/>
  <c r="K196" i="50"/>
  <c r="J196" i="50"/>
  <c r="M195" i="50"/>
  <c r="L195" i="50"/>
  <c r="K195" i="50"/>
  <c r="J195" i="50"/>
  <c r="M203" i="50"/>
  <c r="L203" i="50"/>
  <c r="K203" i="50"/>
  <c r="J203" i="50"/>
  <c r="M202" i="50"/>
  <c r="L202" i="50"/>
  <c r="K202" i="50"/>
  <c r="J202" i="50"/>
  <c r="I203" i="50"/>
  <c r="I202" i="50"/>
  <c r="I196" i="50"/>
  <c r="I195" i="50"/>
  <c r="I191" i="50"/>
  <c r="I190" i="50"/>
  <c r="M178" i="50"/>
  <c r="L178" i="50"/>
  <c r="K178" i="50"/>
  <c r="J178" i="50"/>
  <c r="M177" i="50"/>
  <c r="L177" i="50"/>
  <c r="K177" i="50"/>
  <c r="J177" i="50"/>
  <c r="I178" i="50"/>
  <c r="I177" i="50"/>
  <c r="M166" i="50"/>
  <c r="L166" i="50"/>
  <c r="K166" i="50"/>
  <c r="J166" i="50"/>
  <c r="M165" i="50"/>
  <c r="L165" i="50"/>
  <c r="K165" i="50"/>
  <c r="J165" i="50"/>
  <c r="I166" i="50"/>
  <c r="I165" i="50"/>
  <c r="M171" i="50"/>
  <c r="L171" i="50"/>
  <c r="K171" i="50"/>
  <c r="J171" i="50"/>
  <c r="M170" i="50"/>
  <c r="L170" i="50"/>
  <c r="K170" i="50"/>
  <c r="J170" i="50"/>
  <c r="I171" i="50"/>
  <c r="I170" i="50"/>
  <c r="M162" i="50"/>
  <c r="M187" i="50" s="1"/>
  <c r="H175" i="50"/>
  <c r="H176" i="50"/>
  <c r="H177" i="50"/>
  <c r="H178" i="50"/>
  <c r="H200" i="50"/>
  <c r="H201" i="50"/>
  <c r="H202" i="50"/>
  <c r="H203" i="50"/>
  <c r="F25" i="50"/>
  <c r="F26" i="50"/>
  <c r="F27" i="50"/>
  <c r="F28" i="50"/>
  <c r="F29" i="50"/>
  <c r="F24" i="50"/>
  <c r="H15" i="50"/>
  <c r="H14" i="50"/>
  <c r="H13" i="50"/>
  <c r="M12" i="50"/>
  <c r="H21" i="50"/>
  <c r="H19" i="50"/>
  <c r="H18" i="50"/>
  <c r="H17" i="50"/>
  <c r="M17" i="50"/>
  <c r="M18" i="50"/>
  <c r="M19" i="50"/>
  <c r="M20" i="50"/>
  <c r="M21" i="50"/>
  <c r="P271" i="34"/>
  <c r="P272" i="34"/>
  <c r="P273" i="34"/>
  <c r="P269" i="34"/>
  <c r="P268" i="34"/>
  <c r="P213" i="34"/>
  <c r="P214" i="34"/>
  <c r="P215" i="34"/>
  <c r="P216" i="34"/>
  <c r="P217" i="34"/>
  <c r="P218" i="34"/>
  <c r="P220" i="34"/>
  <c r="P221" i="34"/>
  <c r="P222" i="34"/>
  <c r="P223" i="34"/>
  <c r="P224" i="34"/>
  <c r="P225" i="34"/>
  <c r="P226" i="34"/>
  <c r="P227" i="34"/>
  <c r="P228" i="34"/>
  <c r="P229" i="34"/>
  <c r="P230" i="34"/>
  <c r="P231" i="34"/>
  <c r="P232" i="34"/>
  <c r="P233" i="34"/>
  <c r="P234" i="34"/>
  <c r="P235" i="34"/>
  <c r="P236" i="34"/>
  <c r="P237" i="34"/>
  <c r="P238" i="34"/>
  <c r="P239" i="34"/>
  <c r="P240" i="34"/>
  <c r="P241" i="34"/>
  <c r="P242" i="34"/>
  <c r="P243" i="34"/>
  <c r="P244" i="34"/>
  <c r="P245" i="34"/>
  <c r="P246" i="34"/>
  <c r="P247" i="34"/>
  <c r="P248" i="34"/>
  <c r="P249" i="34"/>
  <c r="P250" i="34"/>
  <c r="P251" i="34"/>
  <c r="P252" i="34"/>
  <c r="P253" i="34"/>
  <c r="P254" i="34"/>
  <c r="P255" i="34"/>
  <c r="P256" i="34"/>
  <c r="P257" i="34"/>
  <c r="P258" i="34"/>
  <c r="P259" i="34"/>
  <c r="P260" i="34"/>
  <c r="P261" i="34"/>
  <c r="P262" i="34"/>
  <c r="P263" i="34"/>
  <c r="P264" i="34"/>
  <c r="P212" i="34"/>
  <c r="M393" i="47"/>
  <c r="L393" i="47"/>
  <c r="K393" i="47"/>
  <c r="J393" i="47"/>
  <c r="I393" i="47"/>
  <c r="P22" i="49"/>
  <c r="BA118" i="58"/>
  <c r="BB132" i="59"/>
  <c r="BA132" i="59"/>
  <c r="BB127" i="59"/>
  <c r="BA127" i="59"/>
  <c r="BB126" i="59"/>
  <c r="BA126" i="59"/>
  <c r="BB125" i="59"/>
  <c r="BA125" i="59"/>
  <c r="BB124" i="59"/>
  <c r="BA124" i="59"/>
  <c r="BB123" i="59"/>
  <c r="BA123" i="59"/>
  <c r="BB122" i="59"/>
  <c r="BA122" i="59"/>
  <c r="BB121" i="59"/>
  <c r="BA121" i="59"/>
  <c r="BB120" i="59"/>
  <c r="BA120" i="59"/>
  <c r="BB119" i="59"/>
  <c r="BA119" i="59"/>
  <c r="BB118" i="59"/>
  <c r="BA118" i="59"/>
  <c r="BB112" i="59"/>
  <c r="BA112" i="59"/>
  <c r="BB111" i="59"/>
  <c r="BA111" i="59"/>
  <c r="BB110" i="59"/>
  <c r="BA110" i="59"/>
  <c r="BB109" i="59"/>
  <c r="BA109" i="59"/>
  <c r="BB108" i="59"/>
  <c r="BA108" i="59"/>
  <c r="BB107" i="59"/>
  <c r="BA107" i="59"/>
  <c r="BB106" i="59"/>
  <c r="BA106" i="59"/>
  <c r="BB105" i="59"/>
  <c r="BA105" i="59"/>
  <c r="BB104" i="59"/>
  <c r="BA104" i="59"/>
  <c r="BB103" i="59"/>
  <c r="BA103" i="59"/>
  <c r="BB98" i="59"/>
  <c r="BA98" i="59"/>
  <c r="BB97" i="59"/>
  <c r="BA97" i="59"/>
  <c r="BB96" i="59"/>
  <c r="BA96" i="59"/>
  <c r="BB95" i="59"/>
  <c r="BA95" i="59"/>
  <c r="BB94" i="59"/>
  <c r="BA94" i="59"/>
  <c r="BB93" i="59"/>
  <c r="BA93" i="59"/>
  <c r="BB92" i="59"/>
  <c r="BA92" i="59"/>
  <c r="BB91" i="59"/>
  <c r="BA91" i="59"/>
  <c r="BB90" i="59"/>
  <c r="BA90" i="59"/>
  <c r="BB89" i="59"/>
  <c r="BA89" i="59"/>
  <c r="BB88" i="59"/>
  <c r="BA88" i="59"/>
  <c r="BB87" i="59"/>
  <c r="BA87" i="59"/>
  <c r="BB86" i="59"/>
  <c r="BA86" i="59"/>
  <c r="BB85" i="59"/>
  <c r="BA85" i="59"/>
  <c r="BB84" i="59"/>
  <c r="BA84" i="59"/>
  <c r="BB83" i="59"/>
  <c r="BA83" i="59"/>
  <c r="BB82" i="59"/>
  <c r="BA82" i="59"/>
  <c r="BB81" i="59"/>
  <c r="BA81" i="59"/>
  <c r="BB80" i="59"/>
  <c r="BA80" i="59"/>
  <c r="BB79" i="59"/>
  <c r="BA79" i="59"/>
  <c r="BB78" i="59"/>
  <c r="BA78" i="59"/>
  <c r="BB77" i="59"/>
  <c r="BA77" i="59"/>
  <c r="BB76" i="59"/>
  <c r="BA76" i="59"/>
  <c r="BB75" i="59"/>
  <c r="BA75" i="59"/>
  <c r="BB74" i="59"/>
  <c r="BA74" i="59"/>
  <c r="BB73" i="59"/>
  <c r="BA73" i="59"/>
  <c r="BB72" i="59"/>
  <c r="BA72" i="59"/>
  <c r="BB71" i="59"/>
  <c r="BA71" i="59"/>
  <c r="BB70" i="59"/>
  <c r="BA70" i="59"/>
  <c r="BB69" i="59"/>
  <c r="BA69" i="59"/>
  <c r="BB68" i="59"/>
  <c r="BA68" i="59"/>
  <c r="BB67" i="59"/>
  <c r="BA67" i="59"/>
  <c r="BB66" i="59"/>
  <c r="BA66" i="59"/>
  <c r="BB65" i="59"/>
  <c r="BA65" i="59"/>
  <c r="BB64" i="59"/>
  <c r="BA64" i="59"/>
  <c r="BB63" i="59"/>
  <c r="BA63" i="59"/>
  <c r="BB62" i="59"/>
  <c r="BA62" i="59"/>
  <c r="BB61" i="59"/>
  <c r="BA61" i="59"/>
  <c r="BB60" i="59"/>
  <c r="BA60" i="59"/>
  <c r="BB59" i="59"/>
  <c r="BA59" i="59"/>
  <c r="BB58" i="59"/>
  <c r="BA58" i="59"/>
  <c r="BB57" i="59"/>
  <c r="BA57" i="59"/>
  <c r="BB56" i="59"/>
  <c r="BA56" i="59"/>
  <c r="BB55" i="59"/>
  <c r="BA55" i="59"/>
  <c r="BB54" i="59"/>
  <c r="BA54" i="59"/>
  <c r="BB53" i="59"/>
  <c r="BA53" i="59"/>
  <c r="BB52" i="59"/>
  <c r="BA52" i="59"/>
  <c r="BB51" i="59"/>
  <c r="BA51" i="59"/>
  <c r="BB50" i="59"/>
  <c r="BA50" i="59"/>
  <c r="BB49" i="59"/>
  <c r="BA49" i="59"/>
  <c r="BB48" i="59"/>
  <c r="BA48" i="59"/>
  <c r="BB47" i="59"/>
  <c r="BA47" i="59"/>
  <c r="BB46" i="59"/>
  <c r="BA46" i="59"/>
  <c r="BB45" i="59"/>
  <c r="BA45" i="59"/>
  <c r="BB44" i="59"/>
  <c r="BA44" i="59"/>
  <c r="BB43" i="59"/>
  <c r="BA43" i="59"/>
  <c r="BB42" i="59"/>
  <c r="BA42" i="59"/>
  <c r="BB41" i="59"/>
  <c r="BA41" i="59"/>
  <c r="BB40" i="59"/>
  <c r="BA40" i="59"/>
  <c r="BB39" i="59"/>
  <c r="BA39" i="59"/>
  <c r="BB38" i="59"/>
  <c r="BA38" i="59"/>
  <c r="BB37" i="59"/>
  <c r="BA37" i="59"/>
  <c r="BB36" i="59"/>
  <c r="BA36" i="59"/>
  <c r="BB35" i="59"/>
  <c r="BA35" i="59"/>
  <c r="BB34" i="59"/>
  <c r="BA34" i="59"/>
  <c r="BB33" i="59"/>
  <c r="BA33" i="59"/>
  <c r="BB32" i="59"/>
  <c r="BA32" i="59"/>
  <c r="BB31" i="59"/>
  <c r="BA31" i="59"/>
  <c r="BB30" i="59"/>
  <c r="BA30" i="59"/>
  <c r="BB29" i="59"/>
  <c r="BA29" i="59"/>
  <c r="BB28" i="59"/>
  <c r="BA28" i="59"/>
  <c r="BB27" i="59"/>
  <c r="BA27" i="59"/>
  <c r="BB26" i="59"/>
  <c r="BA26" i="59"/>
  <c r="BB25" i="59"/>
  <c r="BA25" i="59"/>
  <c r="BB24" i="59"/>
  <c r="BA24" i="59"/>
  <c r="BB12" i="59"/>
  <c r="J10" i="59"/>
  <c r="BB132" i="58"/>
  <c r="BA132" i="58"/>
  <c r="BB127" i="58"/>
  <c r="BA127" i="58"/>
  <c r="BB126" i="58"/>
  <c r="BA126" i="58"/>
  <c r="BB125" i="58"/>
  <c r="BA125" i="58"/>
  <c r="BB124" i="58"/>
  <c r="BA124" i="58"/>
  <c r="BB123" i="58"/>
  <c r="BA123" i="58"/>
  <c r="BB122" i="58"/>
  <c r="BA122" i="58"/>
  <c r="BB121" i="58"/>
  <c r="BA121" i="58"/>
  <c r="BB120" i="58"/>
  <c r="BA120" i="58"/>
  <c r="BB119" i="58"/>
  <c r="BA119" i="58"/>
  <c r="BB118" i="58"/>
  <c r="BB112" i="58"/>
  <c r="BA112" i="58"/>
  <c r="BB111" i="58"/>
  <c r="BA111" i="58"/>
  <c r="BB110" i="58"/>
  <c r="BA110" i="58"/>
  <c r="BB109" i="58"/>
  <c r="BA109" i="58"/>
  <c r="BB108" i="58"/>
  <c r="BA108" i="58"/>
  <c r="BB107" i="58"/>
  <c r="BA107" i="58"/>
  <c r="BB106" i="58"/>
  <c r="BA106" i="58"/>
  <c r="BB105" i="58"/>
  <c r="BA105" i="58"/>
  <c r="BB104" i="58"/>
  <c r="BA104" i="58"/>
  <c r="BB103" i="58"/>
  <c r="BA103" i="58"/>
  <c r="BB98" i="58"/>
  <c r="BA98" i="58"/>
  <c r="BB97" i="58"/>
  <c r="BA97" i="58"/>
  <c r="BB96" i="58"/>
  <c r="BA96" i="58"/>
  <c r="BB95" i="58"/>
  <c r="BA95" i="58"/>
  <c r="BB94" i="58"/>
  <c r="BA94" i="58"/>
  <c r="BB93" i="58"/>
  <c r="BA93" i="58"/>
  <c r="BB92" i="58"/>
  <c r="BA92" i="58"/>
  <c r="BB91" i="58"/>
  <c r="BA91" i="58"/>
  <c r="BB90" i="58"/>
  <c r="BA90" i="58"/>
  <c r="BB89" i="58"/>
  <c r="BA89" i="58"/>
  <c r="BB88" i="58"/>
  <c r="BA88" i="58"/>
  <c r="BB87" i="58"/>
  <c r="BA87" i="58"/>
  <c r="BB86" i="58"/>
  <c r="BA86" i="58"/>
  <c r="BB85" i="58"/>
  <c r="BA85" i="58"/>
  <c r="BB84" i="58"/>
  <c r="BA84" i="58"/>
  <c r="BB83" i="58"/>
  <c r="BA83" i="58"/>
  <c r="BB82" i="58"/>
  <c r="BA82" i="58"/>
  <c r="BB81" i="58"/>
  <c r="BA81" i="58"/>
  <c r="BB80" i="58"/>
  <c r="BA80" i="58"/>
  <c r="BB79" i="58"/>
  <c r="BA79" i="58"/>
  <c r="BB78" i="58"/>
  <c r="BA78" i="58"/>
  <c r="BB77" i="58"/>
  <c r="BA77" i="58"/>
  <c r="BB76" i="58"/>
  <c r="BA76" i="58"/>
  <c r="BB75" i="58"/>
  <c r="BA75" i="58"/>
  <c r="BB74" i="58"/>
  <c r="BA74" i="58"/>
  <c r="BB73" i="58"/>
  <c r="BA73" i="58"/>
  <c r="BB72" i="58"/>
  <c r="BA72" i="58"/>
  <c r="BB71" i="58"/>
  <c r="BA71" i="58"/>
  <c r="BB70" i="58"/>
  <c r="BA70" i="58"/>
  <c r="BB69" i="58"/>
  <c r="BA69" i="58"/>
  <c r="BB68" i="58"/>
  <c r="BA68" i="58"/>
  <c r="BB67" i="58"/>
  <c r="BA67" i="58"/>
  <c r="BB66" i="58"/>
  <c r="BA66" i="58"/>
  <c r="BB65" i="58"/>
  <c r="BA65" i="58"/>
  <c r="BB64" i="58"/>
  <c r="BA64" i="58"/>
  <c r="BB63" i="58"/>
  <c r="BA63" i="58"/>
  <c r="BB62" i="58"/>
  <c r="BA62" i="58"/>
  <c r="BB61" i="58"/>
  <c r="BA61" i="58"/>
  <c r="BB60" i="58"/>
  <c r="BA60" i="58"/>
  <c r="BB59" i="58"/>
  <c r="BA59" i="58"/>
  <c r="BB58" i="58"/>
  <c r="BA58" i="58"/>
  <c r="BB57" i="58"/>
  <c r="BA57" i="58"/>
  <c r="BB56" i="58"/>
  <c r="BA56" i="58"/>
  <c r="BB55" i="58"/>
  <c r="BA55" i="58"/>
  <c r="BB54" i="58"/>
  <c r="BA54" i="58"/>
  <c r="BB53" i="58"/>
  <c r="BA53" i="58"/>
  <c r="BB52" i="58"/>
  <c r="BA52" i="58"/>
  <c r="BB51" i="58"/>
  <c r="BA51" i="58"/>
  <c r="BB50" i="58"/>
  <c r="BA50" i="58"/>
  <c r="BB49" i="58"/>
  <c r="BA49" i="58"/>
  <c r="BB48" i="58"/>
  <c r="BA48" i="58"/>
  <c r="BB47" i="58"/>
  <c r="BA47" i="58"/>
  <c r="BB46" i="58"/>
  <c r="BA46" i="58"/>
  <c r="BB45" i="58"/>
  <c r="BA45" i="58"/>
  <c r="BB44" i="58"/>
  <c r="BA44" i="58"/>
  <c r="BB43" i="58"/>
  <c r="BA43" i="58"/>
  <c r="BB42" i="58"/>
  <c r="BA42" i="58"/>
  <c r="BB41" i="58"/>
  <c r="BA41" i="58"/>
  <c r="BB40" i="58"/>
  <c r="BA40" i="58"/>
  <c r="BB39" i="58"/>
  <c r="BA39" i="58"/>
  <c r="BB38" i="58"/>
  <c r="BA38" i="58"/>
  <c r="BB37" i="58"/>
  <c r="BA37" i="58"/>
  <c r="BB36" i="58"/>
  <c r="BA36" i="58"/>
  <c r="BB35" i="58"/>
  <c r="BA35" i="58"/>
  <c r="BB34" i="58"/>
  <c r="BA34" i="58"/>
  <c r="BB33" i="58"/>
  <c r="BA33" i="58"/>
  <c r="BB32" i="58"/>
  <c r="BA32" i="58"/>
  <c r="BB31" i="58"/>
  <c r="BA31" i="58"/>
  <c r="BB30" i="58"/>
  <c r="BA30" i="58"/>
  <c r="BB29" i="58"/>
  <c r="BA29" i="58"/>
  <c r="BB28" i="58"/>
  <c r="BA28" i="58"/>
  <c r="BB27" i="58"/>
  <c r="BA27" i="58"/>
  <c r="BB26" i="58"/>
  <c r="BA26" i="58"/>
  <c r="BB25" i="58"/>
  <c r="BA25" i="58"/>
  <c r="BB24" i="58"/>
  <c r="BA24" i="58"/>
  <c r="BB12" i="58"/>
  <c r="J10" i="58"/>
  <c r="BB132" i="57"/>
  <c r="BA132" i="57"/>
  <c r="BB127" i="57"/>
  <c r="BA127" i="57"/>
  <c r="BB126" i="57"/>
  <c r="BA126" i="57"/>
  <c r="BB125" i="57"/>
  <c r="BA125" i="57"/>
  <c r="BB124" i="57"/>
  <c r="BA124" i="57"/>
  <c r="BB123" i="57"/>
  <c r="BA123" i="57"/>
  <c r="BB122" i="57"/>
  <c r="BA122" i="57"/>
  <c r="BB121" i="57"/>
  <c r="BA121" i="57"/>
  <c r="BB120" i="57"/>
  <c r="BA120" i="57"/>
  <c r="BB119" i="57"/>
  <c r="BA119" i="57"/>
  <c r="BB118" i="57"/>
  <c r="BA118" i="57"/>
  <c r="BB112" i="57"/>
  <c r="BA112" i="57"/>
  <c r="BB111" i="57"/>
  <c r="BA111" i="57"/>
  <c r="BB110" i="57"/>
  <c r="BA110" i="57"/>
  <c r="BB109" i="57"/>
  <c r="BA109" i="57"/>
  <c r="BB108" i="57"/>
  <c r="BA108" i="57"/>
  <c r="BB107" i="57"/>
  <c r="BA107" i="57"/>
  <c r="BB106" i="57"/>
  <c r="BA106" i="57"/>
  <c r="BB105" i="57"/>
  <c r="BA105" i="57"/>
  <c r="BB104" i="57"/>
  <c r="BA104" i="57"/>
  <c r="BB103" i="57"/>
  <c r="BA103" i="57"/>
  <c r="BB98" i="57"/>
  <c r="BA98" i="57"/>
  <c r="BB97" i="57"/>
  <c r="BA97" i="57"/>
  <c r="BB96" i="57"/>
  <c r="BA96" i="57"/>
  <c r="BB95" i="57"/>
  <c r="BA95" i="57"/>
  <c r="BB94" i="57"/>
  <c r="BA94" i="57"/>
  <c r="BB93" i="57"/>
  <c r="BA93" i="57"/>
  <c r="BB92" i="57"/>
  <c r="BA92" i="57"/>
  <c r="BB91" i="57"/>
  <c r="BA91" i="57"/>
  <c r="BB90" i="57"/>
  <c r="BA90" i="57"/>
  <c r="BB89" i="57"/>
  <c r="BA89" i="57"/>
  <c r="BB88" i="57"/>
  <c r="BA88" i="57"/>
  <c r="BB87" i="57"/>
  <c r="BA87" i="57"/>
  <c r="BB86" i="57"/>
  <c r="BA86" i="57"/>
  <c r="BB85" i="57"/>
  <c r="BA85" i="57"/>
  <c r="BB84" i="57"/>
  <c r="BA84" i="57"/>
  <c r="BB83" i="57"/>
  <c r="BA83" i="57"/>
  <c r="BB82" i="57"/>
  <c r="BA82" i="57"/>
  <c r="BB81" i="57"/>
  <c r="BA81" i="57"/>
  <c r="BB80" i="57"/>
  <c r="BA80" i="57"/>
  <c r="BB79" i="57"/>
  <c r="BA79" i="57"/>
  <c r="BB78" i="57"/>
  <c r="BA78" i="57"/>
  <c r="BB77" i="57"/>
  <c r="BA77" i="57"/>
  <c r="BB76" i="57"/>
  <c r="BA76" i="57"/>
  <c r="BB75" i="57"/>
  <c r="BA75" i="57"/>
  <c r="BB74" i="57"/>
  <c r="BA74" i="57"/>
  <c r="BB73" i="57"/>
  <c r="BA73" i="57"/>
  <c r="BB72" i="57"/>
  <c r="BA72" i="57"/>
  <c r="BB71" i="57"/>
  <c r="BA71" i="57"/>
  <c r="BB70" i="57"/>
  <c r="BA70" i="57"/>
  <c r="BB69" i="57"/>
  <c r="BA69" i="57"/>
  <c r="BB68" i="57"/>
  <c r="BA68" i="57"/>
  <c r="BB67" i="57"/>
  <c r="BA67" i="57"/>
  <c r="BB66" i="57"/>
  <c r="BA66" i="57"/>
  <c r="BB65" i="57"/>
  <c r="BA65" i="57"/>
  <c r="BB64" i="57"/>
  <c r="BA64" i="57"/>
  <c r="BB63" i="57"/>
  <c r="BA63" i="57"/>
  <c r="BB62" i="57"/>
  <c r="BA62" i="57"/>
  <c r="BB61" i="57"/>
  <c r="BA61" i="57"/>
  <c r="BB60" i="57"/>
  <c r="BA60" i="57"/>
  <c r="BB59" i="57"/>
  <c r="BA59" i="57"/>
  <c r="BB58" i="57"/>
  <c r="BA58" i="57"/>
  <c r="BB57" i="57"/>
  <c r="BA57" i="57"/>
  <c r="BB56" i="57"/>
  <c r="BA56" i="57"/>
  <c r="BB55" i="57"/>
  <c r="BA55" i="57"/>
  <c r="BB54" i="57"/>
  <c r="BA54" i="57"/>
  <c r="BB53" i="57"/>
  <c r="BA53" i="57"/>
  <c r="BB52" i="57"/>
  <c r="BA52" i="57"/>
  <c r="BB51" i="57"/>
  <c r="BA51" i="57"/>
  <c r="BB50" i="57"/>
  <c r="BA50" i="57"/>
  <c r="BB49" i="57"/>
  <c r="BA49" i="57"/>
  <c r="BB48" i="57"/>
  <c r="BA48" i="57"/>
  <c r="BB47" i="57"/>
  <c r="BA47" i="57"/>
  <c r="BB46" i="57"/>
  <c r="BA46" i="57"/>
  <c r="BB45" i="57"/>
  <c r="BA45" i="57"/>
  <c r="BB44" i="57"/>
  <c r="BA44" i="57"/>
  <c r="BB43" i="57"/>
  <c r="BA43" i="57"/>
  <c r="BB42" i="57"/>
  <c r="BA42" i="57"/>
  <c r="BB41" i="57"/>
  <c r="BA41" i="57"/>
  <c r="BB40" i="57"/>
  <c r="BA40" i="57"/>
  <c r="BB39" i="57"/>
  <c r="BA39" i="57"/>
  <c r="BB38" i="57"/>
  <c r="BA38" i="57"/>
  <c r="BB37" i="57"/>
  <c r="BA37" i="57"/>
  <c r="BB36" i="57"/>
  <c r="BA36" i="57"/>
  <c r="BB35" i="57"/>
  <c r="BA35" i="57"/>
  <c r="BB34" i="57"/>
  <c r="BA34" i="57"/>
  <c r="BB33" i="57"/>
  <c r="BA33" i="57"/>
  <c r="BB32" i="57"/>
  <c r="BA32" i="57"/>
  <c r="BB31" i="57"/>
  <c r="BA31" i="57"/>
  <c r="BB30" i="57"/>
  <c r="BA30" i="57"/>
  <c r="BB29" i="57"/>
  <c r="BA29" i="57"/>
  <c r="BB28" i="57"/>
  <c r="BA28" i="57"/>
  <c r="BB27" i="57"/>
  <c r="BA27" i="57"/>
  <c r="BB26" i="57"/>
  <c r="BA26" i="57"/>
  <c r="BB25" i="57"/>
  <c r="BA25" i="57"/>
  <c r="BB24" i="57"/>
  <c r="BA24" i="57"/>
  <c r="BB12" i="57"/>
  <c r="J10" i="57"/>
  <c r="BB132" i="56"/>
  <c r="BA132" i="56"/>
  <c r="BB127" i="56"/>
  <c r="BA127" i="56"/>
  <c r="BB126" i="56"/>
  <c r="BA126" i="56"/>
  <c r="BB125" i="56"/>
  <c r="BA125" i="56"/>
  <c r="BB124" i="56"/>
  <c r="BA124" i="56"/>
  <c r="BB123" i="56"/>
  <c r="BA123" i="56"/>
  <c r="BB122" i="56"/>
  <c r="BA122" i="56"/>
  <c r="BB121" i="56"/>
  <c r="BA121" i="56"/>
  <c r="BB120" i="56"/>
  <c r="BA120" i="56"/>
  <c r="BB119" i="56"/>
  <c r="BA119" i="56"/>
  <c r="BB118" i="56"/>
  <c r="BA118" i="56"/>
  <c r="BB112" i="56"/>
  <c r="BA112" i="56"/>
  <c r="BB111" i="56"/>
  <c r="BA111" i="56"/>
  <c r="BB110" i="56"/>
  <c r="BA110" i="56"/>
  <c r="BB109" i="56"/>
  <c r="BA109" i="56"/>
  <c r="BB108" i="56"/>
  <c r="BA108" i="56"/>
  <c r="BB107" i="56"/>
  <c r="BA107" i="56"/>
  <c r="BB106" i="56"/>
  <c r="BA106" i="56"/>
  <c r="BB105" i="56"/>
  <c r="BA105" i="56"/>
  <c r="BB104" i="56"/>
  <c r="BA104" i="56"/>
  <c r="BB103" i="56"/>
  <c r="BA103" i="56"/>
  <c r="BB98" i="56"/>
  <c r="BA98" i="56"/>
  <c r="BB97" i="56"/>
  <c r="BA97" i="56"/>
  <c r="BB96" i="56"/>
  <c r="BA96" i="56"/>
  <c r="BB95" i="56"/>
  <c r="BA95" i="56"/>
  <c r="BB94" i="56"/>
  <c r="BA94" i="56"/>
  <c r="BB93" i="56"/>
  <c r="BA93" i="56"/>
  <c r="BB92" i="56"/>
  <c r="BA92" i="56"/>
  <c r="BB91" i="56"/>
  <c r="BA91" i="56"/>
  <c r="BB90" i="56"/>
  <c r="BA90" i="56"/>
  <c r="BB89" i="56"/>
  <c r="BA89" i="56"/>
  <c r="BB88" i="56"/>
  <c r="BA88" i="56"/>
  <c r="BB87" i="56"/>
  <c r="BA87" i="56"/>
  <c r="BB86" i="56"/>
  <c r="BA86" i="56"/>
  <c r="BB85" i="56"/>
  <c r="BA85" i="56"/>
  <c r="BB84" i="56"/>
  <c r="BA84" i="56"/>
  <c r="BB83" i="56"/>
  <c r="BA83" i="56"/>
  <c r="BB82" i="56"/>
  <c r="BA82" i="56"/>
  <c r="BB81" i="56"/>
  <c r="BA81" i="56"/>
  <c r="BB80" i="56"/>
  <c r="BA80" i="56"/>
  <c r="BB79" i="56"/>
  <c r="BA79" i="56"/>
  <c r="BB78" i="56"/>
  <c r="BA78" i="56"/>
  <c r="BB77" i="56"/>
  <c r="BA77" i="56"/>
  <c r="BB76" i="56"/>
  <c r="BA76" i="56"/>
  <c r="BB75" i="56"/>
  <c r="BA75" i="56"/>
  <c r="BB74" i="56"/>
  <c r="BA74" i="56"/>
  <c r="BB73" i="56"/>
  <c r="BA73" i="56"/>
  <c r="BB72" i="56"/>
  <c r="BA72" i="56"/>
  <c r="BB71" i="56"/>
  <c r="BA71" i="56"/>
  <c r="BB70" i="56"/>
  <c r="BA70" i="56"/>
  <c r="BB69" i="56"/>
  <c r="BA69" i="56"/>
  <c r="BB68" i="56"/>
  <c r="BA68" i="56"/>
  <c r="BB67" i="56"/>
  <c r="BA67" i="56"/>
  <c r="BB66" i="56"/>
  <c r="BA66" i="56"/>
  <c r="BB65" i="56"/>
  <c r="BA65" i="56"/>
  <c r="BB64" i="56"/>
  <c r="BA64" i="56"/>
  <c r="BB63" i="56"/>
  <c r="BA63" i="56"/>
  <c r="BB62" i="56"/>
  <c r="BA62" i="56"/>
  <c r="BB61" i="56"/>
  <c r="BA61" i="56"/>
  <c r="BB60" i="56"/>
  <c r="BA60" i="56"/>
  <c r="BB59" i="56"/>
  <c r="BA59" i="56"/>
  <c r="BB58" i="56"/>
  <c r="BA58" i="56"/>
  <c r="BB57" i="56"/>
  <c r="BA57" i="56"/>
  <c r="BB56" i="56"/>
  <c r="BA56" i="56"/>
  <c r="BB55" i="56"/>
  <c r="BA55" i="56"/>
  <c r="BB54" i="56"/>
  <c r="BA54" i="56"/>
  <c r="BB53" i="56"/>
  <c r="BA53" i="56"/>
  <c r="BB52" i="56"/>
  <c r="BA52" i="56"/>
  <c r="BB51" i="56"/>
  <c r="BA51" i="56"/>
  <c r="BB50" i="56"/>
  <c r="BA50" i="56"/>
  <c r="BB49" i="56"/>
  <c r="BA49" i="56"/>
  <c r="BB48" i="56"/>
  <c r="BA48" i="56"/>
  <c r="BB47" i="56"/>
  <c r="BA47" i="56"/>
  <c r="BB46" i="56"/>
  <c r="BA46" i="56"/>
  <c r="BB45" i="56"/>
  <c r="BA45" i="56"/>
  <c r="BB44" i="56"/>
  <c r="BA44" i="56"/>
  <c r="BB43" i="56"/>
  <c r="BA43" i="56"/>
  <c r="BB42" i="56"/>
  <c r="BA42" i="56"/>
  <c r="BB41" i="56"/>
  <c r="BA41" i="56"/>
  <c r="BB40" i="56"/>
  <c r="BA40" i="56"/>
  <c r="BB39" i="56"/>
  <c r="BA39" i="56"/>
  <c r="BB38" i="56"/>
  <c r="BA38" i="56"/>
  <c r="BB37" i="56"/>
  <c r="BA37" i="56"/>
  <c r="BB36" i="56"/>
  <c r="BA36" i="56"/>
  <c r="BB35" i="56"/>
  <c r="BA35" i="56"/>
  <c r="BB34" i="56"/>
  <c r="BA34" i="56"/>
  <c r="BB33" i="56"/>
  <c r="BA33" i="56"/>
  <c r="BB32" i="56"/>
  <c r="BA32" i="56"/>
  <c r="BB31" i="56"/>
  <c r="BA31" i="56"/>
  <c r="BB30" i="56"/>
  <c r="BA30" i="56"/>
  <c r="BB29" i="56"/>
  <c r="BA29" i="56"/>
  <c r="BB28" i="56"/>
  <c r="BA28" i="56"/>
  <c r="BB27" i="56"/>
  <c r="S24" i="49" s="1"/>
  <c r="J24" i="49" s="1"/>
  <c r="J59" i="49" s="1"/>
  <c r="BA27" i="56"/>
  <c r="BB26" i="56"/>
  <c r="BA26" i="56"/>
  <c r="BB25" i="56"/>
  <c r="BA25" i="56"/>
  <c r="BB24" i="56"/>
  <c r="BA24" i="56"/>
  <c r="BB12" i="56"/>
  <c r="J10" i="56"/>
  <c r="M740" i="42"/>
  <c r="L740" i="42"/>
  <c r="K740" i="42"/>
  <c r="J740" i="42"/>
  <c r="I740" i="42"/>
  <c r="E739" i="42"/>
  <c r="E738" i="42"/>
  <c r="E737" i="42"/>
  <c r="E736" i="42"/>
  <c r="E735" i="42"/>
  <c r="E734" i="42"/>
  <c r="E733" i="42"/>
  <c r="E732" i="42"/>
  <c r="E731" i="42"/>
  <c r="D731" i="42"/>
  <c r="D732" i="42" s="1"/>
  <c r="D733" i="42" s="1"/>
  <c r="D734" i="42" s="1"/>
  <c r="D735" i="42" s="1"/>
  <c r="D736" i="42" s="1"/>
  <c r="D737" i="42" s="1"/>
  <c r="D738" i="42" s="1"/>
  <c r="D739" i="42" s="1"/>
  <c r="E730" i="42"/>
  <c r="P701" i="42"/>
  <c r="M558" i="42"/>
  <c r="L558" i="42"/>
  <c r="K558" i="42"/>
  <c r="J558" i="42"/>
  <c r="I558" i="42"/>
  <c r="E557" i="42"/>
  <c r="E556" i="42"/>
  <c r="E555" i="42"/>
  <c r="E554" i="42"/>
  <c r="E553" i="42"/>
  <c r="E552" i="42"/>
  <c r="E551" i="42"/>
  <c r="E550" i="42"/>
  <c r="E549" i="42"/>
  <c r="D549" i="42"/>
  <c r="D550" i="42"/>
  <c r="D551" i="42"/>
  <c r="D552" i="42" s="1"/>
  <c r="D553" i="42" s="1"/>
  <c r="D554" i="42" s="1"/>
  <c r="D555" i="42" s="1"/>
  <c r="D556" i="42"/>
  <c r="D557" i="42" s="1"/>
  <c r="E548" i="42"/>
  <c r="D535" i="42"/>
  <c r="D536" i="42" s="1"/>
  <c r="D537" i="42" s="1"/>
  <c r="D538" i="42" s="1"/>
  <c r="D539" i="42" s="1"/>
  <c r="D540" i="42"/>
  <c r="D541" i="42" s="1"/>
  <c r="D542" i="42" s="1"/>
  <c r="P516" i="42"/>
  <c r="Q517" i="42" s="1"/>
  <c r="M243" i="42"/>
  <c r="L243" i="42"/>
  <c r="K243" i="42"/>
  <c r="J243" i="42"/>
  <c r="I243" i="42"/>
  <c r="M190" i="42"/>
  <c r="L190" i="42"/>
  <c r="K190" i="42"/>
  <c r="J190" i="42"/>
  <c r="I190" i="42"/>
  <c r="E189" i="42"/>
  <c r="E188" i="42"/>
  <c r="E187" i="42"/>
  <c r="E186" i="42"/>
  <c r="E185" i="42"/>
  <c r="E184" i="42"/>
  <c r="E183" i="42"/>
  <c r="E182" i="42"/>
  <c r="E181" i="42"/>
  <c r="D181" i="42"/>
  <c r="D182" i="42" s="1"/>
  <c r="D183" i="42" s="1"/>
  <c r="D184" i="42" s="1"/>
  <c r="D185" i="42" s="1"/>
  <c r="D186" i="42" s="1"/>
  <c r="D187" i="42" s="1"/>
  <c r="D188" i="42" s="1"/>
  <c r="D189" i="42"/>
  <c r="E180" i="42"/>
  <c r="D167" i="42"/>
  <c r="D168" i="42"/>
  <c r="D169" i="42" s="1"/>
  <c r="D170" i="42" s="1"/>
  <c r="D171" i="42" s="1"/>
  <c r="D172" i="42" s="1"/>
  <c r="D173" i="42" s="1"/>
  <c r="D174" i="42" s="1"/>
  <c r="D175" i="42" s="1"/>
  <c r="P151" i="42"/>
  <c r="Q152" i="42" s="1"/>
  <c r="M418" i="41"/>
  <c r="L418" i="41"/>
  <c r="J418" i="41"/>
  <c r="S46" i="41"/>
  <c r="S44" i="41"/>
  <c r="K25" i="41"/>
  <c r="BA119" i="55"/>
  <c r="BA120" i="55"/>
  <c r="BA121" i="55"/>
  <c r="BA122" i="55"/>
  <c r="BA123" i="55"/>
  <c r="BA124" i="55"/>
  <c r="BA125" i="55"/>
  <c r="BA126" i="55"/>
  <c r="BA127" i="55"/>
  <c r="BA118" i="55"/>
  <c r="G397" i="43"/>
  <c r="G4" i="42"/>
  <c r="E697" i="42"/>
  <c r="E696" i="42"/>
  <c r="E695" i="42"/>
  <c r="E694" i="42"/>
  <c r="E693" i="42"/>
  <c r="E692" i="42"/>
  <c r="E691" i="42"/>
  <c r="E690" i="42"/>
  <c r="E689" i="42"/>
  <c r="E688" i="42"/>
  <c r="E480" i="42"/>
  <c r="E479" i="42"/>
  <c r="E478" i="42"/>
  <c r="E477" i="42"/>
  <c r="E476" i="42"/>
  <c r="E475" i="42"/>
  <c r="E474" i="42"/>
  <c r="E473" i="42"/>
  <c r="E472" i="42"/>
  <c r="E471" i="42"/>
  <c r="M481" i="42"/>
  <c r="L481" i="42"/>
  <c r="K481" i="42"/>
  <c r="J481" i="42"/>
  <c r="I481" i="42"/>
  <c r="D472" i="42"/>
  <c r="D473" i="42" s="1"/>
  <c r="D474" i="42" s="1"/>
  <c r="D475" i="42" s="1"/>
  <c r="D476" i="42" s="1"/>
  <c r="D477" i="42" s="1"/>
  <c r="D478" i="42" s="1"/>
  <c r="D479" i="42" s="1"/>
  <c r="D480" i="42"/>
  <c r="M698" i="42"/>
  <c r="L698" i="42"/>
  <c r="K698" i="42"/>
  <c r="J698" i="42"/>
  <c r="I698" i="42"/>
  <c r="D689" i="42"/>
  <c r="D690" i="42" s="1"/>
  <c r="D691" i="42" s="1"/>
  <c r="D692" i="42" s="1"/>
  <c r="D693" i="42" s="1"/>
  <c r="D694" i="42" s="1"/>
  <c r="D695" i="42" s="1"/>
  <c r="D696" i="42" s="1"/>
  <c r="D697" i="42" s="1"/>
  <c r="P658" i="42"/>
  <c r="Q659" i="42"/>
  <c r="D675" i="42"/>
  <c r="D676" i="42"/>
  <c r="D677" i="42"/>
  <c r="D678" i="42" s="1"/>
  <c r="D679" i="42" s="1"/>
  <c r="D680" i="42" s="1"/>
  <c r="D681" i="42" s="1"/>
  <c r="D682" i="42"/>
  <c r="D683" i="42" s="1"/>
  <c r="D458" i="42"/>
  <c r="D459" i="42"/>
  <c r="D460" i="42" s="1"/>
  <c r="D461" i="42" s="1"/>
  <c r="D462" i="42" s="1"/>
  <c r="D463" i="42" s="1"/>
  <c r="D464" i="42"/>
  <c r="D465" i="42" s="1"/>
  <c r="D466" i="42" s="1"/>
  <c r="X204" i="49"/>
  <c r="X208" i="49" s="1"/>
  <c r="X210" i="49" s="1"/>
  <c r="X213" i="49" s="1"/>
  <c r="X214" i="49" s="1"/>
  <c r="X219" i="49" s="1"/>
  <c r="X225" i="49" s="1"/>
  <c r="X232" i="49" s="1"/>
  <c r="X237" i="49" s="1"/>
  <c r="X260" i="49" s="1"/>
  <c r="X262" i="49" s="1"/>
  <c r="X264" i="49" s="1"/>
  <c r="X266" i="49" s="1"/>
  <c r="X267" i="49" s="1"/>
  <c r="X272" i="49" s="1"/>
  <c r="X277" i="49" s="1"/>
  <c r="X282" i="49" s="1"/>
  <c r="X286" i="49" s="1"/>
  <c r="S243" i="41"/>
  <c r="S241" i="41"/>
  <c r="S240" i="41"/>
  <c r="P439" i="42"/>
  <c r="Q440" i="42" s="1"/>
  <c r="M147" i="42"/>
  <c r="L147" i="42"/>
  <c r="K147" i="42"/>
  <c r="J147" i="42"/>
  <c r="I147" i="42"/>
  <c r="P282" i="41"/>
  <c r="P281" i="41"/>
  <c r="W286" i="49"/>
  <c r="V286" i="49"/>
  <c r="U286" i="49"/>
  <c r="T286" i="49"/>
  <c r="S286" i="49"/>
  <c r="W237" i="49"/>
  <c r="V237" i="49"/>
  <c r="U237" i="49"/>
  <c r="T237" i="49"/>
  <c r="S237" i="49"/>
  <c r="P286" i="49"/>
  <c r="P237" i="49"/>
  <c r="Q145" i="49"/>
  <c r="E145" i="49"/>
  <c r="Q258" i="49"/>
  <c r="E258" i="49"/>
  <c r="M164" i="49"/>
  <c r="L164" i="49"/>
  <c r="L170" i="49" s="1"/>
  <c r="K164" i="49"/>
  <c r="J164" i="49"/>
  <c r="J197" i="50"/>
  <c r="I164" i="49"/>
  <c r="I170" i="49"/>
  <c r="I200" i="50"/>
  <c r="X91" i="49"/>
  <c r="X96" i="49" s="1"/>
  <c r="BB12" i="55"/>
  <c r="BB132" i="55"/>
  <c r="BB127" i="55"/>
  <c r="BB126" i="55"/>
  <c r="BB125" i="55"/>
  <c r="BB124" i="55"/>
  <c r="BB123" i="55"/>
  <c r="BB122" i="55"/>
  <c r="BB121" i="55"/>
  <c r="BB120" i="55"/>
  <c r="BB119" i="55"/>
  <c r="BB118" i="55"/>
  <c r="BB112" i="55"/>
  <c r="BB111" i="55"/>
  <c r="BB110" i="55"/>
  <c r="BB109" i="55"/>
  <c r="BB108" i="55"/>
  <c r="BB107" i="55"/>
  <c r="BB106" i="55"/>
  <c r="BB105" i="55"/>
  <c r="BB104" i="55"/>
  <c r="BB103" i="55"/>
  <c r="BB25" i="55"/>
  <c r="BB26" i="55"/>
  <c r="BB27" i="55"/>
  <c r="BB28" i="55"/>
  <c r="BB29" i="55"/>
  <c r="BB30" i="55"/>
  <c r="BB31" i="55"/>
  <c r="BB32" i="55"/>
  <c r="BB33" i="55"/>
  <c r="BB34" i="55"/>
  <c r="BB35" i="55"/>
  <c r="BB36" i="55"/>
  <c r="BB37" i="55"/>
  <c r="BB38" i="55"/>
  <c r="BB39" i="55"/>
  <c r="BB40" i="55"/>
  <c r="BB41" i="55"/>
  <c r="BB42" i="55"/>
  <c r="BB43" i="55"/>
  <c r="BB44" i="55"/>
  <c r="BB45" i="55"/>
  <c r="BB46" i="55"/>
  <c r="BB47" i="55"/>
  <c r="BB48" i="55"/>
  <c r="BB49" i="55"/>
  <c r="BB50" i="55"/>
  <c r="BB51" i="55"/>
  <c r="BB52" i="55"/>
  <c r="BB53" i="55"/>
  <c r="BB54" i="55"/>
  <c r="BB55" i="55"/>
  <c r="BB56" i="55"/>
  <c r="BB57" i="55"/>
  <c r="BB58" i="55"/>
  <c r="BB59" i="55"/>
  <c r="BB60" i="55"/>
  <c r="BB61" i="55"/>
  <c r="BB62" i="55"/>
  <c r="BB63" i="55"/>
  <c r="BB64" i="55"/>
  <c r="BB65" i="55"/>
  <c r="BB66" i="55"/>
  <c r="BB67" i="55"/>
  <c r="BB68" i="55"/>
  <c r="BB69" i="55"/>
  <c r="BB70" i="55"/>
  <c r="BB71" i="55"/>
  <c r="BB72" i="55"/>
  <c r="BB73" i="55"/>
  <c r="BB74" i="55"/>
  <c r="BB75" i="55"/>
  <c r="BB76" i="55"/>
  <c r="BB77" i="55"/>
  <c r="BB78" i="55"/>
  <c r="BB79" i="55"/>
  <c r="BB80" i="55"/>
  <c r="BB81" i="55"/>
  <c r="BB82" i="55"/>
  <c r="BB83" i="55"/>
  <c r="BB84" i="55"/>
  <c r="BB85" i="55"/>
  <c r="BB86" i="55"/>
  <c r="BB87" i="55"/>
  <c r="BB88" i="55"/>
  <c r="BB89" i="55"/>
  <c r="BB90" i="55"/>
  <c r="BB91" i="55"/>
  <c r="BB92" i="55"/>
  <c r="BB93" i="55"/>
  <c r="BB94" i="55"/>
  <c r="BB95" i="55"/>
  <c r="BB96" i="55"/>
  <c r="BB97" i="55"/>
  <c r="BB98" i="55"/>
  <c r="BB24" i="55"/>
  <c r="P24" i="49"/>
  <c r="P18" i="49"/>
  <c r="S18" i="49" s="1"/>
  <c r="J18" i="49" s="1"/>
  <c r="J53" i="49" s="1"/>
  <c r="J85" i="50" s="1"/>
  <c r="P17" i="49"/>
  <c r="P19" i="49"/>
  <c r="P20" i="49"/>
  <c r="M41" i="49"/>
  <c r="M43" i="49" s="1"/>
  <c r="L41" i="49"/>
  <c r="L43" i="49" s="1"/>
  <c r="K41" i="49"/>
  <c r="K43" i="49" s="1"/>
  <c r="J41" i="49"/>
  <c r="J43" i="49"/>
  <c r="BA132" i="55"/>
  <c r="BA112" i="55"/>
  <c r="BA111" i="55"/>
  <c r="BA110" i="55"/>
  <c r="BA109" i="55"/>
  <c r="BA108" i="55"/>
  <c r="BA107" i="55"/>
  <c r="BA106" i="55"/>
  <c r="BA105" i="55"/>
  <c r="BA104" i="55"/>
  <c r="BA103" i="55"/>
  <c r="BA25" i="55"/>
  <c r="BA26" i="55"/>
  <c r="BA27" i="55"/>
  <c r="BA28" i="55"/>
  <c r="BA29" i="55"/>
  <c r="BA30" i="55"/>
  <c r="BA31" i="55"/>
  <c r="BA32" i="55"/>
  <c r="BA33" i="55"/>
  <c r="BA34" i="55"/>
  <c r="BA35" i="55"/>
  <c r="BA36" i="55"/>
  <c r="BA37" i="55"/>
  <c r="BA38" i="55"/>
  <c r="BA39" i="55"/>
  <c r="BA40" i="55"/>
  <c r="BA41" i="55"/>
  <c r="BA42" i="55"/>
  <c r="BA43" i="55"/>
  <c r="BA44" i="55"/>
  <c r="BA45" i="55"/>
  <c r="BA46" i="55"/>
  <c r="BA47" i="55"/>
  <c r="BA48" i="55"/>
  <c r="BA49" i="55"/>
  <c r="BA50" i="55"/>
  <c r="BA51" i="55"/>
  <c r="BA52" i="55"/>
  <c r="BA53" i="55"/>
  <c r="BA54" i="55"/>
  <c r="BA55" i="55"/>
  <c r="BA56" i="55"/>
  <c r="BA57" i="55"/>
  <c r="BA58" i="55"/>
  <c r="BA59" i="55"/>
  <c r="BA60" i="55"/>
  <c r="BA61" i="55"/>
  <c r="BA62" i="55"/>
  <c r="BA63" i="55"/>
  <c r="BA64" i="55"/>
  <c r="BA65" i="55"/>
  <c r="BA66" i="55"/>
  <c r="BA67" i="55"/>
  <c r="BA68" i="55"/>
  <c r="BA69" i="55"/>
  <c r="BA70" i="55"/>
  <c r="BA71" i="55"/>
  <c r="BA72" i="55"/>
  <c r="BA73" i="55"/>
  <c r="BA74" i="55"/>
  <c r="BA75" i="55"/>
  <c r="BA76" i="55"/>
  <c r="BA77" i="55"/>
  <c r="BA78" i="55"/>
  <c r="BA79" i="55"/>
  <c r="BA80" i="55"/>
  <c r="BA81" i="55"/>
  <c r="BA82" i="55"/>
  <c r="BA83" i="55"/>
  <c r="BA84" i="55"/>
  <c r="BA85" i="55"/>
  <c r="BA86" i="55"/>
  <c r="BA87" i="55"/>
  <c r="BA88" i="55"/>
  <c r="BA89" i="55"/>
  <c r="BA90" i="55"/>
  <c r="BA91" i="55"/>
  <c r="BA92" i="55"/>
  <c r="BA93" i="55"/>
  <c r="BA94" i="55"/>
  <c r="BA95" i="55"/>
  <c r="BA96" i="55"/>
  <c r="BA97" i="55"/>
  <c r="BA98" i="55"/>
  <c r="BA24" i="55"/>
  <c r="Q507" i="50"/>
  <c r="G62" i="9"/>
  <c r="G805" i="42"/>
  <c r="H172" i="34"/>
  <c r="I172" i="34"/>
  <c r="J172" i="34" s="1"/>
  <c r="K172" i="34"/>
  <c r="P13" i="42"/>
  <c r="Q14" i="42"/>
  <c r="M305" i="41"/>
  <c r="M417" i="50"/>
  <c r="L305" i="41"/>
  <c r="L417" i="50"/>
  <c r="K305" i="41"/>
  <c r="K417" i="50"/>
  <c r="J305" i="41"/>
  <c r="J417" i="50"/>
  <c r="I305" i="41"/>
  <c r="I417" i="50"/>
  <c r="M297" i="41"/>
  <c r="M410" i="50"/>
  <c r="L297" i="41"/>
  <c r="L410" i="50"/>
  <c r="K297" i="41"/>
  <c r="K410" i="50"/>
  <c r="J297" i="41"/>
  <c r="J410" i="50"/>
  <c r="I297" i="41"/>
  <c r="I410" i="50"/>
  <c r="M109" i="49"/>
  <c r="M172" i="50"/>
  <c r="L109" i="49"/>
  <c r="L117" i="49"/>
  <c r="K109" i="49"/>
  <c r="K118" i="49" s="1"/>
  <c r="K176" i="50" s="1"/>
  <c r="S376" i="41"/>
  <c r="G271" i="34"/>
  <c r="B28" i="25"/>
  <c r="B27" i="25"/>
  <c r="B26" i="25"/>
  <c r="B25" i="25"/>
  <c r="B24" i="25"/>
  <c r="B23" i="25"/>
  <c r="B22" i="25"/>
  <c r="B21" i="25"/>
  <c r="B20" i="25"/>
  <c r="B19" i="25"/>
  <c r="B18" i="25"/>
  <c r="B17" i="25"/>
  <c r="B16" i="25"/>
  <c r="C3" i="25" s="1"/>
  <c r="G57" i="9" s="1"/>
  <c r="M1651" i="50"/>
  <c r="L1651" i="50"/>
  <c r="K1651" i="50"/>
  <c r="J1651" i="50"/>
  <c r="I1651" i="50"/>
  <c r="M407" i="47"/>
  <c r="L407" i="47"/>
  <c r="K407" i="47"/>
  <c r="J407" i="47"/>
  <c r="I407" i="47"/>
  <c r="M792" i="42"/>
  <c r="L792" i="42"/>
  <c r="K792" i="42"/>
  <c r="J792" i="42"/>
  <c r="I792" i="42"/>
  <c r="M1819" i="37"/>
  <c r="L1819" i="37"/>
  <c r="K1819" i="37"/>
  <c r="J1819" i="37"/>
  <c r="I1819" i="37"/>
  <c r="M404" i="41"/>
  <c r="L404" i="41"/>
  <c r="K404" i="41"/>
  <c r="J404" i="41"/>
  <c r="I404" i="41"/>
  <c r="M311" i="49"/>
  <c r="L311" i="49"/>
  <c r="K311" i="49"/>
  <c r="J311" i="49"/>
  <c r="I311" i="49"/>
  <c r="M369" i="43"/>
  <c r="L369" i="43"/>
  <c r="K369" i="43"/>
  <c r="J369" i="43"/>
  <c r="I369" i="43"/>
  <c r="J109" i="49"/>
  <c r="I109" i="49"/>
  <c r="I117" i="49" s="1"/>
  <c r="M157" i="43"/>
  <c r="M145" i="43"/>
  <c r="H291" i="49"/>
  <c r="H241" i="49"/>
  <c r="J246" i="49"/>
  <c r="B169" i="34"/>
  <c r="M158" i="41"/>
  <c r="M316" i="50"/>
  <c r="L158" i="41"/>
  <c r="L316" i="50" s="1"/>
  <c r="K158" i="41"/>
  <c r="K316" i="50"/>
  <c r="J158" i="41"/>
  <c r="J316" i="50" s="1"/>
  <c r="I158" i="41"/>
  <c r="I316" i="50"/>
  <c r="J1823" i="37"/>
  <c r="I796" i="42"/>
  <c r="I408" i="41"/>
  <c r="D296" i="43"/>
  <c r="E380" i="43"/>
  <c r="E381" i="43"/>
  <c r="E382" i="43"/>
  <c r="E383" i="43"/>
  <c r="E384" i="43" s="1"/>
  <c r="E385" i="43" s="1"/>
  <c r="E386" i="43"/>
  <c r="E387" i="43" s="1"/>
  <c r="E388" i="43" s="1"/>
  <c r="E389" i="43" s="1"/>
  <c r="L214" i="34"/>
  <c r="L218" i="34"/>
  <c r="G277" i="34"/>
  <c r="G275" i="34"/>
  <c r="G273" i="34"/>
  <c r="G272" i="34"/>
  <c r="G269" i="34"/>
  <c r="L120" i="41"/>
  <c r="L1134" i="37"/>
  <c r="L111" i="41"/>
  <c r="L283" i="50"/>
  <c r="L182" i="41"/>
  <c r="L334" i="50"/>
  <c r="K120" i="41"/>
  <c r="K44" i="37" s="1"/>
  <c r="K111" i="41"/>
  <c r="K283" i="50"/>
  <c r="K182" i="41"/>
  <c r="I120" i="41"/>
  <c r="I1656" i="37"/>
  <c r="I111" i="41"/>
  <c r="I283" i="50" s="1"/>
  <c r="I182" i="41"/>
  <c r="I334" i="50"/>
  <c r="I444" i="41"/>
  <c r="G268" i="34"/>
  <c r="A11" i="10"/>
  <c r="A13" i="10"/>
  <c r="A14" i="10"/>
  <c r="A16" i="10" s="1"/>
  <c r="A20" i="10" s="1"/>
  <c r="A23" i="10" s="1"/>
  <c r="A24" i="10" s="1"/>
  <c r="A25" i="10" s="1"/>
  <c r="A33" i="10" s="1"/>
  <c r="A43" i="10" s="1"/>
  <c r="A44" i="10" s="1"/>
  <c r="A45" i="10" s="1"/>
  <c r="A46" i="10" s="1"/>
  <c r="A48" i="10" s="1"/>
  <c r="J120" i="41"/>
  <c r="J111" i="41"/>
  <c r="J283" i="50"/>
  <c r="J182" i="41"/>
  <c r="M120" i="41"/>
  <c r="M786" i="37" s="1"/>
  <c r="M111" i="41"/>
  <c r="M283" i="50"/>
  <c r="M182" i="41"/>
  <c r="P1832" i="37"/>
  <c r="I386" i="41"/>
  <c r="I481" i="50"/>
  <c r="J386" i="41"/>
  <c r="J481" i="50" s="1"/>
  <c r="K386" i="41"/>
  <c r="K481" i="50"/>
  <c r="L386" i="41"/>
  <c r="L481" i="50"/>
  <c r="M386" i="41"/>
  <c r="M481" i="50" s="1"/>
  <c r="B33" i="34"/>
  <c r="H141" i="42" s="1"/>
  <c r="B64" i="34"/>
  <c r="C63" i="34"/>
  <c r="K296" i="49"/>
  <c r="K301" i="49"/>
  <c r="K234" i="50"/>
  <c r="L296" i="49"/>
  <c r="L233" i="50" s="1"/>
  <c r="M296" i="49"/>
  <c r="E403" i="43"/>
  <c r="E404" i="43"/>
  <c r="Q336" i="43"/>
  <c r="Q337" i="43"/>
  <c r="Q338" i="43"/>
  <c r="Q339" i="43"/>
  <c r="Q340" i="43"/>
  <c r="Q341" i="43"/>
  <c r="Q342" i="43"/>
  <c r="Q343" i="43"/>
  <c r="Q344" i="43"/>
  <c r="Q345" i="43"/>
  <c r="P119" i="43"/>
  <c r="P118" i="43"/>
  <c r="P393" i="47"/>
  <c r="P213" i="47"/>
  <c r="I95" i="47"/>
  <c r="J95" i="47"/>
  <c r="L95" i="47"/>
  <c r="L216" i="34"/>
  <c r="I206" i="47"/>
  <c r="J206" i="47"/>
  <c r="K206" i="47"/>
  <c r="L206" i="47"/>
  <c r="M206" i="47"/>
  <c r="I207" i="47"/>
  <c r="J207" i="47"/>
  <c r="K207" i="47"/>
  <c r="L207" i="47"/>
  <c r="V213" i="47"/>
  <c r="M207" i="47"/>
  <c r="I208" i="47"/>
  <c r="J208" i="47"/>
  <c r="K208" i="47"/>
  <c r="L208" i="47"/>
  <c r="M208" i="47"/>
  <c r="L264" i="34"/>
  <c r="I195" i="47"/>
  <c r="L233" i="34"/>
  <c r="B31" i="34"/>
  <c r="H500" i="37"/>
  <c r="B35" i="34"/>
  <c r="D63" i="34" s="1"/>
  <c r="K216" i="34"/>
  <c r="K214" i="34"/>
  <c r="K95" i="47"/>
  <c r="M95" i="47"/>
  <c r="K233" i="34"/>
  <c r="K264" i="34"/>
  <c r="K218" i="34"/>
  <c r="L263" i="34"/>
  <c r="L262" i="34"/>
  <c r="L259" i="34"/>
  <c r="L258" i="34"/>
  <c r="L255" i="34"/>
  <c r="L254" i="34"/>
  <c r="L225" i="34"/>
  <c r="L224" i="34"/>
  <c r="L261" i="34"/>
  <c r="L260" i="34"/>
  <c r="L257" i="34"/>
  <c r="L256" i="34"/>
  <c r="L253" i="34"/>
  <c r="L252" i="34"/>
  <c r="L251" i="34"/>
  <c r="L250" i="34"/>
  <c r="L249" i="34"/>
  <c r="L248" i="34"/>
  <c r="L247" i="34"/>
  <c r="L246" i="34"/>
  <c r="L245" i="34"/>
  <c r="L244" i="34"/>
  <c r="L243" i="34"/>
  <c r="L242" i="34"/>
  <c r="L241" i="34"/>
  <c r="L240" i="34"/>
  <c r="L239" i="34"/>
  <c r="L238" i="34"/>
  <c r="L237" i="34"/>
  <c r="L236" i="34"/>
  <c r="L235" i="34"/>
  <c r="L234" i="34"/>
  <c r="L232" i="34"/>
  <c r="L231" i="34"/>
  <c r="L230" i="34"/>
  <c r="L229" i="34"/>
  <c r="L228" i="34"/>
  <c r="L227" i="34"/>
  <c r="L226" i="34"/>
  <c r="L223" i="34"/>
  <c r="L222" i="34"/>
  <c r="L221" i="34"/>
  <c r="L220" i="34"/>
  <c r="L217" i="34"/>
  <c r="L215" i="34"/>
  <c r="L213" i="34"/>
  <c r="L212" i="34"/>
  <c r="B39" i="34"/>
  <c r="S270" i="43"/>
  <c r="S271" i="43"/>
  <c r="S272" i="43"/>
  <c r="S273" i="43"/>
  <c r="S274" i="43"/>
  <c r="S275" i="43"/>
  <c r="S276" i="43"/>
  <c r="S277" i="43"/>
  <c r="S278" i="43"/>
  <c r="S279" i="43"/>
  <c r="G60" i="9"/>
  <c r="M67" i="42"/>
  <c r="L67" i="42"/>
  <c r="K67" i="42"/>
  <c r="J67" i="42"/>
  <c r="I67" i="42"/>
  <c r="E66" i="42"/>
  <c r="D58" i="42"/>
  <c r="D59" i="42"/>
  <c r="D60" i="42"/>
  <c r="D61" i="42" s="1"/>
  <c r="D62" i="42" s="1"/>
  <c r="D63" i="42" s="1"/>
  <c r="D64" i="42" s="1"/>
  <c r="D65" i="42" s="1"/>
  <c r="D66" i="42" s="1"/>
  <c r="E65" i="42"/>
  <c r="E64" i="42"/>
  <c r="E63" i="42"/>
  <c r="E62" i="42"/>
  <c r="E61" i="42"/>
  <c r="E60" i="42"/>
  <c r="E59" i="42"/>
  <c r="E58" i="42"/>
  <c r="E57" i="42"/>
  <c r="D44" i="42"/>
  <c r="D45" i="42" s="1"/>
  <c r="D46" i="42" s="1"/>
  <c r="D47" i="42" s="1"/>
  <c r="D48" i="42" s="1"/>
  <c r="D49" i="42" s="1"/>
  <c r="D50" i="42" s="1"/>
  <c r="D51" i="42" s="1"/>
  <c r="D52" i="42" s="1"/>
  <c r="G414" i="43"/>
  <c r="M253" i="47"/>
  <c r="L253" i="47"/>
  <c r="K253" i="47"/>
  <c r="J253" i="47"/>
  <c r="I253" i="47"/>
  <c r="M338" i="47"/>
  <c r="L338" i="47"/>
  <c r="K338" i="47"/>
  <c r="J338" i="47"/>
  <c r="I338" i="47"/>
  <c r="K230" i="41"/>
  <c r="K213" i="34"/>
  <c r="K215" i="34"/>
  <c r="K217" i="34"/>
  <c r="K220" i="34"/>
  <c r="K221" i="34"/>
  <c r="K222" i="34"/>
  <c r="K223" i="34"/>
  <c r="K227" i="34"/>
  <c r="K228" i="34"/>
  <c r="K229" i="34"/>
  <c r="K230" i="34"/>
  <c r="K231" i="34"/>
  <c r="K232" i="34"/>
  <c r="K234" i="34"/>
  <c r="K235" i="34"/>
  <c r="K236" i="34"/>
  <c r="K237" i="34"/>
  <c r="K238" i="34"/>
  <c r="K242" i="34"/>
  <c r="K243" i="34"/>
  <c r="K244" i="34"/>
  <c r="K245" i="34"/>
  <c r="K246" i="34"/>
  <c r="K247" i="34"/>
  <c r="K248" i="34"/>
  <c r="K249" i="34"/>
  <c r="K250" i="34"/>
  <c r="K252" i="34"/>
  <c r="K253" i="34"/>
  <c r="K256" i="34"/>
  <c r="K257" i="34"/>
  <c r="K260" i="34"/>
  <c r="K261" i="34"/>
  <c r="I127" i="47"/>
  <c r="J127" i="47"/>
  <c r="K127" i="47"/>
  <c r="L127" i="47"/>
  <c r="M127" i="47"/>
  <c r="I161" i="47"/>
  <c r="J161" i="47"/>
  <c r="K161" i="47"/>
  <c r="L161" i="47"/>
  <c r="M161" i="47"/>
  <c r="J195" i="47"/>
  <c r="K195" i="47"/>
  <c r="L195" i="47"/>
  <c r="M195" i="47"/>
  <c r="I361" i="47"/>
  <c r="I367" i="47" s="1"/>
  <c r="J361" i="47"/>
  <c r="J367" i="47"/>
  <c r="K361" i="47"/>
  <c r="K367" i="47" s="1"/>
  <c r="L361" i="47"/>
  <c r="L367" i="47"/>
  <c r="M361" i="47"/>
  <c r="M367" i="47" s="1"/>
  <c r="D271" i="43"/>
  <c r="D272" i="43"/>
  <c r="D273" i="43"/>
  <c r="D274" i="43" s="1"/>
  <c r="D275" i="43" s="1"/>
  <c r="D276" i="43" s="1"/>
  <c r="D277" i="43" s="1"/>
  <c r="D278" i="43" s="1"/>
  <c r="D279" i="43" s="1"/>
  <c r="E337" i="43"/>
  <c r="E338" i="43" s="1"/>
  <c r="E339" i="43" s="1"/>
  <c r="E340" i="43" s="1"/>
  <c r="E341" i="43" s="1"/>
  <c r="E342" i="43" s="1"/>
  <c r="E343" i="43" s="1"/>
  <c r="E344" i="43" s="1"/>
  <c r="E345" i="43"/>
  <c r="E352" i="43"/>
  <c r="E353" i="43" s="1"/>
  <c r="E354" i="43" s="1"/>
  <c r="E355" i="43" s="1"/>
  <c r="E356" i="43" s="1"/>
  <c r="E357" i="43" s="1"/>
  <c r="E358" i="43" s="1"/>
  <c r="E359" i="43"/>
  <c r="E360" i="43" s="1"/>
  <c r="G56" i="9"/>
  <c r="I411" i="47"/>
  <c r="S207" i="47"/>
  <c r="M408" i="41"/>
  <c r="I1655" i="50"/>
  <c r="I315" i="49"/>
  <c r="I1823" i="37"/>
  <c r="M315" i="49"/>
  <c r="K796" i="42"/>
  <c r="K411" i="47"/>
  <c r="U208" i="47"/>
  <c r="K408" i="41"/>
  <c r="K315" i="49"/>
  <c r="J411" i="47"/>
  <c r="T206" i="47" s="1"/>
  <c r="K1823" i="37"/>
  <c r="J1655" i="50"/>
  <c r="J408" i="41"/>
  <c r="K1655" i="50"/>
  <c r="J796" i="42"/>
  <c r="J315" i="49"/>
  <c r="L1655" i="50"/>
  <c r="L796" i="42"/>
  <c r="L1823" i="37"/>
  <c r="L411" i="47"/>
  <c r="V208" i="47" s="1"/>
  <c r="L315" i="49"/>
  <c r="L408" i="41"/>
  <c r="M796" i="42"/>
  <c r="M1655" i="50"/>
  <c r="M1823" i="37"/>
  <c r="M411" i="47"/>
  <c r="I296" i="49"/>
  <c r="I301" i="49" s="1"/>
  <c r="I234" i="50" s="1"/>
  <c r="J296" i="49"/>
  <c r="J233" i="50"/>
  <c r="G803" i="42"/>
  <c r="G801" i="42"/>
  <c r="G804" i="42"/>
  <c r="G800" i="42"/>
  <c r="G802" i="42"/>
  <c r="G809" i="42"/>
  <c r="G810" i="42" s="1"/>
  <c r="K418" i="41"/>
  <c r="D12" i="59"/>
  <c r="D12" i="57"/>
  <c r="M439" i="42"/>
  <c r="I440" i="42" s="1"/>
  <c r="D12" i="58"/>
  <c r="M13" i="42"/>
  <c r="J107" i="42"/>
  <c r="M1199" i="50"/>
  <c r="L1234" i="50" s="1"/>
  <c r="M151" i="42"/>
  <c r="J213" i="42" s="1"/>
  <c r="I356" i="50"/>
  <c r="I212" i="41"/>
  <c r="I222" i="41" s="1"/>
  <c r="I365" i="50" s="1"/>
  <c r="J212" i="41"/>
  <c r="J222" i="41"/>
  <c r="J356" i="50"/>
  <c r="K356" i="50"/>
  <c r="K212" i="41"/>
  <c r="K357" i="50"/>
  <c r="L356" i="50"/>
  <c r="L212" i="41"/>
  <c r="L357" i="50"/>
  <c r="M212" i="41"/>
  <c r="M222" i="41" s="1"/>
  <c r="M365" i="50" s="1"/>
  <c r="M356" i="50"/>
  <c r="E127" i="50"/>
  <c r="E150" i="50" s="1"/>
  <c r="E262" i="50" s="1"/>
  <c r="P262" i="50" s="1"/>
  <c r="J29" i="43"/>
  <c r="G61" i="9" s="1"/>
  <c r="P117" i="43"/>
  <c r="P120" i="43"/>
  <c r="P121" i="43"/>
  <c r="I701" i="42"/>
  <c r="E709" i="42" s="1"/>
  <c r="E328" i="41"/>
  <c r="E438" i="50" s="1"/>
  <c r="E418" i="41"/>
  <c r="E44" i="41"/>
  <c r="E55" i="41" s="1"/>
  <c r="E244" i="50" s="1"/>
  <c r="E128" i="50"/>
  <c r="P128" i="50"/>
  <c r="E420" i="41"/>
  <c r="E132" i="50"/>
  <c r="P132" i="50" s="1"/>
  <c r="E46" i="41"/>
  <c r="E57" i="41" s="1"/>
  <c r="E246" i="50" s="1"/>
  <c r="E133" i="50"/>
  <c r="E330" i="41"/>
  <c r="E440" i="50" s="1"/>
  <c r="I172" i="50"/>
  <c r="I197" i="50"/>
  <c r="P246" i="43"/>
  <c r="K370" i="43" s="1"/>
  <c r="K161" i="43" s="1"/>
  <c r="I1199" i="50"/>
  <c r="P1225" i="50" s="1"/>
  <c r="E331" i="41"/>
  <c r="P331" i="41" s="1"/>
  <c r="E154" i="42"/>
  <c r="G4" i="47"/>
  <c r="M3" i="47"/>
  <c r="K4" i="47"/>
  <c r="E590" i="42"/>
  <c r="E250" i="42"/>
  <c r="E346" i="42"/>
  <c r="E519" i="42"/>
  <c r="E704" i="42"/>
  <c r="I284" i="47"/>
  <c r="B38" i="34"/>
  <c r="H319" i="49" s="1"/>
  <c r="G226" i="34"/>
  <c r="B58" i="34"/>
  <c r="H1239" i="50"/>
  <c r="H1377" i="50"/>
  <c r="H1434" i="50"/>
  <c r="I41" i="49"/>
  <c r="I43" i="49" s="1"/>
  <c r="AA1808" i="37"/>
  <c r="AA1800" i="37"/>
  <c r="AA1807" i="37"/>
  <c r="AA1803" i="37"/>
  <c r="AA1804" i="37"/>
  <c r="AA1634" i="37"/>
  <c r="AA1626" i="37"/>
  <c r="AA1633" i="37"/>
  <c r="AA1629" i="37"/>
  <c r="AA1630" i="37"/>
  <c r="AA1460" i="37"/>
  <c r="AA1452" i="37"/>
  <c r="AA1459" i="37"/>
  <c r="AA1455" i="37"/>
  <c r="AA1456" i="37"/>
  <c r="AA1281" i="37"/>
  <c r="AA1286" i="37"/>
  <c r="AA1278" i="37"/>
  <c r="AA1285" i="37"/>
  <c r="AA1112" i="37"/>
  <c r="AA1104" i="37"/>
  <c r="AA1111" i="37"/>
  <c r="AA1108" i="37"/>
  <c r="AA1107" i="37"/>
  <c r="AA933" i="37"/>
  <c r="AA938" i="37"/>
  <c r="AA930" i="37"/>
  <c r="AA937" i="37"/>
  <c r="C594" i="37"/>
  <c r="C768" i="37"/>
  <c r="P594" i="37"/>
  <c r="P420" i="37"/>
  <c r="AA764" i="37"/>
  <c r="AA756" i="37"/>
  <c r="AA763" i="37"/>
  <c r="AA759" i="37"/>
  <c r="AA760" i="37"/>
  <c r="AA408" i="37"/>
  <c r="AA415" i="37"/>
  <c r="AA411" i="37"/>
  <c r="AA416" i="37"/>
  <c r="P246" i="37"/>
  <c r="AA585" i="37"/>
  <c r="AA582" i="37"/>
  <c r="AA589" i="37"/>
  <c r="AA586" i="37"/>
  <c r="AA242" i="37"/>
  <c r="AA237" i="37"/>
  <c r="AA241" i="37"/>
  <c r="AA233" i="37"/>
  <c r="P303" i="43"/>
  <c r="P300" i="43"/>
  <c r="Q300" i="43" s="1"/>
  <c r="B26" i="34"/>
  <c r="B29" i="34"/>
  <c r="J1349" i="50" s="1"/>
  <c r="H859" i="50"/>
  <c r="H1099" i="50"/>
  <c r="H1094" i="50"/>
  <c r="H965" i="50"/>
  <c r="H963" i="50"/>
  <c r="H950" i="50"/>
  <c r="H942" i="50"/>
  <c r="H1168" i="50"/>
  <c r="H1163" i="50"/>
  <c r="H1034" i="50"/>
  <c r="H1032" i="50"/>
  <c r="H1019" i="50"/>
  <c r="H1011" i="50"/>
  <c r="H892" i="50"/>
  <c r="H887" i="50"/>
  <c r="H758" i="50"/>
  <c r="H756" i="50"/>
  <c r="H743" i="50"/>
  <c r="H735" i="50"/>
  <c r="H829" i="50"/>
  <c r="H825" i="50"/>
  <c r="H812" i="50"/>
  <c r="H804" i="50"/>
  <c r="H685" i="50"/>
  <c r="H683" i="50"/>
  <c r="H1145" i="50"/>
  <c r="H938" i="50"/>
  <c r="H1076" i="50"/>
  <c r="H662" i="50"/>
  <c r="H652" i="50"/>
  <c r="H731" i="50"/>
  <c r="H616" i="50"/>
  <c r="H431" i="42"/>
  <c r="H337" i="47"/>
  <c r="H143" i="42"/>
  <c r="H285" i="49"/>
  <c r="H52" i="41"/>
  <c r="H240" i="50" s="1"/>
  <c r="H665" i="42"/>
  <c r="H131" i="42"/>
  <c r="H144" i="47"/>
  <c r="H139" i="41"/>
  <c r="H194" i="47"/>
  <c r="H514" i="50"/>
  <c r="H94" i="47"/>
  <c r="H239" i="42"/>
  <c r="H594" i="42"/>
  <c r="H116" i="49"/>
  <c r="H174" i="50" s="1"/>
  <c r="H567" i="42"/>
  <c r="H276" i="49"/>
  <c r="H1344" i="50"/>
  <c r="H708" i="42"/>
  <c r="H95" i="41"/>
  <c r="H271" i="50"/>
  <c r="H343" i="41"/>
  <c r="H451" i="50" s="1"/>
  <c r="H153" i="47"/>
  <c r="H1398" i="50"/>
  <c r="H771" i="42"/>
  <c r="H313" i="42"/>
  <c r="H638" i="42"/>
  <c r="H98" i="42"/>
  <c r="H236" i="49"/>
  <c r="H327" i="41"/>
  <c r="H437" i="50" s="1"/>
  <c r="H178" i="47"/>
  <c r="H1506" i="50"/>
  <c r="H107" i="41"/>
  <c r="H279" i="50"/>
  <c r="H186" i="47"/>
  <c r="H116" i="41"/>
  <c r="H286" i="50" s="1"/>
  <c r="H356" i="47"/>
  <c r="H750" i="42"/>
  <c r="H331" i="42"/>
  <c r="H199" i="37"/>
  <c r="H102" i="37"/>
  <c r="H160" i="47"/>
  <c r="H19" i="41"/>
  <c r="H218" i="49"/>
  <c r="H126" i="47"/>
  <c r="H24" i="42"/>
  <c r="H34" i="37"/>
  <c r="H129" i="37"/>
  <c r="H547" i="42"/>
  <c r="H133" i="49"/>
  <c r="H139" i="49"/>
  <c r="H231" i="42"/>
  <c r="H1306" i="50"/>
  <c r="H423" i="42"/>
  <c r="H117" i="37"/>
  <c r="H289" i="47"/>
  <c r="H227" i="41"/>
  <c r="H368" i="50"/>
  <c r="H174" i="49"/>
  <c r="H171" i="37"/>
  <c r="H300" i="47"/>
  <c r="H492" i="42"/>
  <c r="J161" i="43"/>
  <c r="H279" i="47"/>
  <c r="H245" i="49"/>
  <c r="H190" i="37"/>
  <c r="H59" i="37"/>
  <c r="H143" i="37"/>
  <c r="H56" i="42"/>
  <c r="H199" i="42"/>
  <c r="H152" i="37"/>
  <c r="H1742" i="37"/>
  <c r="H1697" i="37"/>
  <c r="H1734" i="37"/>
  <c r="H1612" i="37"/>
  <c r="H1596" i="37"/>
  <c r="H1580" i="37"/>
  <c r="H1786" i="37"/>
  <c r="H1604" i="37"/>
  <c r="H1394" i="37"/>
  <c r="H1349" i="37"/>
  <c r="H1090" i="37"/>
  <c r="H900" i="37"/>
  <c r="H827" i="37"/>
  <c r="H1386" i="37"/>
  <c r="H1058" i="37"/>
  <c r="H1046" i="37"/>
  <c r="H864" i="37"/>
  <c r="H1422" i="37"/>
  <c r="H1264" i="37"/>
  <c r="H1082" i="37"/>
  <c r="H1248" i="37"/>
  <c r="H1232" i="37"/>
  <c r="H1066" i="37"/>
  <c r="H916" i="37"/>
  <c r="H544" i="37"/>
  <c r="H237" i="42"/>
  <c r="H1327" i="50"/>
  <c r="H337" i="42"/>
  <c r="H742" i="37"/>
  <c r="H378" i="37"/>
  <c r="H362" i="37"/>
  <c r="H305" i="37"/>
  <c r="H568" i="37"/>
  <c r="H545" i="50"/>
  <c r="H648" i="42"/>
  <c r="H1325" i="50"/>
  <c r="H321" i="42"/>
  <c r="H184" i="37"/>
  <c r="H1221" i="50"/>
  <c r="H726" i="37"/>
  <c r="H710" i="37"/>
  <c r="H653" i="37"/>
  <c r="H386" i="37"/>
  <c r="H342" i="37"/>
  <c r="H552" i="37"/>
  <c r="H536" i="37"/>
  <c r="H524" i="37"/>
  <c r="H479" i="37"/>
  <c r="H734" i="37"/>
  <c r="H690" i="37"/>
  <c r="H370" i="37"/>
  <c r="H560" i="37"/>
  <c r="H516" i="37"/>
  <c r="H574" i="42"/>
  <c r="H1313" i="50"/>
  <c r="H329" i="42"/>
  <c r="H1466" i="50"/>
  <c r="H433" i="42"/>
  <c r="H1329" i="50"/>
  <c r="H421" i="42"/>
  <c r="H194" i="37"/>
  <c r="H154" i="37"/>
  <c r="H175" i="37"/>
  <c r="H417" i="42"/>
  <c r="H425" i="42"/>
  <c r="H1468" i="50"/>
  <c r="H431" i="37"/>
  <c r="H473" i="37"/>
  <c r="H522" i="37"/>
  <c r="H571" i="37"/>
  <c r="D246" i="37"/>
  <c r="H262" i="37"/>
  <c r="H273" i="37"/>
  <c r="H366" i="37"/>
  <c r="H382" i="37"/>
  <c r="H647" i="37"/>
  <c r="H696" i="37"/>
  <c r="H745" i="37"/>
  <c r="H771" i="37"/>
  <c r="H532" i="37"/>
  <c r="H548" i="37"/>
  <c r="H257" i="37"/>
  <c r="H299" i="37"/>
  <c r="H348" i="37"/>
  <c r="H397" i="37"/>
  <c r="H406" i="37"/>
  <c r="H683" i="37"/>
  <c r="H722" i="37"/>
  <c r="H825" i="37"/>
  <c r="H423" i="37"/>
  <c r="H477" i="37"/>
  <c r="H498" i="37"/>
  <c r="H564" i="37"/>
  <c r="H584" i="37"/>
  <c r="H335" i="37"/>
  <c r="H374" i="37"/>
  <c r="H597" i="37"/>
  <c r="H660" i="37"/>
  <c r="H674" i="37"/>
  <c r="H692" i="37"/>
  <c r="H1532" i="37"/>
  <c r="H1706" i="37"/>
  <c r="H1010" i="37"/>
  <c r="H1184" i="37"/>
  <c r="H1358" i="37"/>
  <c r="H1802" i="37"/>
  <c r="H1766" i="37"/>
  <c r="H1727" i="37"/>
  <c r="H1600" i="37"/>
  <c r="H1584" i="37"/>
  <c r="H1491" i="37"/>
  <c r="H1480" i="37"/>
  <c r="H1454" i="37"/>
  <c r="H1789" i="37"/>
  <c r="H1740" i="37"/>
  <c r="H1691" i="37"/>
  <c r="H1608" i="37"/>
  <c r="H1562" i="37"/>
  <c r="H1542" i="37"/>
  <c r="H1521" i="37"/>
  <c r="H1467" i="37"/>
  <c r="H1450" i="37"/>
  <c r="H1774" i="37"/>
  <c r="H1758" i="37"/>
  <c r="H1732" i="37"/>
  <c r="H1654" i="37"/>
  <c r="H1628" i="37"/>
  <c r="H1592" i="37"/>
  <c r="H1553" i="37"/>
  <c r="H1426" i="37"/>
  <c r="H1782" i="37"/>
  <c r="H1716" i="37"/>
  <c r="H1704" i="37"/>
  <c r="H1695" i="37"/>
  <c r="H1624" i="37"/>
  <c r="H1615" i="37"/>
  <c r="H1566" i="37"/>
  <c r="H1475" i="37"/>
  <c r="H1434" i="37"/>
  <c r="H1418" i="37"/>
  <c r="H1402" i="37"/>
  <c r="H1379" i="37"/>
  <c r="H1276" i="37"/>
  <c r="H1218" i="37"/>
  <c r="H1169" i="37"/>
  <c r="H1127" i="37"/>
  <c r="H1040" i="37"/>
  <c r="H1020" i="37"/>
  <c r="H1008" i="37"/>
  <c r="H945" i="37"/>
  <c r="H896" i="37"/>
  <c r="H880" i="37"/>
  <c r="H1392" i="37"/>
  <c r="H1343" i="37"/>
  <c r="H1301" i="37"/>
  <c r="H1236" i="37"/>
  <c r="H1210" i="37"/>
  <c r="H1143" i="37"/>
  <c r="H1106" i="37"/>
  <c r="H1070" i="37"/>
  <c r="H1054" i="37"/>
  <c r="H928" i="37"/>
  <c r="H919" i="37"/>
  <c r="H870" i="37"/>
  <c r="H779" i="37"/>
  <c r="H1384" i="37"/>
  <c r="H1317" i="37"/>
  <c r="H1280" i="37"/>
  <c r="H1260" i="37"/>
  <c r="H1214" i="37"/>
  <c r="H1182" i="37"/>
  <c r="H1173" i="37"/>
  <c r="H1119" i="37"/>
  <c r="H1093" i="37"/>
  <c r="H1044" i="37"/>
  <c r="H995" i="37"/>
  <c r="H904" i="37"/>
  <c r="H888" i="37"/>
  <c r="H862" i="37"/>
  <c r="H784" i="37"/>
  <c r="H1388" i="37"/>
  <c r="H1368" i="37"/>
  <c r="H1347" i="37"/>
  <c r="H1293" i="37"/>
  <c r="H1244" i="37"/>
  <c r="H1205" i="37"/>
  <c r="H1078" i="37"/>
  <c r="H1062" i="37"/>
  <c r="H969" i="37"/>
  <c r="H958" i="37"/>
  <c r="H932" i="37"/>
  <c r="H866" i="37"/>
  <c r="H846" i="37"/>
  <c r="D1464" i="37"/>
  <c r="D1290" i="37"/>
  <c r="D420" i="37"/>
  <c r="H436" i="37"/>
  <c r="H514" i="37"/>
  <c r="H540" i="37"/>
  <c r="H556" i="37"/>
  <c r="H249" i="37"/>
  <c r="H303" i="37"/>
  <c r="H312" i="37"/>
  <c r="H314" i="37"/>
  <c r="H324" i="37"/>
  <c r="H326" i="37"/>
  <c r="H390" i="37"/>
  <c r="H610" i="37"/>
  <c r="H621" i="37"/>
  <c r="H714" i="37"/>
  <c r="H730" i="37"/>
  <c r="H758" i="37"/>
  <c r="H834" i="37"/>
  <c r="E219" i="34"/>
  <c r="H90" i="49"/>
  <c r="H164" i="50"/>
  <c r="H101" i="41"/>
  <c r="H275" i="42"/>
  <c r="H614" i="50"/>
  <c r="H597" i="50"/>
  <c r="K960" i="37"/>
  <c r="Q576" i="50"/>
  <c r="L284" i="47"/>
  <c r="L302" i="47"/>
  <c r="M294" i="47"/>
  <c r="B66" i="34"/>
  <c r="B28" i="34"/>
  <c r="H125" i="49"/>
  <c r="H350" i="42"/>
  <c r="I1614" i="50"/>
  <c r="K1134" i="37"/>
  <c r="K197" i="50"/>
  <c r="K171" i="49"/>
  <c r="K170" i="49"/>
  <c r="L246" i="49"/>
  <c r="L253" i="49"/>
  <c r="L222" i="50" s="1"/>
  <c r="M743" i="42"/>
  <c r="I744" i="42" s="1"/>
  <c r="D213" i="34"/>
  <c r="E213" i="34" s="1"/>
  <c r="C214" i="34"/>
  <c r="D214" i="34"/>
  <c r="M295" i="47"/>
  <c r="M296" i="47"/>
  <c r="H1331" i="50"/>
  <c r="J171" i="49"/>
  <c r="G3" i="47"/>
  <c r="G5" i="47"/>
  <c r="I233" i="50"/>
  <c r="M1245" i="50"/>
  <c r="M960" i="37"/>
  <c r="M1482" i="37"/>
  <c r="M264" i="37"/>
  <c r="I1308" i="37"/>
  <c r="M290" i="50"/>
  <c r="M1308" i="37"/>
  <c r="M44" i="37"/>
  <c r="M1134" i="37"/>
  <c r="M438" i="37"/>
  <c r="M1656" i="37"/>
  <c r="M612" i="37"/>
  <c r="M444" i="41"/>
  <c r="M334" i="50"/>
  <c r="A230" i="34"/>
  <c r="M117" i="49"/>
  <c r="I171" i="49"/>
  <c r="I185" i="49" s="1"/>
  <c r="M301" i="49"/>
  <c r="M234" i="50" s="1"/>
  <c r="M233" i="50"/>
  <c r="P278" i="43"/>
  <c r="P301" i="43"/>
  <c r="Q301" i="43" s="1"/>
  <c r="A220" i="34"/>
  <c r="A221" i="34"/>
  <c r="I786" i="37"/>
  <c r="J1308" i="37"/>
  <c r="L444" i="41"/>
  <c r="I1134" i="37"/>
  <c r="I290" i="50"/>
  <c r="J1134" i="37"/>
  <c r="J44" i="37"/>
  <c r="J1656" i="37"/>
  <c r="I123" i="41"/>
  <c r="K290" i="50"/>
  <c r="K264" i="37"/>
  <c r="K438" i="37"/>
  <c r="K1482" i="37"/>
  <c r="K1308" i="37"/>
  <c r="K786" i="37"/>
  <c r="K612" i="37"/>
  <c r="K1656" i="37"/>
  <c r="K123" i="41"/>
  <c r="K293" i="50" s="1"/>
  <c r="K444" i="41"/>
  <c r="K334" i="50"/>
  <c r="J123" i="41"/>
  <c r="J293" i="50"/>
  <c r="J290" i="50"/>
  <c r="I44" i="37"/>
  <c r="I960" i="37"/>
  <c r="E152" i="50"/>
  <c r="E264" i="50"/>
  <c r="P264" i="50" s="1"/>
  <c r="P401" i="42"/>
  <c r="P398" i="42"/>
  <c r="P404" i="42"/>
  <c r="P397" i="42"/>
  <c r="P403" i="42"/>
  <c r="P400" i="42"/>
  <c r="P399" i="42"/>
  <c r="P402" i="42"/>
  <c r="P405" i="42"/>
  <c r="P301" i="42"/>
  <c r="P309" i="42"/>
  <c r="H119" i="37"/>
  <c r="H1379" i="50"/>
  <c r="H1285" i="50"/>
  <c r="H1371" i="50"/>
  <c r="H229" i="42"/>
  <c r="H137" i="42"/>
  <c r="H510" i="42"/>
  <c r="H1287" i="50"/>
  <c r="H1267" i="50"/>
  <c r="H1281" i="50"/>
  <c r="H504" i="42"/>
  <c r="H645" i="42"/>
  <c r="H1105" i="50"/>
  <c r="H1097" i="50"/>
  <c r="H967" i="50"/>
  <c r="H959" i="50"/>
  <c r="H1174" i="50"/>
  <c r="H1166" i="50"/>
  <c r="H1036" i="50"/>
  <c r="H1028" i="50"/>
  <c r="H898" i="50"/>
  <c r="H890" i="50"/>
  <c r="H760" i="50"/>
  <c r="H752" i="50"/>
  <c r="H622" i="50"/>
  <c r="H827" i="50"/>
  <c r="H818" i="50"/>
  <c r="H689" i="50"/>
  <c r="H680" i="50"/>
  <c r="H605" i="50"/>
  <c r="H170" i="43"/>
  <c r="H1135" i="50"/>
  <c r="H928" i="50"/>
  <c r="H790" i="50"/>
  <c r="H583" i="50"/>
  <c r="H330" i="47"/>
  <c r="H217" i="41"/>
  <c r="H360" i="50" s="1"/>
  <c r="H1486" i="50"/>
  <c r="H179" i="49"/>
  <c r="H205" i="50"/>
  <c r="H114" i="50"/>
  <c r="H295" i="49"/>
  <c r="H312" i="41"/>
  <c r="H423" i="50" s="1"/>
  <c r="H231" i="49"/>
  <c r="H335" i="42"/>
  <c r="H224" i="49"/>
  <c r="H280" i="41"/>
  <c r="H395" i="50"/>
  <c r="H252" i="49"/>
  <c r="H375" i="41"/>
  <c r="H476" i="50" s="1"/>
  <c r="H1214" i="50"/>
  <c r="H137" i="50"/>
  <c r="H1526" i="50"/>
  <c r="H235" i="37"/>
  <c r="H324" i="47"/>
  <c r="H41" i="41"/>
  <c r="H100" i="49"/>
  <c r="H184" i="49"/>
  <c r="H156" i="37"/>
  <c r="H409" i="42"/>
  <c r="H1534" i="50"/>
  <c r="H217" i="37"/>
  <c r="H169" i="49"/>
  <c r="H199" i="50"/>
  <c r="H271" i="49"/>
  <c r="H228" i="50" s="1"/>
  <c r="H208" i="37"/>
  <c r="H24" i="37"/>
  <c r="H524" i="50"/>
  <c r="H88" i="42"/>
  <c r="H523" i="42"/>
  <c r="H254" i="42"/>
  <c r="H319" i="42"/>
  <c r="H264" i="41"/>
  <c r="H381" i="50" s="1"/>
  <c r="H371" i="42"/>
  <c r="H119" i="47"/>
  <c r="H281" i="49"/>
  <c r="H160" i="37"/>
  <c r="H188" i="41"/>
  <c r="H338" i="50" s="1"/>
  <c r="H572" i="42"/>
  <c r="H618" i="42"/>
  <c r="D768" i="37"/>
  <c r="M343" i="42"/>
  <c r="K405" i="42"/>
  <c r="M658" i="42"/>
  <c r="V658" i="42" s="1"/>
  <c r="V674" i="42" s="1"/>
  <c r="P230" i="41"/>
  <c r="H698" i="37"/>
  <c r="H104" i="37"/>
  <c r="H1333" i="50"/>
  <c r="H181" i="49"/>
  <c r="H207" i="50" s="1"/>
  <c r="H350" i="37"/>
  <c r="H325" i="42"/>
  <c r="H333" i="42"/>
  <c r="H577" i="42"/>
  <c r="H394" i="37"/>
  <c r="H1175" i="37"/>
  <c r="H892" i="37"/>
  <c r="H1406" i="37"/>
  <c r="H908" i="37"/>
  <c r="H1074" i="37"/>
  <c r="H872" i="37"/>
  <c r="H1212" i="37"/>
  <c r="H1438" i="37"/>
  <c r="H1523" i="37"/>
  <c r="H1762" i="37"/>
  <c r="H1778" i="37"/>
  <c r="H1754" i="37"/>
  <c r="H666" i="50"/>
  <c r="H687" i="50"/>
  <c r="H821" i="50"/>
  <c r="H618" i="50"/>
  <c r="H749" i="50"/>
  <c r="H873" i="50"/>
  <c r="H894" i="50"/>
  <c r="H1025" i="50"/>
  <c r="H1149" i="50"/>
  <c r="H1170" i="50"/>
  <c r="H956" i="50"/>
  <c r="H1080" i="50"/>
  <c r="H1101" i="50"/>
  <c r="H836" i="37"/>
  <c r="H1373" i="50"/>
  <c r="H100" i="42"/>
  <c r="H549" i="50"/>
  <c r="H551" i="50"/>
  <c r="H542" i="50"/>
  <c r="H241" i="42"/>
  <c r="H162" i="37"/>
  <c r="H654" i="42"/>
  <c r="H233" i="42"/>
  <c r="H718" i="37"/>
  <c r="H1220" i="37"/>
  <c r="H1038" i="37"/>
  <c r="H1414" i="37"/>
  <c r="H1001" i="37"/>
  <c r="H1240" i="37"/>
  <c r="H884" i="37"/>
  <c r="H1256" i="37"/>
  <c r="H1560" i="37"/>
  <c r="H1568" i="37"/>
  <c r="H1430" i="37"/>
  <c r="H1588" i="37"/>
  <c r="H1770" i="37"/>
  <c r="H674" i="50"/>
  <c r="H691" i="50"/>
  <c r="H823" i="50"/>
  <c r="H620" i="50"/>
  <c r="H754" i="50"/>
  <c r="H881" i="50"/>
  <c r="H896" i="50"/>
  <c r="H1030" i="50"/>
  <c r="H1157" i="50"/>
  <c r="H1172" i="50"/>
  <c r="H961" i="50"/>
  <c r="H1088" i="50"/>
  <c r="H1103" i="50"/>
  <c r="H212" i="37"/>
  <c r="H1241" i="50"/>
  <c r="I291" i="49"/>
  <c r="I241" i="49"/>
  <c r="H1359" i="50"/>
  <c r="H1404" i="50"/>
  <c r="H203" i="37"/>
  <c r="H145" i="42"/>
  <c r="H1233" i="50"/>
  <c r="H1315" i="50"/>
  <c r="E70" i="41"/>
  <c r="E151" i="50"/>
  <c r="E263" i="50" s="1"/>
  <c r="P263" i="50" s="1"/>
  <c r="M246" i="49"/>
  <c r="I246" i="49"/>
  <c r="S19" i="49"/>
  <c r="J19" i="49" s="1"/>
  <c r="J54" i="49" s="1"/>
  <c r="J86" i="50" s="1"/>
  <c r="V19" i="49"/>
  <c r="M19" i="49" s="1"/>
  <c r="M54" i="49" s="1"/>
  <c r="M86" i="50" s="1"/>
  <c r="R19" i="49"/>
  <c r="I19" i="49" s="1"/>
  <c r="I54" i="49" s="1"/>
  <c r="I86" i="50" s="1"/>
  <c r="T19" i="49"/>
  <c r="K19" i="49" s="1"/>
  <c r="K54" i="49" s="1"/>
  <c r="K86" i="50" s="1"/>
  <c r="D587" i="42"/>
  <c r="D439" i="42"/>
  <c r="J590" i="50"/>
  <c r="H996" i="37"/>
  <c r="H1032" i="37"/>
  <c r="H740" i="50"/>
  <c r="H1344" i="37"/>
  <c r="H1077" i="50"/>
  <c r="H132" i="50"/>
  <c r="H822" i="37"/>
  <c r="H510" i="37"/>
  <c r="H123" i="50"/>
  <c r="N1004" i="50"/>
  <c r="N1491" i="50"/>
  <c r="N1531" i="50"/>
  <c r="J935" i="50"/>
  <c r="J1427" i="50"/>
  <c r="N659" i="50"/>
  <c r="J1491" i="50"/>
  <c r="N590" i="50"/>
  <c r="L1257" i="50"/>
  <c r="L1511" i="50"/>
  <c r="P1220" i="50"/>
  <c r="P330" i="41"/>
  <c r="A244" i="34"/>
  <c r="A249" i="34"/>
  <c r="P25" i="41"/>
  <c r="P45" i="41" s="1"/>
  <c r="M587" i="42"/>
  <c r="I595" i="42" s="1"/>
  <c r="I644" i="42" s="1"/>
  <c r="I645" i="42" s="1"/>
  <c r="H130" i="50"/>
  <c r="H1085" i="50"/>
  <c r="H124" i="50"/>
  <c r="A234" i="34"/>
  <c r="A233" i="34"/>
  <c r="A231" i="34"/>
  <c r="K233" i="50"/>
  <c r="A246" i="34"/>
  <c r="A243" i="34"/>
  <c r="A248" i="34"/>
  <c r="A247" i="34"/>
  <c r="A245" i="34"/>
  <c r="A232" i="34"/>
  <c r="A226" i="34"/>
  <c r="A225" i="34"/>
  <c r="A224" i="34"/>
  <c r="U18" i="49"/>
  <c r="L18" i="49" s="1"/>
  <c r="L53" i="49" s="1"/>
  <c r="L85" i="50" s="1"/>
  <c r="L282" i="41"/>
  <c r="L397" i="50" s="1"/>
  <c r="D247" i="42"/>
  <c r="D13" i="42"/>
  <c r="D701" i="42"/>
  <c r="D195" i="42"/>
  <c r="P295" i="43"/>
  <c r="H1495" i="50"/>
  <c r="H39" i="49"/>
  <c r="H493" i="42"/>
  <c r="H602" i="50"/>
  <c r="H118" i="50"/>
  <c r="H1009" i="37"/>
  <c r="H127" i="47"/>
  <c r="H673" i="37"/>
  <c r="H835" i="37"/>
  <c r="H104" i="42"/>
  <c r="H208" i="42"/>
  <c r="H206" i="42"/>
  <c r="H106" i="42"/>
  <c r="H210" i="42"/>
  <c r="H611" i="50"/>
  <c r="H212" i="42"/>
  <c r="H429" i="42"/>
  <c r="H547" i="50"/>
  <c r="H133" i="42"/>
  <c r="H1237" i="50"/>
  <c r="H1269" i="50"/>
  <c r="H583" i="42"/>
  <c r="H1223" i="50"/>
  <c r="H135" i="49"/>
  <c r="H182" i="50" s="1"/>
  <c r="H536" i="50"/>
  <c r="H1283" i="50"/>
  <c r="B63" i="34"/>
  <c r="H528" i="50"/>
  <c r="H1279" i="50"/>
  <c r="S22" i="49"/>
  <c r="J22" i="49" s="1"/>
  <c r="J57" i="49" s="1"/>
  <c r="J89" i="50" s="1"/>
  <c r="H1154" i="50"/>
  <c r="H809" i="50"/>
  <c r="H568" i="42"/>
  <c r="X241" i="43"/>
  <c r="H111" i="50"/>
  <c r="H204" i="42"/>
  <c r="R417" i="42"/>
  <c r="P392" i="42"/>
  <c r="P320" i="42"/>
  <c r="R429" i="42"/>
  <c r="P424" i="42"/>
  <c r="P425" i="42"/>
  <c r="P420" i="42"/>
  <c r="R333" i="42"/>
  <c r="P411" i="42"/>
  <c r="E351" i="42"/>
  <c r="P351" i="42" s="1"/>
  <c r="P416" i="42"/>
  <c r="P410" i="42"/>
  <c r="P429" i="42"/>
  <c r="P417" i="42"/>
  <c r="R425" i="42"/>
  <c r="R420" i="42"/>
  <c r="P421" i="42"/>
  <c r="P433" i="42"/>
  <c r="I387" i="42"/>
  <c r="R392" i="42"/>
  <c r="R421" i="42"/>
  <c r="P428" i="42"/>
  <c r="P432" i="42"/>
  <c r="R433" i="42"/>
  <c r="P500" i="42"/>
  <c r="P296" i="42"/>
  <c r="P336" i="42"/>
  <c r="P332" i="42"/>
  <c r="R329" i="42"/>
  <c r="J129" i="41"/>
  <c r="J296" i="50" s="1"/>
  <c r="J141" i="41"/>
  <c r="J301" i="50" s="1"/>
  <c r="I129" i="41"/>
  <c r="I293" i="50"/>
  <c r="I141" i="41"/>
  <c r="I301" i="50" s="1"/>
  <c r="J426" i="41"/>
  <c r="J433" i="41" s="1"/>
  <c r="J430" i="41"/>
  <c r="L301" i="49"/>
  <c r="L234" i="50" s="1"/>
  <c r="R20" i="49"/>
  <c r="I20" i="49" s="1"/>
  <c r="I55" i="49" s="1"/>
  <c r="I87" i="50" s="1"/>
  <c r="U24" i="49"/>
  <c r="L24" i="49" s="1"/>
  <c r="L59" i="49" s="1"/>
  <c r="V24" i="49"/>
  <c r="M24" i="49" s="1"/>
  <c r="M59" i="49" s="1"/>
  <c r="K282" i="41"/>
  <c r="K397" i="50"/>
  <c r="V22" i="49"/>
  <c r="M22" i="49" s="1"/>
  <c r="M57" i="49" s="1"/>
  <c r="M89" i="50" s="1"/>
  <c r="J282" i="41"/>
  <c r="J397" i="50" s="1"/>
  <c r="R22" i="49"/>
  <c r="I22" i="49" s="1"/>
  <c r="I57" i="49" s="1"/>
  <c r="T20" i="49"/>
  <c r="K20" i="49" s="1"/>
  <c r="K55" i="49" s="1"/>
  <c r="K87" i="50" s="1"/>
  <c r="J301" i="49"/>
  <c r="J234" i="50"/>
  <c r="H1442" i="37"/>
  <c r="T18" i="49"/>
  <c r="K18" i="49" s="1"/>
  <c r="K53" i="49" s="1"/>
  <c r="K85" i="50" s="1"/>
  <c r="A257" i="34"/>
  <c r="A255" i="34"/>
  <c r="A259" i="34"/>
  <c r="A258" i="34"/>
  <c r="S273" i="34"/>
  <c r="S20" i="49"/>
  <c r="J20" i="49" s="1"/>
  <c r="J55" i="49" s="1"/>
  <c r="J87" i="50" s="1"/>
  <c r="T22" i="49"/>
  <c r="K22" i="49" s="1"/>
  <c r="K57" i="49" s="1"/>
  <c r="K89" i="50" s="1"/>
  <c r="H283" i="47"/>
  <c r="H1717" i="37"/>
  <c r="H367" i="47"/>
  <c r="H1369" i="37"/>
  <c r="H487" i="37"/>
  <c r="H130" i="37"/>
  <c r="H302" i="47"/>
  <c r="H303" i="47"/>
  <c r="H1705" i="37"/>
  <c r="H1436" i="50"/>
  <c r="H1361" i="50"/>
  <c r="H102" i="42"/>
  <c r="H1470" i="50"/>
  <c r="H1365" i="50"/>
  <c r="H1271" i="50"/>
  <c r="H400" i="42"/>
  <c r="H398" i="42"/>
  <c r="H304" i="42"/>
  <c r="H302" i="42"/>
  <c r="H1406" i="50"/>
  <c r="H1319" i="50"/>
  <c r="H1225" i="50"/>
  <c r="H580" i="42"/>
  <c r="H402" i="42"/>
  <c r="H306" i="42"/>
  <c r="H1363" i="50"/>
  <c r="H1273" i="50"/>
  <c r="H404" i="42"/>
  <c r="H308" i="42"/>
  <c r="H1438" i="50"/>
  <c r="H1317" i="50"/>
  <c r="H1227" i="50"/>
  <c r="H651" i="42"/>
  <c r="H507" i="42"/>
  <c r="H1207" i="50"/>
  <c r="H1208" i="50"/>
  <c r="G1211" i="50"/>
  <c r="H225" i="42"/>
  <c r="H1402" i="50"/>
  <c r="H501" i="42"/>
  <c r="H1235" i="50"/>
  <c r="H396" i="42"/>
  <c r="H300" i="42"/>
  <c r="L1822" i="37"/>
  <c r="S246" i="34"/>
  <c r="S261" i="34"/>
  <c r="M1820" i="37"/>
  <c r="M969" i="37" s="1"/>
  <c r="S256" i="34"/>
  <c r="Q271" i="34"/>
  <c r="T271" i="34"/>
  <c r="U271" i="34" s="1"/>
  <c r="J1820" i="37"/>
  <c r="J1615" i="37" s="1"/>
  <c r="T1615" i="37" s="1"/>
  <c r="I312" i="49"/>
  <c r="T276" i="34"/>
  <c r="F402" i="43"/>
  <c r="H402" i="43" s="1"/>
  <c r="E33" i="50" s="1"/>
  <c r="S213" i="47"/>
  <c r="N1202" i="50"/>
  <c r="P329" i="42"/>
  <c r="P333" i="42"/>
  <c r="P328" i="42"/>
  <c r="P321" i="42"/>
  <c r="P504" i="42"/>
  <c r="P507" i="42"/>
  <c r="P314" i="42"/>
  <c r="R325" i="42"/>
  <c r="P315" i="42"/>
  <c r="P493" i="42"/>
  <c r="R332" i="42"/>
  <c r="R328" i="42"/>
  <c r="P304" i="42"/>
  <c r="A237" i="34"/>
  <c r="A238" i="34"/>
  <c r="R337" i="42"/>
  <c r="E296" i="42"/>
  <c r="R296" i="42"/>
  <c r="I291" i="42"/>
  <c r="N797" i="50"/>
  <c r="L521" i="50"/>
  <c r="L1395" i="50"/>
  <c r="N935" i="50"/>
  <c r="L866" i="50"/>
  <c r="J1073" i="50"/>
  <c r="J1211" i="50"/>
  <c r="N1303" i="50"/>
  <c r="J1142" i="50"/>
  <c r="L728" i="50"/>
  <c r="L1491" i="50"/>
  <c r="L1427" i="50"/>
  <c r="L935" i="50"/>
  <c r="L659" i="50"/>
  <c r="L1349" i="50"/>
  <c r="L279" i="43"/>
  <c r="D7" i="34"/>
  <c r="P276" i="43"/>
  <c r="M276" i="43" s="1"/>
  <c r="P277" i="43"/>
  <c r="P298" i="43"/>
  <c r="Q298" i="43" s="1"/>
  <c r="P302" i="43"/>
  <c r="Q302" i="43" s="1"/>
  <c r="H361" i="47"/>
  <c r="H499" i="37"/>
  <c r="P304" i="43"/>
  <c r="Q304" i="43" s="1"/>
  <c r="M516" i="42"/>
  <c r="M524" i="42" s="1"/>
  <c r="M573" i="42" s="1"/>
  <c r="M574" i="42" s="1"/>
  <c r="P43" i="37"/>
  <c r="P1481" i="37"/>
  <c r="P263" i="37"/>
  <c r="H920" i="37"/>
  <c r="H831" i="50"/>
  <c r="H386" i="41"/>
  <c r="H481" i="50" s="1"/>
  <c r="P275" i="43"/>
  <c r="A215" i="34"/>
  <c r="A217" i="34"/>
  <c r="A216" i="34"/>
  <c r="I151" i="42"/>
  <c r="P224" i="42" s="1"/>
  <c r="I1245" i="50"/>
  <c r="P1273" i="50" s="1"/>
  <c r="E329" i="41"/>
  <c r="P329" i="41"/>
  <c r="E126" i="50"/>
  <c r="P296" i="43"/>
  <c r="P297" i="43"/>
  <c r="Q297" i="43" s="1"/>
  <c r="E333" i="41"/>
  <c r="P333" i="41" s="1"/>
  <c r="I516" i="42"/>
  <c r="P568" i="42" s="1"/>
  <c r="R582" i="42"/>
  <c r="E454" i="41"/>
  <c r="P454" i="41" s="1"/>
  <c r="E45" i="41"/>
  <c r="E56" i="41" s="1"/>
  <c r="E245" i="50" s="1"/>
  <c r="E419" i="41"/>
  <c r="E130" i="50"/>
  <c r="E153" i="50" s="1"/>
  <c r="E265" i="50" s="1"/>
  <c r="P265" i="50" s="1"/>
  <c r="I743" i="42"/>
  <c r="E751" i="42" s="1"/>
  <c r="P751" i="42"/>
  <c r="E134" i="50"/>
  <c r="E304" i="43"/>
  <c r="P503" i="42"/>
  <c r="P506" i="42"/>
  <c r="R493" i="42"/>
  <c r="P501" i="42"/>
  <c r="E493" i="42"/>
  <c r="I486" i="42"/>
  <c r="R504" i="42"/>
  <c r="P510" i="42"/>
  <c r="R509" i="42"/>
  <c r="P509" i="42"/>
  <c r="P447" i="42"/>
  <c r="M278" i="43"/>
  <c r="P324" i="42"/>
  <c r="P307" i="42"/>
  <c r="P302" i="42"/>
  <c r="P305" i="42"/>
  <c r="P303" i="42"/>
  <c r="P308" i="42"/>
  <c r="P306" i="42"/>
  <c r="R324" i="42"/>
  <c r="P325" i="42"/>
  <c r="E255" i="42"/>
  <c r="H255" i="42" s="1"/>
  <c r="R321" i="42"/>
  <c r="R1245" i="50"/>
  <c r="J1566" i="37"/>
  <c r="T1566" i="37" s="1"/>
  <c r="J795" i="37"/>
  <c r="M1228" i="37"/>
  <c r="I430" i="41"/>
  <c r="I296" i="50"/>
  <c r="I426" i="41"/>
  <c r="M175" i="50"/>
  <c r="J201" i="50"/>
  <c r="K141" i="41"/>
  <c r="K431" i="41" s="1"/>
  <c r="J253" i="49"/>
  <c r="J222" i="50"/>
  <c r="J221" i="50"/>
  <c r="C40" i="9"/>
  <c r="K172" i="50"/>
  <c r="K117" i="49"/>
  <c r="K175" i="50" s="1"/>
  <c r="L296" i="47"/>
  <c r="L295" i="47"/>
  <c r="J170" i="49"/>
  <c r="J200" i="50"/>
  <c r="J185" i="49"/>
  <c r="J209" i="50"/>
  <c r="I296" i="47"/>
  <c r="I295" i="47"/>
  <c r="J284" i="47"/>
  <c r="J283" i="47"/>
  <c r="J301" i="47" s="1"/>
  <c r="X213" i="43"/>
  <c r="S213" i="43" s="1"/>
  <c r="K222" i="41"/>
  <c r="K365" i="50"/>
  <c r="T213" i="47"/>
  <c r="W213" i="47"/>
  <c r="U213" i="47"/>
  <c r="M123" i="41"/>
  <c r="M129" i="41"/>
  <c r="M296" i="50" s="1"/>
  <c r="T24" i="49"/>
  <c r="K24" i="49" s="1"/>
  <c r="K59" i="49" s="1"/>
  <c r="I427" i="41"/>
  <c r="K200" i="50"/>
  <c r="C215" i="34"/>
  <c r="D215" i="34" s="1"/>
  <c r="E215" i="34" s="1"/>
  <c r="P299" i="43"/>
  <c r="Q299" i="43" s="1"/>
  <c r="K283" i="47"/>
  <c r="K301" i="47" s="1"/>
  <c r="K284" i="47"/>
  <c r="K294" i="47" s="1"/>
  <c r="K295" i="47"/>
  <c r="J296" i="47"/>
  <c r="J295" i="47"/>
  <c r="J180" i="49"/>
  <c r="J206" i="50" s="1"/>
  <c r="L141" i="41"/>
  <c r="L301" i="50" s="1"/>
  <c r="C216" i="34"/>
  <c r="D216" i="34" s="1"/>
  <c r="Q216" i="34" s="1"/>
  <c r="T216" i="34" s="1"/>
  <c r="M141" i="41"/>
  <c r="K430" i="41"/>
  <c r="K433" i="41"/>
  <c r="K296" i="47"/>
  <c r="L430" i="41"/>
  <c r="M430" i="41"/>
  <c r="P274" i="43"/>
  <c r="M274" i="43" s="1"/>
  <c r="P270" i="43"/>
  <c r="P272" i="43"/>
  <c r="P273" i="43"/>
  <c r="P271" i="43"/>
  <c r="R271" i="43" s="1"/>
  <c r="Q295" i="43"/>
  <c r="J303" i="37"/>
  <c r="J1044" i="37"/>
  <c r="T1044" i="37" s="1"/>
  <c r="J706" i="37"/>
  <c r="M299" i="37"/>
  <c r="W299" i="37" s="1"/>
  <c r="M397" i="37"/>
  <c r="W397" i="37" s="1"/>
  <c r="M1558" i="37"/>
  <c r="W1558" i="37" s="1"/>
  <c r="M1740" i="37"/>
  <c r="W1740" i="37" s="1"/>
  <c r="M825" i="37"/>
  <c r="M1214" i="37"/>
  <c r="M509" i="37"/>
  <c r="W509" i="37" s="1"/>
  <c r="M1782" i="37"/>
  <c r="W1785" i="37" s="1"/>
  <c r="M180" i="37"/>
  <c r="M688" i="37"/>
  <c r="W688" i="37"/>
  <c r="M888" i="37"/>
  <c r="M660" i="37"/>
  <c r="W664" i="37" s="1"/>
  <c r="M580" i="37"/>
  <c r="M1236" i="37"/>
  <c r="M498" i="37"/>
  <c r="W502" i="37" s="1"/>
  <c r="H12" i="50"/>
  <c r="L221" i="50"/>
  <c r="H180" i="50"/>
  <c r="I253" i="49"/>
  <c r="I222" i="50" s="1"/>
  <c r="I221" i="50"/>
  <c r="S17" i="49"/>
  <c r="J17" i="49" s="1"/>
  <c r="R17" i="49"/>
  <c r="I17" i="49" s="1"/>
  <c r="T17" i="49"/>
  <c r="K17" i="49" s="1"/>
  <c r="U17" i="49"/>
  <c r="L17" i="49" s="1"/>
  <c r="L52" i="49" s="1"/>
  <c r="K246" i="49"/>
  <c r="K221" i="50" s="1"/>
  <c r="I245" i="50"/>
  <c r="K427" i="41"/>
  <c r="J431" i="41"/>
  <c r="M293" i="50"/>
  <c r="K426" i="41"/>
  <c r="K129" i="41"/>
  <c r="K296" i="50" s="1"/>
  <c r="I433" i="41"/>
  <c r="I431" i="41"/>
  <c r="I434" i="41"/>
  <c r="K189" i="41"/>
  <c r="I189" i="41"/>
  <c r="I218" i="41" s="1"/>
  <c r="M189" i="41"/>
  <c r="M218" i="41" s="1"/>
  <c r="S383" i="41"/>
  <c r="K302" i="47"/>
  <c r="L294" i="47"/>
  <c r="M309" i="42"/>
  <c r="Q303" i="43"/>
  <c r="K309" i="42"/>
  <c r="J309" i="42"/>
  <c r="V206" i="47"/>
  <c r="W208" i="47"/>
  <c r="M97" i="41"/>
  <c r="M273" i="50" s="1"/>
  <c r="J97" i="41"/>
  <c r="J273" i="50" s="1"/>
  <c r="M107" i="42"/>
  <c r="I14" i="42"/>
  <c r="I107" i="42"/>
  <c r="K107" i="42"/>
  <c r="L107" i="42"/>
  <c r="L97" i="41"/>
  <c r="L273" i="50" s="1"/>
  <c r="L1248" i="50"/>
  <c r="H1253" i="50" s="1"/>
  <c r="C1291" i="50"/>
  <c r="Q1245" i="50"/>
  <c r="P127" i="50"/>
  <c r="S127" i="50"/>
  <c r="C645" i="50"/>
  <c r="C714" i="50"/>
  <c r="Q714" i="50" s="1"/>
  <c r="K1269" i="50"/>
  <c r="P1281" i="50"/>
  <c r="K97" i="41"/>
  <c r="K273" i="50" s="1"/>
  <c r="I97" i="41"/>
  <c r="I273" i="50" s="1"/>
  <c r="L245" i="50"/>
  <c r="L247" i="50"/>
  <c r="I213" i="47"/>
  <c r="R658" i="42"/>
  <c r="R13" i="42"/>
  <c r="Z25" i="42"/>
  <c r="U743" i="42"/>
  <c r="U751" i="42" s="1"/>
  <c r="T13" i="42"/>
  <c r="T133" i="42" s="1"/>
  <c r="V13" i="42"/>
  <c r="S13" i="42"/>
  <c r="S89" i="42" s="1"/>
  <c r="W13" i="42"/>
  <c r="W133" i="42" s="1"/>
  <c r="U13" i="42"/>
  <c r="K194" i="41"/>
  <c r="K342" i="50" s="1"/>
  <c r="K437" i="41"/>
  <c r="J437" i="41"/>
  <c r="J440" i="41" s="1"/>
  <c r="K193" i="41"/>
  <c r="K341" i="50" s="1"/>
  <c r="M437" i="41"/>
  <c r="M440" i="41" s="1"/>
  <c r="M447" i="41" s="1"/>
  <c r="I194" i="41"/>
  <c r="I342" i="50" s="1"/>
  <c r="I437" i="41"/>
  <c r="L437" i="41"/>
  <c r="L440" i="41" s="1"/>
  <c r="L447" i="41" s="1"/>
  <c r="J415" i="41"/>
  <c r="J376" i="50" s="1"/>
  <c r="J414" i="41"/>
  <c r="J375" i="50" s="1"/>
  <c r="J413" i="41"/>
  <c r="J374" i="50" s="1"/>
  <c r="J412" i="41"/>
  <c r="J373" i="50" s="1"/>
  <c r="J25" i="42"/>
  <c r="I412" i="41"/>
  <c r="I373" i="50" s="1"/>
  <c r="J255" i="42"/>
  <c r="K415" i="41"/>
  <c r="K376" i="50" s="1"/>
  <c r="K412" i="41"/>
  <c r="K373" i="50" s="1"/>
  <c r="K414" i="41"/>
  <c r="K375" i="50" s="1"/>
  <c r="K413" i="41"/>
  <c r="K374" i="50" s="1"/>
  <c r="I413" i="41"/>
  <c r="I374" i="50" s="1"/>
  <c r="I414" i="41"/>
  <c r="I375" i="50" s="1"/>
  <c r="I415" i="41"/>
  <c r="I376" i="50" s="1"/>
  <c r="M414" i="41"/>
  <c r="M375" i="50" s="1"/>
  <c r="M413" i="41"/>
  <c r="M374" i="50" s="1"/>
  <c r="M415" i="41"/>
  <c r="M376" i="50" s="1"/>
  <c r="M412" i="41"/>
  <c r="M373" i="50" s="1"/>
  <c r="K25" i="42"/>
  <c r="I25" i="42"/>
  <c r="M255" i="42"/>
  <c r="L413" i="41"/>
  <c r="L374" i="50" s="1"/>
  <c r="L414" i="41"/>
  <c r="L375" i="50" s="1"/>
  <c r="L415" i="41"/>
  <c r="L376" i="50" s="1"/>
  <c r="L412" i="41"/>
  <c r="L373" i="50" s="1"/>
  <c r="M25" i="42"/>
  <c r="L25" i="42"/>
  <c r="L255" i="42"/>
  <c r="J1614" i="50"/>
  <c r="L1614" i="50"/>
  <c r="M1614" i="50"/>
  <c r="K1614" i="50"/>
  <c r="M1106" i="37"/>
  <c r="K254" i="43"/>
  <c r="S658" i="42"/>
  <c r="S666" i="42" s="1"/>
  <c r="I116" i="49"/>
  <c r="I174" i="50" s="1"/>
  <c r="J1665" i="37"/>
  <c r="J1628" i="37"/>
  <c r="J160" i="37"/>
  <c r="T160" i="37" s="1"/>
  <c r="J660" i="37"/>
  <c r="T664" i="37" s="1"/>
  <c r="J995" i="37"/>
  <c r="T995" i="37" s="1"/>
  <c r="J447" i="37"/>
  <c r="J152" i="37"/>
  <c r="T152" i="37"/>
  <c r="J857" i="37"/>
  <c r="T857" i="37" s="1"/>
  <c r="J390" i="37"/>
  <c r="T393" i="37" s="1"/>
  <c r="J1426" i="37"/>
  <c r="T1428" i="37"/>
  <c r="J692" i="37"/>
  <c r="M486" i="37"/>
  <c r="W490" i="37" s="1"/>
  <c r="M1119" i="37"/>
  <c r="M1102" i="37"/>
  <c r="M683" i="37"/>
  <c r="W683" i="37" s="1"/>
  <c r="M1368" i="37"/>
  <c r="W1372" i="37" s="1"/>
  <c r="M190" i="37"/>
  <c r="W192" i="37"/>
  <c r="M1194" i="37"/>
  <c r="W1198" i="37" s="1"/>
  <c r="M1418" i="37"/>
  <c r="W1420" i="37" s="1"/>
  <c r="M1750" i="37"/>
  <c r="M208" i="37"/>
  <c r="W211" i="37" s="1"/>
  <c r="M171" i="37"/>
  <c r="M1169" i="37"/>
  <c r="W1169" i="37" s="1"/>
  <c r="M1553" i="37"/>
  <c r="W1553" i="37" s="1"/>
  <c r="M273" i="37"/>
  <c r="M1615" i="37"/>
  <c r="W1615" i="37"/>
  <c r="M904" i="37"/>
  <c r="W906" i="37" s="1"/>
  <c r="M1608" i="37"/>
  <c r="W1611" i="37" s="1"/>
  <c r="M1379" i="37"/>
  <c r="W1379" i="37" s="1"/>
  <c r="M1267" i="37"/>
  <c r="W1267" i="37"/>
  <c r="M1036" i="37"/>
  <c r="W1036" i="37" s="1"/>
  <c r="M1276" i="37"/>
  <c r="T277" i="34"/>
  <c r="K1654" i="50"/>
  <c r="S225" i="34"/>
  <c r="K312" i="49"/>
  <c r="M793" i="42"/>
  <c r="S271" i="34"/>
  <c r="S231" i="34"/>
  <c r="T275" i="34"/>
  <c r="S248" i="34"/>
  <c r="L1652" i="50"/>
  <c r="I793" i="42"/>
  <c r="I371" i="42" s="1"/>
  <c r="U277" i="34"/>
  <c r="M370" i="43"/>
  <c r="U278" i="43" s="1"/>
  <c r="S240" i="34"/>
  <c r="L312" i="49"/>
  <c r="I407" i="41"/>
  <c r="S263" i="34"/>
  <c r="S230" i="34"/>
  <c r="K407" i="41"/>
  <c r="S214" i="34"/>
  <c r="S251" i="34"/>
  <c r="S250" i="34"/>
  <c r="S244" i="34"/>
  <c r="S234" i="34"/>
  <c r="J408" i="47"/>
  <c r="S257" i="34"/>
  <c r="S247" i="34"/>
  <c r="K795" i="42"/>
  <c r="J1654" i="50"/>
  <c r="L405" i="41"/>
  <c r="L188" i="41" s="1"/>
  <c r="L338" i="50" s="1"/>
  <c r="S233" i="34"/>
  <c r="S245" i="34"/>
  <c r="L407" i="41"/>
  <c r="J314" i="49"/>
  <c r="J405" i="41"/>
  <c r="S227" i="34"/>
  <c r="S270" i="34"/>
  <c r="S215" i="34"/>
  <c r="Q212" i="34"/>
  <c r="T212" i="34" s="1"/>
  <c r="K410" i="47"/>
  <c r="S253" i="34"/>
  <c r="S229" i="34"/>
  <c r="I1654" i="50"/>
  <c r="S275" i="34"/>
  <c r="S254" i="34"/>
  <c r="Q270" i="34"/>
  <c r="T270" i="34" s="1"/>
  <c r="U270" i="34" s="1"/>
  <c r="L1654" i="50"/>
  <c r="S274" i="34"/>
  <c r="M408" i="47"/>
  <c r="I1652" i="50"/>
  <c r="K793" i="42"/>
  <c r="L1820" i="37"/>
  <c r="S258" i="34"/>
  <c r="I410" i="47"/>
  <c r="S217" i="34"/>
  <c r="BB3" i="56"/>
  <c r="B4" i="56" s="1"/>
  <c r="Q269" i="34"/>
  <c r="T269" i="34" s="1"/>
  <c r="U269" i="34" s="1"/>
  <c r="S219" i="34"/>
  <c r="S232" i="34"/>
  <c r="M407" i="41"/>
  <c r="S272" i="34"/>
  <c r="S269" i="34"/>
  <c r="S236" i="34"/>
  <c r="S238" i="34"/>
  <c r="S242" i="34"/>
  <c r="J795" i="42"/>
  <c r="L314" i="49"/>
  <c r="U276" i="34"/>
  <c r="S239" i="34"/>
  <c r="M1652" i="50"/>
  <c r="M1344" i="50"/>
  <c r="S260" i="34"/>
  <c r="I314" i="49"/>
  <c r="M1654" i="50"/>
  <c r="Q219" i="34"/>
  <c r="T219" i="34" s="1"/>
  <c r="M405" i="41"/>
  <c r="K1822" i="37"/>
  <c r="S222" i="34"/>
  <c r="S252" i="34"/>
  <c r="L408" i="47"/>
  <c r="L94" i="47" s="1"/>
  <c r="K1820" i="37"/>
  <c r="S268" i="34"/>
  <c r="S235" i="34"/>
  <c r="BB3" i="59"/>
  <c r="B4" i="59"/>
  <c r="Q213" i="34"/>
  <c r="T213" i="34" s="1"/>
  <c r="J299" i="37"/>
  <c r="T299" i="37" s="1"/>
  <c r="J410" i="37"/>
  <c r="J156" i="37"/>
  <c r="J1716" i="37"/>
  <c r="T1720" i="37"/>
  <c r="J754" i="37"/>
  <c r="J580" i="37"/>
  <c r="T1835" i="37"/>
  <c r="J1831" i="37"/>
  <c r="J1228" i="37"/>
  <c r="J846" i="37"/>
  <c r="T850" i="37" s="1"/>
  <c r="J1491" i="37"/>
  <c r="J999" i="37"/>
  <c r="J571" i="37"/>
  <c r="T571" i="37" s="1"/>
  <c r="J1592" i="37"/>
  <c r="T1594" i="37" s="1"/>
  <c r="J1517" i="37"/>
  <c r="T1517" i="37" s="1"/>
  <c r="J548" i="37"/>
  <c r="T550" i="37"/>
  <c r="J1182" i="37"/>
  <c r="T1186" i="37" s="1"/>
  <c r="J514" i="37"/>
  <c r="T514" i="37" s="1"/>
  <c r="J1236" i="37"/>
  <c r="J1169" i="37"/>
  <c r="T1169" i="37" s="1"/>
  <c r="J217" i="37"/>
  <c r="T217" i="37" s="1"/>
  <c r="J1280" i="37"/>
  <c r="M1008" i="37"/>
  <c r="W1012" i="37" s="1"/>
  <c r="M556" i="37"/>
  <c r="W558" i="37" s="1"/>
  <c r="M1031" i="37"/>
  <c r="W1031" i="37"/>
  <c r="M1384" i="37"/>
  <c r="W1384" i="37" s="1"/>
  <c r="M1044" i="37"/>
  <c r="W1044" i="37" s="1"/>
  <c r="M1252" i="37"/>
  <c r="W1254" i="37" s="1"/>
  <c r="M24" i="37"/>
  <c r="M34" i="37" s="1"/>
  <c r="M1434" i="37"/>
  <c r="W1437" i="37" s="1"/>
  <c r="M1566" i="37"/>
  <c r="W1566" i="37"/>
  <c r="M129" i="37"/>
  <c r="W133" i="37"/>
  <c r="S237" i="34"/>
  <c r="S259" i="34"/>
  <c r="J312" i="49"/>
  <c r="J16" i="49" s="1"/>
  <c r="S16" i="49" s="1"/>
  <c r="I370" i="43"/>
  <c r="I170" i="43" s="1"/>
  <c r="M312" i="49"/>
  <c r="S221" i="34"/>
  <c r="I408" i="47"/>
  <c r="I337" i="47" s="1"/>
  <c r="S216" i="34"/>
  <c r="Q272" i="34"/>
  <c r="T272" i="34" s="1"/>
  <c r="U272" i="34" s="1"/>
  <c r="B54" i="34" s="1"/>
  <c r="S223" i="34"/>
  <c r="L410" i="47"/>
  <c r="I1820" i="37"/>
  <c r="M156" i="37"/>
  <c r="M1020" i="37"/>
  <c r="W1024" i="37" s="1"/>
  <c r="M919" i="37"/>
  <c r="W919" i="37"/>
  <c r="M1070" i="37"/>
  <c r="W1072" i="37"/>
  <c r="M1086" i="37"/>
  <c r="W1089" i="37" s="1"/>
  <c r="M117" i="37"/>
  <c r="W121" i="37" s="1"/>
  <c r="M795" i="37"/>
  <c r="M514" i="37"/>
  <c r="W514" i="37" s="1"/>
  <c r="M745" i="37"/>
  <c r="W745" i="37" s="1"/>
  <c r="M995" i="37"/>
  <c r="W995" i="37"/>
  <c r="M1388" i="37"/>
  <c r="J117" i="37"/>
  <c r="T121" i="37"/>
  <c r="J423" i="37"/>
  <c r="J102" i="37"/>
  <c r="J1379" i="37"/>
  <c r="T1379" i="37" s="1"/>
  <c r="J714" i="37"/>
  <c r="J564" i="37"/>
  <c r="T567" i="37" s="1"/>
  <c r="J1608" i="37"/>
  <c r="T1611" i="37"/>
  <c r="E439" i="50"/>
  <c r="J358" i="37"/>
  <c r="J1392" i="37"/>
  <c r="T1392" i="37"/>
  <c r="J1054" i="37"/>
  <c r="J1205" i="37"/>
  <c r="T1205" i="37"/>
  <c r="J1317" i="37"/>
  <c r="J486" i="37"/>
  <c r="T490" i="37" s="1"/>
  <c r="J969" i="37"/>
  <c r="J1695" i="37"/>
  <c r="J397" i="37"/>
  <c r="T397" i="37" s="1"/>
  <c r="J1562" i="37"/>
  <c r="J1704" i="37"/>
  <c r="T1708" i="37"/>
  <c r="J344" i="37"/>
  <c r="J1441" i="37"/>
  <c r="T1441" i="37" s="1"/>
  <c r="J1434" i="37"/>
  <c r="T1437" i="37" s="1"/>
  <c r="J1194" i="37"/>
  <c r="T1198" i="37" s="1"/>
  <c r="J348" i="37"/>
  <c r="T348" i="37" s="1"/>
  <c r="J597" i="37"/>
  <c r="J171" i="37"/>
  <c r="J273" i="37"/>
  <c r="J1402" i="37"/>
  <c r="J1750" i="37"/>
  <c r="J688" i="37"/>
  <c r="T688" i="37"/>
  <c r="I148" i="49"/>
  <c r="I189" i="50"/>
  <c r="M1392" i="37"/>
  <c r="W1392" i="37"/>
  <c r="M1789" i="37"/>
  <c r="W1789" i="37" s="1"/>
  <c r="M477" i="37"/>
  <c r="M1736" i="37"/>
  <c r="M692" i="37"/>
  <c r="M423" i="37"/>
  <c r="M1244" i="37"/>
  <c r="W1246" i="37" s="1"/>
  <c r="M518" i="37"/>
  <c r="M1040" i="37"/>
  <c r="S262" i="34"/>
  <c r="J370" i="43"/>
  <c r="M795" i="42"/>
  <c r="S228" i="34"/>
  <c r="S213" i="34"/>
  <c r="L370" i="43"/>
  <c r="BB3" i="57"/>
  <c r="B4" i="57" s="1"/>
  <c r="S218" i="34"/>
  <c r="S277" i="34"/>
  <c r="S264" i="34"/>
  <c r="K405" i="41"/>
  <c r="K41" i="41"/>
  <c r="I405" i="41"/>
  <c r="M1641" i="37"/>
  <c r="M1260" i="37"/>
  <c r="W1263" i="37" s="1"/>
  <c r="M1704" i="37"/>
  <c r="W1708" i="37" s="1"/>
  <c r="M358" i="37"/>
  <c r="M340" i="37"/>
  <c r="W340" i="37" s="1"/>
  <c r="M344" i="37"/>
  <c r="M1410" i="37"/>
  <c r="M1441" i="37"/>
  <c r="W1441" i="37" s="1"/>
  <c r="M447" i="37"/>
  <c r="M231" i="37"/>
  <c r="M1093" i="37"/>
  <c r="W1093" i="37" s="1"/>
  <c r="J1173" i="37"/>
  <c r="J928" i="37"/>
  <c r="J1766" i="37"/>
  <c r="T1768" i="37"/>
  <c r="J584" i="37"/>
  <c r="J382" i="37"/>
  <c r="T384" i="37" s="1"/>
  <c r="J1368" i="37"/>
  <c r="T1372" i="37" s="1"/>
  <c r="J556" i="37"/>
  <c r="T558" i="37" s="1"/>
  <c r="J1774" i="37"/>
  <c r="T1776" i="37"/>
  <c r="J1343" i="37"/>
  <c r="T1343" i="37" s="1"/>
  <c r="J834" i="37"/>
  <c r="T838" i="37" s="1"/>
  <c r="P1253" i="50"/>
  <c r="R568" i="42"/>
  <c r="P574" i="42"/>
  <c r="P580" i="42"/>
  <c r="J1798" i="37"/>
  <c r="J722" i="37"/>
  <c r="T724" i="37"/>
  <c r="J1260" i="37"/>
  <c r="T1263" i="37" s="1"/>
  <c r="J1542" i="37"/>
  <c r="T1546" i="37" s="1"/>
  <c r="J1093" i="37"/>
  <c r="T1093" i="37" s="1"/>
  <c r="J1740" i="37"/>
  <c r="T1740" i="37" s="1"/>
  <c r="J880" i="37"/>
  <c r="J1558" i="37"/>
  <c r="T1558" i="37"/>
  <c r="J1388" i="37"/>
  <c r="J1450" i="37"/>
  <c r="J1244" i="37"/>
  <c r="T1246" i="37"/>
  <c r="J1410" i="37"/>
  <c r="J932" i="37"/>
  <c r="J651" i="37"/>
  <c r="J1020" i="37"/>
  <c r="T1024" i="37" s="1"/>
  <c r="J509" i="37"/>
  <c r="T509" i="37"/>
  <c r="J473" i="37"/>
  <c r="T473" i="37"/>
  <c r="J1070" i="37"/>
  <c r="T1072" i="37" s="1"/>
  <c r="J866" i="37"/>
  <c r="M722" i="37"/>
  <c r="W724" i="37"/>
  <c r="M866" i="37"/>
  <c r="M410" i="37"/>
  <c r="M1078" i="37"/>
  <c r="W1080" i="37"/>
  <c r="M366" i="37"/>
  <c r="M1293" i="37"/>
  <c r="M1592" i="37"/>
  <c r="W1594" i="37"/>
  <c r="M870" i="37"/>
  <c r="W870" i="37"/>
  <c r="M217" i="37"/>
  <c r="W217" i="37"/>
  <c r="Q274" i="34"/>
  <c r="T274" i="34" s="1"/>
  <c r="U274" i="34" s="1"/>
  <c r="S241" i="34"/>
  <c r="BB3" i="58"/>
  <c r="B4" i="58" s="1"/>
  <c r="Z4" i="58" s="1"/>
  <c r="L793" i="42"/>
  <c r="S212" i="34"/>
  <c r="S224" i="34"/>
  <c r="J793" i="42"/>
  <c r="J407" i="41"/>
  <c r="J410" i="47"/>
  <c r="J1822" i="37"/>
  <c r="E444" i="50"/>
  <c r="P334" i="41"/>
  <c r="N1204" i="50"/>
  <c r="N1203" i="50"/>
  <c r="J728" i="50"/>
  <c r="N521" i="50"/>
  <c r="N1073" i="50"/>
  <c r="N1395" i="50"/>
  <c r="J1531" i="50"/>
  <c r="J1004" i="50"/>
  <c r="J866" i="50"/>
  <c r="L1459" i="50"/>
  <c r="J1459" i="50"/>
  <c r="M167" i="50"/>
  <c r="M118" i="49"/>
  <c r="H113" i="47"/>
  <c r="H301" i="47"/>
  <c r="H847" i="37"/>
  <c r="J797" i="50"/>
  <c r="H187" i="47"/>
  <c r="H1183" i="37"/>
  <c r="H1543" i="37"/>
  <c r="H179" i="47"/>
  <c r="H195" i="47"/>
  <c r="H338" i="47"/>
  <c r="H305" i="47"/>
  <c r="H1007" i="50"/>
  <c r="H1066" i="50"/>
  <c r="H593" i="50"/>
  <c r="H687" i="42"/>
  <c r="H148" i="49"/>
  <c r="H189" i="50" s="1"/>
  <c r="H67" i="49"/>
  <c r="H176" i="41"/>
  <c r="H328" i="50"/>
  <c r="H112" i="47"/>
  <c r="H223" i="42"/>
  <c r="H239" i="41"/>
  <c r="H106" i="49"/>
  <c r="H300" i="49"/>
  <c r="H217" i="42"/>
  <c r="H127" i="42"/>
  <c r="H391" i="42"/>
  <c r="H1260" i="50"/>
  <c r="H205" i="47"/>
  <c r="H206" i="41"/>
  <c r="H351" i="50"/>
  <c r="H499" i="42"/>
  <c r="H1454" i="50"/>
  <c r="H94" i="37"/>
  <c r="H152" i="49"/>
  <c r="H212" i="47"/>
  <c r="H295" i="42"/>
  <c r="H1462" i="50"/>
  <c r="H1206" i="50"/>
  <c r="H147" i="41"/>
  <c r="H305" i="50"/>
  <c r="H415" i="42"/>
  <c r="H51" i="49"/>
  <c r="H83" i="50" s="1"/>
  <c r="H227" i="42"/>
  <c r="H388" i="47"/>
  <c r="H323" i="42"/>
  <c r="H95" i="49"/>
  <c r="H169" i="50" s="1"/>
  <c r="H1352" i="50"/>
  <c r="H301" i="41"/>
  <c r="H413" i="50" s="1"/>
  <c r="H36" i="49"/>
  <c r="H580" i="37"/>
  <c r="H340" i="37"/>
  <c r="H605" i="37"/>
  <c r="H509" i="37"/>
  <c r="H706" i="37"/>
  <c r="H486" i="37"/>
  <c r="H518" i="37"/>
  <c r="H358" i="37"/>
  <c r="H651" i="37"/>
  <c r="H672" i="37"/>
  <c r="H1750" i="37"/>
  <c r="H1558" i="37"/>
  <c r="H1798" i="37"/>
  <c r="H1649" i="37"/>
  <c r="H1530" i="37"/>
  <c r="H1441" i="37"/>
  <c r="H1665" i="37"/>
  <c r="H1576" i="37"/>
  <c r="H1736" i="37"/>
  <c r="H1641" i="37"/>
  <c r="H1517" i="37"/>
  <c r="H1410" i="37"/>
  <c r="H1267" i="37"/>
  <c r="H1086" i="37"/>
  <c r="H999" i="37"/>
  <c r="H857" i="37"/>
  <c r="H1252" i="37"/>
  <c r="H1132" i="37"/>
  <c r="H1031" i="37"/>
  <c r="H821" i="37"/>
  <c r="H1306" i="37"/>
  <c r="H1194" i="37"/>
  <c r="H1102" i="37"/>
  <c r="H953" i="37"/>
  <c r="H795" i="37"/>
  <c r="H1356" i="37"/>
  <c r="H1228" i="37"/>
  <c r="H1036" i="37"/>
  <c r="H912" i="37"/>
  <c r="H447" i="37"/>
  <c r="H344" i="37"/>
  <c r="H410" i="37"/>
  <c r="H688" i="37"/>
  <c r="H754" i="37"/>
  <c r="H869" i="50"/>
  <c r="H1252" i="50"/>
  <c r="H997" i="50"/>
  <c r="H800" i="50"/>
  <c r="H721" i="50"/>
  <c r="H738" i="37"/>
  <c r="H135" i="42"/>
  <c r="H1514" i="50"/>
  <c r="H729" i="42"/>
  <c r="H1390" i="50"/>
  <c r="H293" i="41"/>
  <c r="H406" i="50" s="1"/>
  <c r="H272" i="47"/>
  <c r="H112" i="42"/>
  <c r="H366" i="47"/>
  <c r="H139" i="42"/>
  <c r="H235" i="42"/>
  <c r="H42" i="37"/>
  <c r="H427" i="42"/>
  <c r="H446" i="42"/>
  <c r="H161" i="49"/>
  <c r="H194" i="50" s="1"/>
  <c r="B65" i="34"/>
  <c r="H158" i="42"/>
  <c r="H470" i="42"/>
  <c r="H327" i="42"/>
  <c r="H231" i="37"/>
  <c r="H156" i="49"/>
  <c r="H16" i="49"/>
  <c r="H419" i="42"/>
  <c r="H1430" i="50"/>
  <c r="H179" i="42"/>
  <c r="H180" i="37"/>
  <c r="H1298" i="50"/>
  <c r="H252" i="47"/>
  <c r="H643" i="42"/>
  <c r="H1422" i="50"/>
  <c r="H1494" i="50"/>
  <c r="D75" i="37"/>
  <c r="D1681" i="37"/>
  <c r="D985" i="37"/>
  <c r="J167" i="50"/>
  <c r="J118" i="49"/>
  <c r="R701" i="42"/>
  <c r="E661" i="42"/>
  <c r="E746" i="42"/>
  <c r="E442" i="42"/>
  <c r="E414" i="41"/>
  <c r="I587" i="42"/>
  <c r="M1270" i="50"/>
  <c r="K159" i="42"/>
  <c r="I159" i="42"/>
  <c r="J36" i="49"/>
  <c r="J161" i="49"/>
  <c r="J194" i="50" s="1"/>
  <c r="K499" i="42"/>
  <c r="U500" i="42" s="1"/>
  <c r="K98" i="42"/>
  <c r="K427" i="42"/>
  <c r="U427" i="42" s="1"/>
  <c r="K396" i="42"/>
  <c r="K750" i="42"/>
  <c r="U750" i="42" s="1"/>
  <c r="L137" i="50"/>
  <c r="L218" i="49"/>
  <c r="L300" i="49"/>
  <c r="L125" i="49"/>
  <c r="L285" i="49"/>
  <c r="V285" i="49" s="1"/>
  <c r="K391" i="42"/>
  <c r="U391" i="42" s="1"/>
  <c r="K319" i="42"/>
  <c r="U319" i="42"/>
  <c r="K343" i="41"/>
  <c r="K451" i="50" s="1"/>
  <c r="K227" i="41"/>
  <c r="K368" i="50" s="1"/>
  <c r="K107" i="41"/>
  <c r="K279" i="50" s="1"/>
  <c r="I179" i="42"/>
  <c r="I594" i="42"/>
  <c r="S594" i="42" s="1"/>
  <c r="I231" i="42"/>
  <c r="S231" i="42" s="1"/>
  <c r="I665" i="42"/>
  <c r="I708" i="42"/>
  <c r="S708" i="42" s="1"/>
  <c r="I239" i="42"/>
  <c r="S239" i="42" s="1"/>
  <c r="I135" i="42"/>
  <c r="S135" i="42" s="1"/>
  <c r="I431" i="42"/>
  <c r="S431" i="42" s="1"/>
  <c r="I112" i="42"/>
  <c r="I127" i="42"/>
  <c r="S127" i="42" s="1"/>
  <c r="I643" i="42"/>
  <c r="S644" i="42" s="1"/>
  <c r="I300" i="42"/>
  <c r="I687" i="42"/>
  <c r="I350" i="42"/>
  <c r="S350" i="42" s="1"/>
  <c r="I88" i="42"/>
  <c r="S88" i="42" s="1"/>
  <c r="J295" i="49"/>
  <c r="I415" i="42"/>
  <c r="S415" i="42"/>
  <c r="K415" i="42"/>
  <c r="U415" i="42" s="1"/>
  <c r="S587" i="42"/>
  <c r="S639" i="42" s="1"/>
  <c r="J137" i="50"/>
  <c r="I147" i="41"/>
  <c r="I305" i="50" s="1"/>
  <c r="K170" i="43"/>
  <c r="K327" i="41"/>
  <c r="K437" i="50"/>
  <c r="K327" i="42"/>
  <c r="U327" i="42"/>
  <c r="K331" i="42"/>
  <c r="U331" i="42" s="1"/>
  <c r="M280" i="41"/>
  <c r="M395" i="50" s="1"/>
  <c r="L156" i="49"/>
  <c r="M160" i="47"/>
  <c r="M289" i="47"/>
  <c r="M205" i="47"/>
  <c r="W205" i="47" s="1"/>
  <c r="W212" i="47" s="1"/>
  <c r="M272" i="47"/>
  <c r="M366" i="47"/>
  <c r="M144" i="47"/>
  <c r="M279" i="47"/>
  <c r="M186" i="47"/>
  <c r="M119" i="47"/>
  <c r="M237" i="47"/>
  <c r="M337" i="47"/>
  <c r="M388" i="47"/>
  <c r="M153" i="47"/>
  <c r="M94" i="47"/>
  <c r="M31" i="47"/>
  <c r="M252" i="47"/>
  <c r="M126" i="47"/>
  <c r="M300" i="47"/>
  <c r="M112" i="47"/>
  <c r="M324" i="47"/>
  <c r="L1526" i="50"/>
  <c r="J595" i="42"/>
  <c r="J644" i="42" s="1"/>
  <c r="J645" i="42" s="1"/>
  <c r="J300" i="49"/>
  <c r="J252" i="49"/>
  <c r="J67" i="49"/>
  <c r="J125" i="49"/>
  <c r="J95" i="49"/>
  <c r="J169" i="50" s="1"/>
  <c r="J106" i="49"/>
  <c r="K112" i="42"/>
  <c r="J236" i="49"/>
  <c r="T236" i="49" s="1"/>
  <c r="I139" i="42"/>
  <c r="S139" i="42" s="1"/>
  <c r="K301" i="41"/>
  <c r="K413" i="50" s="1"/>
  <c r="K470" i="42"/>
  <c r="K179" i="42"/>
  <c r="J218" i="49"/>
  <c r="I588" i="42"/>
  <c r="J231" i="49"/>
  <c r="J90" i="49"/>
  <c r="J164" i="50" s="1"/>
  <c r="J100" i="49"/>
  <c r="K254" i="42"/>
  <c r="U254" i="42" s="1"/>
  <c r="J245" i="49"/>
  <c r="J51" i="49"/>
  <c r="J83" i="50" s="1"/>
  <c r="K227" i="42"/>
  <c r="U227" i="42"/>
  <c r="I391" i="42"/>
  <c r="S391" i="42" s="1"/>
  <c r="K313" i="42"/>
  <c r="K56" i="42"/>
  <c r="M1306" i="37"/>
  <c r="W1306" i="37" s="1"/>
  <c r="W1294" i="37"/>
  <c r="M1301" i="37"/>
  <c r="J281" i="49"/>
  <c r="R587" i="42"/>
  <c r="J139" i="49"/>
  <c r="L1076" i="50"/>
  <c r="L1390" i="50"/>
  <c r="L662" i="50"/>
  <c r="L1398" i="50"/>
  <c r="L790" i="50"/>
  <c r="L1260" i="50"/>
  <c r="J224" i="49"/>
  <c r="J116" i="49"/>
  <c r="J174" i="50" s="1"/>
  <c r="K350" i="42"/>
  <c r="U350" i="42" s="1"/>
  <c r="J169" i="49"/>
  <c r="J199" i="50"/>
  <c r="J184" i="49"/>
  <c r="L1306" i="50"/>
  <c r="M1127" i="37"/>
  <c r="I131" i="42"/>
  <c r="S131" i="42" s="1"/>
  <c r="I143" i="42"/>
  <c r="S143" i="42" s="1"/>
  <c r="K375" i="41"/>
  <c r="K476" i="50" s="1"/>
  <c r="K52" i="41"/>
  <c r="K240" i="50" s="1"/>
  <c r="I313" i="42"/>
  <c r="K139" i="42"/>
  <c r="U139" i="42" s="1"/>
  <c r="K300" i="42"/>
  <c r="I750" i="42"/>
  <c r="S750" i="42" s="1"/>
  <c r="I499" i="42"/>
  <c r="S500" i="42" s="1"/>
  <c r="I771" i="42"/>
  <c r="K323" i="42"/>
  <c r="U323" i="42" s="1"/>
  <c r="K431" i="42"/>
  <c r="U431" i="42"/>
  <c r="M178" i="47"/>
  <c r="M1521" i="37"/>
  <c r="M374" i="37"/>
  <c r="W376" i="37" s="1"/>
  <c r="M1143" i="37"/>
  <c r="M152" i="37"/>
  <c r="W152" i="37" s="1"/>
  <c r="M880" i="37"/>
  <c r="M1062" i="37"/>
  <c r="M1758" i="37"/>
  <c r="M1600" i="37"/>
  <c r="W1602" i="37" s="1"/>
  <c r="M1426" i="37"/>
  <c r="W1428" i="37"/>
  <c r="M249" i="37"/>
  <c r="M846" i="37"/>
  <c r="W850" i="37" s="1"/>
  <c r="M1173" i="37"/>
  <c r="M651" i="37"/>
  <c r="M102" i="37"/>
  <c r="M564" i="37"/>
  <c r="W567" i="37" s="1"/>
  <c r="M672" i="37"/>
  <c r="W676" i="37"/>
  <c r="M1450" i="37"/>
  <c r="M912" i="37"/>
  <c r="W915" i="37" s="1"/>
  <c r="M522" i="37"/>
  <c r="W522" i="37" s="1"/>
  <c r="M1732" i="37"/>
  <c r="W1732" i="37" s="1"/>
  <c r="M1356" i="37"/>
  <c r="W1360" i="37" s="1"/>
  <c r="W1835" i="37"/>
  <c r="M1530" i="37"/>
  <c r="W1534" i="37"/>
  <c r="M857" i="37"/>
  <c r="W857" i="37"/>
  <c r="M730" i="37"/>
  <c r="W732" i="37" s="1"/>
  <c r="M771" i="37"/>
  <c r="M1624" i="37"/>
  <c r="M647" i="37"/>
  <c r="W647" i="37"/>
  <c r="M1542" i="37"/>
  <c r="W1546" i="37"/>
  <c r="M1727" i="37"/>
  <c r="W1727" i="37" s="1"/>
  <c r="M1317" i="37"/>
  <c r="M1205" i="37"/>
  <c r="W1205" i="37" s="1"/>
  <c r="M1691" i="37"/>
  <c r="W1691" i="37" s="1"/>
  <c r="M348" i="37"/>
  <c r="W348" i="37" s="1"/>
  <c r="M390" i="37"/>
  <c r="W393" i="37" s="1"/>
  <c r="M834" i="37"/>
  <c r="W838" i="37"/>
  <c r="M571" i="37"/>
  <c r="W571" i="37" s="1"/>
  <c r="M862" i="37"/>
  <c r="W862" i="37" s="1"/>
  <c r="M1402" i="37"/>
  <c r="M1280" i="37"/>
  <c r="M696" i="37"/>
  <c r="W696" i="37" s="1"/>
  <c r="M1716" i="37"/>
  <c r="W1720" i="37"/>
  <c r="U296" i="43"/>
  <c r="S276" i="34"/>
  <c r="S243" i="34"/>
  <c r="M410" i="47"/>
  <c r="K408" i="47"/>
  <c r="S220" i="34"/>
  <c r="I795" i="42"/>
  <c r="M1822" i="37"/>
  <c r="L795" i="42"/>
  <c r="Q268" i="34"/>
  <c r="T268" i="34" s="1"/>
  <c r="U268" i="34" s="1"/>
  <c r="B52" i="34" s="1"/>
  <c r="M314" i="49"/>
  <c r="K1652" i="50"/>
  <c r="K790" i="50" s="1"/>
  <c r="BB3" i="55"/>
  <c r="B4" i="55" s="1"/>
  <c r="S255" i="34"/>
  <c r="U275" i="34"/>
  <c r="S226" i="34"/>
  <c r="J1652" i="50"/>
  <c r="J1486" i="50" s="1"/>
  <c r="S249" i="34"/>
  <c r="I1822" i="37"/>
  <c r="Q273" i="34"/>
  <c r="T273" i="34" s="1"/>
  <c r="U273" i="34" s="1"/>
  <c r="K314" i="49"/>
  <c r="E305" i="43"/>
  <c r="J1276" i="50"/>
  <c r="L1281" i="50"/>
  <c r="M1272" i="50"/>
  <c r="J1283" i="50"/>
  <c r="M1261" i="50"/>
  <c r="L1272" i="50"/>
  <c r="L1261" i="50"/>
  <c r="L405" i="42"/>
  <c r="J1284" i="50"/>
  <c r="I1269" i="50"/>
  <c r="J1268" i="50"/>
  <c r="I1266" i="50"/>
  <c r="J1267" i="50"/>
  <c r="M1282" i="50"/>
  <c r="I1267" i="50"/>
  <c r="I1280" i="50"/>
  <c r="I405" i="42"/>
  <c r="I517" i="42"/>
  <c r="L1286" i="50"/>
  <c r="I702" i="42"/>
  <c r="J1278" i="50"/>
  <c r="M1269" i="50"/>
  <c r="I1262" i="50"/>
  <c r="M1250" i="50"/>
  <c r="L1273" i="50"/>
  <c r="L1285" i="50"/>
  <c r="L1270" i="50"/>
  <c r="K1271" i="50"/>
  <c r="I344" i="42"/>
  <c r="M405" i="42"/>
  <c r="K1262" i="50"/>
  <c r="W516" i="42"/>
  <c r="W577" i="42" s="1"/>
  <c r="J1271" i="50"/>
  <c r="I351" i="42"/>
  <c r="I255" i="42"/>
  <c r="T701" i="42"/>
  <c r="T709" i="42" s="1"/>
  <c r="Z709" i="42"/>
  <c r="K1281" i="50"/>
  <c r="M1284" i="50"/>
  <c r="I1273" i="50"/>
  <c r="J1280" i="50"/>
  <c r="J1282" i="50"/>
  <c r="M1273" i="50"/>
  <c r="K1270" i="50"/>
  <c r="I1285" i="50"/>
  <c r="J405" i="42"/>
  <c r="I1283" i="50"/>
  <c r="J1273" i="50"/>
  <c r="I213" i="42"/>
  <c r="K213" i="42"/>
  <c r="L159" i="42"/>
  <c r="Q159" i="42" s="1"/>
  <c r="U701" i="42"/>
  <c r="U709" i="42" s="1"/>
  <c r="W701" i="42"/>
  <c r="W709" i="42" s="1"/>
  <c r="T743" i="42"/>
  <c r="T751" i="42" s="1"/>
  <c r="W587" i="42"/>
  <c r="Z751" i="42"/>
  <c r="L595" i="42"/>
  <c r="J524" i="42"/>
  <c r="J573" i="42" s="1"/>
  <c r="J574" i="42" s="1"/>
  <c r="S701" i="42"/>
  <c r="S709" i="42" s="1"/>
  <c r="W743" i="42"/>
  <c r="W751" i="42" s="1"/>
  <c r="V743" i="42"/>
  <c r="V751" i="42" s="1"/>
  <c r="T587" i="42"/>
  <c r="R743" i="42"/>
  <c r="K595" i="42"/>
  <c r="K644" i="42" s="1"/>
  <c r="K645" i="42" s="1"/>
  <c r="T516" i="42"/>
  <c r="AC716" i="42"/>
  <c r="I524" i="42"/>
  <c r="I573" i="42" s="1"/>
  <c r="I574" i="42" s="1"/>
  <c r="K524" i="42"/>
  <c r="K573" i="42" s="1"/>
  <c r="K574" i="42" s="1"/>
  <c r="M213" i="42"/>
  <c r="M1274" i="50"/>
  <c r="L213" i="42"/>
  <c r="Z524" i="42"/>
  <c r="M159" i="42"/>
  <c r="J159" i="42"/>
  <c r="V701" i="42"/>
  <c r="V709" i="42" s="1"/>
  <c r="S743" i="42"/>
  <c r="S751" i="42" s="1"/>
  <c r="V587" i="42"/>
  <c r="V648" i="42" s="1"/>
  <c r="U587" i="42"/>
  <c r="U653" i="42" s="1"/>
  <c r="Z595" i="42"/>
  <c r="M595" i="42"/>
  <c r="M644" i="42" s="1"/>
  <c r="M645" i="42" s="1"/>
  <c r="U516" i="42"/>
  <c r="U568" i="42" s="1"/>
  <c r="R516" i="42"/>
  <c r="V516" i="42"/>
  <c r="L524" i="42"/>
  <c r="L573" i="42" s="1"/>
  <c r="L574" i="42" s="1"/>
  <c r="S516" i="42"/>
  <c r="S577" i="42" s="1"/>
  <c r="I152" i="42"/>
  <c r="L351" i="42"/>
  <c r="M56" i="50"/>
  <c r="M1602" i="50" s="1"/>
  <c r="M351" i="42"/>
  <c r="J351" i="42"/>
  <c r="L447" i="42"/>
  <c r="L500" i="42" s="1"/>
  <c r="L501" i="42" s="1"/>
  <c r="J447" i="42"/>
  <c r="J500" i="42" s="1"/>
  <c r="J501" i="42" s="1"/>
  <c r="K351" i="42"/>
  <c r="I659" i="42"/>
  <c r="T658" i="42"/>
  <c r="Z666" i="42"/>
  <c r="W658" i="42"/>
  <c r="W674" i="42" s="1"/>
  <c r="U658" i="42"/>
  <c r="J1240" i="50"/>
  <c r="L309" i="42"/>
  <c r="I309" i="42"/>
  <c r="I248" i="42"/>
  <c r="M447" i="42"/>
  <c r="M500" i="42" s="1"/>
  <c r="M501" i="42" s="1"/>
  <c r="I447" i="42"/>
  <c r="I500" i="42" s="1"/>
  <c r="I501" i="42" s="1"/>
  <c r="K447" i="42"/>
  <c r="K500" i="42" s="1"/>
  <c r="K501" i="42" s="1"/>
  <c r="K255" i="42"/>
  <c r="I4" i="42"/>
  <c r="AC751" i="42"/>
  <c r="AC666" i="42"/>
  <c r="I5" i="42"/>
  <c r="AC758" i="42"/>
  <c r="AC674" i="42"/>
  <c r="M3" i="42"/>
  <c r="K3" i="42"/>
  <c r="I3" i="42"/>
  <c r="G5" i="42"/>
  <c r="AC709" i="42"/>
  <c r="K4" i="42"/>
  <c r="L270" i="43"/>
  <c r="W207" i="47"/>
  <c r="V207" i="47"/>
  <c r="W206" i="47"/>
  <c r="W129" i="42"/>
  <c r="V666" i="42"/>
  <c r="W137" i="42"/>
  <c r="W89" i="42"/>
  <c r="E280" i="43"/>
  <c r="N271" i="43"/>
  <c r="N1249" i="50"/>
  <c r="K339" i="50"/>
  <c r="K218" i="41"/>
  <c r="D645" i="50"/>
  <c r="Q645" i="50"/>
  <c r="K52" i="49"/>
  <c r="K84" i="50" s="1"/>
  <c r="M243" i="50"/>
  <c r="E216" i="34"/>
  <c r="C217" i="34"/>
  <c r="C218" i="34" s="1"/>
  <c r="C220" i="34" s="1"/>
  <c r="K140" i="49"/>
  <c r="K134" i="49"/>
  <c r="K181" i="50" s="1"/>
  <c r="M271" i="43"/>
  <c r="Q215" i="34"/>
  <c r="T215" i="34" s="1"/>
  <c r="M426" i="41"/>
  <c r="M433" i="41"/>
  <c r="M427" i="41"/>
  <c r="AT4" i="58"/>
  <c r="AH4" i="58"/>
  <c r="I209" i="50"/>
  <c r="I186" i="49"/>
  <c r="I210" i="50"/>
  <c r="Q214" i="34"/>
  <c r="T214" i="34" s="1"/>
  <c r="E214" i="34"/>
  <c r="M779" i="37"/>
  <c r="I180" i="49"/>
  <c r="I312" i="37"/>
  <c r="S316" i="37" s="1"/>
  <c r="I1558" i="37"/>
  <c r="S1558" i="37"/>
  <c r="I870" i="37"/>
  <c r="S870" i="37" s="1"/>
  <c r="I1826" i="37"/>
  <c r="I231" i="37"/>
  <c r="I1695" i="37"/>
  <c r="I846" i="37"/>
  <c r="S850" i="37" s="1"/>
  <c r="I1218" i="37"/>
  <c r="S1218" i="37" s="1"/>
  <c r="I621" i="37"/>
  <c r="I1356" i="37"/>
  <c r="S1360" i="37" s="1"/>
  <c r="I518" i="37"/>
  <c r="I102" i="37"/>
  <c r="I1426" i="37"/>
  <c r="S1428" i="37"/>
  <c r="J131" i="42"/>
  <c r="T131" i="42" s="1"/>
  <c r="I651" i="37"/>
  <c r="I374" i="37"/>
  <c r="S376" i="37"/>
  <c r="I1392" i="37"/>
  <c r="S1392" i="37" s="1"/>
  <c r="I201" i="50"/>
  <c r="H360" i="47"/>
  <c r="H272" i="49"/>
  <c r="H229" i="50" s="1"/>
  <c r="I199" i="37"/>
  <c r="S201" i="37" s="1"/>
  <c r="I1293" i="37"/>
  <c r="I688" i="37"/>
  <c r="S688" i="37" s="1"/>
  <c r="I584" i="37"/>
  <c r="I160" i="37"/>
  <c r="S160" i="37"/>
  <c r="H206" i="47"/>
  <c r="I190" i="37"/>
  <c r="S192" i="37" s="1"/>
  <c r="I24" i="37"/>
  <c r="I1736" i="37"/>
  <c r="I423" i="37"/>
  <c r="I117" i="37"/>
  <c r="S121" i="37"/>
  <c r="I919" i="37"/>
  <c r="S919" i="37"/>
  <c r="L303" i="47"/>
  <c r="L305" i="47" s="1"/>
  <c r="L271" i="49"/>
  <c r="L228" i="50" s="1"/>
  <c r="L169" i="49"/>
  <c r="L199" i="50"/>
  <c r="L281" i="49"/>
  <c r="L67" i="49"/>
  <c r="L295" i="49"/>
  <c r="L95" i="49"/>
  <c r="L169" i="50" s="1"/>
  <c r="L36" i="49"/>
  <c r="L276" i="49"/>
  <c r="L245" i="49"/>
  <c r="L252" i="49"/>
  <c r="L51" i="49"/>
  <c r="L83" i="50"/>
  <c r="L111" i="50"/>
  <c r="L161" i="49"/>
  <c r="L194" i="50" s="1"/>
  <c r="L133" i="49"/>
  <c r="L90" i="49"/>
  <c r="L164" i="50" s="1"/>
  <c r="L139" i="49"/>
  <c r="L231" i="49"/>
  <c r="L224" i="49"/>
  <c r="L114" i="50"/>
  <c r="L106" i="49"/>
  <c r="L179" i="49"/>
  <c r="L180" i="50" s="1"/>
  <c r="L184" i="49"/>
  <c r="L174" i="49"/>
  <c r="I227" i="41"/>
  <c r="I368" i="50"/>
  <c r="I139" i="41"/>
  <c r="I299" i="50" s="1"/>
  <c r="I95" i="41"/>
  <c r="I271" i="50" s="1"/>
  <c r="I188" i="41"/>
  <c r="I338" i="50"/>
  <c r="I101" i="41"/>
  <c r="I41" i="41"/>
  <c r="J285" i="49"/>
  <c r="T285" i="49" s="1"/>
  <c r="J148" i="49"/>
  <c r="J189" i="50" s="1"/>
  <c r="I634" i="42"/>
  <c r="P650" i="42"/>
  <c r="P648" i="42"/>
  <c r="R653" i="42"/>
  <c r="P647" i="42"/>
  <c r="E639" i="42"/>
  <c r="R648" i="42"/>
  <c r="P644" i="42"/>
  <c r="P645" i="42"/>
  <c r="P651" i="42"/>
  <c r="R645" i="42"/>
  <c r="R639" i="42"/>
  <c r="P639" i="42"/>
  <c r="P653" i="42"/>
  <c r="E595" i="42"/>
  <c r="P595" i="42" s="1"/>
  <c r="P654" i="42"/>
  <c r="M140" i="49"/>
  <c r="M184" i="50" s="1"/>
  <c r="M134" i="49"/>
  <c r="M176" i="50"/>
  <c r="W1642" i="37"/>
  <c r="M1654" i="37"/>
  <c r="W1654" i="37" s="1"/>
  <c r="M1649" i="37"/>
  <c r="L161" i="43"/>
  <c r="L252" i="43"/>
  <c r="C18" i="9" s="1"/>
  <c r="L170" i="43"/>
  <c r="J170" i="43"/>
  <c r="J252" i="43"/>
  <c r="C16" i="9" s="1"/>
  <c r="J436" i="37"/>
  <c r="T436" i="37" s="1"/>
  <c r="M100" i="49"/>
  <c r="M295" i="49"/>
  <c r="M218" i="49"/>
  <c r="M139" i="49"/>
  <c r="M224" i="49"/>
  <c r="M114" i="50"/>
  <c r="M152" i="49"/>
  <c r="M111" i="50"/>
  <c r="M179" i="49"/>
  <c r="M300" i="49"/>
  <c r="M67" i="49"/>
  <c r="M161" i="49"/>
  <c r="M194" i="50" s="1"/>
  <c r="M16" i="49"/>
  <c r="V16" i="49" s="1"/>
  <c r="M276" i="49"/>
  <c r="M252" i="49"/>
  <c r="M174" i="49"/>
  <c r="M125" i="49"/>
  <c r="M281" i="49"/>
  <c r="M137" i="50"/>
  <c r="M245" i="49"/>
  <c r="M231" i="49"/>
  <c r="M169" i="49"/>
  <c r="M199" i="50"/>
  <c r="M95" i="49"/>
  <c r="M169" i="50" s="1"/>
  <c r="M285" i="49"/>
  <c r="W285" i="49" s="1"/>
  <c r="M36" i="49"/>
  <c r="M148" i="49"/>
  <c r="M189" i="50" s="1"/>
  <c r="M133" i="49"/>
  <c r="M51" i="49"/>
  <c r="M83" i="50"/>
  <c r="M271" i="49"/>
  <c r="M228" i="50" s="1"/>
  <c r="M156" i="49"/>
  <c r="M116" i="49"/>
  <c r="M174" i="50" s="1"/>
  <c r="M184" i="49"/>
  <c r="M90" i="49"/>
  <c r="M164" i="50" s="1"/>
  <c r="M106" i="49"/>
  <c r="M236" i="49"/>
  <c r="W236" i="49"/>
  <c r="M42" i="37"/>
  <c r="W42" i="37" s="1"/>
  <c r="W25" i="37"/>
  <c r="W391" i="47"/>
  <c r="M356" i="47"/>
  <c r="M194" i="47"/>
  <c r="M330" i="47"/>
  <c r="J205" i="47"/>
  <c r="T205" i="47" s="1"/>
  <c r="T212" i="47" s="1"/>
  <c r="J300" i="47"/>
  <c r="J366" i="47"/>
  <c r="J388" i="47"/>
  <c r="J94" i="47"/>
  <c r="T391" i="47"/>
  <c r="J356" i="47"/>
  <c r="J119" i="47"/>
  <c r="J160" i="47"/>
  <c r="J272" i="47"/>
  <c r="J153" i="47"/>
  <c r="J289" i="47"/>
  <c r="J237" i="47"/>
  <c r="J194" i="47"/>
  <c r="J186" i="47"/>
  <c r="J31" i="47"/>
  <c r="J337" i="47"/>
  <c r="J126" i="47"/>
  <c r="J112" i="47"/>
  <c r="J252" i="47"/>
  <c r="J144" i="47"/>
  <c r="J324" i="47"/>
  <c r="J330" i="47"/>
  <c r="J178" i="47"/>
  <c r="J279" i="47"/>
  <c r="U273" i="43"/>
  <c r="U272" i="43"/>
  <c r="U271" i="43"/>
  <c r="M252" i="43"/>
  <c r="C19" i="9"/>
  <c r="M161" i="43"/>
  <c r="U298" i="43"/>
  <c r="U295" i="43"/>
  <c r="U270" i="43"/>
  <c r="U274" i="43"/>
  <c r="U302" i="43"/>
  <c r="U297" i="43"/>
  <c r="U299" i="43"/>
  <c r="U303" i="43"/>
  <c r="U279" i="43"/>
  <c r="U301" i="43"/>
  <c r="M170" i="43"/>
  <c r="U277" i="43"/>
  <c r="U304" i="43"/>
  <c r="U300" i="43"/>
  <c r="U275" i="43"/>
  <c r="U276" i="43"/>
  <c r="M235" i="42"/>
  <c r="W235" i="42"/>
  <c r="M492" i="42"/>
  <c r="W492" i="42" s="1"/>
  <c r="M323" i="42"/>
  <c r="W323" i="42" s="1"/>
  <c r="M127" i="42"/>
  <c r="W127" i="42" s="1"/>
  <c r="M409" i="42"/>
  <c r="M415" i="42"/>
  <c r="W415" i="42" s="1"/>
  <c r="M275" i="42"/>
  <c r="M729" i="42"/>
  <c r="M319" i="42"/>
  <c r="W319" i="42" s="1"/>
  <c r="M112" i="42"/>
  <c r="M427" i="42"/>
  <c r="W427" i="42"/>
  <c r="M223" i="42"/>
  <c r="W223" i="42" s="1"/>
  <c r="M419" i="42"/>
  <c r="W419" i="42" s="1"/>
  <c r="M594" i="42"/>
  <c r="W594" i="42" s="1"/>
  <c r="M618" i="42"/>
  <c r="M313" i="42"/>
  <c r="M239" i="42"/>
  <c r="W239" i="42"/>
  <c r="M750" i="42"/>
  <c r="W750" i="42" s="1"/>
  <c r="M391" i="42"/>
  <c r="W391" i="42"/>
  <c r="M499" i="42"/>
  <c r="W500" i="42" s="1"/>
  <c r="M708" i="42"/>
  <c r="W708" i="42"/>
  <c r="M638" i="42"/>
  <c r="W638" i="42" s="1"/>
  <c r="M217" i="42"/>
  <c r="M98" i="42"/>
  <c r="M446" i="42"/>
  <c r="W446" i="42"/>
  <c r="M523" i="42"/>
  <c r="W523" i="42"/>
  <c r="M643" i="42"/>
  <c r="W644" i="42" s="1"/>
  <c r="M24" i="42"/>
  <c r="W24" i="42" s="1"/>
  <c r="M300" i="42"/>
  <c r="M139" i="42"/>
  <c r="W139" i="42" s="1"/>
  <c r="M431" i="42"/>
  <c r="W431" i="42"/>
  <c r="M88" i="42"/>
  <c r="W88" i="42"/>
  <c r="M547" i="42"/>
  <c r="M396" i="42"/>
  <c r="M327" i="42"/>
  <c r="W327" i="42" s="1"/>
  <c r="M470" i="42"/>
  <c r="M331" i="42"/>
  <c r="W331" i="42" s="1"/>
  <c r="M227" i="42"/>
  <c r="W227" i="42" s="1"/>
  <c r="M687" i="42"/>
  <c r="M350" i="42"/>
  <c r="W350" i="42" s="1"/>
  <c r="M335" i="42"/>
  <c r="W335" i="42"/>
  <c r="M199" i="42"/>
  <c r="W199" i="42" s="1"/>
  <c r="M158" i="42"/>
  <c r="W158" i="42" s="1"/>
  <c r="M143" i="42"/>
  <c r="W143" i="42" s="1"/>
  <c r="M771" i="42"/>
  <c r="M56" i="42"/>
  <c r="M131" i="42"/>
  <c r="W131" i="42"/>
  <c r="M179" i="42"/>
  <c r="M371" i="42"/>
  <c r="M231" i="42"/>
  <c r="W231" i="42" s="1"/>
  <c r="M665" i="42"/>
  <c r="M423" i="42"/>
  <c r="W423" i="42" s="1"/>
  <c r="M135" i="42"/>
  <c r="W135" i="42" s="1"/>
  <c r="M295" i="42"/>
  <c r="W295" i="42"/>
  <c r="M204" i="42"/>
  <c r="M567" i="42"/>
  <c r="W567" i="42" s="1"/>
  <c r="M572" i="42"/>
  <c r="W573" i="42"/>
  <c r="M254" i="42"/>
  <c r="W254" i="42" s="1"/>
  <c r="Q296" i="43"/>
  <c r="I343" i="41"/>
  <c r="I451" i="50"/>
  <c r="I239" i="41"/>
  <c r="H286" i="49"/>
  <c r="H232" i="50"/>
  <c r="H237" i="49"/>
  <c r="H220" i="50" s="1"/>
  <c r="L112" i="42"/>
  <c r="L239" i="42"/>
  <c r="V239" i="42" s="1"/>
  <c r="L331" i="42"/>
  <c r="V331" i="42" s="1"/>
  <c r="L254" i="42"/>
  <c r="V254" i="42" s="1"/>
  <c r="L572" i="42"/>
  <c r="V573" i="42" s="1"/>
  <c r="L179" i="42"/>
  <c r="L158" i="42"/>
  <c r="V158" i="42" s="1"/>
  <c r="L427" i="42"/>
  <c r="V427" i="42" s="1"/>
  <c r="L127" i="42"/>
  <c r="V127" i="42" s="1"/>
  <c r="L323" i="42"/>
  <c r="V323" i="42" s="1"/>
  <c r="L131" i="42"/>
  <c r="V131" i="42" s="1"/>
  <c r="L223" i="42"/>
  <c r="V223" i="42" s="1"/>
  <c r="L492" i="42"/>
  <c r="V492" i="42" s="1"/>
  <c r="L235" i="42"/>
  <c r="V235" i="42" s="1"/>
  <c r="L638" i="42"/>
  <c r="V638" i="42"/>
  <c r="L419" i="42"/>
  <c r="V419" i="42" s="1"/>
  <c r="L567" i="42"/>
  <c r="V567" i="42" s="1"/>
  <c r="L24" i="42"/>
  <c r="V24" i="42"/>
  <c r="L56" i="42"/>
  <c r="L499" i="42"/>
  <c r="V500" i="42" s="1"/>
  <c r="L199" i="42"/>
  <c r="V199" i="42"/>
  <c r="L139" i="42"/>
  <c r="V139" i="42" s="1"/>
  <c r="L391" i="42"/>
  <c r="V391" i="42" s="1"/>
  <c r="L594" i="42"/>
  <c r="V594" i="42" s="1"/>
  <c r="L423" i="42"/>
  <c r="V423" i="42" s="1"/>
  <c r="L335" i="42"/>
  <c r="V335" i="42" s="1"/>
  <c r="L415" i="42"/>
  <c r="V415" i="42" s="1"/>
  <c r="L409" i="42"/>
  <c r="L523" i="42"/>
  <c r="V523" i="42" s="1"/>
  <c r="L295" i="42"/>
  <c r="V295" i="42" s="1"/>
  <c r="L350" i="42"/>
  <c r="V350" i="42" s="1"/>
  <c r="L143" i="42"/>
  <c r="V143" i="42"/>
  <c r="L687" i="42"/>
  <c r="L708" i="42"/>
  <c r="V708" i="42" s="1"/>
  <c r="L327" i="42"/>
  <c r="V327" i="42" s="1"/>
  <c r="M431" i="37"/>
  <c r="I1624" i="37"/>
  <c r="I1467" i="37"/>
  <c r="I1480" i="37"/>
  <c r="I1410" i="37"/>
  <c r="I1388" i="37"/>
  <c r="I945" i="37"/>
  <c r="I1434" i="37"/>
  <c r="S1437" i="37" s="1"/>
  <c r="I1070" i="37"/>
  <c r="S1072" i="37" s="1"/>
  <c r="I1062" i="37"/>
  <c r="I1054" i="37"/>
  <c r="I564" i="37"/>
  <c r="S567" i="37"/>
  <c r="I1078" i="37"/>
  <c r="S1080" i="37" s="1"/>
  <c r="I1553" i="37"/>
  <c r="S1553" i="37" s="1"/>
  <c r="I180" i="37"/>
  <c r="I1210" i="37"/>
  <c r="S1210" i="37" s="1"/>
  <c r="I348" i="37"/>
  <c r="S348" i="37" s="1"/>
  <c r="I129" i="37"/>
  <c r="S133" i="37"/>
  <c r="I324" i="37"/>
  <c r="S328" i="37" s="1"/>
  <c r="I1716" i="37"/>
  <c r="S1720" i="37" s="1"/>
  <c r="I1173" i="37"/>
  <c r="I447" i="37"/>
  <c r="I1086" i="37"/>
  <c r="S1089" i="37" s="1"/>
  <c r="I1727" i="37"/>
  <c r="S1727" i="37"/>
  <c r="I1236" i="37"/>
  <c r="I1530" i="37"/>
  <c r="S1534" i="37" s="1"/>
  <c r="I1831" i="37"/>
  <c r="I1379" i="37"/>
  <c r="S1379" i="37" s="1"/>
  <c r="I1615" i="37"/>
  <c r="S1615" i="37"/>
  <c r="I1566" i="37"/>
  <c r="S1566" i="37" s="1"/>
  <c r="I1182" i="37"/>
  <c r="S1186" i="37" s="1"/>
  <c r="I1740" i="37"/>
  <c r="S1740" i="37" s="1"/>
  <c r="I672" i="37"/>
  <c r="S676" i="37"/>
  <c r="I1031" i="37"/>
  <c r="S1031" i="37" s="1"/>
  <c r="I730" i="37"/>
  <c r="S732" i="37" s="1"/>
  <c r="I1267" i="37"/>
  <c r="S1267" i="37"/>
  <c r="I821" i="37"/>
  <c r="S821" i="37" s="1"/>
  <c r="I1205" i="37"/>
  <c r="S1205" i="37" s="1"/>
  <c r="I1782" i="37"/>
  <c r="S1785" i="37" s="1"/>
  <c r="I1454" i="37"/>
  <c r="I382" i="37"/>
  <c r="S384" i="37" s="1"/>
  <c r="I1008" i="37"/>
  <c r="S1012" i="37" s="1"/>
  <c r="I999" i="37"/>
  <c r="I1402" i="37"/>
  <c r="I1276" i="37"/>
  <c r="I1576" i="37"/>
  <c r="I1441" i="37"/>
  <c r="S1441" i="37" s="1"/>
  <c r="I862" i="37"/>
  <c r="S862" i="37" s="1"/>
  <c r="I143" i="37"/>
  <c r="S143" i="37" s="1"/>
  <c r="I571" i="37"/>
  <c r="S571" i="37" s="1"/>
  <c r="I1280" i="37"/>
  <c r="I1600" i="37"/>
  <c r="S1602" i="37"/>
  <c r="I1789" i="37"/>
  <c r="S1789" i="37" s="1"/>
  <c r="I1641" i="37"/>
  <c r="I498" i="37"/>
  <c r="S502" i="37" s="1"/>
  <c r="I235" i="37"/>
  <c r="I1798" i="37"/>
  <c r="I390" i="37"/>
  <c r="S393" i="37" s="1"/>
  <c r="I683" i="37"/>
  <c r="S683" i="37" s="1"/>
  <c r="I1750" i="37"/>
  <c r="I738" i="37"/>
  <c r="S741" i="37"/>
  <c r="I273" i="37"/>
  <c r="I1214" i="37"/>
  <c r="I857" i="37"/>
  <c r="S857" i="37" s="1"/>
  <c r="I1244" i="37"/>
  <c r="S1246" i="37"/>
  <c r="I556" i="37"/>
  <c r="S558" i="37" s="1"/>
  <c r="S1835" i="37"/>
  <c r="I1020" i="37"/>
  <c r="S1024" i="37"/>
  <c r="I477" i="37"/>
  <c r="I580" i="37"/>
  <c r="I1119" i="37"/>
  <c r="I303" i="37"/>
  <c r="I94" i="37"/>
  <c r="S94" i="37" s="1"/>
  <c r="I406" i="37"/>
  <c r="I249" i="37"/>
  <c r="I928" i="37"/>
  <c r="I540" i="37"/>
  <c r="I692" i="37"/>
  <c r="I1584" i="37"/>
  <c r="I1542" i="37"/>
  <c r="S1546" i="37" s="1"/>
  <c r="I410" i="37"/>
  <c r="I795" i="37"/>
  <c r="I1774" i="37"/>
  <c r="S1776" i="37" s="1"/>
  <c r="I1592" i="37"/>
  <c r="S1594" i="37" s="1"/>
  <c r="I1343" i="37"/>
  <c r="S1343" i="37" s="1"/>
  <c r="I1766" i="37"/>
  <c r="S1768" i="37"/>
  <c r="I932" i="37"/>
  <c r="I1517" i="37"/>
  <c r="S1517" i="37"/>
  <c r="I758" i="37"/>
  <c r="I1418" i="37"/>
  <c r="S1420" i="37" s="1"/>
  <c r="I358" i="37"/>
  <c r="I1491" i="37"/>
  <c r="I696" i="37"/>
  <c r="S696" i="37" s="1"/>
  <c r="I880" i="37"/>
  <c r="I1228" i="37"/>
  <c r="I1143" i="37"/>
  <c r="I1368" i="37"/>
  <c r="S1372" i="37" s="1"/>
  <c r="I473" i="37"/>
  <c r="S473" i="37" s="1"/>
  <c r="I59" i="37"/>
  <c r="I1450" i="37"/>
  <c r="I397" i="37"/>
  <c r="S397" i="37" s="1"/>
  <c r="I152" i="37"/>
  <c r="S152" i="37" s="1"/>
  <c r="I366" i="37"/>
  <c r="I647" i="37"/>
  <c r="S647" i="37" s="1"/>
  <c r="I896" i="37"/>
  <c r="S898" i="37" s="1"/>
  <c r="I1691" i="37"/>
  <c r="S1691" i="37"/>
  <c r="I1093" i="37"/>
  <c r="S1093" i="37" s="1"/>
  <c r="I1521" i="37"/>
  <c r="I745" i="37"/>
  <c r="S745" i="37"/>
  <c r="I1252" i="37"/>
  <c r="S1254" i="37" s="1"/>
  <c r="I217" i="37"/>
  <c r="S217" i="37" s="1"/>
  <c r="I904" i="37"/>
  <c r="S906" i="37" s="1"/>
  <c r="I1758" i="37"/>
  <c r="I340" i="37"/>
  <c r="S340" i="37" s="1"/>
  <c r="I1562" i="37"/>
  <c r="I208" i="37"/>
  <c r="S211" i="37" s="1"/>
  <c r="I1704" i="37"/>
  <c r="S1708" i="37" s="1"/>
  <c r="I299" i="37"/>
  <c r="S299" i="37"/>
  <c r="I1347" i="37"/>
  <c r="I1040" i="37"/>
  <c r="I532" i="37"/>
  <c r="I912" i="37"/>
  <c r="S915" i="37" s="1"/>
  <c r="I1384" i="37"/>
  <c r="S1384" i="37" s="1"/>
  <c r="I995" i="37"/>
  <c r="S995" i="37" s="1"/>
  <c r="I1194" i="37"/>
  <c r="S1198" i="37" s="1"/>
  <c r="I156" i="37"/>
  <c r="I722" i="37"/>
  <c r="S724" i="37"/>
  <c r="I1260" i="37"/>
  <c r="S1263" i="37" s="1"/>
  <c r="I1608" i="37"/>
  <c r="S1611" i="37"/>
  <c r="I1317" i="37"/>
  <c r="I1169" i="37"/>
  <c r="S1169" i="37" s="1"/>
  <c r="I1106" i="37"/>
  <c r="I486" i="37"/>
  <c r="S490" i="37" s="1"/>
  <c r="I969" i="37"/>
  <c r="I1732" i="37"/>
  <c r="S1732" i="37" s="1"/>
  <c r="I171" i="37"/>
  <c r="I714" i="37"/>
  <c r="I335" i="37"/>
  <c r="S335" i="37" s="1"/>
  <c r="I834" i="37"/>
  <c r="S838" i="37" s="1"/>
  <c r="I1802" i="37"/>
  <c r="I660" i="37"/>
  <c r="S664" i="37" s="1"/>
  <c r="I1044" i="37"/>
  <c r="S1044" i="37" s="1"/>
  <c r="I597" i="37"/>
  <c r="I509" i="37"/>
  <c r="S509" i="37" s="1"/>
  <c r="I825" i="37"/>
  <c r="I548" i="37"/>
  <c r="S550" i="37" s="1"/>
  <c r="I522" i="37"/>
  <c r="S522" i="37" s="1"/>
  <c r="I1036" i="37"/>
  <c r="S1036" i="37"/>
  <c r="I706" i="37"/>
  <c r="I1628" i="37"/>
  <c r="I754" i="37"/>
  <c r="I866" i="37"/>
  <c r="I514" i="37"/>
  <c r="S514" i="37" s="1"/>
  <c r="I1665" i="37"/>
  <c r="I771" i="37"/>
  <c r="I344" i="37"/>
  <c r="I1102" i="37"/>
  <c r="I888" i="37"/>
  <c r="K1070" i="37"/>
  <c r="U1072" i="37"/>
  <c r="K706" i="37"/>
  <c r="K730" i="37"/>
  <c r="U732" i="37"/>
  <c r="K1467" i="37"/>
  <c r="K382" i="37"/>
  <c r="U384" i="37" s="1"/>
  <c r="K199" i="37"/>
  <c r="U201" i="37"/>
  <c r="K688" i="37"/>
  <c r="U688" i="37" s="1"/>
  <c r="K406" i="37"/>
  <c r="K870" i="37"/>
  <c r="U870" i="37" s="1"/>
  <c r="K340" i="37"/>
  <c r="U340" i="37"/>
  <c r="K1517" i="37"/>
  <c r="U1517" i="37" s="1"/>
  <c r="K1766" i="37"/>
  <c r="U1768" i="37" s="1"/>
  <c r="K866" i="37"/>
  <c r="K999" i="37"/>
  <c r="K1826" i="37"/>
  <c r="K1434" i="37"/>
  <c r="U1437" i="37" s="1"/>
  <c r="K969" i="37"/>
  <c r="K1280" i="37"/>
  <c r="K390" i="37"/>
  <c r="U393" i="37" s="1"/>
  <c r="K758" i="37"/>
  <c r="K1228" i="37"/>
  <c r="K1665" i="37"/>
  <c r="K1173" i="37"/>
  <c r="K1521" i="37"/>
  <c r="K217" i="37"/>
  <c r="U217" i="37" s="1"/>
  <c r="K1530" i="37"/>
  <c r="U1534" i="37" s="1"/>
  <c r="K1454" i="37"/>
  <c r="K1062" i="37"/>
  <c r="K995" i="37"/>
  <c r="U995" i="37" s="1"/>
  <c r="K1252" i="37"/>
  <c r="U1254" i="37" s="1"/>
  <c r="K1205" i="37"/>
  <c r="U1205" i="37"/>
  <c r="K235" i="37"/>
  <c r="K1562" i="37"/>
  <c r="K1418" i="37"/>
  <c r="U1420" i="37" s="1"/>
  <c r="K1615" i="37"/>
  <c r="U1615" i="37" s="1"/>
  <c r="K1641" i="37"/>
  <c r="K1649" i="37" s="1"/>
  <c r="K1654" i="37"/>
  <c r="U1654" i="37" s="1"/>
  <c r="K1553" i="37"/>
  <c r="U1553" i="37"/>
  <c r="K231" i="37"/>
  <c r="K514" i="37"/>
  <c r="U514" i="37" s="1"/>
  <c r="K249" i="37"/>
  <c r="K522" i="37"/>
  <c r="U522" i="37" s="1"/>
  <c r="K1410" i="37"/>
  <c r="K160" i="37"/>
  <c r="U160" i="37" s="1"/>
  <c r="K1182" i="37"/>
  <c r="U1186" i="37" s="1"/>
  <c r="K1716" i="37"/>
  <c r="U1720" i="37" s="1"/>
  <c r="K1343" i="37"/>
  <c r="U1343" i="37"/>
  <c r="K919" i="37"/>
  <c r="U919" i="37" s="1"/>
  <c r="K1078" i="37"/>
  <c r="U1080" i="37" s="1"/>
  <c r="K102" i="37"/>
  <c r="K912" i="37"/>
  <c r="U915" i="37" s="1"/>
  <c r="K1194" i="37"/>
  <c r="U1198" i="37" s="1"/>
  <c r="K1802" i="37"/>
  <c r="K821" i="37"/>
  <c r="U821" i="37" s="1"/>
  <c r="K358" i="37"/>
  <c r="K156" i="37"/>
  <c r="K1347" i="37"/>
  <c r="K1441" i="37"/>
  <c r="U1441" i="37"/>
  <c r="K1218" i="37"/>
  <c r="U1218" i="37"/>
  <c r="K1368" i="37"/>
  <c r="U1372" i="37"/>
  <c r="K1119" i="37"/>
  <c r="K1132" i="37" s="1"/>
  <c r="K366" i="37"/>
  <c r="K509" i="37"/>
  <c r="U509" i="37"/>
  <c r="K1600" i="37"/>
  <c r="U1602" i="37"/>
  <c r="K1040" i="37"/>
  <c r="K303" i="37"/>
  <c r="K312" i="37"/>
  <c r="U316" i="37" s="1"/>
  <c r="K571" i="37"/>
  <c r="U571" i="37" s="1"/>
  <c r="K171" i="37"/>
  <c r="K660" i="37"/>
  <c r="U664" i="37" s="1"/>
  <c r="K597" i="37"/>
  <c r="K610" i="37"/>
  <c r="U610" i="37" s="1"/>
  <c r="K1628" i="37"/>
  <c r="K1392" i="37"/>
  <c r="U1392" i="37" s="1"/>
  <c r="K1020" i="37"/>
  <c r="U1024" i="37" s="1"/>
  <c r="K1402" i="37"/>
  <c r="U1835" i="37"/>
  <c r="K1093" i="37"/>
  <c r="U1093" i="37"/>
  <c r="K738" i="37"/>
  <c r="U741" i="37" s="1"/>
  <c r="K1031" i="37"/>
  <c r="U1031" i="37" s="1"/>
  <c r="K771" i="37"/>
  <c r="K857" i="37"/>
  <c r="U857" i="37"/>
  <c r="K1236" i="37"/>
  <c r="K1491" i="37"/>
  <c r="K335" i="37"/>
  <c r="U335" i="37" s="1"/>
  <c r="K423" i="37"/>
  <c r="K180" i="37"/>
  <c r="K1750" i="37"/>
  <c r="K117" i="37"/>
  <c r="U121" i="37" s="1"/>
  <c r="K1727" i="37"/>
  <c r="U1727" i="37" s="1"/>
  <c r="K1798" i="37"/>
  <c r="K540" i="37"/>
  <c r="K1740" i="37"/>
  <c r="U1740" i="37"/>
  <c r="K1732" i="37"/>
  <c r="U1732" i="37" s="1"/>
  <c r="K584" i="37"/>
  <c r="K1450" i="37"/>
  <c r="K1566" i="37"/>
  <c r="U1566" i="37" s="1"/>
  <c r="K447" i="37"/>
  <c r="K795" i="37"/>
  <c r="K621" i="37"/>
  <c r="K129" i="37"/>
  <c r="U133" i="37" s="1"/>
  <c r="K1789" i="37"/>
  <c r="U1789" i="37"/>
  <c r="K1214" i="37"/>
  <c r="K651" i="37"/>
  <c r="K1267" i="37"/>
  <c r="U1267" i="37"/>
  <c r="K498" i="37"/>
  <c r="U502" i="37" s="1"/>
  <c r="K1558" i="37"/>
  <c r="U1558" i="37"/>
  <c r="K348" i="37"/>
  <c r="U348" i="37"/>
  <c r="K548" i="37"/>
  <c r="U550" i="37"/>
  <c r="K1379" i="37"/>
  <c r="U1379" i="37" s="1"/>
  <c r="K928" i="37"/>
  <c r="K486" i="37"/>
  <c r="U490" i="37" s="1"/>
  <c r="K1576" i="37"/>
  <c r="K1758" i="37"/>
  <c r="K532" i="37"/>
  <c r="K683" i="37"/>
  <c r="U683" i="37" s="1"/>
  <c r="K692" i="37"/>
  <c r="K647" i="37"/>
  <c r="U647" i="37" s="1"/>
  <c r="K834" i="37"/>
  <c r="U838" i="37"/>
  <c r="K888" i="37"/>
  <c r="K896" i="37"/>
  <c r="U898" i="37" s="1"/>
  <c r="K556" i="37"/>
  <c r="U558" i="37" s="1"/>
  <c r="K1608" i="37"/>
  <c r="U1611" i="37"/>
  <c r="K1384" i="37"/>
  <c r="U1384" i="37" s="1"/>
  <c r="K880" i="37"/>
  <c r="K1036" i="37"/>
  <c r="U1036" i="37" s="1"/>
  <c r="K825" i="37"/>
  <c r="K518" i="37"/>
  <c r="K714" i="37"/>
  <c r="K945" i="37"/>
  <c r="K299" i="37"/>
  <c r="U299" i="37" s="1"/>
  <c r="K1774" i="37"/>
  <c r="U1776" i="37" s="1"/>
  <c r="K1592" i="37"/>
  <c r="U1594" i="37" s="1"/>
  <c r="K1388" i="37"/>
  <c r="K862" i="37"/>
  <c r="U862" i="37" s="1"/>
  <c r="K1008" i="37"/>
  <c r="U1012" i="37"/>
  <c r="K696" i="37"/>
  <c r="U696" i="37" s="1"/>
  <c r="K1584" i="37"/>
  <c r="K344" i="37"/>
  <c r="K1086" i="37"/>
  <c r="U1089" i="37" s="1"/>
  <c r="K190" i="37"/>
  <c r="U192" i="37" s="1"/>
  <c r="K1317" i="37"/>
  <c r="K273" i="37"/>
  <c r="K1782" i="37"/>
  <c r="U1785" i="37"/>
  <c r="K152" i="37"/>
  <c r="U152" i="37" s="1"/>
  <c r="K1260" i="37"/>
  <c r="U1263" i="37" s="1"/>
  <c r="K1244" i="37"/>
  <c r="U1246" i="37"/>
  <c r="K208" i="37"/>
  <c r="U211" i="37" s="1"/>
  <c r="K564" i="37"/>
  <c r="U567" i="37" s="1"/>
  <c r="K1106" i="37"/>
  <c r="K722" i="37"/>
  <c r="U724" i="37" s="1"/>
  <c r="K410" i="37"/>
  <c r="K1356" i="37"/>
  <c r="U1360" i="37"/>
  <c r="K1704" i="37"/>
  <c r="U1708" i="37" s="1"/>
  <c r="K59" i="37"/>
  <c r="K143" i="37"/>
  <c r="U143" i="37" s="1"/>
  <c r="K846" i="37"/>
  <c r="U850" i="37" s="1"/>
  <c r="K397" i="37"/>
  <c r="U397" i="37" s="1"/>
  <c r="K580" i="37"/>
  <c r="K1169" i="37"/>
  <c r="U1169" i="37"/>
  <c r="K473" i="37"/>
  <c r="U473" i="37"/>
  <c r="K904" i="37"/>
  <c r="U906" i="37"/>
  <c r="K1276" i="37"/>
  <c r="K1293" i="37"/>
  <c r="K1301" i="37" s="1"/>
  <c r="K1143" i="37"/>
  <c r="K745" i="37"/>
  <c r="U745" i="37" s="1"/>
  <c r="K1691" i="37"/>
  <c r="U1691" i="37" s="1"/>
  <c r="K324" i="37"/>
  <c r="U328" i="37" s="1"/>
  <c r="K1831" i="37"/>
  <c r="K1695" i="37"/>
  <c r="K94" i="37"/>
  <c r="U94" i="37" s="1"/>
  <c r="K754" i="37"/>
  <c r="K932" i="37"/>
  <c r="K1054" i="37"/>
  <c r="K1624" i="37"/>
  <c r="K24" i="37"/>
  <c r="U25" i="37"/>
  <c r="K1044" i="37"/>
  <c r="U1044" i="37" s="1"/>
  <c r="K1102" i="37"/>
  <c r="K374" i="37"/>
  <c r="U376" i="37" s="1"/>
  <c r="K1210" i="37"/>
  <c r="U1210" i="37" s="1"/>
  <c r="K1736" i="37"/>
  <c r="K477" i="37"/>
  <c r="K1542" i="37"/>
  <c r="U1546" i="37" s="1"/>
  <c r="K1426" i="37"/>
  <c r="U1428" i="37" s="1"/>
  <c r="K672" i="37"/>
  <c r="U676" i="37" s="1"/>
  <c r="AT4" i="56"/>
  <c r="AL4" i="56"/>
  <c r="AV4" i="56"/>
  <c r="P4" i="56"/>
  <c r="AX4" i="56"/>
  <c r="X4" i="56"/>
  <c r="AP4" i="56"/>
  <c r="AB4" i="56"/>
  <c r="AF4" i="56"/>
  <c r="R4" i="56"/>
  <c r="L199" i="37"/>
  <c r="V201" i="37" s="1"/>
  <c r="L1410" i="37"/>
  <c r="L514" i="37"/>
  <c r="V514" i="37" s="1"/>
  <c r="L1040" i="37"/>
  <c r="L1044" i="37"/>
  <c r="V1044" i="37" s="1"/>
  <c r="L1392" i="37"/>
  <c r="V1392" i="37" s="1"/>
  <c r="L754" i="37"/>
  <c r="L692" i="37"/>
  <c r="L1102" i="37"/>
  <c r="L1086" i="37"/>
  <c r="V1089" i="37" s="1"/>
  <c r="L1798" i="37"/>
  <c r="L117" i="37"/>
  <c r="V121" i="37" s="1"/>
  <c r="L1641" i="37"/>
  <c r="L1654" i="37" s="1"/>
  <c r="V1654" i="37" s="1"/>
  <c r="L1450" i="37"/>
  <c r="L358" i="37"/>
  <c r="L738" i="37"/>
  <c r="V741" i="37" s="1"/>
  <c r="L866" i="37"/>
  <c r="L1143" i="37"/>
  <c r="L1665" i="37"/>
  <c r="L1106" i="37"/>
  <c r="L548" i="37"/>
  <c r="V550" i="37"/>
  <c r="L904" i="37"/>
  <c r="V906" i="37" s="1"/>
  <c r="L1491" i="37"/>
  <c r="L688" i="37"/>
  <c r="V688" i="37"/>
  <c r="L932" i="37"/>
  <c r="L1802" i="37"/>
  <c r="L390" i="37"/>
  <c r="V393" i="37" s="1"/>
  <c r="L1173" i="37"/>
  <c r="L660" i="37"/>
  <c r="V664" i="37"/>
  <c r="L1774" i="37"/>
  <c r="V1776" i="37"/>
  <c r="L1402" i="37"/>
  <c r="L1732" i="37"/>
  <c r="V1732" i="37" s="1"/>
  <c r="L1576" i="37"/>
  <c r="L1293" i="37"/>
  <c r="L129" i="37"/>
  <c r="V133" i="37" s="1"/>
  <c r="L1384" i="37"/>
  <c r="V1384" i="37" s="1"/>
  <c r="L1736" i="37"/>
  <c r="L821" i="37"/>
  <c r="V821" i="37" s="1"/>
  <c r="L722" i="37"/>
  <c r="V724" i="37" s="1"/>
  <c r="L795" i="37"/>
  <c r="L696" i="37"/>
  <c r="V696" i="37" s="1"/>
  <c r="L509" i="37"/>
  <c r="V509" i="37"/>
  <c r="L1093" i="37"/>
  <c r="V1093" i="37" s="1"/>
  <c r="L447" i="37"/>
  <c r="L1343" i="37"/>
  <c r="V1343" i="37" s="1"/>
  <c r="L1228" i="37"/>
  <c r="L1205" i="37"/>
  <c r="V1205" i="37"/>
  <c r="L1418" i="37"/>
  <c r="V1420" i="37"/>
  <c r="L1379" i="37"/>
  <c r="V1379" i="37" s="1"/>
  <c r="L1388" i="37"/>
  <c r="L235" i="37"/>
  <c r="L1716" i="37"/>
  <c r="V1720" i="37"/>
  <c r="L995" i="37"/>
  <c r="V995" i="37"/>
  <c r="L1252" i="37"/>
  <c r="V1254" i="37" s="1"/>
  <c r="L1562" i="37"/>
  <c r="L397" i="37"/>
  <c r="V397" i="37" s="1"/>
  <c r="L1267" i="37"/>
  <c r="V1267" i="37" s="1"/>
  <c r="L556" i="37"/>
  <c r="V558" i="37"/>
  <c r="L888" i="37"/>
  <c r="L532" i="37"/>
  <c r="L597" i="37"/>
  <c r="L518" i="37"/>
  <c r="L382" i="37"/>
  <c r="V384" i="37" s="1"/>
  <c r="L190" i="37"/>
  <c r="V192" i="37" s="1"/>
  <c r="L1054" i="37"/>
  <c r="L1317" i="37"/>
  <c r="L1750" i="37"/>
  <c r="L344" i="37"/>
  <c r="L1078" i="37"/>
  <c r="V1080" i="37" s="1"/>
  <c r="L1691" i="37"/>
  <c r="V1691" i="37" s="1"/>
  <c r="L102" i="37"/>
  <c r="L758" i="37"/>
  <c r="L880" i="37"/>
  <c r="L335" i="37"/>
  <c r="V335" i="37"/>
  <c r="L564" i="37"/>
  <c r="V567" i="37" s="1"/>
  <c r="L1831" i="37"/>
  <c r="L730" i="37"/>
  <c r="V732" i="37" s="1"/>
  <c r="L771" i="37"/>
  <c r="L896" i="37"/>
  <c r="V898" i="37"/>
  <c r="L303" i="37"/>
  <c r="L1244" i="37"/>
  <c r="V1246" i="37" s="1"/>
  <c r="L1182" i="37"/>
  <c r="V1186" i="37" s="1"/>
  <c r="L410" i="37"/>
  <c r="L1624" i="37"/>
  <c r="L862" i="37"/>
  <c r="V862" i="37" s="1"/>
  <c r="L231" i="37"/>
  <c r="L1368" i="37"/>
  <c r="V1372" i="37" s="1"/>
  <c r="L584" i="37"/>
  <c r="L621" i="37"/>
  <c r="L1789" i="37"/>
  <c r="V1789" i="37"/>
  <c r="L1169" i="37"/>
  <c r="V1169" i="37"/>
  <c r="L1592" i="37"/>
  <c r="V1594" i="37" s="1"/>
  <c r="L1628" i="37"/>
  <c r="L498" i="37"/>
  <c r="V502" i="37" s="1"/>
  <c r="L340" i="37"/>
  <c r="V340" i="37"/>
  <c r="L870" i="37"/>
  <c r="V870" i="37" s="1"/>
  <c r="L825" i="37"/>
  <c r="L324" i="37"/>
  <c r="V328" i="37"/>
  <c r="L834" i="37"/>
  <c r="V838" i="37" s="1"/>
  <c r="L1280" i="37"/>
  <c r="L160" i="37"/>
  <c r="V160" i="37" s="1"/>
  <c r="L1467" i="37"/>
  <c r="V1468" i="37" s="1"/>
  <c r="L714" i="37"/>
  <c r="L912" i="37"/>
  <c r="V915" i="37" s="1"/>
  <c r="L299" i="37"/>
  <c r="V299" i="37" s="1"/>
  <c r="L1584" i="37"/>
  <c r="L1608" i="37"/>
  <c r="V1611" i="37"/>
  <c r="L651" i="37"/>
  <c r="L249" i="37"/>
  <c r="L59" i="37"/>
  <c r="L1062" i="37"/>
  <c r="L1194" i="37"/>
  <c r="V1198" i="37" s="1"/>
  <c r="L1020" i="37"/>
  <c r="V1024" i="37"/>
  <c r="L1008" i="37"/>
  <c r="V1012" i="37"/>
  <c r="L1782" i="37"/>
  <c r="V1785" i="37"/>
  <c r="L1214" i="37"/>
  <c r="L423" i="37"/>
  <c r="V424" i="37" s="1"/>
  <c r="L24" i="37"/>
  <c r="L94" i="37"/>
  <c r="V94" i="37" s="1"/>
  <c r="L348" i="37"/>
  <c r="V348" i="37"/>
  <c r="L683" i="37"/>
  <c r="V683" i="37" s="1"/>
  <c r="L1740" i="37"/>
  <c r="V1740" i="37"/>
  <c r="L571" i="37"/>
  <c r="V571" i="37" s="1"/>
  <c r="L580" i="37"/>
  <c r="L1727" i="37"/>
  <c r="V1727" i="37" s="1"/>
  <c r="L1119" i="37"/>
  <c r="L1132" i="37" s="1"/>
  <c r="V1132" i="37" s="1"/>
  <c r="L1758" i="37"/>
  <c r="L171" i="37"/>
  <c r="L1210" i="37"/>
  <c r="V1210" i="37"/>
  <c r="L1615" i="37"/>
  <c r="V1615" i="37"/>
  <c r="L1766" i="37"/>
  <c r="V1768" i="37"/>
  <c r="L540" i="37"/>
  <c r="L1236" i="37"/>
  <c r="L486" i="37"/>
  <c r="V490" i="37"/>
  <c r="L706" i="37"/>
  <c r="L1434" i="37"/>
  <c r="V1437" i="37" s="1"/>
  <c r="L745" i="37"/>
  <c r="V745" i="37" s="1"/>
  <c r="L969" i="37"/>
  <c r="L1426" i="37"/>
  <c r="V1428" i="37" s="1"/>
  <c r="L156" i="37"/>
  <c r="L857" i="37"/>
  <c r="V857" i="37" s="1"/>
  <c r="L312" i="37"/>
  <c r="V316" i="37" s="1"/>
  <c r="V1835" i="37"/>
  <c r="L477" i="37"/>
  <c r="L1218" i="37"/>
  <c r="V1218" i="37" s="1"/>
  <c r="L1356" i="37"/>
  <c r="V1360" i="37" s="1"/>
  <c r="L672" i="37"/>
  <c r="V676" i="37" s="1"/>
  <c r="L217" i="37"/>
  <c r="V217" i="37" s="1"/>
  <c r="L1036" i="37"/>
  <c r="V1036" i="37" s="1"/>
  <c r="L1260" i="37"/>
  <c r="V1263" i="37"/>
  <c r="L919" i="37"/>
  <c r="V919" i="37" s="1"/>
  <c r="L273" i="37"/>
  <c r="L366" i="37"/>
  <c r="L928" i="37"/>
  <c r="L406" i="37"/>
  <c r="L1704" i="37"/>
  <c r="V1708" i="37" s="1"/>
  <c r="L1347" i="37"/>
  <c r="L522" i="37"/>
  <c r="V522" i="37" s="1"/>
  <c r="L1517" i="37"/>
  <c r="V1517" i="37"/>
  <c r="L1553" i="37"/>
  <c r="V1553" i="37" s="1"/>
  <c r="L846" i="37"/>
  <c r="V850" i="37"/>
  <c r="L374" i="37"/>
  <c r="V376" i="37"/>
  <c r="L143" i="37"/>
  <c r="V143" i="37" s="1"/>
  <c r="L1558" i="37"/>
  <c r="V1558" i="37" s="1"/>
  <c r="L152" i="37"/>
  <c r="V152" i="37" s="1"/>
  <c r="L1530" i="37"/>
  <c r="V1534" i="37"/>
  <c r="L1542" i="37"/>
  <c r="V1546" i="37" s="1"/>
  <c r="L999" i="37"/>
  <c r="L1031" i="37"/>
  <c r="V1031" i="37" s="1"/>
  <c r="L1441" i="37"/>
  <c r="V1441" i="37" s="1"/>
  <c r="L1600" i="37"/>
  <c r="V1602" i="37" s="1"/>
  <c r="L1276" i="37"/>
  <c r="L473" i="37"/>
  <c r="V473" i="37" s="1"/>
  <c r="L1521" i="37"/>
  <c r="L1826" i="37"/>
  <c r="L180" i="37"/>
  <c r="L1454" i="37"/>
  <c r="L1695" i="37"/>
  <c r="L1070" i="37"/>
  <c r="V1072" i="37"/>
  <c r="L647" i="37"/>
  <c r="V647" i="37"/>
  <c r="L1566" i="37"/>
  <c r="V1566" i="37" s="1"/>
  <c r="L208" i="37"/>
  <c r="V211" i="37" s="1"/>
  <c r="L945" i="37"/>
  <c r="K116" i="49"/>
  <c r="K174" i="50" s="1"/>
  <c r="K67" i="49"/>
  <c r="K51" i="49"/>
  <c r="K83" i="50" s="1"/>
  <c r="K36" i="49"/>
  <c r="K156" i="49"/>
  <c r="K125" i="49"/>
  <c r="K148" i="49"/>
  <c r="K189" i="50"/>
  <c r="K236" i="49"/>
  <c r="U236" i="49" s="1"/>
  <c r="K184" i="49"/>
  <c r="K179" i="49"/>
  <c r="K205" i="50" s="1"/>
  <c r="K133" i="49"/>
  <c r="K90" i="49"/>
  <c r="K164" i="50" s="1"/>
  <c r="K285" i="49"/>
  <c r="U285" i="49" s="1"/>
  <c r="K139" i="49"/>
  <c r="K300" i="49"/>
  <c r="K295" i="49"/>
  <c r="K218" i="49"/>
  <c r="K245" i="49"/>
  <c r="K271" i="49"/>
  <c r="K228" i="50" s="1"/>
  <c r="K276" i="49"/>
  <c r="K137" i="50"/>
  <c r="K161" i="49"/>
  <c r="K194" i="50" s="1"/>
  <c r="K152" i="49"/>
  <c r="K16" i="49"/>
  <c r="T16" i="49" s="1"/>
  <c r="K252" i="49"/>
  <c r="K231" i="49"/>
  <c r="K169" i="49"/>
  <c r="K199" i="50"/>
  <c r="K224" i="49"/>
  <c r="K174" i="49"/>
  <c r="K106" i="49"/>
  <c r="K111" i="50"/>
  <c r="K100" i="49"/>
  <c r="K114" i="50"/>
  <c r="K95" i="49"/>
  <c r="K169" i="50"/>
  <c r="K281" i="49"/>
  <c r="J350" i="42"/>
  <c r="T350" i="42"/>
  <c r="J415" i="42"/>
  <c r="T415" i="42" s="1"/>
  <c r="J313" i="42"/>
  <c r="J239" i="42"/>
  <c r="T239" i="42" s="1"/>
  <c r="J254" i="42"/>
  <c r="T254" i="42" s="1"/>
  <c r="J139" i="42"/>
  <c r="T139" i="42" s="1"/>
  <c r="J217" i="42"/>
  <c r="J143" i="42"/>
  <c r="T143" i="42" s="1"/>
  <c r="J24" i="42"/>
  <c r="T24" i="42" s="1"/>
  <c r="J227" i="42"/>
  <c r="T227" i="42" s="1"/>
  <c r="J423" i="42"/>
  <c r="T423" i="42" s="1"/>
  <c r="J708" i="42"/>
  <c r="T708" i="42" s="1"/>
  <c r="J295" i="42"/>
  <c r="T295" i="42" s="1"/>
  <c r="J431" i="42"/>
  <c r="T431" i="42" s="1"/>
  <c r="J223" i="42"/>
  <c r="T223" i="42" s="1"/>
  <c r="J98" i="42"/>
  <c r="J112" i="42"/>
  <c r="J179" i="42"/>
  <c r="J618" i="42"/>
  <c r="J594" i="42"/>
  <c r="T594" i="42"/>
  <c r="J323" i="42"/>
  <c r="T323" i="42" s="1"/>
  <c r="J523" i="42"/>
  <c r="T523" i="42" s="1"/>
  <c r="J135" i="42"/>
  <c r="T135" i="42" s="1"/>
  <c r="J638" i="42"/>
  <c r="T638" i="42" s="1"/>
  <c r="J300" i="42"/>
  <c r="J687" i="42"/>
  <c r="J391" i="42"/>
  <c r="T391" i="42" s="1"/>
  <c r="J204" i="42"/>
  <c r="J427" i="42"/>
  <c r="T427" i="42" s="1"/>
  <c r="J750" i="42"/>
  <c r="T750" i="42"/>
  <c r="J446" i="42"/>
  <c r="T446" i="42" s="1"/>
  <c r="J643" i="42"/>
  <c r="T644" i="42"/>
  <c r="J319" i="42"/>
  <c r="T319" i="42" s="1"/>
  <c r="J470" i="42"/>
  <c r="J771" i="42"/>
  <c r="J235" i="42"/>
  <c r="T235" i="42" s="1"/>
  <c r="J572" i="42"/>
  <c r="T573" i="42"/>
  <c r="J327" i="42"/>
  <c r="T327" i="42" s="1"/>
  <c r="J88" i="42"/>
  <c r="T88" i="42"/>
  <c r="J499" i="42"/>
  <c r="T500" i="42"/>
  <c r="J547" i="42"/>
  <c r="J567" i="42"/>
  <c r="T567" i="42" s="1"/>
  <c r="J158" i="42"/>
  <c r="T158" i="42"/>
  <c r="J56" i="42"/>
  <c r="J231" i="42"/>
  <c r="T231" i="42" s="1"/>
  <c r="J199" i="42"/>
  <c r="T199" i="42" s="1"/>
  <c r="J396" i="42"/>
  <c r="J492" i="42"/>
  <c r="T492" i="42"/>
  <c r="J331" i="42"/>
  <c r="T331" i="42" s="1"/>
  <c r="J127" i="42"/>
  <c r="T127" i="42" s="1"/>
  <c r="J275" i="42"/>
  <c r="J665" i="42"/>
  <c r="T673" i="42" s="1"/>
  <c r="J419" i="42"/>
  <c r="T419" i="42" s="1"/>
  <c r="J371" i="42"/>
  <c r="J409" i="42"/>
  <c r="J729" i="42"/>
  <c r="J335" i="42"/>
  <c r="T335" i="42" s="1"/>
  <c r="P4" i="58"/>
  <c r="R4" i="58"/>
  <c r="AB4" i="58"/>
  <c r="AJ4" i="58"/>
  <c r="AV4" i="58"/>
  <c r="I312" i="41"/>
  <c r="I423" i="50" s="1"/>
  <c r="I116" i="41"/>
  <c r="I286" i="50" s="1"/>
  <c r="I176" i="41"/>
  <c r="I328" i="50" s="1"/>
  <c r="I301" i="41"/>
  <c r="I413" i="50"/>
  <c r="I52" i="41"/>
  <c r="I240" i="50" s="1"/>
  <c r="I217" i="41"/>
  <c r="I360" i="50" s="1"/>
  <c r="I280" i="41"/>
  <c r="I395" i="50" s="1"/>
  <c r="I107" i="41"/>
  <c r="I279" i="50"/>
  <c r="I264" i="41"/>
  <c r="I381" i="50" s="1"/>
  <c r="I388" i="47"/>
  <c r="I186" i="47"/>
  <c r="I153" i="47"/>
  <c r="I300" i="47"/>
  <c r="I112" i="47"/>
  <c r="J271" i="49"/>
  <c r="J228" i="50" s="1"/>
  <c r="J114" i="50"/>
  <c r="J133" i="49"/>
  <c r="J174" i="49"/>
  <c r="J276" i="49"/>
  <c r="J156" i="49"/>
  <c r="J179" i="49"/>
  <c r="J205" i="50" s="1"/>
  <c r="J152" i="49"/>
  <c r="J111" i="50"/>
  <c r="AV4" i="59"/>
  <c r="AJ4" i="59"/>
  <c r="T4" i="59"/>
  <c r="P4" i="59"/>
  <c r="AH4" i="59"/>
  <c r="V4" i="59"/>
  <c r="AR4" i="59"/>
  <c r="N4" i="59"/>
  <c r="AN4" i="59"/>
  <c r="AF4" i="59"/>
  <c r="L205" i="47"/>
  <c r="V205" i="47" s="1"/>
  <c r="V212" i="47" s="1"/>
  <c r="L252" i="47"/>
  <c r="L186" i="47"/>
  <c r="L160" i="47"/>
  <c r="L237" i="47"/>
  <c r="M188" i="41"/>
  <c r="M338" i="50" s="1"/>
  <c r="M139" i="41"/>
  <c r="M299" i="50" s="1"/>
  <c r="K567" i="42"/>
  <c r="U567" i="42" s="1"/>
  <c r="K547" i="42"/>
  <c r="K708" i="42"/>
  <c r="U708" i="42" s="1"/>
  <c r="K135" i="42"/>
  <c r="U135" i="42"/>
  <c r="K729" i="42"/>
  <c r="K572" i="42"/>
  <c r="U573" i="42" s="1"/>
  <c r="K335" i="42"/>
  <c r="U335" i="42" s="1"/>
  <c r="K371" i="42"/>
  <c r="K295" i="42"/>
  <c r="U295" i="42"/>
  <c r="J343" i="41"/>
  <c r="J451" i="50" s="1"/>
  <c r="J95" i="41"/>
  <c r="J271" i="50"/>
  <c r="J217" i="41"/>
  <c r="J360" i="50"/>
  <c r="J301" i="41"/>
  <c r="J413" i="50" s="1"/>
  <c r="J147" i="41"/>
  <c r="J305" i="50" s="1"/>
  <c r="J176" i="41"/>
  <c r="J328" i="50" s="1"/>
  <c r="J41" i="41"/>
  <c r="J188" i="41"/>
  <c r="J338" i="50" s="1"/>
  <c r="J327" i="41"/>
  <c r="J437" i="50" s="1"/>
  <c r="J52" i="41"/>
  <c r="J240" i="50" s="1"/>
  <c r="J312" i="41"/>
  <c r="J423" i="50" s="1"/>
  <c r="J293" i="41"/>
  <c r="J406" i="50" s="1"/>
  <c r="J101" i="41"/>
  <c r="J264" i="41"/>
  <c r="J381" i="50"/>
  <c r="J375" i="41"/>
  <c r="J476" i="50"/>
  <c r="J239" i="41"/>
  <c r="J107" i="41"/>
  <c r="J279" i="50" s="1"/>
  <c r="J116" i="41"/>
  <c r="J286" i="50"/>
  <c r="J425" i="41"/>
  <c r="J139" i="41"/>
  <c r="J299" i="50" s="1"/>
  <c r="J206" i="41"/>
  <c r="J351" i="50"/>
  <c r="J280" i="41"/>
  <c r="J395" i="50" s="1"/>
  <c r="J227" i="41"/>
  <c r="J368" i="50" s="1"/>
  <c r="J19" i="41"/>
  <c r="L236" i="49"/>
  <c r="V236" i="49" s="1"/>
  <c r="L116" i="49"/>
  <c r="L174" i="50" s="1"/>
  <c r="L100" i="49"/>
  <c r="I217" i="42"/>
  <c r="I204" i="42"/>
  <c r="I158" i="42"/>
  <c r="S158" i="42" s="1"/>
  <c r="I618" i="42"/>
  <c r="I254" i="42"/>
  <c r="S254" i="42" s="1"/>
  <c r="I24" i="42"/>
  <c r="S24" i="42" s="1"/>
  <c r="I327" i="42"/>
  <c r="S327" i="42" s="1"/>
  <c r="I638" i="42"/>
  <c r="S638" i="42" s="1"/>
  <c r="I199" i="42"/>
  <c r="S199" i="42" s="1"/>
  <c r="I547" i="42"/>
  <c r="J176" i="50"/>
  <c r="K139" i="41"/>
  <c r="K299" i="50" s="1"/>
  <c r="K116" i="41"/>
  <c r="K286" i="50" s="1"/>
  <c r="K101" i="41"/>
  <c r="K95" i="41"/>
  <c r="K271" i="50" s="1"/>
  <c r="N4" i="57"/>
  <c r="AT4" i="57"/>
  <c r="AF4" i="57"/>
  <c r="AR4" i="57"/>
  <c r="AD4" i="57"/>
  <c r="AL4" i="57"/>
  <c r="X4" i="57"/>
  <c r="AN4" i="57"/>
  <c r="P4" i="57"/>
  <c r="R4" i="57"/>
  <c r="AV4" i="57"/>
  <c r="Z4" i="57"/>
  <c r="AH4" i="57"/>
  <c r="J6" i="57"/>
  <c r="V4" i="57"/>
  <c r="AX4" i="57"/>
  <c r="AJ4" i="57"/>
  <c r="T4" i="57"/>
  <c r="AP4" i="57"/>
  <c r="AB4" i="57"/>
  <c r="M1135" i="50"/>
  <c r="M731" i="50"/>
  <c r="M721" i="50"/>
  <c r="M76" i="50"/>
  <c r="M1298" i="50"/>
  <c r="M1619" i="50"/>
  <c r="M1572" i="50"/>
  <c r="M1573" i="50" s="1"/>
  <c r="M1390" i="50"/>
  <c r="M859" i="50"/>
  <c r="M1422" i="50"/>
  <c r="M938" i="50"/>
  <c r="M1066" i="50"/>
  <c r="M1260" i="50"/>
  <c r="M1076" i="50"/>
  <c r="M1514" i="50"/>
  <c r="M928" i="50"/>
  <c r="M1398" i="50"/>
  <c r="M593" i="50"/>
  <c r="M1494" i="50"/>
  <c r="M1206" i="50"/>
  <c r="M1506" i="50"/>
  <c r="M1214" i="50"/>
  <c r="M372" i="50"/>
  <c r="M800" i="50"/>
  <c r="M869" i="50"/>
  <c r="M1565" i="50"/>
  <c r="M1306" i="50"/>
  <c r="M997" i="50"/>
  <c r="M1577" i="50"/>
  <c r="M1486" i="50"/>
  <c r="M1526" i="50"/>
  <c r="M662" i="50"/>
  <c r="M1430" i="50"/>
  <c r="M1007" i="50"/>
  <c r="M583" i="50"/>
  <c r="I1534" i="50"/>
  <c r="I1612" i="50"/>
  <c r="I372" i="50"/>
  <c r="I731" i="50"/>
  <c r="I1007" i="50"/>
  <c r="I1526" i="50"/>
  <c r="I721" i="50"/>
  <c r="I524" i="50"/>
  <c r="I1494" i="50"/>
  <c r="I1390" i="50"/>
  <c r="I593" i="50"/>
  <c r="I662" i="50"/>
  <c r="I1454" i="50"/>
  <c r="I1206" i="50"/>
  <c r="I1577" i="50"/>
  <c r="I1486" i="50"/>
  <c r="I1298" i="50"/>
  <c r="I652" i="50"/>
  <c r="I514" i="50"/>
  <c r="I1430" i="50"/>
  <c r="I1398" i="50"/>
  <c r="I1066" i="50"/>
  <c r="I1506" i="50"/>
  <c r="I1462" i="50"/>
  <c r="I790" i="50"/>
  <c r="I869" i="50"/>
  <c r="I859" i="50"/>
  <c r="I1565" i="50"/>
  <c r="I1076" i="50"/>
  <c r="I1352" i="50"/>
  <c r="I1306" i="50"/>
  <c r="I1572" i="50"/>
  <c r="I1573" i="50" s="1"/>
  <c r="I928" i="50"/>
  <c r="I1422" i="50"/>
  <c r="I800" i="50"/>
  <c r="I997" i="50"/>
  <c r="I1344" i="50"/>
  <c r="I76" i="50"/>
  <c r="I1260" i="50"/>
  <c r="I1135" i="50"/>
  <c r="I1252" i="50"/>
  <c r="I1145" i="50"/>
  <c r="I938" i="50"/>
  <c r="I1514" i="50"/>
  <c r="I583" i="50"/>
  <c r="I1214" i="50"/>
  <c r="I1619" i="50"/>
  <c r="L101" i="41"/>
  <c r="L227" i="41"/>
  <c r="L368" i="50"/>
  <c r="L107" i="41"/>
  <c r="L279" i="50"/>
  <c r="L425" i="41"/>
  <c r="L280" i="41"/>
  <c r="L395" i="50" s="1"/>
  <c r="L343" i="41"/>
  <c r="L451" i="50" s="1"/>
  <c r="L95" i="41"/>
  <c r="L271" i="50"/>
  <c r="L1577" i="50"/>
  <c r="L372" i="50"/>
  <c r="L524" i="50"/>
  <c r="L1430" i="50"/>
  <c r="L1135" i="50"/>
  <c r="L928" i="50"/>
  <c r="L1506" i="50"/>
  <c r="L1422" i="50"/>
  <c r="L1252" i="50"/>
  <c r="L1298" i="50"/>
  <c r="L1214" i="50"/>
  <c r="L997" i="50"/>
  <c r="L76" i="50"/>
  <c r="L731" i="50"/>
  <c r="L869" i="50"/>
  <c r="L1619" i="50"/>
  <c r="L1066" i="50"/>
  <c r="L1612" i="50"/>
  <c r="L1344" i="50"/>
  <c r="L938" i="50"/>
  <c r="L1534" i="50"/>
  <c r="L652" i="50"/>
  <c r="L593" i="50"/>
  <c r="L721" i="50"/>
  <c r="L859" i="50"/>
  <c r="L1572" i="50"/>
  <c r="L1573" i="50"/>
  <c r="L1462" i="50"/>
  <c r="L1486" i="50"/>
  <c r="L1145" i="50"/>
  <c r="L1514" i="50"/>
  <c r="L1454" i="50"/>
  <c r="L1565" i="50"/>
  <c r="L514" i="50"/>
  <c r="K1534" i="50"/>
  <c r="K731" i="50"/>
  <c r="K1007" i="50"/>
  <c r="K1506" i="50"/>
  <c r="K1135" i="50"/>
  <c r="K928" i="50"/>
  <c r="K1514" i="50"/>
  <c r="K721" i="50"/>
  <c r="K1214" i="50"/>
  <c r="K524" i="50"/>
  <c r="K859" i="50"/>
  <c r="K1260" i="50"/>
  <c r="K1344" i="50"/>
  <c r="K583" i="50"/>
  <c r="K1298" i="50"/>
  <c r="K1619" i="50"/>
  <c r="K1454" i="50"/>
  <c r="M257" i="37"/>
  <c r="M262" i="37"/>
  <c r="W262" i="37" s="1"/>
  <c r="W250" i="37"/>
  <c r="J1145" i="50"/>
  <c r="J869" i="50"/>
  <c r="J514" i="50"/>
  <c r="J1260" i="50"/>
  <c r="J800" i="50"/>
  <c r="J1390" i="50"/>
  <c r="J1422" i="50"/>
  <c r="J721" i="50"/>
  <c r="J1352" i="50"/>
  <c r="J6" i="55"/>
  <c r="K330" i="47"/>
  <c r="K205" i="47"/>
  <c r="U205" i="47" s="1"/>
  <c r="U212" i="47" s="1"/>
  <c r="K186" i="47"/>
  <c r="K237" i="47"/>
  <c r="K126" i="47"/>
  <c r="K388" i="47"/>
  <c r="K153" i="47"/>
  <c r="K279" i="47"/>
  <c r="K119" i="47"/>
  <c r="K112" i="47"/>
  <c r="K272" i="47"/>
  <c r="K160" i="47"/>
  <c r="K300" i="47"/>
  <c r="K31" i="47"/>
  <c r="K94" i="47"/>
  <c r="K366" i="47"/>
  <c r="K324" i="47"/>
  <c r="K178" i="47"/>
  <c r="K144" i="47"/>
  <c r="K356" i="47"/>
  <c r="K337" i="47"/>
  <c r="K252" i="47"/>
  <c r="K289" i="47"/>
  <c r="K194" i="47"/>
  <c r="U391" i="47"/>
  <c r="V653" i="42"/>
  <c r="M250" i="41"/>
  <c r="J250" i="41"/>
  <c r="K250" i="41"/>
  <c r="S151" i="41"/>
  <c r="S154" i="41"/>
  <c r="I250" i="41"/>
  <c r="K135" i="49"/>
  <c r="K182" i="50" s="1"/>
  <c r="D217" i="34"/>
  <c r="S157" i="41"/>
  <c r="I206" i="50"/>
  <c r="I181" i="49"/>
  <c r="I207" i="50"/>
  <c r="S152" i="41"/>
  <c r="C783" i="50"/>
  <c r="D714" i="50"/>
  <c r="S25" i="37"/>
  <c r="S150" i="41"/>
  <c r="S153" i="41"/>
  <c r="K958" i="37"/>
  <c r="U958" i="37" s="1"/>
  <c r="K431" i="37"/>
  <c r="U424" i="37"/>
  <c r="K436" i="37"/>
  <c r="U436" i="37"/>
  <c r="U1132" i="37"/>
  <c r="K1127" i="37"/>
  <c r="U1120" i="37"/>
  <c r="K257" i="37"/>
  <c r="K262" i="37"/>
  <c r="U262" i="37"/>
  <c r="U250" i="37"/>
  <c r="U1642" i="37"/>
  <c r="I784" i="37"/>
  <c r="S784" i="37"/>
  <c r="I610" i="37"/>
  <c r="S610" i="37" s="1"/>
  <c r="S946" i="37"/>
  <c r="M181" i="50"/>
  <c r="M135" i="49"/>
  <c r="M182" i="50" s="1"/>
  <c r="V25" i="37"/>
  <c r="V250" i="37"/>
  <c r="J180" i="50"/>
  <c r="U772" i="37"/>
  <c r="S1642" i="37"/>
  <c r="M141" i="49"/>
  <c r="M185" i="50"/>
  <c r="L953" i="37"/>
  <c r="K42" i="37"/>
  <c r="U42" i="37" s="1"/>
  <c r="K34" i="37"/>
  <c r="K1306" i="37"/>
  <c r="U1306" i="37"/>
  <c r="K605" i="37"/>
  <c r="U598" i="37"/>
  <c r="L1127" i="37"/>
  <c r="L1475" i="37"/>
  <c r="L1480" i="37"/>
  <c r="V1480" i="37" s="1"/>
  <c r="S1480" i="37"/>
  <c r="I1248" i="50"/>
  <c r="Z159" i="42"/>
  <c r="J1248" i="50"/>
  <c r="N1254" i="50" s="1"/>
  <c r="R151" i="42"/>
  <c r="S155" i="41"/>
  <c r="L250" i="41"/>
  <c r="Z351" i="42"/>
  <c r="Z255" i="42"/>
  <c r="R247" i="42"/>
  <c r="S148" i="41"/>
  <c r="AA606" i="37"/>
  <c r="AA780" i="37"/>
  <c r="AA1650" i="37"/>
  <c r="S149" i="41"/>
  <c r="AA1476" i="37"/>
  <c r="D218" i="34"/>
  <c r="Q218" i="34"/>
  <c r="T218" i="34"/>
  <c r="R343" i="42"/>
  <c r="L17" i="47"/>
  <c r="T31" i="47" s="1"/>
  <c r="Z447" i="42"/>
  <c r="R439" i="42"/>
  <c r="AA1302" i="37"/>
  <c r="AA432" i="37"/>
  <c r="AA954" i="37"/>
  <c r="K1253" i="50"/>
  <c r="I1253" i="50"/>
  <c r="L1253" i="50"/>
  <c r="J1253" i="50"/>
  <c r="M1253" i="50"/>
  <c r="AA35" i="37"/>
  <c r="AA1128" i="37"/>
  <c r="V151" i="42"/>
  <c r="V229" i="42" s="1"/>
  <c r="T151" i="42"/>
  <c r="T233" i="42" s="1"/>
  <c r="W151" i="42"/>
  <c r="W225" i="42" s="1"/>
  <c r="S151" i="42"/>
  <c r="S237" i="42" s="1"/>
  <c r="U151" i="42"/>
  <c r="U233" i="42" s="1"/>
  <c r="V343" i="42"/>
  <c r="V351" i="42" s="1"/>
  <c r="T343" i="42"/>
  <c r="S343" i="42"/>
  <c r="S425" i="42" s="1"/>
  <c r="W343" i="42"/>
  <c r="W417" i="42" s="1"/>
  <c r="U343" i="42"/>
  <c r="U421" i="42" s="1"/>
  <c r="T247" i="42"/>
  <c r="T296" i="42" s="1"/>
  <c r="W247" i="42"/>
  <c r="U247" i="42"/>
  <c r="U325" i="42" s="1"/>
  <c r="S247" i="42"/>
  <c r="S337" i="42" s="1"/>
  <c r="V247" i="42"/>
  <c r="S156" i="41"/>
  <c r="AA258" i="37"/>
  <c r="W392" i="47"/>
  <c r="W393" i="47"/>
  <c r="T392" i="47"/>
  <c r="AA1642" i="37"/>
  <c r="AA1468" i="37"/>
  <c r="AA772" i="37"/>
  <c r="E218" i="34"/>
  <c r="AA1294" i="37"/>
  <c r="S439" i="42"/>
  <c r="W439" i="42"/>
  <c r="W447" i="42" s="1"/>
  <c r="T439" i="42"/>
  <c r="T493" i="42" s="1"/>
  <c r="V439" i="42"/>
  <c r="V447" i="42" s="1"/>
  <c r="U439" i="42"/>
  <c r="U493" i="42" s="1"/>
  <c r="AA946" i="37"/>
  <c r="AA424" i="37"/>
  <c r="AA25" i="37"/>
  <c r="AA1120" i="37"/>
  <c r="I1254" i="50"/>
  <c r="M1254" i="50"/>
  <c r="K1254" i="50"/>
  <c r="L1254" i="50"/>
  <c r="AA598" i="37"/>
  <c r="V393" i="47"/>
  <c r="AA250" i="37"/>
  <c r="J1254" i="50"/>
  <c r="F1257" i="50"/>
  <c r="M1257" i="50"/>
  <c r="T1245" i="50" s="1"/>
  <c r="T1256" i="50" s="1"/>
  <c r="I1257" i="50"/>
  <c r="R1256" i="50" s="1"/>
  <c r="K1257" i="50"/>
  <c r="S1256" i="50" s="1"/>
  <c r="L106" i="47"/>
  <c r="T112" i="47" s="1"/>
  <c r="L265" i="47"/>
  <c r="P296" i="47" s="1"/>
  <c r="L138" i="47"/>
  <c r="P161" i="47" s="1"/>
  <c r="L317" i="47"/>
  <c r="L172" i="47"/>
  <c r="P195" i="47" s="1"/>
  <c r="L225" i="47"/>
  <c r="P253" i="47" s="1"/>
  <c r="L349" i="47"/>
  <c r="P367" i="47" s="1"/>
  <c r="L382" i="47"/>
  <c r="M390" i="47" s="1"/>
  <c r="M392" i="47" s="1"/>
  <c r="V392" i="47"/>
  <c r="S393" i="47"/>
  <c r="U392" i="47"/>
  <c r="L31" i="47"/>
  <c r="L178" i="47"/>
  <c r="L119" i="47"/>
  <c r="L153" i="47"/>
  <c r="L388" i="47"/>
  <c r="L356" i="47"/>
  <c r="I252" i="47"/>
  <c r="I330" i="47"/>
  <c r="I205" i="47"/>
  <c r="S205" i="47" s="1"/>
  <c r="S212" i="47" s="1"/>
  <c r="I237" i="47"/>
  <c r="I289" i="47"/>
  <c r="I160" i="47"/>
  <c r="S206" i="47"/>
  <c r="R206" i="47" s="1"/>
  <c r="U207" i="47"/>
  <c r="S392" i="47"/>
  <c r="U393" i="47"/>
  <c r="L366" i="47"/>
  <c r="L272" i="47"/>
  <c r="L279" i="47"/>
  <c r="L112" i="47"/>
  <c r="L194" i="47"/>
  <c r="L126" i="47"/>
  <c r="I119" i="47"/>
  <c r="I272" i="47"/>
  <c r="I356" i="47"/>
  <c r="I279" i="47"/>
  <c r="I194" i="47"/>
  <c r="I324" i="47"/>
  <c r="I94" i="47"/>
  <c r="U206" i="47"/>
  <c r="T208" i="47"/>
  <c r="S208" i="47"/>
  <c r="T393" i="47"/>
  <c r="L300" i="47"/>
  <c r="L289" i="47"/>
  <c r="L324" i="47"/>
  <c r="L144" i="47"/>
  <c r="L337" i="47"/>
  <c r="I126" i="47"/>
  <c r="I144" i="47"/>
  <c r="I31" i="47"/>
  <c r="I178" i="47"/>
  <c r="S391" i="47"/>
  <c r="I366" i="47"/>
  <c r="T207" i="47"/>
  <c r="R207" i="47" s="1"/>
  <c r="T665" i="42"/>
  <c r="S25" i="42"/>
  <c r="V595" i="42"/>
  <c r="M1584" i="37"/>
  <c r="I16" i="49"/>
  <c r="R16" i="49" s="1"/>
  <c r="I271" i="49"/>
  <c r="I228" i="50" s="1"/>
  <c r="I90" i="49"/>
  <c r="I164" i="50" s="1"/>
  <c r="W25" i="42"/>
  <c r="T145" i="42"/>
  <c r="T129" i="42"/>
  <c r="W145" i="42"/>
  <c r="T25" i="42"/>
  <c r="T141" i="42"/>
  <c r="W141" i="42"/>
  <c r="L243" i="50"/>
  <c r="M246" i="50"/>
  <c r="L241" i="50"/>
  <c r="L242" i="50"/>
  <c r="L244" i="50"/>
  <c r="I242" i="50"/>
  <c r="I241" i="50"/>
  <c r="V321" i="42"/>
  <c r="I302" i="47"/>
  <c r="I303" i="47"/>
  <c r="I305" i="47"/>
  <c r="I294" i="47"/>
  <c r="J365" i="50"/>
  <c r="K1238" i="50"/>
  <c r="J1223" i="50"/>
  <c r="K1215" i="50"/>
  <c r="M1241" i="50"/>
  <c r="M1203" i="50"/>
  <c r="I1241" i="50"/>
  <c r="I1239" i="50"/>
  <c r="K1227" i="50"/>
  <c r="I1235" i="50"/>
  <c r="J1238" i="50"/>
  <c r="I1232" i="50"/>
  <c r="K1237" i="50"/>
  <c r="J1220" i="50"/>
  <c r="L1240" i="50"/>
  <c r="M1216" i="50"/>
  <c r="L1230" i="50"/>
  <c r="L1220" i="50"/>
  <c r="K1207" i="50"/>
  <c r="M1208" i="50"/>
  <c r="L1208" i="50"/>
  <c r="K1211" i="50"/>
  <c r="S1210" i="50" s="1"/>
  <c r="L1235" i="50"/>
  <c r="M1227" i="50"/>
  <c r="M1240" i="50"/>
  <c r="J1233" i="50"/>
  <c r="I1230" i="50"/>
  <c r="J1224" i="50"/>
  <c r="K1236" i="50"/>
  <c r="I1216" i="50"/>
  <c r="I1228" i="50"/>
  <c r="M1215" i="50"/>
  <c r="J1208" i="50"/>
  <c r="M1207" i="50"/>
  <c r="F1211" i="50"/>
  <c r="I1225" i="50"/>
  <c r="M1239" i="50"/>
  <c r="M1226" i="50"/>
  <c r="L1237" i="50"/>
  <c r="L1225" i="50"/>
  <c r="L1236" i="50"/>
  <c r="L1241" i="50"/>
  <c r="I1215" i="50"/>
  <c r="J1207" i="50"/>
  <c r="I1207" i="50"/>
  <c r="I1211" i="50"/>
  <c r="R1210" i="50" s="1"/>
  <c r="J1222" i="50"/>
  <c r="I1238" i="50"/>
  <c r="I1237" i="50"/>
  <c r="M1221" i="50"/>
  <c r="J1232" i="50"/>
  <c r="J1228" i="50"/>
  <c r="I1224" i="50"/>
  <c r="L1222" i="50"/>
  <c r="I1227" i="50"/>
  <c r="M1233" i="50"/>
  <c r="J1225" i="50"/>
  <c r="J1241" i="50"/>
  <c r="K1220" i="50"/>
  <c r="J1227" i="50"/>
  <c r="J1221" i="50"/>
  <c r="M1225" i="50"/>
  <c r="J1226" i="50"/>
  <c r="I1234" i="50"/>
  <c r="I1233" i="50"/>
  <c r="L1238" i="50"/>
  <c r="I1236" i="50"/>
  <c r="K1226" i="50"/>
  <c r="K1232" i="50"/>
  <c r="I1240" i="50"/>
  <c r="K1208" i="50"/>
  <c r="I1208" i="50"/>
  <c r="J1239" i="50"/>
  <c r="M1222" i="50"/>
  <c r="K1224" i="50"/>
  <c r="K1241" i="50"/>
  <c r="J1230" i="50"/>
  <c r="J1216" i="50"/>
  <c r="K1228" i="50"/>
  <c r="M1236" i="50"/>
  <c r="L1221" i="50"/>
  <c r="K1221" i="50"/>
  <c r="M1220" i="50"/>
  <c r="L1239" i="50"/>
  <c r="J1234" i="50"/>
  <c r="M1230" i="50"/>
  <c r="K1225" i="50"/>
  <c r="K1239" i="50"/>
  <c r="L1228" i="50"/>
  <c r="I1222" i="50"/>
  <c r="M1232" i="50"/>
  <c r="K1235" i="50"/>
  <c r="K1230" i="50"/>
  <c r="K1222" i="50"/>
  <c r="M1224" i="50"/>
  <c r="M1234" i="50"/>
  <c r="J1237" i="50"/>
  <c r="M1238" i="50"/>
  <c r="K1233" i="50"/>
  <c r="M1228" i="50"/>
  <c r="K1223" i="50"/>
  <c r="M1235" i="50"/>
  <c r="L1227" i="50"/>
  <c r="J1215" i="50"/>
  <c r="M1223" i="50"/>
  <c r="K1240" i="50"/>
  <c r="L1224" i="50"/>
  <c r="K1216" i="50"/>
  <c r="I1226" i="50"/>
  <c r="M1202" i="50"/>
  <c r="I1220" i="50"/>
  <c r="L1207" i="50"/>
  <c r="L1216" i="50"/>
  <c r="L1232" i="50"/>
  <c r="J1236" i="50"/>
  <c r="I1202" i="50"/>
  <c r="L1226" i="50"/>
  <c r="I1223" i="50"/>
  <c r="K1234" i="50"/>
  <c r="M1204" i="50"/>
  <c r="M1211" i="50" s="1"/>
  <c r="T1199" i="50" s="1"/>
  <c r="T1210" i="50" s="1"/>
  <c r="L1215" i="50"/>
  <c r="L1223" i="50"/>
  <c r="I1221" i="50"/>
  <c r="J1235" i="50"/>
  <c r="J1202" i="50"/>
  <c r="N1208" i="50" s="1"/>
  <c r="M1237" i="50"/>
  <c r="L1233" i="50"/>
  <c r="V582" i="42"/>
  <c r="L610" i="37"/>
  <c r="V610" i="37" s="1"/>
  <c r="V598" i="37"/>
  <c r="L605" i="37"/>
  <c r="S665" i="42"/>
  <c r="S673" i="42"/>
  <c r="G235" i="34"/>
  <c r="G215" i="34"/>
  <c r="G251" i="34"/>
  <c r="G213" i="34"/>
  <c r="H1180" i="50"/>
  <c r="H1117" i="50"/>
  <c r="H841" i="50"/>
  <c r="H774" i="50"/>
  <c r="H838" i="50"/>
  <c r="H766" i="50"/>
  <c r="H411" i="37"/>
  <c r="H1804" i="37"/>
  <c r="H1803" i="37"/>
  <c r="H1278" i="37"/>
  <c r="H760" i="37"/>
  <c r="H934" i="37"/>
  <c r="H1097" i="37"/>
  <c r="H1104" i="37"/>
  <c r="H749" i="37"/>
  <c r="H705" i="50"/>
  <c r="G246" i="34"/>
  <c r="G238" i="34"/>
  <c r="G257" i="34"/>
  <c r="H565" i="50"/>
  <c r="G228" i="34"/>
  <c r="G234" i="34"/>
  <c r="H233" i="37"/>
  <c r="H407" i="37"/>
  <c r="H1119" i="50"/>
  <c r="H979" i="50"/>
  <c r="H703" i="50"/>
  <c r="H631" i="50"/>
  <c r="H700" i="50"/>
  <c r="H1050" i="50"/>
  <c r="G219" i="34"/>
  <c r="H755" i="37"/>
  <c r="H581" i="37"/>
  <c r="H412" i="37"/>
  <c r="H1799" i="37"/>
  <c r="H1800" i="37"/>
  <c r="H1619" i="37"/>
  <c r="H1271" i="37"/>
  <c r="H756" i="37"/>
  <c r="H930" i="37"/>
  <c r="H933" i="37"/>
  <c r="G225" i="34"/>
  <c r="G221" i="34"/>
  <c r="G236" i="34"/>
  <c r="G229" i="34"/>
  <c r="R279" i="43"/>
  <c r="H236" i="37"/>
  <c r="H232" i="37"/>
  <c r="G263" i="34"/>
  <c r="H1048" i="50"/>
  <c r="H906" i="50"/>
  <c r="H912" i="50"/>
  <c r="H575" i="37"/>
  <c r="H1625" i="37"/>
  <c r="H1107" i="37"/>
  <c r="H923" i="37"/>
  <c r="H636" i="50"/>
  <c r="G216" i="34"/>
  <c r="G253" i="34"/>
  <c r="H237" i="37"/>
  <c r="H981" i="50"/>
  <c r="H628" i="50"/>
  <c r="H696" i="50"/>
  <c r="H1452" i="37"/>
  <c r="H929" i="37"/>
  <c r="H759" i="37"/>
  <c r="H585" i="37"/>
  <c r="G252" i="34"/>
  <c r="H561" i="50"/>
  <c r="G254" i="34"/>
  <c r="G237" i="34"/>
  <c r="H904" i="50"/>
  <c r="H1044" i="50"/>
  <c r="H837" i="50"/>
  <c r="H1630" i="37"/>
  <c r="G230" i="34"/>
  <c r="G218" i="34"/>
  <c r="H910" i="50"/>
  <c r="H1188" i="50"/>
  <c r="H1111" i="50"/>
  <c r="H408" i="37"/>
  <c r="G224" i="34"/>
  <c r="H1179" i="50"/>
  <c r="H835" i="50"/>
  <c r="H630" i="50"/>
  <c r="H401" i="37"/>
  <c r="H1451" i="37"/>
  <c r="H1455" i="37"/>
  <c r="H1281" i="37"/>
  <c r="H1277" i="37"/>
  <c r="G260" i="34"/>
  <c r="G231" i="34"/>
  <c r="G259" i="34"/>
  <c r="H224" i="37"/>
  <c r="H1114" i="50"/>
  <c r="H1045" i="50"/>
  <c r="H768" i="50"/>
  <c r="H699" i="50"/>
  <c r="H1629" i="37"/>
  <c r="G261" i="34"/>
  <c r="G222" i="34"/>
  <c r="H1042" i="50"/>
  <c r="H765" i="50"/>
  <c r="H772" i="50"/>
  <c r="H1626" i="37"/>
  <c r="H1186" i="50"/>
  <c r="H1282" i="37"/>
  <c r="G214" i="34"/>
  <c r="H562" i="50"/>
  <c r="H769" i="50"/>
  <c r="H582" i="37"/>
  <c r="H558" i="50"/>
  <c r="H1041" i="50"/>
  <c r="H586" i="37"/>
  <c r="H907" i="50"/>
  <c r="H1103" i="37"/>
  <c r="G220" i="34"/>
  <c r="H972" i="50"/>
  <c r="H1182" i="50"/>
  <c r="H567" i="50"/>
  <c r="G250" i="34"/>
  <c r="H973" i="50"/>
  <c r="H1445" i="37"/>
  <c r="H627" i="50"/>
  <c r="H1108" i="37"/>
  <c r="G227" i="34"/>
  <c r="H1113" i="50"/>
  <c r="H834" i="50"/>
  <c r="H559" i="50"/>
  <c r="H1110" i="50"/>
  <c r="H697" i="50"/>
  <c r="H1456" i="37"/>
  <c r="H1793" i="37"/>
  <c r="H903" i="50"/>
  <c r="H843" i="50"/>
  <c r="G256" i="34"/>
  <c r="H975" i="50"/>
  <c r="H634" i="50"/>
  <c r="G233" i="34"/>
  <c r="G262" i="34"/>
  <c r="R270" i="43"/>
  <c r="G232" i="34"/>
  <c r="G258" i="34"/>
  <c r="G223" i="34"/>
  <c r="G264" i="34"/>
  <c r="G217" i="34"/>
  <c r="H1183" i="50"/>
  <c r="H976" i="50"/>
  <c r="C58" i="34"/>
  <c r="AC13" i="42"/>
  <c r="AC151" i="42"/>
  <c r="AC439" i="42"/>
  <c r="AC343" i="42"/>
  <c r="AC701" i="42"/>
  <c r="AC247" i="42"/>
  <c r="AC587" i="42"/>
  <c r="AC743" i="42"/>
  <c r="AC658" i="42"/>
  <c r="E442" i="50"/>
  <c r="P332" i="41"/>
  <c r="L257" i="37"/>
  <c r="L262" i="37"/>
  <c r="V262" i="37" s="1"/>
  <c r="S524" i="42"/>
  <c r="I257" i="37"/>
  <c r="S250" i="37"/>
  <c r="I262" i="37"/>
  <c r="S262" i="37" s="1"/>
  <c r="Q1291" i="50"/>
  <c r="L1294" i="50"/>
  <c r="H1299" i="50"/>
  <c r="D1291" i="50"/>
  <c r="C1337" i="50"/>
  <c r="M1291" i="50"/>
  <c r="I1291" i="50"/>
  <c r="P1320" i="50" s="1"/>
  <c r="L431" i="37"/>
  <c r="L436" i="37"/>
  <c r="V436" i="37"/>
  <c r="U946" i="37"/>
  <c r="K953" i="37"/>
  <c r="J583" i="50"/>
  <c r="J1306" i="50"/>
  <c r="J1462" i="50"/>
  <c r="J1398" i="50"/>
  <c r="J1514" i="50"/>
  <c r="J1526" i="50"/>
  <c r="J1612" i="50"/>
  <c r="J1506" i="50"/>
  <c r="J1344" i="50"/>
  <c r="J1066" i="50"/>
  <c r="J1214" i="50"/>
  <c r="J997" i="50"/>
  <c r="J662" i="50"/>
  <c r="J1252" i="50"/>
  <c r="J524" i="50"/>
  <c r="J76" i="50"/>
  <c r="J1534" i="50"/>
  <c r="J928" i="50"/>
  <c r="J1430" i="50"/>
  <c r="J1619" i="50"/>
  <c r="J1494" i="50"/>
  <c r="J1206" i="50"/>
  <c r="J1454" i="50"/>
  <c r="J790" i="50"/>
  <c r="J372" i="50"/>
  <c r="J1007" i="50"/>
  <c r="J859" i="50"/>
  <c r="J1076" i="50"/>
  <c r="J938" i="50"/>
  <c r="J1565" i="50"/>
  <c r="J1566" i="50"/>
  <c r="J1567" i="50"/>
  <c r="J1577" i="50"/>
  <c r="J652" i="50"/>
  <c r="J593" i="50"/>
  <c r="J731" i="50"/>
  <c r="J1135" i="50"/>
  <c r="M361" i="50"/>
  <c r="M219" i="41"/>
  <c r="M362" i="50"/>
  <c r="M221" i="50"/>
  <c r="M253" i="49"/>
  <c r="M222" i="50"/>
  <c r="P246" i="41"/>
  <c r="P248" i="41"/>
  <c r="P243" i="41"/>
  <c r="P247" i="41"/>
  <c r="P245" i="41"/>
  <c r="P240" i="41"/>
  <c r="P241" i="41"/>
  <c r="K594" i="42"/>
  <c r="U594" i="42" s="1"/>
  <c r="K88" i="42"/>
  <c r="U88" i="42"/>
  <c r="K204" i="42"/>
  <c r="K158" i="42"/>
  <c r="U158" i="42" s="1"/>
  <c r="K643" i="42"/>
  <c r="U644" i="42" s="1"/>
  <c r="K235" i="42"/>
  <c r="U235" i="42"/>
  <c r="K423" i="42"/>
  <c r="U423" i="42" s="1"/>
  <c r="K131" i="42"/>
  <c r="U131" i="42" s="1"/>
  <c r="K419" i="42"/>
  <c r="U419" i="42" s="1"/>
  <c r="K409" i="42"/>
  <c r="K199" i="42"/>
  <c r="U199" i="42"/>
  <c r="K127" i="42"/>
  <c r="U127" i="42" s="1"/>
  <c r="K275" i="42"/>
  <c r="K231" i="42"/>
  <c r="U231" i="42" s="1"/>
  <c r="K687" i="42"/>
  <c r="K446" i="42"/>
  <c r="U446" i="42"/>
  <c r="K618" i="42"/>
  <c r="K217" i="42"/>
  <c r="K771" i="42"/>
  <c r="K239" i="42"/>
  <c r="U239" i="42" s="1"/>
  <c r="K523" i="42"/>
  <c r="U523" i="42" s="1"/>
  <c r="K143" i="42"/>
  <c r="U143" i="42" s="1"/>
  <c r="K638" i="42"/>
  <c r="U638" i="42" s="1"/>
  <c r="K665" i="42"/>
  <c r="U665" i="42" s="1"/>
  <c r="L1206" i="50"/>
  <c r="L583" i="50"/>
  <c r="L1007" i="50"/>
  <c r="L1352" i="50"/>
  <c r="L800" i="50"/>
  <c r="L1494" i="50"/>
  <c r="Q277" i="43"/>
  <c r="L277" i="43"/>
  <c r="R277" i="43"/>
  <c r="M277" i="43"/>
  <c r="I361" i="50"/>
  <c r="I219" i="41"/>
  <c r="I362" i="50" s="1"/>
  <c r="P242" i="41"/>
  <c r="M245" i="50"/>
  <c r="M241" i="50"/>
  <c r="M247" i="50"/>
  <c r="M242" i="50"/>
  <c r="M244" i="50"/>
  <c r="K91" i="50"/>
  <c r="K20" i="41"/>
  <c r="K23" i="41" s="1"/>
  <c r="K54" i="41" s="1"/>
  <c r="P236" i="42"/>
  <c r="E200" i="42"/>
  <c r="R240" i="42"/>
  <c r="E159" i="42"/>
  <c r="P206" i="42"/>
  <c r="R232" i="42"/>
  <c r="P205" i="42"/>
  <c r="P211" i="42"/>
  <c r="P209" i="42"/>
  <c r="R200" i="42"/>
  <c r="P233" i="42"/>
  <c r="P229" i="42"/>
  <c r="P237" i="42"/>
  <c r="R229" i="42"/>
  <c r="P208" i="42"/>
  <c r="P213" i="42"/>
  <c r="R228" i="42"/>
  <c r="I195" i="42"/>
  <c r="P240" i="42"/>
  <c r="P225" i="42"/>
  <c r="P228" i="42"/>
  <c r="R224" i="42"/>
  <c r="P219" i="42"/>
  <c r="R225" i="42"/>
  <c r="P210" i="42"/>
  <c r="R233" i="42"/>
  <c r="P212" i="42"/>
  <c r="R237" i="42"/>
  <c r="P207" i="42"/>
  <c r="P200" i="42"/>
  <c r="R241" i="42"/>
  <c r="P232" i="42"/>
  <c r="M193" i="41"/>
  <c r="L274" i="43"/>
  <c r="Q274" i="43"/>
  <c r="R274" i="43"/>
  <c r="R272" i="43"/>
  <c r="M272" i="43"/>
  <c r="L431" i="41"/>
  <c r="K434" i="41"/>
  <c r="P130" i="50"/>
  <c r="S130" i="50"/>
  <c r="J1384" i="37"/>
  <c r="T1384" i="37"/>
  <c r="J335" i="37"/>
  <c r="T335" i="37" s="1"/>
  <c r="J532" i="37"/>
  <c r="J540" i="37"/>
  <c r="J340" i="37"/>
  <c r="T340" i="37" s="1"/>
  <c r="J1252" i="37"/>
  <c r="T1254" i="37" s="1"/>
  <c r="J758" i="37"/>
  <c r="J1624" i="37"/>
  <c r="J1078" i="37"/>
  <c r="T1080" i="37"/>
  <c r="J1040" i="37"/>
  <c r="J518" i="37"/>
  <c r="J1008" i="37"/>
  <c r="T1012" i="37" s="1"/>
  <c r="J870" i="37"/>
  <c r="T870" i="37" s="1"/>
  <c r="J374" i="37"/>
  <c r="T376" i="37"/>
  <c r="J190" i="37"/>
  <c r="T192" i="37" s="1"/>
  <c r="J1031" i="37"/>
  <c r="T1031" i="37"/>
  <c r="J1454" i="37"/>
  <c r="J1086" i="37"/>
  <c r="T1089" i="37" s="1"/>
  <c r="J1727" i="37"/>
  <c r="T1727" i="37" s="1"/>
  <c r="J24" i="37"/>
  <c r="J1214" i="37"/>
  <c r="J1521" i="37"/>
  <c r="J498" i="37"/>
  <c r="T502" i="37" s="1"/>
  <c r="J1641" i="37"/>
  <c r="J1758" i="37"/>
  <c r="J1584" i="37"/>
  <c r="J621" i="37"/>
  <c r="J1267" i="37"/>
  <c r="T1267" i="37" s="1"/>
  <c r="J1802" i="37"/>
  <c r="J324" i="37"/>
  <c r="T328" i="37"/>
  <c r="J235" i="37"/>
  <c r="J672" i="37"/>
  <c r="T676" i="37" s="1"/>
  <c r="J1293" i="37"/>
  <c r="J771" i="37"/>
  <c r="J180" i="37"/>
  <c r="J1826" i="37"/>
  <c r="J129" i="37"/>
  <c r="T133" i="37"/>
  <c r="J1218" i="37"/>
  <c r="T1218" i="37" s="1"/>
  <c r="J683" i="37"/>
  <c r="T683" i="37"/>
  <c r="J1600" i="37"/>
  <c r="T1602" i="37" s="1"/>
  <c r="J919" i="37"/>
  <c r="T919" i="37" s="1"/>
  <c r="J696" i="37"/>
  <c r="T696" i="37" s="1"/>
  <c r="J1467" i="37"/>
  <c r="J231" i="37"/>
  <c r="J1036" i="37"/>
  <c r="T1036" i="37"/>
  <c r="J312" i="37"/>
  <c r="T316" i="37"/>
  <c r="J249" i="37"/>
  <c r="J477" i="37"/>
  <c r="J1102" i="37"/>
  <c r="J1347" i="37"/>
  <c r="J1418" i="37"/>
  <c r="T1420" i="37"/>
  <c r="J730" i="37"/>
  <c r="T732" i="37"/>
  <c r="J1691" i="37"/>
  <c r="T1691" i="37" s="1"/>
  <c r="J1553" i="37"/>
  <c r="T1553" i="37" s="1"/>
  <c r="J821" i="37"/>
  <c r="T821" i="37"/>
  <c r="J1210" i="37"/>
  <c r="T1210" i="37" s="1"/>
  <c r="J406" i="37"/>
  <c r="J94" i="37"/>
  <c r="T94" i="37" s="1"/>
  <c r="J366" i="37"/>
  <c r="J522" i="37"/>
  <c r="T522" i="37" s="1"/>
  <c r="J862" i="37"/>
  <c r="T862" i="37"/>
  <c r="J1143" i="37"/>
  <c r="J745" i="37"/>
  <c r="T745" i="37" s="1"/>
  <c r="J1732" i="37"/>
  <c r="T1732" i="37" s="1"/>
  <c r="J904" i="37"/>
  <c r="T906" i="37" s="1"/>
  <c r="J945" i="37"/>
  <c r="J1789" i="37"/>
  <c r="T1789" i="37" s="1"/>
  <c r="J199" i="37"/>
  <c r="T201" i="37" s="1"/>
  <c r="J647" i="37"/>
  <c r="T647" i="37" s="1"/>
  <c r="J1119" i="37"/>
  <c r="J1106" i="37"/>
  <c r="J143" i="37"/>
  <c r="T143" i="37" s="1"/>
  <c r="J1576" i="37"/>
  <c r="J896" i="37"/>
  <c r="T898" i="37" s="1"/>
  <c r="J91" i="50"/>
  <c r="J20" i="41"/>
  <c r="J23" i="41" s="1"/>
  <c r="J94" i="50" s="1"/>
  <c r="K228" i="41"/>
  <c r="K369" i="50" s="1"/>
  <c r="J302" i="47"/>
  <c r="J303" i="47" s="1"/>
  <c r="J305" i="47" s="1"/>
  <c r="J294" i="47"/>
  <c r="R574" i="42"/>
  <c r="P577" i="42"/>
  <c r="M324" i="37"/>
  <c r="W328" i="37"/>
  <c r="M1182" i="37"/>
  <c r="W1186" i="37"/>
  <c r="M1665" i="37"/>
  <c r="M406" i="37"/>
  <c r="M1831" i="37"/>
  <c r="M382" i="37"/>
  <c r="W384" i="37" s="1"/>
  <c r="M1562" i="37"/>
  <c r="S377" i="41"/>
  <c r="S380" i="41"/>
  <c r="M170" i="49"/>
  <c r="M185" i="49" s="1"/>
  <c r="M171" i="49"/>
  <c r="M180" i="49" s="1"/>
  <c r="M197" i="50"/>
  <c r="I246" i="50"/>
  <c r="M999" i="37"/>
  <c r="M1467" i="37"/>
  <c r="W1468" i="37" s="1"/>
  <c r="M1475" i="37"/>
  <c r="M532" i="37"/>
  <c r="M312" i="37"/>
  <c r="W316" i="37" s="1"/>
  <c r="M473" i="37"/>
  <c r="W473" i="37" s="1"/>
  <c r="M1798" i="37"/>
  <c r="M1695" i="37"/>
  <c r="M1628" i="37"/>
  <c r="M94" i="37"/>
  <c r="W94" i="37" s="1"/>
  <c r="M1517" i="37"/>
  <c r="W1517" i="37" s="1"/>
  <c r="M1218" i="37"/>
  <c r="W1218" i="37"/>
  <c r="M945" i="37"/>
  <c r="P583" i="42"/>
  <c r="P576" i="42"/>
  <c r="P579" i="42"/>
  <c r="P1267" i="50"/>
  <c r="P1270" i="50"/>
  <c r="P1279" i="50"/>
  <c r="P1286" i="50"/>
  <c r="P1283" i="50"/>
  <c r="M143" i="37"/>
  <c r="W143" i="37"/>
  <c r="I357" i="50"/>
  <c r="J117" i="49"/>
  <c r="J172" i="50"/>
  <c r="X101" i="49"/>
  <c r="X102" i="49"/>
  <c r="X107" i="49" s="1"/>
  <c r="X108" i="49" s="1"/>
  <c r="X126" i="49" s="1"/>
  <c r="X127" i="49" s="1"/>
  <c r="X149" i="49" s="1"/>
  <c r="X153" i="49" s="1"/>
  <c r="X158" i="49" s="1"/>
  <c r="X162" i="49" s="1"/>
  <c r="X163" i="49" s="1"/>
  <c r="X175" i="49" s="1"/>
  <c r="X176" i="49" s="1"/>
  <c r="K201" i="50"/>
  <c r="K180" i="49"/>
  <c r="K185" i="49"/>
  <c r="S132" i="50"/>
  <c r="L290" i="50"/>
  <c r="L264" i="37"/>
  <c r="L960" i="37"/>
  <c r="L1308" i="37"/>
  <c r="L1656" i="37"/>
  <c r="L123" i="41"/>
  <c r="L426" i="41"/>
  <c r="L612" i="37"/>
  <c r="L44" i="37"/>
  <c r="L438" i="37"/>
  <c r="L1482" i="37"/>
  <c r="L786" i="37"/>
  <c r="L797" i="50"/>
  <c r="L1531" i="50"/>
  <c r="J357" i="50"/>
  <c r="I264" i="37"/>
  <c r="I612" i="37"/>
  <c r="I1482" i="37"/>
  <c r="I438" i="37"/>
  <c r="L192" i="50"/>
  <c r="L171" i="49"/>
  <c r="L118" i="49"/>
  <c r="H1038" i="50"/>
  <c r="H35" i="37"/>
  <c r="H518" i="50"/>
  <c r="H1476" i="37"/>
  <c r="H863" i="50"/>
  <c r="H432" i="37"/>
  <c r="E441" i="50"/>
  <c r="H1204" i="50"/>
  <c r="S1201" i="50" s="1"/>
  <c r="J786" i="37"/>
  <c r="J1482" i="37"/>
  <c r="J438" i="37"/>
  <c r="J264" i="37"/>
  <c r="J960" i="37"/>
  <c r="J612" i="37"/>
  <c r="L172" i="50"/>
  <c r="L197" i="50"/>
  <c r="K167" i="50"/>
  <c r="L175" i="50"/>
  <c r="L134" i="49"/>
  <c r="L135" i="49" s="1"/>
  <c r="L182" i="50" s="1"/>
  <c r="L200" i="50"/>
  <c r="I247" i="50"/>
  <c r="J244" i="50"/>
  <c r="J243" i="50"/>
  <c r="J241" i="50"/>
  <c r="J245" i="50"/>
  <c r="J246" i="50"/>
  <c r="J242" i="50"/>
  <c r="J779" i="37"/>
  <c r="U673" i="42"/>
  <c r="C1383" i="50"/>
  <c r="Q1337" i="50"/>
  <c r="I1337" i="50"/>
  <c r="P1365" i="50" s="1"/>
  <c r="D1337" i="50"/>
  <c r="L1340" i="50"/>
  <c r="H1345" i="50" s="1"/>
  <c r="M1337" i="50"/>
  <c r="M1342" i="50" s="1"/>
  <c r="M1349" i="50" s="1"/>
  <c r="T1337" i="50" s="1"/>
  <c r="T1348" i="50" s="1"/>
  <c r="M200" i="50"/>
  <c r="L181" i="50"/>
  <c r="L129" i="41"/>
  <c r="L296" i="50" s="1"/>
  <c r="L189" i="41"/>
  <c r="T1294" i="37"/>
  <c r="P159" i="42"/>
  <c r="K241" i="50"/>
  <c r="K244" i="50"/>
  <c r="K246" i="50"/>
  <c r="K245" i="50"/>
  <c r="K243" i="50"/>
  <c r="K242" i="50"/>
  <c r="L201" i="50"/>
  <c r="L176" i="50"/>
  <c r="L140" i="49"/>
  <c r="K209" i="50"/>
  <c r="K186" i="49"/>
  <c r="K210" i="50"/>
  <c r="J140" i="49"/>
  <c r="M1480" i="37"/>
  <c r="W1480" i="37" s="1"/>
  <c r="T25" i="37"/>
  <c r="J42" i="37"/>
  <c r="T42" i="37" s="1"/>
  <c r="J34" i="37"/>
  <c r="P1308" i="50"/>
  <c r="R1291" i="50"/>
  <c r="P1325" i="50"/>
  <c r="P1333" i="50"/>
  <c r="P1318" i="50"/>
  <c r="P1324" i="50"/>
  <c r="P1303" i="50"/>
  <c r="P1307" i="50"/>
  <c r="E1294" i="50"/>
  <c r="P1331" i="50"/>
  <c r="P1314" i="50"/>
  <c r="P1315" i="50"/>
  <c r="P1299" i="50"/>
  <c r="P1300" i="50"/>
  <c r="L1307" i="50"/>
  <c r="M1315" i="50"/>
  <c r="K1317" i="50"/>
  <c r="L1332" i="50"/>
  <c r="J1325" i="50"/>
  <c r="K1312" i="50"/>
  <c r="K1327" i="50"/>
  <c r="M1308" i="50"/>
  <c r="L1315" i="50"/>
  <c r="J1315" i="50"/>
  <c r="J1317" i="50"/>
  <c r="L1331" i="50"/>
  <c r="L1312" i="50"/>
  <c r="K1313" i="50"/>
  <c r="J1308" i="50"/>
  <c r="L1316" i="50"/>
  <c r="I1313" i="50"/>
  <c r="L1324" i="50"/>
  <c r="I1328" i="50"/>
  <c r="M1324" i="50"/>
  <c r="L1322" i="50"/>
  <c r="M1314" i="50"/>
  <c r="K1318" i="50"/>
  <c r="I1316" i="50"/>
  <c r="K1320" i="50"/>
  <c r="L1330" i="50"/>
  <c r="I1322" i="50"/>
  <c r="L1313" i="50"/>
  <c r="K1315" i="50"/>
  <c r="L1317" i="50"/>
  <c r="L1319" i="50"/>
  <c r="L1314" i="50"/>
  <c r="L1327" i="50"/>
  <c r="I1314" i="50"/>
  <c r="J1329" i="50"/>
  <c r="L1328" i="50"/>
  <c r="M1316" i="50"/>
  <c r="M1296" i="50"/>
  <c r="I1319" i="50"/>
  <c r="M1328" i="50"/>
  <c r="J1319" i="50"/>
  <c r="K1330" i="50"/>
  <c r="M1307" i="50"/>
  <c r="I1331" i="50"/>
  <c r="L1299" i="50"/>
  <c r="M1294" i="50"/>
  <c r="L1320" i="50"/>
  <c r="I1317" i="50"/>
  <c r="M1295" i="50"/>
  <c r="J1313" i="50"/>
  <c r="K1299" i="50"/>
  <c r="I1299" i="50"/>
  <c r="L1325" i="50"/>
  <c r="J1299" i="50"/>
  <c r="K1322" i="50"/>
  <c r="M1322" i="50"/>
  <c r="J1316" i="50"/>
  <c r="I1308" i="50"/>
  <c r="K1331" i="50"/>
  <c r="M1318" i="50"/>
  <c r="L1300" i="50"/>
  <c r="I1300" i="50"/>
  <c r="F1303" i="50"/>
  <c r="M1300" i="50"/>
  <c r="K247" i="50"/>
  <c r="J247" i="50"/>
  <c r="J141" i="49"/>
  <c r="J185" i="50" s="1"/>
  <c r="J184" i="50"/>
  <c r="P1348" i="50"/>
  <c r="P1379" i="50"/>
  <c r="P1361" i="50"/>
  <c r="P1346" i="50"/>
  <c r="P1373" i="50"/>
  <c r="P1370" i="50"/>
  <c r="P1359" i="50"/>
  <c r="P1362" i="50"/>
  <c r="P1372" i="50"/>
  <c r="P1360" i="50"/>
  <c r="P1354" i="50"/>
  <c r="L218" i="41"/>
  <c r="L219" i="41" s="1"/>
  <c r="L339" i="50"/>
  <c r="I1366" i="50"/>
  <c r="I1376" i="50"/>
  <c r="L1373" i="50"/>
  <c r="K1358" i="50"/>
  <c r="L1375" i="50"/>
  <c r="L1376" i="50"/>
  <c r="K1370" i="50"/>
  <c r="M1354" i="50"/>
  <c r="K1353" i="50"/>
  <c r="J1358" i="50"/>
  <c r="M1359" i="50"/>
  <c r="I1370" i="50"/>
  <c r="M1353" i="50"/>
  <c r="K1363" i="50"/>
  <c r="M1371" i="50"/>
  <c r="I1345" i="50"/>
  <c r="I1360" i="50"/>
  <c r="J1360" i="50"/>
  <c r="J1365" i="50"/>
  <c r="L1354" i="50"/>
  <c r="I1378" i="50"/>
  <c r="L1361" i="50"/>
  <c r="K1366" i="50"/>
  <c r="M1377" i="50"/>
  <c r="K1376" i="50"/>
  <c r="I1375" i="50"/>
  <c r="L1366" i="50"/>
  <c r="K1379" i="50"/>
  <c r="K1345" i="50"/>
  <c r="K1364" i="50"/>
  <c r="K1375" i="50"/>
  <c r="M1358" i="50"/>
  <c r="J1340" i="50"/>
  <c r="N1346" i="50" s="1"/>
  <c r="K1349" i="50"/>
  <c r="S1348" i="50" s="1"/>
  <c r="I1346" i="50"/>
  <c r="I1349" i="50"/>
  <c r="R1348" i="50" s="1"/>
  <c r="M436" i="37"/>
  <c r="W436" i="37" s="1"/>
  <c r="W424" i="37"/>
  <c r="I42" i="37"/>
  <c r="S42" i="37"/>
  <c r="I34" i="37"/>
  <c r="M784" i="37"/>
  <c r="W784" i="37" s="1"/>
  <c r="W772" i="37"/>
  <c r="J610" i="37"/>
  <c r="T610" i="37" s="1"/>
  <c r="T598" i="37"/>
  <c r="J605" i="37"/>
  <c r="Q255" i="42"/>
  <c r="Q351" i="42"/>
  <c r="J1356" i="37"/>
  <c r="T1360" i="37" s="1"/>
  <c r="L116" i="41"/>
  <c r="L286" i="50" s="1"/>
  <c r="L239" i="41"/>
  <c r="L41" i="41"/>
  <c r="L19" i="41"/>
  <c r="L217" i="41"/>
  <c r="L360" i="50"/>
  <c r="L139" i="41"/>
  <c r="L299" i="50"/>
  <c r="M293" i="41"/>
  <c r="M406" i="50" s="1"/>
  <c r="M19" i="41"/>
  <c r="M95" i="41"/>
  <c r="M271" i="50" s="1"/>
  <c r="K188" i="41"/>
  <c r="K338" i="50" s="1"/>
  <c r="K425" i="41"/>
  <c r="K312" i="41"/>
  <c r="K423" i="50"/>
  <c r="M107" i="41"/>
  <c r="M279" i="50" s="1"/>
  <c r="M176" i="41"/>
  <c r="M328" i="50"/>
  <c r="M312" i="41"/>
  <c r="M423" i="50" s="1"/>
  <c r="K293" i="41"/>
  <c r="K406" i="50"/>
  <c r="K206" i="41"/>
  <c r="K351" i="50" s="1"/>
  <c r="K147" i="41"/>
  <c r="K305" i="50"/>
  <c r="K217" i="41"/>
  <c r="K360" i="50" s="1"/>
  <c r="L433" i="41"/>
  <c r="L176" i="41"/>
  <c r="L328" i="50" s="1"/>
  <c r="L301" i="41"/>
  <c r="L413" i="50" s="1"/>
  <c r="L52" i="41"/>
  <c r="L240" i="50" s="1"/>
  <c r="L327" i="41"/>
  <c r="L437" i="50"/>
  <c r="L312" i="41"/>
  <c r="L423" i="50" s="1"/>
  <c r="M206" i="41"/>
  <c r="M351" i="50" s="1"/>
  <c r="M147" i="41"/>
  <c r="M305" i="50" s="1"/>
  <c r="M425" i="41"/>
  <c r="K239" i="41"/>
  <c r="K280" i="41"/>
  <c r="K395" i="50" s="1"/>
  <c r="M217" i="41"/>
  <c r="M360" i="50" s="1"/>
  <c r="M227" i="41"/>
  <c r="M368" i="50" s="1"/>
  <c r="M239" i="41"/>
  <c r="K176" i="41"/>
  <c r="K328" i="50" s="1"/>
  <c r="K19" i="41"/>
  <c r="K264" i="41"/>
  <c r="K381" i="50" s="1"/>
  <c r="I440" i="41"/>
  <c r="I447" i="41" s="1"/>
  <c r="L264" i="41"/>
  <c r="L381" i="50" s="1"/>
  <c r="L375" i="41"/>
  <c r="L476" i="50" s="1"/>
  <c r="L206" i="41"/>
  <c r="L351" i="50"/>
  <c r="L293" i="41"/>
  <c r="L406" i="50" s="1"/>
  <c r="L147" i="41"/>
  <c r="L305" i="50" s="1"/>
  <c r="M343" i="41"/>
  <c r="M451" i="50" s="1"/>
  <c r="M41" i="41"/>
  <c r="M327" i="41"/>
  <c r="M437" i="50"/>
  <c r="M264" i="41"/>
  <c r="M381" i="50" s="1"/>
  <c r="M301" i="41"/>
  <c r="M413" i="50" s="1"/>
  <c r="M116" i="41"/>
  <c r="M286" i="50" s="1"/>
  <c r="M101" i="41"/>
  <c r="K180" i="50"/>
  <c r="J402" i="43"/>
  <c r="I33" i="50" s="1"/>
  <c r="K402" i="43"/>
  <c r="L33" i="50" s="1"/>
  <c r="G402" i="43"/>
  <c r="V225" i="42"/>
  <c r="T89" i="42"/>
  <c r="S568" i="42"/>
  <c r="T337" i="42"/>
  <c r="E163" i="47"/>
  <c r="K252" i="43"/>
  <c r="C17" i="9" s="1"/>
  <c r="S582" i="42"/>
  <c r="U296" i="42"/>
  <c r="T255" i="42"/>
  <c r="V429" i="42"/>
  <c r="I252" i="43"/>
  <c r="C15" i="9"/>
  <c r="T524" i="42"/>
  <c r="F403" i="43"/>
  <c r="W392" i="42"/>
  <c r="T325" i="42"/>
  <c r="V325" i="42"/>
  <c r="V639" i="42"/>
  <c r="T137" i="42"/>
  <c r="V233" i="42"/>
  <c r="V237" i="42"/>
  <c r="L34" i="37"/>
  <c r="L42" i="37"/>
  <c r="V42" i="37" s="1"/>
  <c r="V1642" i="37"/>
  <c r="L1649" i="37"/>
  <c r="AN4" i="58"/>
  <c r="V4" i="58"/>
  <c r="AD4" i="58"/>
  <c r="AR4" i="58"/>
  <c r="AP4" i="58"/>
  <c r="X4" i="58"/>
  <c r="T4" i="58"/>
  <c r="AF4" i="58"/>
  <c r="AX4" i="58"/>
  <c r="W241" i="42"/>
  <c r="W200" i="42"/>
  <c r="W237" i="42"/>
  <c r="Q783" i="50"/>
  <c r="D783" i="50"/>
  <c r="I779" i="37"/>
  <c r="S772" i="37"/>
  <c r="S598" i="37"/>
  <c r="I605" i="37"/>
  <c r="M180" i="50"/>
  <c r="M205" i="50"/>
  <c r="Z4" i="59"/>
  <c r="R4" i="59"/>
  <c r="AD4" i="59"/>
  <c r="X4" i="59"/>
  <c r="AB4" i="59"/>
  <c r="AP4" i="59"/>
  <c r="AX4" i="59"/>
  <c r="J6" i="59"/>
  <c r="AT4" i="59"/>
  <c r="AL4" i="59"/>
  <c r="C852" i="50"/>
  <c r="AD4" i="55"/>
  <c r="W159" i="42"/>
  <c r="M1567" i="50"/>
  <c r="M1566" i="50"/>
  <c r="K779" i="37"/>
  <c r="K784" i="37"/>
  <c r="U784" i="37" s="1"/>
  <c r="I1475" i="37"/>
  <c r="S1468" i="37"/>
  <c r="J181" i="49"/>
  <c r="J207" i="50" s="1"/>
  <c r="M91" i="50"/>
  <c r="M20" i="41"/>
  <c r="M23" i="41" s="1"/>
  <c r="P709" i="42"/>
  <c r="F404" i="43"/>
  <c r="J404" i="43"/>
  <c r="I35" i="50" s="1"/>
  <c r="E405" i="43"/>
  <c r="E406" i="43"/>
  <c r="E407" i="43"/>
  <c r="N1250" i="50"/>
  <c r="M339" i="50"/>
  <c r="M194" i="41"/>
  <c r="M197" i="41" s="1"/>
  <c r="M345" i="50" s="1"/>
  <c r="Q272" i="43"/>
  <c r="L272" i="43"/>
  <c r="M431" i="41"/>
  <c r="M434" i="41"/>
  <c r="M301" i="50"/>
  <c r="K303" i="47"/>
  <c r="K305" i="47" s="1"/>
  <c r="P1280" i="50"/>
  <c r="E1248" i="50"/>
  <c r="P1256" i="50"/>
  <c r="E524" i="42"/>
  <c r="M1454" i="37"/>
  <c r="J186" i="49"/>
  <c r="J210" i="50" s="1"/>
  <c r="M160" i="37"/>
  <c r="W160" i="37" s="1"/>
  <c r="M1210" i="37"/>
  <c r="W1210" i="37" s="1"/>
  <c r="M1826" i="37"/>
  <c r="M548" i="37"/>
  <c r="W550" i="37" s="1"/>
  <c r="P582" i="42"/>
  <c r="P1272" i="50"/>
  <c r="P1285" i="50"/>
  <c r="P1276" i="50"/>
  <c r="P1287" i="50"/>
  <c r="R577" i="42"/>
  <c r="I563" i="42"/>
  <c r="I139" i="49"/>
  <c r="M303" i="37"/>
  <c r="M540" i="37"/>
  <c r="H1370" i="37"/>
  <c r="H1022" i="37"/>
  <c r="H1544" i="37"/>
  <c r="H488" i="37"/>
  <c r="H129" i="42"/>
  <c r="H553" i="50"/>
  <c r="H131" i="37"/>
  <c r="L222" i="41"/>
  <c r="M282" i="41"/>
  <c r="M397" i="50" s="1"/>
  <c r="I282" i="41"/>
  <c r="I397" i="50" s="1"/>
  <c r="S230" i="41"/>
  <c r="E568" i="42"/>
  <c r="M1347" i="37"/>
  <c r="M1802" i="37"/>
  <c r="M714" i="37"/>
  <c r="M706" i="37"/>
  <c r="M1576" i="37"/>
  <c r="P1284" i="50"/>
  <c r="P1278" i="50"/>
  <c r="M821" i="37"/>
  <c r="W821" i="37" s="1"/>
  <c r="M584" i="37"/>
  <c r="M1343" i="37"/>
  <c r="W1343" i="37" s="1"/>
  <c r="M1054" i="37"/>
  <c r="M597" i="37"/>
  <c r="M605" i="37" s="1"/>
  <c r="M59" i="37"/>
  <c r="M1774" i="37"/>
  <c r="W1776" i="37"/>
  <c r="M896" i="37"/>
  <c r="W898" i="37" s="1"/>
  <c r="J912" i="37"/>
  <c r="T915" i="37" s="1"/>
  <c r="J59" i="37"/>
  <c r="P1262" i="50"/>
  <c r="P1271" i="50"/>
  <c r="P573" i="42"/>
  <c r="J1782" i="37"/>
  <c r="T1785" i="37" s="1"/>
  <c r="J427" i="41"/>
  <c r="J434" i="41" s="1"/>
  <c r="B62" i="34"/>
  <c r="J334" i="50"/>
  <c r="M357" i="50"/>
  <c r="H848" i="37"/>
  <c r="H1196" i="37"/>
  <c r="H1718" i="37"/>
  <c r="H662" i="37"/>
  <c r="H1375" i="50"/>
  <c r="R18" i="49"/>
  <c r="I18" i="49" s="1"/>
  <c r="I53" i="49" s="1"/>
  <c r="I85" i="50" s="1"/>
  <c r="P49" i="50"/>
  <c r="M281" i="41"/>
  <c r="M283" i="41"/>
  <c r="M398" i="50" s="1"/>
  <c r="E455" i="41"/>
  <c r="P455" i="41" s="1"/>
  <c r="E131" i="50"/>
  <c r="P131" i="50" s="1"/>
  <c r="M396" i="50"/>
  <c r="L365" i="50"/>
  <c r="H404" i="43"/>
  <c r="E35" i="50" s="1"/>
  <c r="Q852" i="50"/>
  <c r="D852" i="50"/>
  <c r="C921" i="50"/>
  <c r="X157" i="49"/>
  <c r="M958" i="37"/>
  <c r="W958" i="37" s="1"/>
  <c r="J262" i="37"/>
  <c r="T262" i="37" s="1"/>
  <c r="J257" i="37"/>
  <c r="T250" i="37"/>
  <c r="J1475" i="37"/>
  <c r="J1480" i="37"/>
  <c r="T1480" i="37" s="1"/>
  <c r="T1468" i="37"/>
  <c r="T1642" i="37"/>
  <c r="J1654" i="37"/>
  <c r="T1654" i="37"/>
  <c r="J1649" i="37"/>
  <c r="H1300" i="50"/>
  <c r="G1303" i="50" s="1"/>
  <c r="N1296" i="50"/>
  <c r="N1295" i="50"/>
  <c r="N1294" i="50"/>
  <c r="Q921" i="50"/>
  <c r="W598" i="37"/>
  <c r="M610" i="37"/>
  <c r="W610" i="37" s="1"/>
  <c r="H403" i="43"/>
  <c r="E34" i="50" s="1"/>
  <c r="K403" i="43"/>
  <c r="L34" i="50" s="1"/>
  <c r="G403" i="43"/>
  <c r="J403" i="43"/>
  <c r="I34" i="50" s="1"/>
  <c r="N1342" i="50"/>
  <c r="M1383" i="50"/>
  <c r="C1415" i="50"/>
  <c r="C1447" i="50" s="1"/>
  <c r="L1386" i="50"/>
  <c r="H1391" i="50"/>
  <c r="N1387" i="50" s="1"/>
  <c r="I1383" i="50"/>
  <c r="D1383" i="50"/>
  <c r="Q1383" i="50"/>
  <c r="F406" i="43"/>
  <c r="E390" i="43"/>
  <c r="T1120" i="37"/>
  <c r="J1132" i="37"/>
  <c r="T1132" i="37" s="1"/>
  <c r="J1127" i="37"/>
  <c r="E217" i="34"/>
  <c r="Q217" i="34"/>
  <c r="T217" i="34" s="1"/>
  <c r="F405" i="43"/>
  <c r="J405" i="43" s="1"/>
  <c r="I36" i="50" s="1"/>
  <c r="E395" i="47"/>
  <c r="L390" i="47"/>
  <c r="L392" i="47" s="1"/>
  <c r="I390" i="47"/>
  <c r="I392" i="47" s="1"/>
  <c r="E384" i="47"/>
  <c r="J390" i="47"/>
  <c r="J392" i="47" s="1"/>
  <c r="K390" i="47"/>
  <c r="K392" i="47" s="1"/>
  <c r="E319" i="47"/>
  <c r="E340" i="47"/>
  <c r="S131" i="50"/>
  <c r="E154" i="50"/>
  <c r="E266" i="50"/>
  <c r="L180" i="49"/>
  <c r="L185" i="49"/>
  <c r="K181" i="49"/>
  <c r="K207" i="50"/>
  <c r="K206" i="50"/>
  <c r="S1294" i="37"/>
  <c r="I1301" i="37"/>
  <c r="I1306" i="37"/>
  <c r="S1306" i="37"/>
  <c r="P1368" i="50"/>
  <c r="P1366" i="50"/>
  <c r="P1378" i="50"/>
  <c r="P1374" i="50"/>
  <c r="P1375" i="50"/>
  <c r="P1358" i="50"/>
  <c r="P1364" i="50"/>
  <c r="P1376" i="50"/>
  <c r="P1371" i="50"/>
  <c r="P1345" i="50"/>
  <c r="P1349" i="50"/>
  <c r="P1353" i="50"/>
  <c r="P1377" i="50"/>
  <c r="E1340" i="50"/>
  <c r="J175" i="50"/>
  <c r="J134" i="49"/>
  <c r="M201" i="50"/>
  <c r="J1301" i="37"/>
  <c r="J1306" i="37"/>
  <c r="T1306" i="37" s="1"/>
  <c r="M1331" i="50"/>
  <c r="J1331" i="50"/>
  <c r="J1314" i="50"/>
  <c r="M1326" i="50"/>
  <c r="J1322" i="50"/>
  <c r="K1328" i="50"/>
  <c r="M1312" i="50"/>
  <c r="L1326" i="50"/>
  <c r="M1327" i="50"/>
  <c r="J1318" i="50"/>
  <c r="I1312" i="50"/>
  <c r="M1332" i="50"/>
  <c r="K1319" i="50"/>
  <c r="K1316" i="50"/>
  <c r="J1333" i="50"/>
  <c r="L1329" i="50"/>
  <c r="J1324" i="50"/>
  <c r="I1332" i="50"/>
  <c r="I1325" i="50"/>
  <c r="M1313" i="50"/>
  <c r="I1333" i="50"/>
  <c r="M1299" i="50"/>
  <c r="K1333" i="50"/>
  <c r="L1318" i="50"/>
  <c r="M1330" i="50"/>
  <c r="K1332" i="50"/>
  <c r="J1330" i="50"/>
  <c r="J1328" i="50"/>
  <c r="I1318" i="50"/>
  <c r="I1294" i="50"/>
  <c r="K1300" i="50"/>
  <c r="K1303" i="50"/>
  <c r="S1302" i="50" s="1"/>
  <c r="M1333" i="50"/>
  <c r="K1314" i="50"/>
  <c r="I1327" i="50"/>
  <c r="K1324" i="50"/>
  <c r="I1324" i="50"/>
  <c r="M1320" i="50"/>
  <c r="K1308" i="50"/>
  <c r="K1329" i="50"/>
  <c r="L1308" i="50"/>
  <c r="I1307" i="50"/>
  <c r="J1327" i="50"/>
  <c r="L1333" i="50"/>
  <c r="J1320" i="50"/>
  <c r="I1329" i="50"/>
  <c r="K1326" i="50"/>
  <c r="I1326" i="50"/>
  <c r="J1312" i="50"/>
  <c r="M1325" i="50"/>
  <c r="J1332" i="50"/>
  <c r="M1303" i="50"/>
  <c r="T1291" i="50" s="1"/>
  <c r="T1302" i="50" s="1"/>
  <c r="K1325" i="50"/>
  <c r="M1319" i="50"/>
  <c r="I1315" i="50"/>
  <c r="I1330" i="50"/>
  <c r="K1307" i="50"/>
  <c r="J1326" i="50"/>
  <c r="I1320" i="50"/>
  <c r="J1294" i="50"/>
  <c r="N1300" i="50" s="1"/>
  <c r="M1317" i="50"/>
  <c r="M1329" i="50"/>
  <c r="J1307" i="50"/>
  <c r="J1300" i="50"/>
  <c r="I1303" i="50"/>
  <c r="R1302" i="50" s="1"/>
  <c r="L361" i="50"/>
  <c r="L362" i="50"/>
  <c r="L141" i="49"/>
  <c r="L185" i="50"/>
  <c r="L184" i="50"/>
  <c r="L193" i="41"/>
  <c r="L228" i="41" s="1"/>
  <c r="L248" i="41" s="1"/>
  <c r="L194" i="41"/>
  <c r="L342" i="50" s="1"/>
  <c r="I1374" i="50"/>
  <c r="M1375" i="50"/>
  <c r="J1361" i="50"/>
  <c r="K1377" i="50"/>
  <c r="M1374" i="50"/>
  <c r="L1353" i="50"/>
  <c r="I1362" i="50"/>
  <c r="L1362" i="50"/>
  <c r="I1379" i="50"/>
  <c r="J1379" i="50"/>
  <c r="J1375" i="50"/>
  <c r="J1370" i="50"/>
  <c r="I1377" i="50"/>
  <c r="I1354" i="50"/>
  <c r="J1345" i="50"/>
  <c r="M1378" i="50"/>
  <c r="K1359" i="50"/>
  <c r="M1373" i="50"/>
  <c r="M1340" i="50"/>
  <c r="L1364" i="50"/>
  <c r="J1353" i="50"/>
  <c r="I1340" i="50"/>
  <c r="L1345" i="50"/>
  <c r="I1368" i="50"/>
  <c r="J1373" i="50"/>
  <c r="I1359" i="50"/>
  <c r="M1365" i="50"/>
  <c r="L1365" i="50"/>
  <c r="M1341" i="50"/>
  <c r="L1377" i="50"/>
  <c r="M1362" i="50"/>
  <c r="K1362" i="50"/>
  <c r="J1364" i="50"/>
  <c r="M1379" i="50"/>
  <c r="I1358" i="50"/>
  <c r="K1360" i="50"/>
  <c r="J1359" i="50"/>
  <c r="M1345" i="50"/>
  <c r="J1354" i="50"/>
  <c r="I1353" i="50"/>
  <c r="J1377" i="50"/>
  <c r="J1376" i="50"/>
  <c r="L1363" i="50"/>
  <c r="M1376" i="50"/>
  <c r="K1374" i="50"/>
  <c r="J1374" i="50"/>
  <c r="J1378" i="50"/>
  <c r="M1366" i="50"/>
  <c r="J1368" i="50"/>
  <c r="J1363" i="50"/>
  <c r="M1363" i="50"/>
  <c r="I1365" i="50"/>
  <c r="L1368" i="50"/>
  <c r="I1372" i="50"/>
  <c r="M1370" i="50"/>
  <c r="K1354" i="50"/>
  <c r="L1372" i="50"/>
  <c r="L1359" i="50"/>
  <c r="K1378" i="50"/>
  <c r="J1346" i="50"/>
  <c r="K1346" i="50"/>
  <c r="F1349" i="50"/>
  <c r="L427" i="41"/>
  <c r="L434" i="41"/>
  <c r="L293" i="50"/>
  <c r="V421" i="42"/>
  <c r="L958" i="37"/>
  <c r="V958" i="37" s="1"/>
  <c r="V946" i="37"/>
  <c r="K141" i="49"/>
  <c r="K185" i="50" s="1"/>
  <c r="K184" i="50"/>
  <c r="K361" i="50"/>
  <c r="K219" i="41"/>
  <c r="K362" i="50"/>
  <c r="W351" i="42"/>
  <c r="E140" i="47"/>
  <c r="W421" i="42"/>
  <c r="U337" i="42"/>
  <c r="T321" i="42"/>
  <c r="T329" i="42"/>
  <c r="K291" i="47"/>
  <c r="K293" i="47" s="1"/>
  <c r="AN4" i="56"/>
  <c r="N4" i="56"/>
  <c r="J6" i="56"/>
  <c r="V4" i="56"/>
  <c r="AD4" i="56"/>
  <c r="T4" i="56"/>
  <c r="AH4" i="56"/>
  <c r="AJ4" i="56"/>
  <c r="Z4" i="56"/>
  <c r="AR4" i="56"/>
  <c r="K253" i="49"/>
  <c r="K222" i="50" s="1"/>
  <c r="Q273" i="43"/>
  <c r="P768" i="37"/>
  <c r="C942" i="37"/>
  <c r="P942" i="37" s="1"/>
  <c r="L152" i="49"/>
  <c r="L16" i="49"/>
  <c r="U16" i="49"/>
  <c r="L148" i="49"/>
  <c r="L189" i="50"/>
  <c r="I223" i="42"/>
  <c r="S223" i="42" s="1"/>
  <c r="I396" i="42"/>
  <c r="I275" i="42"/>
  <c r="I319" i="42"/>
  <c r="S319" i="42"/>
  <c r="I295" i="42"/>
  <c r="S295" i="42"/>
  <c r="K223" i="42"/>
  <c r="U223" i="42" s="1"/>
  <c r="K492" i="42"/>
  <c r="U492" i="42" s="1"/>
  <c r="K24" i="42"/>
  <c r="U24" i="42" s="1"/>
  <c r="L20" i="41"/>
  <c r="L23" i="41" s="1"/>
  <c r="L91" i="50"/>
  <c r="K301" i="50"/>
  <c r="M1491" i="37"/>
  <c r="M928" i="37"/>
  <c r="M738" i="37"/>
  <c r="W741" i="37" s="1"/>
  <c r="M235" i="37"/>
  <c r="M1766" i="37"/>
  <c r="W1768" i="37" s="1"/>
  <c r="S134" i="50"/>
  <c r="M335" i="37"/>
  <c r="W335" i="37" s="1"/>
  <c r="M754" i="37"/>
  <c r="M932" i="37"/>
  <c r="M758" i="37"/>
  <c r="M199" i="37"/>
  <c r="W201" i="37"/>
  <c r="M621" i="37"/>
  <c r="C1116" i="37"/>
  <c r="P266" i="50"/>
  <c r="K406" i="43"/>
  <c r="L37" i="50" s="1"/>
  <c r="J406" i="43"/>
  <c r="I37" i="50" s="1"/>
  <c r="H406" i="43"/>
  <c r="E37" i="50" s="1"/>
  <c r="G406" i="43"/>
  <c r="P1401" i="50"/>
  <c r="P1411" i="50"/>
  <c r="P1394" i="50"/>
  <c r="R1383" i="50"/>
  <c r="P1405" i="50"/>
  <c r="P1402" i="50"/>
  <c r="P1410" i="50"/>
  <c r="P1408" i="50"/>
  <c r="P1395" i="50"/>
  <c r="P1392" i="50"/>
  <c r="P1406" i="50"/>
  <c r="J181" i="50"/>
  <c r="J135" i="49"/>
  <c r="J182" i="50" s="1"/>
  <c r="L209" i="50"/>
  <c r="L186" i="49"/>
  <c r="L210" i="50"/>
  <c r="L206" i="50"/>
  <c r="L181" i="49"/>
  <c r="L207" i="50" s="1"/>
  <c r="E391" i="43"/>
  <c r="M1415" i="50"/>
  <c r="I1427" i="50" s="1"/>
  <c r="R1426" i="50" s="1"/>
  <c r="D1415" i="50"/>
  <c r="L1418" i="50"/>
  <c r="H1423" i="50"/>
  <c r="I1415" i="50"/>
  <c r="P1423" i="50" s="1"/>
  <c r="Q1415" i="50"/>
  <c r="L48" i="41"/>
  <c r="L57" i="41"/>
  <c r="M181" i="49"/>
  <c r="M207" i="50"/>
  <c r="M206" i="50"/>
  <c r="L1404" i="50"/>
  <c r="I1403" i="50"/>
  <c r="K1405" i="50"/>
  <c r="I1411" i="50"/>
  <c r="M1408" i="50"/>
  <c r="L1402" i="50"/>
  <c r="K1403" i="50"/>
  <c r="L1410" i="50"/>
  <c r="M1388" i="50"/>
  <c r="M1395" i="50" s="1"/>
  <c r="T1383" i="50" s="1"/>
  <c r="T1394" i="50" s="1"/>
  <c r="J1411" i="50"/>
  <c r="J1391" i="50"/>
  <c r="J1401" i="50"/>
  <c r="K1392" i="50"/>
  <c r="I1395" i="50"/>
  <c r="R1394" i="50" s="1"/>
  <c r="M1387" i="50"/>
  <c r="M1405" i="50"/>
  <c r="I1402" i="50"/>
  <c r="I1405" i="50"/>
  <c r="M1402" i="50"/>
  <c r="K1411" i="50"/>
  <c r="K1410" i="50"/>
  <c r="M1391" i="50"/>
  <c r="L1406" i="50"/>
  <c r="I1404" i="50"/>
  <c r="K1401" i="50"/>
  <c r="K1404" i="50"/>
  <c r="J1392" i="50"/>
  <c r="I1392" i="50"/>
  <c r="K1408" i="50"/>
  <c r="I1410" i="50"/>
  <c r="M1386" i="50"/>
  <c r="I1408" i="50"/>
  <c r="L1401" i="50"/>
  <c r="J1386" i="50"/>
  <c r="N1392" i="50" s="1"/>
  <c r="M1392" i="50"/>
  <c r="K1395" i="50"/>
  <c r="S1394" i="50" s="1"/>
  <c r="J1404" i="50"/>
  <c r="M1411" i="50"/>
  <c r="M1404" i="50"/>
  <c r="I1401" i="50"/>
  <c r="I1406" i="50"/>
  <c r="L1392" i="50"/>
  <c r="M1403" i="50"/>
  <c r="L1405" i="50"/>
  <c r="J1405" i="50"/>
  <c r="J1402" i="50"/>
  <c r="L1408" i="50"/>
  <c r="L1391" i="50"/>
  <c r="M1401" i="50"/>
  <c r="J1403" i="50"/>
  <c r="K1406" i="50"/>
  <c r="L1411" i="50"/>
  <c r="K1391" i="50"/>
  <c r="K1402" i="50"/>
  <c r="M1410" i="50"/>
  <c r="M1447" i="50"/>
  <c r="C1479" i="50"/>
  <c r="C1290" i="37"/>
  <c r="P1116" i="37"/>
  <c r="L1438" i="50"/>
  <c r="L1443" i="50"/>
  <c r="I1418" i="50"/>
  <c r="K1438" i="50"/>
  <c r="L1440" i="50"/>
  <c r="J1418" i="50"/>
  <c r="N1424" i="50" s="1"/>
  <c r="I1436" i="50"/>
  <c r="K1433" i="50"/>
  <c r="M1440" i="50"/>
  <c r="I1435" i="50"/>
  <c r="M1437" i="50"/>
  <c r="L1436" i="50"/>
  <c r="K1427" i="50"/>
  <c r="S1426" i="50" s="1"/>
  <c r="M1420" i="50"/>
  <c r="M1427" i="50" s="1"/>
  <c r="T1415" i="50" s="1"/>
  <c r="T1426" i="50" s="1"/>
  <c r="M1442" i="50"/>
  <c r="K1440" i="50"/>
  <c r="K1424" i="50"/>
  <c r="J1424" i="50"/>
  <c r="M1424" i="50"/>
  <c r="J1433" i="50"/>
  <c r="M1434" i="50"/>
  <c r="J1440" i="50"/>
  <c r="I1438" i="50"/>
  <c r="L1434" i="50"/>
  <c r="J1435" i="50"/>
  <c r="K1435" i="50"/>
  <c r="J1437" i="50"/>
  <c r="I1442" i="50"/>
  <c r="R1415" i="50"/>
  <c r="P1427" i="50"/>
  <c r="P1434" i="50"/>
  <c r="P1442" i="50"/>
  <c r="P1433" i="50"/>
  <c r="P1443" i="50"/>
  <c r="P1436" i="50"/>
  <c r="H1418" i="50"/>
  <c r="S1415" i="50" s="1"/>
  <c r="H1424" i="50"/>
  <c r="G1427" i="50" s="1"/>
  <c r="N1420" i="50"/>
  <c r="E392" i="43"/>
  <c r="D1479" i="50"/>
  <c r="Q1479" i="50"/>
  <c r="M1479" i="50"/>
  <c r="K1488" i="50" s="1"/>
  <c r="L1482" i="50"/>
  <c r="H1487" i="50" s="1"/>
  <c r="C1499" i="50"/>
  <c r="C1464" i="37"/>
  <c r="P1290" i="37"/>
  <c r="I1468" i="50"/>
  <c r="I1470" i="50"/>
  <c r="M1468" i="50"/>
  <c r="L1469" i="50"/>
  <c r="J1475" i="50"/>
  <c r="J1465" i="50"/>
  <c r="L1467" i="50"/>
  <c r="L1470" i="50"/>
  <c r="M1467" i="50"/>
  <c r="M1465" i="50"/>
  <c r="M1470" i="50"/>
  <c r="I1450" i="50"/>
  <c r="L1472" i="50"/>
  <c r="I1474" i="50"/>
  <c r="K1467" i="50"/>
  <c r="M1474" i="50"/>
  <c r="M1451" i="50"/>
  <c r="I1469" i="50"/>
  <c r="L1455" i="50"/>
  <c r="I1465" i="50"/>
  <c r="J1450" i="50"/>
  <c r="N1456" i="50" s="1"/>
  <c r="J1466" i="50"/>
  <c r="J1456" i="50"/>
  <c r="K1466" i="50"/>
  <c r="K1472" i="50"/>
  <c r="I1456" i="50"/>
  <c r="L1468" i="50"/>
  <c r="I1459" i="50"/>
  <c r="R1458" i="50" s="1"/>
  <c r="M1455" i="50"/>
  <c r="J1468" i="50"/>
  <c r="K1455" i="50"/>
  <c r="M1475" i="50"/>
  <c r="M1452" i="50"/>
  <c r="M1459" i="50" s="1"/>
  <c r="T1447" i="50" s="1"/>
  <c r="T1458" i="50" s="1"/>
  <c r="M1472" i="50"/>
  <c r="J1469" i="50"/>
  <c r="J1474" i="50"/>
  <c r="I1475" i="50"/>
  <c r="M1450" i="50"/>
  <c r="J1472" i="50"/>
  <c r="I1472" i="50"/>
  <c r="L1474" i="50"/>
  <c r="K1459" i="50"/>
  <c r="S1458" i="50" s="1"/>
  <c r="I1467" i="50"/>
  <c r="K1470" i="50"/>
  <c r="K1469" i="50"/>
  <c r="J1467" i="50"/>
  <c r="F1459" i="50"/>
  <c r="J1470" i="50"/>
  <c r="M1456" i="50"/>
  <c r="I1455" i="50"/>
  <c r="K1465" i="50"/>
  <c r="K1468" i="50"/>
  <c r="M1466" i="50"/>
  <c r="K1474" i="50"/>
  <c r="J1455" i="50"/>
  <c r="K1456" i="50"/>
  <c r="K1475" i="50"/>
  <c r="M1469" i="50"/>
  <c r="L1475" i="50"/>
  <c r="I1466" i="50"/>
  <c r="L1466" i="50"/>
  <c r="L1456" i="50"/>
  <c r="L1465" i="50"/>
  <c r="E393" i="43"/>
  <c r="M1484" i="50"/>
  <c r="J1487" i="50"/>
  <c r="L1487" i="50"/>
  <c r="D1499" i="50"/>
  <c r="Q1499" i="50"/>
  <c r="C1519" i="50"/>
  <c r="M1499" i="50"/>
  <c r="I1507" i="50" s="1"/>
  <c r="I1499" i="50"/>
  <c r="R1499" i="50" s="1"/>
  <c r="L1502" i="50"/>
  <c r="H1507" i="50" s="1"/>
  <c r="E394" i="43"/>
  <c r="P1508" i="50"/>
  <c r="H1502" i="50"/>
  <c r="S1502" i="50" s="1"/>
  <c r="P1510" i="50"/>
  <c r="K1507" i="50"/>
  <c r="K1508" i="50"/>
  <c r="J1502" i="50"/>
  <c r="N1508" i="50" s="1"/>
  <c r="M1502" i="50"/>
  <c r="M1507" i="50"/>
  <c r="I1511" i="50"/>
  <c r="R1510" i="50" s="1"/>
  <c r="M1504" i="50"/>
  <c r="M1511" i="50" s="1"/>
  <c r="T1499" i="50" s="1"/>
  <c r="T1510" i="50" s="1"/>
  <c r="I1502" i="50"/>
  <c r="I1508" i="50"/>
  <c r="M1508" i="50"/>
  <c r="I1519" i="50"/>
  <c r="P1528" i="50" s="1"/>
  <c r="Q1519" i="50"/>
  <c r="D1519" i="50"/>
  <c r="L1522" i="50"/>
  <c r="H1527" i="50" s="1"/>
  <c r="M1519" i="50"/>
  <c r="N1504" i="50"/>
  <c r="H1508" i="50"/>
  <c r="G1511" i="50"/>
  <c r="N1502" i="50"/>
  <c r="N1503" i="50"/>
  <c r="J1528" i="50"/>
  <c r="I1528" i="50"/>
  <c r="M1522" i="50"/>
  <c r="L1527" i="50"/>
  <c r="L1528" i="50"/>
  <c r="P1530" i="50"/>
  <c r="E1522" i="50"/>
  <c r="P1527" i="50"/>
  <c r="N1524" i="50"/>
  <c r="J1298" i="50"/>
  <c r="J1572" i="50"/>
  <c r="J1573" i="50" s="1"/>
  <c r="K652" i="50"/>
  <c r="K1565" i="50"/>
  <c r="K1526" i="50"/>
  <c r="K1577" i="50"/>
  <c r="K1462" i="50"/>
  <c r="K1572" i="50"/>
  <c r="K1573" i="50" s="1"/>
  <c r="K997" i="50"/>
  <c r="K593" i="50"/>
  <c r="K514" i="50"/>
  <c r="K1066" i="50"/>
  <c r="K1306" i="50"/>
  <c r="K1430" i="50"/>
  <c r="M1145" i="50"/>
  <c r="M1462" i="50"/>
  <c r="M790" i="50"/>
  <c r="M1252" i="50"/>
  <c r="M524" i="50"/>
  <c r="M514" i="50"/>
  <c r="M1534" i="50"/>
  <c r="M1454" i="50"/>
  <c r="M1612" i="50"/>
  <c r="M652" i="50"/>
  <c r="M1352" i="50"/>
  <c r="K1252" i="50"/>
  <c r="K1422" i="50"/>
  <c r="K1486" i="50"/>
  <c r="K1076" i="50"/>
  <c r="K1352" i="50"/>
  <c r="K1494" i="50"/>
  <c r="K1390" i="50"/>
  <c r="K800" i="50"/>
  <c r="K372" i="50"/>
  <c r="K1398" i="50"/>
  <c r="K1206" i="50"/>
  <c r="J1530" i="37"/>
  <c r="T1534" i="37" s="1"/>
  <c r="K440" i="41"/>
  <c r="K447" i="41" s="1"/>
  <c r="J1736" i="37"/>
  <c r="I224" i="49"/>
  <c r="I137" i="50"/>
  <c r="I152" i="49"/>
  <c r="I95" i="49"/>
  <c r="I169" i="50" s="1"/>
  <c r="I161" i="49"/>
  <c r="I194" i="50" s="1"/>
  <c r="I285" i="49"/>
  <c r="S285" i="49"/>
  <c r="I106" i="49"/>
  <c r="L205" i="50"/>
  <c r="I174" i="49"/>
  <c r="I114" i="50"/>
  <c r="I100" i="49"/>
  <c r="I281" i="49"/>
  <c r="I184" i="49"/>
  <c r="I295" i="49"/>
  <c r="I300" i="49"/>
  <c r="I179" i="49"/>
  <c r="I205" i="50" s="1"/>
  <c r="I252" i="49"/>
  <c r="I245" i="49"/>
  <c r="I218" i="49"/>
  <c r="I169" i="49"/>
  <c r="I199" i="50" s="1"/>
  <c r="I236" i="49"/>
  <c r="S236" i="49"/>
  <c r="I111" i="50"/>
  <c r="I156" i="49"/>
  <c r="I125" i="49"/>
  <c r="I67" i="49"/>
  <c r="I276" i="49"/>
  <c r="L246" i="41"/>
  <c r="G404" i="43"/>
  <c r="T433" i="42"/>
  <c r="V333" i="42"/>
  <c r="T144" i="47"/>
  <c r="T388" i="47"/>
  <c r="M291" i="47"/>
  <c r="M293" i="47" s="1"/>
  <c r="V504" i="42"/>
  <c r="W504" i="42"/>
  <c r="E267" i="47"/>
  <c r="T392" i="42"/>
  <c r="K197" i="41"/>
  <c r="K345" i="50" s="1"/>
  <c r="K404" i="43"/>
  <c r="L35" i="50" s="1"/>
  <c r="U159" i="42"/>
  <c r="K1567" i="50"/>
  <c r="K1566" i="50"/>
  <c r="I180" i="50"/>
  <c r="M1609" i="50" l="1"/>
  <c r="J254" i="43"/>
  <c r="L246" i="43"/>
  <c r="I254" i="43"/>
  <c r="S42" i="41"/>
  <c r="L254" i="43"/>
  <c r="M254" i="43"/>
  <c r="D282" i="43"/>
  <c r="D307" i="43" s="1"/>
  <c r="W270" i="43"/>
  <c r="P129" i="42"/>
  <c r="P141" i="42"/>
  <c r="P133" i="42"/>
  <c r="I72" i="42"/>
  <c r="P101" i="42"/>
  <c r="P128" i="42"/>
  <c r="P99" i="42"/>
  <c r="P104" i="42"/>
  <c r="P113" i="42"/>
  <c r="P145" i="42"/>
  <c r="P100" i="42"/>
  <c r="P136" i="42"/>
  <c r="R141" i="42"/>
  <c r="H1386" i="50"/>
  <c r="S321" i="42"/>
  <c r="S329" i="42"/>
  <c r="H159" i="42"/>
  <c r="H751" i="42"/>
  <c r="P1208" i="50"/>
  <c r="E412" i="41"/>
  <c r="H1524" i="50"/>
  <c r="S1521" i="50" s="1"/>
  <c r="H1522" i="50"/>
  <c r="P1507" i="50"/>
  <c r="S296" i="42"/>
  <c r="U509" i="42"/>
  <c r="S333" i="42"/>
  <c r="M304" i="43"/>
  <c r="W582" i="42"/>
  <c r="W524" i="42"/>
  <c r="L271" i="43"/>
  <c r="P255" i="42"/>
  <c r="H447" i="42"/>
  <c r="P1240" i="50"/>
  <c r="P1531" i="50"/>
  <c r="S325" i="42"/>
  <c r="H1296" i="50"/>
  <c r="S1293" i="50" s="1"/>
  <c r="H1250" i="50"/>
  <c r="S1247" i="50" s="1"/>
  <c r="L304" i="43"/>
  <c r="W568" i="42"/>
  <c r="Q271" i="43"/>
  <c r="P1227" i="50"/>
  <c r="R304" i="43"/>
  <c r="P1207" i="50"/>
  <c r="S1499" i="50"/>
  <c r="S1418" i="50"/>
  <c r="S648" i="42"/>
  <c r="S255" i="42"/>
  <c r="H1340" i="50"/>
  <c r="H1248" i="50"/>
  <c r="H709" i="42"/>
  <c r="M4" i="42"/>
  <c r="P1223" i="50"/>
  <c r="R1519" i="50"/>
  <c r="H1388" i="50"/>
  <c r="S1385" i="50" s="1"/>
  <c r="V417" i="42"/>
  <c r="H1294" i="50"/>
  <c r="P1228" i="50"/>
  <c r="G3" i="42"/>
  <c r="H351" i="42"/>
  <c r="A263" i="34"/>
  <c r="P1216" i="50"/>
  <c r="V433" i="42"/>
  <c r="P1210" i="50"/>
  <c r="E155" i="50"/>
  <c r="H595" i="42"/>
  <c r="P1211" i="50"/>
  <c r="E295" i="43"/>
  <c r="R295" i="43" s="1"/>
  <c r="I658" i="42"/>
  <c r="E125" i="50"/>
  <c r="I1479" i="50"/>
  <c r="V392" i="42"/>
  <c r="P1226" i="50"/>
  <c r="H1202" i="50"/>
  <c r="P328" i="41"/>
  <c r="K292" i="47"/>
  <c r="W433" i="42"/>
  <c r="P290" i="47"/>
  <c r="L341" i="50"/>
  <c r="E227" i="47"/>
  <c r="W425" i="42"/>
  <c r="V241" i="42"/>
  <c r="U229" i="42"/>
  <c r="U241" i="42"/>
  <c r="U200" i="42"/>
  <c r="P291" i="47"/>
  <c r="V159" i="42"/>
  <c r="V509" i="42"/>
  <c r="V493" i="42"/>
  <c r="V200" i="42"/>
  <c r="R751" i="42"/>
  <c r="E19" i="47"/>
  <c r="W229" i="42"/>
  <c r="U639" i="42"/>
  <c r="S200" i="42"/>
  <c r="S159" i="42"/>
  <c r="S225" i="42"/>
  <c r="A218" i="34"/>
  <c r="A219" i="34"/>
  <c r="K1511" i="50"/>
  <c r="S1510" i="50" s="1"/>
  <c r="J1507" i="50"/>
  <c r="M1488" i="50"/>
  <c r="P1424" i="50"/>
  <c r="E1418" i="50"/>
  <c r="I1433" i="50"/>
  <c r="M1433" i="50"/>
  <c r="J1423" i="50"/>
  <c r="M1423" i="50"/>
  <c r="M1419" i="50"/>
  <c r="L1424" i="50"/>
  <c r="K1436" i="50"/>
  <c r="W665" i="42"/>
  <c r="W673" i="42"/>
  <c r="T772" i="37"/>
  <c r="J784" i="37"/>
  <c r="T784" i="37" s="1"/>
  <c r="P1511" i="50"/>
  <c r="J1508" i="50"/>
  <c r="L1507" i="50"/>
  <c r="H1504" i="50"/>
  <c r="S1501" i="50" s="1"/>
  <c r="P1438" i="50"/>
  <c r="P1426" i="50"/>
  <c r="K1437" i="50"/>
  <c r="L1433" i="50"/>
  <c r="J1436" i="50"/>
  <c r="L1442" i="50"/>
  <c r="J1442" i="50"/>
  <c r="I1437" i="50"/>
  <c r="F1427" i="50"/>
  <c r="M1406" i="50"/>
  <c r="I1391" i="50"/>
  <c r="J1408" i="50"/>
  <c r="I1386" i="50"/>
  <c r="J1406" i="50"/>
  <c r="J1410" i="50"/>
  <c r="F1395" i="50"/>
  <c r="L1403" i="50"/>
  <c r="H524" i="42"/>
  <c r="P524" i="42"/>
  <c r="E374" i="50"/>
  <c r="E241" i="41"/>
  <c r="E246" i="41" s="1"/>
  <c r="U1468" i="37"/>
  <c r="K1480" i="37"/>
  <c r="U1480" i="37" s="1"/>
  <c r="K1475" i="37"/>
  <c r="Z4" i="55"/>
  <c r="AN4" i="55"/>
  <c r="X4" i="55"/>
  <c r="AP4" i="55"/>
  <c r="V4" i="55"/>
  <c r="N4" i="55"/>
  <c r="AX4" i="55"/>
  <c r="AV4" i="55"/>
  <c r="AR4" i="55"/>
  <c r="AL4" i="55"/>
  <c r="AF4" i="55"/>
  <c r="AT4" i="55"/>
  <c r="P4" i="55"/>
  <c r="T4" i="55"/>
  <c r="AJ4" i="55"/>
  <c r="R4" i="55"/>
  <c r="L197" i="41"/>
  <c r="L345" i="50" s="1"/>
  <c r="M1503" i="50"/>
  <c r="L1508" i="50"/>
  <c r="E1502" i="50"/>
  <c r="M1482" i="50"/>
  <c r="H1420" i="50"/>
  <c r="S1417" i="50" s="1"/>
  <c r="P1440" i="50"/>
  <c r="M1443" i="50"/>
  <c r="P133" i="50"/>
  <c r="E156" i="50"/>
  <c r="S133" i="50"/>
  <c r="F1511" i="50"/>
  <c r="P1437" i="50"/>
  <c r="P1435" i="50"/>
  <c r="K1442" i="50"/>
  <c r="L1423" i="50"/>
  <c r="M1418" i="50"/>
  <c r="L1435" i="50"/>
  <c r="I1424" i="50"/>
  <c r="E1386" i="50"/>
  <c r="P1403" i="50"/>
  <c r="P1404" i="50"/>
  <c r="L1567" i="50"/>
  <c r="L1566" i="50"/>
  <c r="I436" i="37"/>
  <c r="S436" i="37" s="1"/>
  <c r="S424" i="37"/>
  <c r="I431" i="37"/>
  <c r="L1306" i="37"/>
  <c r="V1306" i="37" s="1"/>
  <c r="L1301" i="37"/>
  <c r="V1294" i="37"/>
  <c r="J1434" i="50"/>
  <c r="M1438" i="50"/>
  <c r="M1436" i="50"/>
  <c r="I1440" i="50"/>
  <c r="K1434" i="50"/>
  <c r="K1423" i="50"/>
  <c r="I1434" i="50"/>
  <c r="L1437" i="50"/>
  <c r="M1435" i="50"/>
  <c r="E375" i="50"/>
  <c r="E242" i="41"/>
  <c r="E247" i="41" s="1"/>
  <c r="I51" i="49"/>
  <c r="I83" i="50" s="1"/>
  <c r="I133" i="49"/>
  <c r="I36" i="49"/>
  <c r="I231" i="49"/>
  <c r="I425" i="41"/>
  <c r="I327" i="41"/>
  <c r="I437" i="50" s="1"/>
  <c r="I375" i="41"/>
  <c r="I476" i="50" s="1"/>
  <c r="I19" i="41"/>
  <c r="I293" i="41"/>
  <c r="I406" i="50" s="1"/>
  <c r="I206" i="41"/>
  <c r="I351" i="50" s="1"/>
  <c r="M1132" i="37"/>
  <c r="W1132" i="37" s="1"/>
  <c r="W1120" i="37"/>
  <c r="I244" i="50"/>
  <c r="P57" i="41"/>
  <c r="P46" i="41"/>
  <c r="P44" i="41"/>
  <c r="P55" i="41"/>
  <c r="L246" i="50"/>
  <c r="P56" i="41"/>
  <c r="I243" i="50"/>
  <c r="I1363" i="50"/>
  <c r="M1372" i="50"/>
  <c r="K1371" i="50"/>
  <c r="J1372" i="50"/>
  <c r="I1371" i="50"/>
  <c r="M1360" i="50"/>
  <c r="L1358" i="50"/>
  <c r="P1329" i="50"/>
  <c r="P1312" i="50"/>
  <c r="P1317" i="50"/>
  <c r="P1328" i="50"/>
  <c r="V1120" i="37"/>
  <c r="L295" i="43"/>
  <c r="M295" i="43"/>
  <c r="P959" i="37"/>
  <c r="P1655" i="37"/>
  <c r="P1133" i="37"/>
  <c r="P785" i="37"/>
  <c r="P1827" i="37"/>
  <c r="P437" i="37"/>
  <c r="P611" i="37"/>
  <c r="P1307" i="37"/>
  <c r="R428" i="42"/>
  <c r="R144" i="42"/>
  <c r="R132" i="42"/>
  <c r="S125" i="50"/>
  <c r="R501" i="42"/>
  <c r="R140" i="42"/>
  <c r="R320" i="42"/>
  <c r="R432" i="42"/>
  <c r="S129" i="50"/>
  <c r="R416" i="42"/>
  <c r="R136" i="42"/>
  <c r="R336" i="42"/>
  <c r="S128" i="50"/>
  <c r="R424" i="42"/>
  <c r="R128" i="42"/>
  <c r="L1371" i="50"/>
  <c r="M1361" i="50"/>
  <c r="L1374" i="50"/>
  <c r="J1362" i="50"/>
  <c r="M1368" i="50"/>
  <c r="I1373" i="50"/>
  <c r="K1365" i="50"/>
  <c r="P1332" i="50"/>
  <c r="P1316" i="50"/>
  <c r="P1326" i="50"/>
  <c r="P1319" i="50"/>
  <c r="U237" i="42"/>
  <c r="L1282" i="50"/>
  <c r="I1272" i="50"/>
  <c r="K1272" i="50"/>
  <c r="I1282" i="50"/>
  <c r="M1276" i="50"/>
  <c r="K1273" i="50"/>
  <c r="I1281" i="50"/>
  <c r="L1283" i="50"/>
  <c r="J1261" i="50"/>
  <c r="M1278" i="50"/>
  <c r="L1278" i="50"/>
  <c r="J1270" i="50"/>
  <c r="I1279" i="50"/>
  <c r="I1287" i="50"/>
  <c r="K1268" i="50"/>
  <c r="L1279" i="50"/>
  <c r="M1267" i="50"/>
  <c r="M1266" i="50"/>
  <c r="J1274" i="50"/>
  <c r="M1249" i="50"/>
  <c r="L1267" i="50"/>
  <c r="M1287" i="50"/>
  <c r="M1279" i="50"/>
  <c r="J1269" i="50"/>
  <c r="M1268" i="50"/>
  <c r="K1280" i="50"/>
  <c r="I1274" i="50"/>
  <c r="L1274" i="50"/>
  <c r="L1280" i="50"/>
  <c r="L1284" i="50"/>
  <c r="J1266" i="50"/>
  <c r="K1282" i="50"/>
  <c r="L1271" i="50"/>
  <c r="I1270" i="50"/>
  <c r="K1283" i="50"/>
  <c r="I1268" i="50"/>
  <c r="I1284" i="50"/>
  <c r="K1285" i="50"/>
  <c r="I1261" i="50"/>
  <c r="L1268" i="50"/>
  <c r="L1269" i="50"/>
  <c r="J1272" i="50"/>
  <c r="L1266" i="50"/>
  <c r="L1262" i="50"/>
  <c r="K1267" i="50"/>
  <c r="K1278" i="50"/>
  <c r="M1281" i="50"/>
  <c r="I1271" i="50"/>
  <c r="M1283" i="50"/>
  <c r="M1285" i="50"/>
  <c r="I1278" i="50"/>
  <c r="M1280" i="50"/>
  <c r="J1285" i="50"/>
  <c r="J1262" i="50"/>
  <c r="L1287" i="50"/>
  <c r="M1271" i="50"/>
  <c r="K1286" i="50"/>
  <c r="K1274" i="50"/>
  <c r="J1279" i="50"/>
  <c r="J1281" i="50"/>
  <c r="J1287" i="50"/>
  <c r="K1279" i="50"/>
  <c r="I1276" i="50"/>
  <c r="M1286" i="50"/>
  <c r="K1276" i="50"/>
  <c r="I1286" i="50"/>
  <c r="M1248" i="50"/>
  <c r="M1262" i="50"/>
  <c r="K1287" i="50"/>
  <c r="K1266" i="50"/>
  <c r="K1284" i="50"/>
  <c r="J1286" i="50"/>
  <c r="L1276" i="50"/>
  <c r="K1261" i="50"/>
  <c r="P105" i="42"/>
  <c r="R133" i="42"/>
  <c r="P137" i="42"/>
  <c r="R89" i="42"/>
  <c r="E25" i="42"/>
  <c r="R145" i="42"/>
  <c r="P140" i="42"/>
  <c r="E89" i="42"/>
  <c r="P106" i="42"/>
  <c r="R137" i="42"/>
  <c r="P89" i="42"/>
  <c r="P102" i="42"/>
  <c r="P103" i="42"/>
  <c r="P107" i="42"/>
  <c r="P132" i="42"/>
  <c r="R129" i="42"/>
  <c r="P114" i="42"/>
  <c r="P144" i="42"/>
  <c r="P1330" i="50"/>
  <c r="P1302" i="50"/>
  <c r="E443" i="50"/>
  <c r="P1274" i="50"/>
  <c r="P1254" i="50"/>
  <c r="P1257" i="50"/>
  <c r="P1261" i="50"/>
  <c r="P1268" i="50"/>
  <c r="P1269" i="50"/>
  <c r="P1266" i="50"/>
  <c r="P1282" i="50"/>
  <c r="A223" i="34"/>
  <c r="A222" i="34"/>
  <c r="C42" i="9"/>
  <c r="M4" i="47"/>
  <c r="D1638" i="37"/>
  <c r="D576" i="50"/>
  <c r="D13" i="37"/>
  <c r="D1507" i="37"/>
  <c r="D507" i="50"/>
  <c r="D1159" i="37"/>
  <c r="D463" i="37"/>
  <c r="D1116" i="37"/>
  <c r="D594" i="37"/>
  <c r="D637" i="37"/>
  <c r="D289" i="37"/>
  <c r="D811" i="37"/>
  <c r="D942" i="37"/>
  <c r="D1333" i="37"/>
  <c r="L1346" i="50"/>
  <c r="M1364" i="50"/>
  <c r="K1372" i="50"/>
  <c r="J1371" i="50"/>
  <c r="J1366" i="50"/>
  <c r="K1373" i="50"/>
  <c r="K1361" i="50"/>
  <c r="K1368" i="50"/>
  <c r="P1313" i="50"/>
  <c r="P1327" i="50"/>
  <c r="P1322" i="50"/>
  <c r="M52" i="41"/>
  <c r="M240" i="50" s="1"/>
  <c r="M375" i="41"/>
  <c r="M476" i="50" s="1"/>
  <c r="A227" i="34"/>
  <c r="A229" i="34"/>
  <c r="A228" i="34"/>
  <c r="H125" i="50"/>
  <c r="H21" i="49"/>
  <c r="H23" i="49"/>
  <c r="D72" i="42"/>
  <c r="D1199" i="50"/>
  <c r="P1236" i="50"/>
  <c r="P1239" i="50"/>
  <c r="R1199" i="50"/>
  <c r="H122" i="50"/>
  <c r="H639" i="42"/>
  <c r="H120" i="50"/>
  <c r="D743" i="42"/>
  <c r="C37" i="9"/>
  <c r="D1245" i="50"/>
  <c r="H1170" i="37"/>
  <c r="H19" i="49"/>
  <c r="H939" i="50"/>
  <c r="D516" i="42"/>
  <c r="H68" i="49"/>
  <c r="P1232" i="50"/>
  <c r="P1241" i="50"/>
  <c r="H116" i="50"/>
  <c r="H1554" i="37"/>
  <c r="H1692" i="37"/>
  <c r="H277" i="49"/>
  <c r="H230" i="50" s="1"/>
  <c r="S126" i="50"/>
  <c r="H474" i="37"/>
  <c r="H95" i="37"/>
  <c r="H878" i="50"/>
  <c r="H320" i="49"/>
  <c r="D486" i="42"/>
  <c r="H1008" i="50"/>
  <c r="P1221" i="50"/>
  <c r="P1237" i="50"/>
  <c r="H128" i="50"/>
  <c r="H336" i="37"/>
  <c r="H134" i="50"/>
  <c r="H1206" i="37"/>
  <c r="P1238" i="50"/>
  <c r="P1235" i="50"/>
  <c r="M279" i="43"/>
  <c r="H1728" i="37"/>
  <c r="H20" i="49"/>
  <c r="H1431" i="50"/>
  <c r="H144" i="37"/>
  <c r="D387" i="42"/>
  <c r="D151" i="42"/>
  <c r="H296" i="42"/>
  <c r="P1234" i="50"/>
  <c r="P1233" i="50"/>
  <c r="H119" i="50"/>
  <c r="H55" i="49"/>
  <c r="H87" i="50" s="1"/>
  <c r="D658" i="42"/>
  <c r="P1222" i="50"/>
  <c r="P1224" i="50"/>
  <c r="H43" i="49"/>
  <c r="H219" i="49"/>
  <c r="H217" i="50" s="1"/>
  <c r="H663" i="50"/>
  <c r="D634" i="42"/>
  <c r="D291" i="42"/>
  <c r="H533" i="50"/>
  <c r="P1215" i="50"/>
  <c r="P1230" i="50"/>
  <c r="E1202" i="50"/>
  <c r="H58" i="49"/>
  <c r="H90" i="50" s="1"/>
  <c r="H112" i="50" s="1"/>
  <c r="H671" i="50"/>
  <c r="H1515" i="50"/>
  <c r="D563" i="42"/>
  <c r="C36" i="9"/>
  <c r="I3" i="47"/>
  <c r="V133" i="42"/>
  <c r="V25" i="42"/>
  <c r="V129" i="42"/>
  <c r="V141" i="42"/>
  <c r="V145" i="42"/>
  <c r="V89" i="42"/>
  <c r="Q275" i="43"/>
  <c r="R275" i="43"/>
  <c r="M275" i="43"/>
  <c r="L275" i="43"/>
  <c r="R273" i="43"/>
  <c r="L273" i="43"/>
  <c r="P55" i="50"/>
  <c r="M273" i="43"/>
  <c r="S447" i="42"/>
  <c r="S509" i="42"/>
  <c r="T577" i="42"/>
  <c r="T568" i="42"/>
  <c r="T582" i="42"/>
  <c r="Q276" i="43"/>
  <c r="R276" i="43"/>
  <c r="L276" i="43"/>
  <c r="R278" i="43"/>
  <c r="Q278" i="43"/>
  <c r="L278" i="43"/>
  <c r="V137" i="42"/>
  <c r="P303" i="47"/>
  <c r="I291" i="47"/>
  <c r="I293" i="47" s="1"/>
  <c r="T272" i="47"/>
  <c r="J291" i="47"/>
  <c r="L291" i="47"/>
  <c r="V329" i="42"/>
  <c r="V255" i="42"/>
  <c r="V296" i="42"/>
  <c r="V337" i="42"/>
  <c r="T429" i="42"/>
  <c r="T421" i="42"/>
  <c r="E369" i="47"/>
  <c r="E351" i="47"/>
  <c r="T356" i="47"/>
  <c r="M270" i="43"/>
  <c r="Q270" i="43"/>
  <c r="H383" i="43" s="1"/>
  <c r="G418" i="43"/>
  <c r="T509" i="42"/>
  <c r="T504" i="42"/>
  <c r="T447" i="42"/>
  <c r="S241" i="42"/>
  <c r="S233" i="42"/>
  <c r="S229" i="42"/>
  <c r="E97" i="47"/>
  <c r="P95" i="47"/>
  <c r="P338" i="47"/>
  <c r="T324" i="47"/>
  <c r="V577" i="42"/>
  <c r="V568" i="42"/>
  <c r="V524" i="42"/>
  <c r="T178" i="47"/>
  <c r="U225" i="42"/>
  <c r="S145" i="42"/>
  <c r="W666" i="42"/>
  <c r="E108" i="47"/>
  <c r="U425" i="42"/>
  <c r="S129" i="42"/>
  <c r="P127" i="47"/>
  <c r="U433" i="42"/>
  <c r="T237" i="42"/>
  <c r="M342" i="50"/>
  <c r="E129" i="47"/>
  <c r="U417" i="42"/>
  <c r="E307" i="47"/>
  <c r="U392" i="42"/>
  <c r="S674" i="42"/>
  <c r="T200" i="42"/>
  <c r="T225" i="42"/>
  <c r="T229" i="42"/>
  <c r="U351" i="42"/>
  <c r="T241" i="42"/>
  <c r="S133" i="42"/>
  <c r="T333" i="42"/>
  <c r="T159" i="42"/>
  <c r="S141" i="42"/>
  <c r="L247" i="41"/>
  <c r="L369" i="50"/>
  <c r="L245" i="41"/>
  <c r="T648" i="42"/>
  <c r="T653" i="42"/>
  <c r="T595" i="42"/>
  <c r="T639" i="42"/>
  <c r="W509" i="42"/>
  <c r="W493" i="42"/>
  <c r="W255" i="42"/>
  <c r="W321" i="42"/>
  <c r="W329" i="42"/>
  <c r="W333" i="42"/>
  <c r="W337" i="42"/>
  <c r="W296" i="42"/>
  <c r="W325" i="42"/>
  <c r="K21" i="49"/>
  <c r="K23" i="49" s="1"/>
  <c r="W648" i="42"/>
  <c r="W595" i="42"/>
  <c r="W653" i="42"/>
  <c r="W639" i="42"/>
  <c r="I52" i="49"/>
  <c r="I21" i="49"/>
  <c r="I23" i="49" s="1"/>
  <c r="M228" i="41"/>
  <c r="M246" i="41" s="1"/>
  <c r="M341" i="50"/>
  <c r="J52" i="49"/>
  <c r="J21" i="49"/>
  <c r="J23" i="49" s="1"/>
  <c r="U666" i="42"/>
  <c r="U674" i="42"/>
  <c r="U582" i="42"/>
  <c r="U524" i="42"/>
  <c r="R524" i="42" s="1"/>
  <c r="U577" i="42"/>
  <c r="S421" i="42"/>
  <c r="S351" i="42"/>
  <c r="S433" i="42"/>
  <c r="S392" i="42"/>
  <c r="S429" i="42"/>
  <c r="S417" i="42"/>
  <c r="U129" i="42"/>
  <c r="U145" i="42"/>
  <c r="U141" i="42"/>
  <c r="U89" i="42"/>
  <c r="U137" i="42"/>
  <c r="U25" i="42"/>
  <c r="U133" i="42"/>
  <c r="U321" i="42"/>
  <c r="U333" i="42"/>
  <c r="V425" i="42"/>
  <c r="W233" i="42"/>
  <c r="S504" i="42"/>
  <c r="E174" i="47"/>
  <c r="U429" i="42"/>
  <c r="K56" i="49"/>
  <c r="R709" i="42"/>
  <c r="E215" i="47"/>
  <c r="W429" i="42"/>
  <c r="I89" i="50"/>
  <c r="M55" i="41"/>
  <c r="M58" i="41"/>
  <c r="M94" i="50"/>
  <c r="M48" i="41"/>
  <c r="M59" i="41" s="1"/>
  <c r="M53" i="41"/>
  <c r="M57" i="41"/>
  <c r="M56" i="41"/>
  <c r="M54" i="41"/>
  <c r="Q25" i="42"/>
  <c r="P305" i="47"/>
  <c r="M292" i="47"/>
  <c r="Q393" i="47"/>
  <c r="Q447" i="42"/>
  <c r="Q524" i="42"/>
  <c r="I1531" i="50"/>
  <c r="R1530" i="50" s="1"/>
  <c r="I1527" i="50"/>
  <c r="I1522" i="50"/>
  <c r="M1531" i="50"/>
  <c r="T1519" i="50" s="1"/>
  <c r="T1530" i="50" s="1"/>
  <c r="M1523" i="50"/>
  <c r="J1522" i="50"/>
  <c r="N1528" i="50" s="1"/>
  <c r="F1531" i="50"/>
  <c r="M1524" i="50"/>
  <c r="K1531" i="50"/>
  <c r="S1530" i="50" s="1"/>
  <c r="M1528" i="50"/>
  <c r="J1527" i="50"/>
  <c r="M1527" i="50"/>
  <c r="K1528" i="50"/>
  <c r="K1527" i="50"/>
  <c r="N1522" i="50"/>
  <c r="N1523" i="50"/>
  <c r="H1528" i="50"/>
  <c r="G1531" i="50" s="1"/>
  <c r="P1464" i="37"/>
  <c r="C1638" i="37"/>
  <c r="H1488" i="50"/>
  <c r="G1491" i="50" s="1"/>
  <c r="N1483" i="50"/>
  <c r="N1484" i="50"/>
  <c r="N1482" i="50"/>
  <c r="M1491" i="50"/>
  <c r="T1479" i="50" s="1"/>
  <c r="T1490" i="50" s="1"/>
  <c r="M1487" i="50"/>
  <c r="I1488" i="50"/>
  <c r="J1488" i="50"/>
  <c r="J1482" i="50"/>
  <c r="N1488" i="50" s="1"/>
  <c r="F1491" i="50"/>
  <c r="I1491" i="50"/>
  <c r="R1490" i="50" s="1"/>
  <c r="K1491" i="50"/>
  <c r="S1490" i="50" s="1"/>
  <c r="I1487" i="50"/>
  <c r="K1487" i="50"/>
  <c r="M1483" i="50"/>
  <c r="I1482" i="50"/>
  <c r="L1488" i="50"/>
  <c r="E255" i="47"/>
  <c r="T237" i="47"/>
  <c r="D220" i="34"/>
  <c r="C221" i="34"/>
  <c r="L53" i="41"/>
  <c r="L54" i="41"/>
  <c r="L55" i="41"/>
  <c r="L58" i="41"/>
  <c r="L56" i="41"/>
  <c r="L94" i="50"/>
  <c r="L59" i="41"/>
  <c r="M186" i="49"/>
  <c r="M210" i="50" s="1"/>
  <c r="M209" i="50"/>
  <c r="K247" i="41"/>
  <c r="K246" i="41"/>
  <c r="K245" i="41"/>
  <c r="K248" i="41"/>
  <c r="N1418" i="50"/>
  <c r="N1419" i="50"/>
  <c r="L1450" i="50"/>
  <c r="H1455" i="50" s="1"/>
  <c r="D1447" i="50"/>
  <c r="Q1447" i="50"/>
  <c r="I1447" i="50"/>
  <c r="H1392" i="50"/>
  <c r="G1395" i="50" s="1"/>
  <c r="K405" i="43"/>
  <c r="L36" i="50" s="1"/>
  <c r="H1346" i="50"/>
  <c r="G1349" i="50" s="1"/>
  <c r="N1340" i="50"/>
  <c r="N1341" i="50"/>
  <c r="E408" i="43"/>
  <c r="F407" i="43"/>
  <c r="J48" i="41"/>
  <c r="J59" i="41" s="1"/>
  <c r="J56" i="41"/>
  <c r="J54" i="41"/>
  <c r="J57" i="41"/>
  <c r="J53" i="41"/>
  <c r="J58" i="41"/>
  <c r="T666" i="42"/>
  <c r="T674" i="42"/>
  <c r="H405" i="43"/>
  <c r="E36" i="50" s="1"/>
  <c r="D921" i="50"/>
  <c r="C990" i="50"/>
  <c r="T425" i="42"/>
  <c r="T351" i="42"/>
  <c r="T417" i="42"/>
  <c r="G405" i="43"/>
  <c r="L84" i="50"/>
  <c r="K58" i="41"/>
  <c r="K48" i="41"/>
  <c r="K59" i="41" s="1"/>
  <c r="K94" i="50"/>
  <c r="K57" i="41"/>
  <c r="K53" i="41"/>
  <c r="K55" i="41"/>
  <c r="K56" i="41"/>
  <c r="I1566" i="50"/>
  <c r="I1567" i="50"/>
  <c r="L784" i="37"/>
  <c r="V784" i="37" s="1"/>
  <c r="V772" i="37"/>
  <c r="L779" i="37"/>
  <c r="J1438" i="50"/>
  <c r="I1423" i="50"/>
  <c r="I1443" i="50"/>
  <c r="K1443" i="50"/>
  <c r="J1443" i="50"/>
  <c r="M387" i="43"/>
  <c r="N1388" i="50"/>
  <c r="M379" i="43"/>
  <c r="P1391" i="50"/>
  <c r="K382" i="43"/>
  <c r="I1649" i="37"/>
  <c r="I1654" i="37"/>
  <c r="S1654" i="37" s="1"/>
  <c r="M381" i="43"/>
  <c r="J385" i="43"/>
  <c r="L644" i="42"/>
  <c r="L645" i="42" s="1"/>
  <c r="Q595" i="42"/>
  <c r="N1386" i="50"/>
  <c r="J55" i="41"/>
  <c r="W946" i="37"/>
  <c r="M953" i="37"/>
  <c r="J953" i="37"/>
  <c r="J958" i="37"/>
  <c r="T958" i="37" s="1"/>
  <c r="T946" i="37"/>
  <c r="I1132" i="37"/>
  <c r="S1132" i="37" s="1"/>
  <c r="I1127" i="37"/>
  <c r="S1120" i="37"/>
  <c r="U255" i="42"/>
  <c r="U595" i="42"/>
  <c r="U648" i="42"/>
  <c r="L431" i="42"/>
  <c r="V431" i="42" s="1"/>
  <c r="L396" i="42"/>
  <c r="L665" i="42"/>
  <c r="L643" i="42"/>
  <c r="V644" i="42" s="1"/>
  <c r="L300" i="42"/>
  <c r="L88" i="42"/>
  <c r="V88" i="42" s="1"/>
  <c r="L729" i="42"/>
  <c r="L98" i="42"/>
  <c r="L319" i="42"/>
  <c r="V319" i="42" s="1"/>
  <c r="L231" i="42"/>
  <c r="V231" i="42" s="1"/>
  <c r="L771" i="42"/>
  <c r="L135" i="42"/>
  <c r="V135" i="42" s="1"/>
  <c r="L446" i="42"/>
  <c r="V446" i="42" s="1"/>
  <c r="L217" i="42"/>
  <c r="L470" i="42"/>
  <c r="L227" i="42"/>
  <c r="V227" i="42" s="1"/>
  <c r="L547" i="42"/>
  <c r="L371" i="42"/>
  <c r="L275" i="42"/>
  <c r="L750" i="42"/>
  <c r="V750" i="42" s="1"/>
  <c r="L618" i="42"/>
  <c r="L313" i="42"/>
  <c r="L204" i="42"/>
  <c r="T424" i="37"/>
  <c r="J431" i="37"/>
  <c r="H1342" i="50"/>
  <c r="S1339" i="50" s="1"/>
  <c r="R1337" i="50"/>
  <c r="AB4" i="55"/>
  <c r="AH4" i="55"/>
  <c r="S653" i="42"/>
  <c r="S595" i="42"/>
  <c r="AL4" i="58"/>
  <c r="J6" i="58"/>
  <c r="N4" i="58"/>
  <c r="M1346" i="50"/>
  <c r="I1364" i="50"/>
  <c r="L1378" i="50"/>
  <c r="L1370" i="50"/>
  <c r="I1361" i="50"/>
  <c r="L1379" i="50"/>
  <c r="L1360" i="50"/>
  <c r="P1363" i="50"/>
  <c r="S493" i="42"/>
  <c r="R208" i="47"/>
  <c r="G420" i="43"/>
  <c r="I958" i="37"/>
  <c r="S958" i="37" s="1"/>
  <c r="I953" i="37"/>
  <c r="U504" i="42"/>
  <c r="U447" i="42"/>
  <c r="R447" i="42" s="1"/>
  <c r="U329" i="42"/>
  <c r="U1294" i="37"/>
  <c r="K662" i="50"/>
  <c r="K76" i="50"/>
  <c r="K938" i="50"/>
  <c r="K1612" i="50"/>
  <c r="K1145" i="50"/>
  <c r="K869" i="50"/>
  <c r="N1248" i="50"/>
  <c r="H1254" i="50"/>
  <c r="G1257" i="50" s="1"/>
  <c r="I175" i="50"/>
  <c r="J281" i="41"/>
  <c r="K281" i="41"/>
  <c r="L281" i="41"/>
  <c r="V391" i="47"/>
  <c r="L330" i="47"/>
  <c r="S137" i="42"/>
  <c r="I446" i="42"/>
  <c r="S446" i="42" s="1"/>
  <c r="I235" i="42"/>
  <c r="S235" i="42" s="1"/>
  <c r="I98" i="42"/>
  <c r="H1128" i="37"/>
  <c r="H1094" i="37"/>
  <c r="H398" i="37"/>
  <c r="H376" i="41"/>
  <c r="H477" i="50" s="1"/>
  <c r="H1139" i="50"/>
  <c r="H1650" i="37"/>
  <c r="H624" i="50"/>
  <c r="H1268" i="37"/>
  <c r="H389" i="41"/>
  <c r="H482" i="50" s="1"/>
  <c r="B42" i="34"/>
  <c r="H572" i="37"/>
  <c r="H380" i="41"/>
  <c r="H479" i="50" s="1"/>
  <c r="H101" i="49"/>
  <c r="H157" i="49"/>
  <c r="H606" i="37"/>
  <c r="H218" i="37"/>
  <c r="H392" i="41"/>
  <c r="H1107" i="50"/>
  <c r="H258" i="37"/>
  <c r="H1790" i="37"/>
  <c r="H1176" i="50"/>
  <c r="H383" i="41"/>
  <c r="H480" i="50" s="1"/>
  <c r="H932" i="50"/>
  <c r="H954" i="37"/>
  <c r="H693" i="50"/>
  <c r="H1001" i="50"/>
  <c r="H377" i="41"/>
  <c r="H478" i="50" s="1"/>
  <c r="H900" i="50"/>
  <c r="H762" i="50"/>
  <c r="H1616" i="37"/>
  <c r="H656" i="50"/>
  <c r="H555" i="50"/>
  <c r="H969" i="50"/>
  <c r="H794" i="50"/>
  <c r="H587" i="50"/>
  <c r="H1070" i="50"/>
  <c r="H725" i="50"/>
  <c r="H1302" i="37"/>
  <c r="H746" i="37"/>
  <c r="H780" i="37"/>
  <c r="J444" i="41"/>
  <c r="J447" i="41" s="1"/>
  <c r="J189" i="41"/>
  <c r="I523" i="42"/>
  <c r="S523" i="42" s="1"/>
  <c r="I470" i="42"/>
  <c r="I423" i="42"/>
  <c r="S423" i="42" s="1"/>
  <c r="I492" i="42"/>
  <c r="S492" i="42" s="1"/>
  <c r="I572" i="42"/>
  <c r="S573" i="42" s="1"/>
  <c r="E157" i="50"/>
  <c r="P134" i="50"/>
  <c r="I419" i="42"/>
  <c r="S419" i="42" s="1"/>
  <c r="I56" i="42"/>
  <c r="I427" i="42"/>
  <c r="S427" i="42" s="1"/>
  <c r="I335" i="42"/>
  <c r="S335" i="42" s="1"/>
  <c r="I409" i="42"/>
  <c r="I281" i="41"/>
  <c r="I567" i="42"/>
  <c r="S567" i="42" s="1"/>
  <c r="I323" i="42"/>
  <c r="S323" i="42" s="1"/>
  <c r="I729" i="42"/>
  <c r="I331" i="42"/>
  <c r="S331" i="42" s="1"/>
  <c r="I227" i="42"/>
  <c r="S227" i="42" s="1"/>
  <c r="E149" i="50"/>
  <c r="E261" i="50" s="1"/>
  <c r="P126" i="50"/>
  <c r="U19" i="49"/>
  <c r="L19" i="49" s="1"/>
  <c r="U20" i="49"/>
  <c r="L20" i="49" s="1"/>
  <c r="L55" i="49" s="1"/>
  <c r="L87" i="50" s="1"/>
  <c r="U22" i="49"/>
  <c r="L22" i="49" s="1"/>
  <c r="L57" i="49" s="1"/>
  <c r="L89" i="50" s="1"/>
  <c r="V18" i="49"/>
  <c r="M18" i="49" s="1"/>
  <c r="M53" i="49" s="1"/>
  <c r="V17" i="49"/>
  <c r="M17" i="49" s="1"/>
  <c r="V20" i="49"/>
  <c r="M20" i="49" s="1"/>
  <c r="M55" i="49" s="1"/>
  <c r="M87" i="50" s="1"/>
  <c r="J738" i="37"/>
  <c r="T741" i="37" s="1"/>
  <c r="P241" i="42"/>
  <c r="I339" i="50"/>
  <c r="J888" i="37"/>
  <c r="I193" i="41"/>
  <c r="P218" i="42"/>
  <c r="R236" i="42"/>
  <c r="J1062" i="37"/>
  <c r="J1276" i="37"/>
  <c r="J825" i="37"/>
  <c r="D297" i="43"/>
  <c r="E296" i="43"/>
  <c r="J208" i="37"/>
  <c r="H145" i="47"/>
  <c r="H313" i="37"/>
  <c r="H1195" i="37"/>
  <c r="H161" i="47"/>
  <c r="H189" i="47"/>
  <c r="H1021" i="37"/>
  <c r="H207" i="47"/>
  <c r="H325" i="37"/>
  <c r="H284" i="47"/>
  <c r="H188" i="47"/>
  <c r="H118" i="37"/>
  <c r="H208" i="47"/>
  <c r="H359" i="47"/>
  <c r="B61" i="34"/>
  <c r="H1357" i="37"/>
  <c r="H1531" i="37"/>
  <c r="H358" i="47"/>
  <c r="H357" i="47"/>
  <c r="H661" i="37"/>
  <c r="J1395" i="50"/>
  <c r="H126" i="50"/>
  <c r="H54" i="49"/>
  <c r="H86" i="50" s="1"/>
  <c r="I167" i="50"/>
  <c r="I118" i="49"/>
  <c r="I176" i="50" s="1"/>
  <c r="J1257" i="50"/>
  <c r="N1427" i="50"/>
  <c r="H392" i="42"/>
  <c r="N1349" i="50"/>
  <c r="A240" i="34"/>
  <c r="A242" i="34"/>
  <c r="A239" i="34"/>
  <c r="A241" i="34"/>
  <c r="L1073" i="50"/>
  <c r="J521" i="50"/>
  <c r="J1511" i="50"/>
  <c r="N1511" i="50"/>
  <c r="N1257" i="50"/>
  <c r="N728" i="50"/>
  <c r="J659" i="50"/>
  <c r="N1142" i="50"/>
  <c r="N1459" i="50"/>
  <c r="L590" i="50"/>
  <c r="L1142" i="50"/>
  <c r="N866" i="50"/>
  <c r="N1211" i="50"/>
  <c r="J1303" i="50"/>
  <c r="L1303" i="50"/>
  <c r="L1004" i="50"/>
  <c r="L1211" i="50"/>
  <c r="H1016" i="50"/>
  <c r="H300" i="37"/>
  <c r="H801" i="50"/>
  <c r="J162" i="43"/>
  <c r="H1380" i="37"/>
  <c r="H115" i="50"/>
  <c r="H858" i="37"/>
  <c r="H200" i="42"/>
  <c r="H41" i="49"/>
  <c r="H870" i="50"/>
  <c r="H129" i="50"/>
  <c r="H117" i="50"/>
  <c r="H318" i="49"/>
  <c r="H1399" i="50"/>
  <c r="H131" i="50"/>
  <c r="H684" i="37"/>
  <c r="H947" i="50"/>
  <c r="H127" i="50"/>
  <c r="H1535" i="50"/>
  <c r="H1463" i="50"/>
  <c r="H648" i="37"/>
  <c r="H40" i="49"/>
  <c r="H56" i="49"/>
  <c r="H88" i="50" s="1"/>
  <c r="H121" i="50"/>
  <c r="H732" i="50"/>
  <c r="H1146" i="50"/>
  <c r="H133" i="50"/>
  <c r="H525" i="50"/>
  <c r="H1310" i="50"/>
  <c r="H1264" i="50"/>
  <c r="H1518" i="37"/>
  <c r="H1356" i="50"/>
  <c r="H1218" i="50"/>
  <c r="H89" i="42"/>
  <c r="H594" i="50"/>
  <c r="H225" i="49"/>
  <c r="H218" i="50" s="1"/>
  <c r="H135" i="50"/>
  <c r="R24" i="49"/>
  <c r="I24" i="49" s="1"/>
  <c r="I59" i="49" s="1"/>
  <c r="A254" i="34"/>
  <c r="A260" i="34"/>
  <c r="A256" i="34"/>
  <c r="A261" i="34"/>
  <c r="B67" i="34"/>
  <c r="B24" i="34"/>
  <c r="B34" i="34"/>
  <c r="B60" i="34"/>
  <c r="B32" i="34"/>
  <c r="E415" i="41"/>
  <c r="E453" i="41"/>
  <c r="P453" i="41" s="1"/>
  <c r="G419" i="43" l="1"/>
  <c r="S1291" i="50"/>
  <c r="S1294" i="50"/>
  <c r="S1337" i="50"/>
  <c r="S1340" i="50"/>
  <c r="R1479" i="50"/>
  <c r="P1491" i="50"/>
  <c r="P1488" i="50"/>
  <c r="E1482" i="50"/>
  <c r="P1490" i="50"/>
  <c r="P1487" i="50"/>
  <c r="H1482" i="50"/>
  <c r="H1484" i="50"/>
  <c r="S1481" i="50" s="1"/>
  <c r="S1519" i="50"/>
  <c r="S1522" i="50"/>
  <c r="S1386" i="50"/>
  <c r="S1383" i="50"/>
  <c r="E148" i="50"/>
  <c r="E260" i="50" s="1"/>
  <c r="P260" i="50" s="1"/>
  <c r="P125" i="50"/>
  <c r="E666" i="42"/>
  <c r="R674" i="42"/>
  <c r="E373" i="50"/>
  <c r="E240" i="41"/>
  <c r="E245" i="41" s="1"/>
  <c r="S1202" i="50"/>
  <c r="S1199" i="50"/>
  <c r="S1245" i="50"/>
  <c r="S1248" i="50"/>
  <c r="R595" i="42"/>
  <c r="I292" i="47"/>
  <c r="R159" i="42"/>
  <c r="R25" i="42"/>
  <c r="R255" i="42"/>
  <c r="H387" i="43"/>
  <c r="K386" i="43"/>
  <c r="G421" i="43"/>
  <c r="F381" i="43"/>
  <c r="F385" i="43"/>
  <c r="R351" i="42"/>
  <c r="H25" i="42"/>
  <c r="P25" i="42"/>
  <c r="R666" i="42"/>
  <c r="K389" i="43"/>
  <c r="J386" i="43"/>
  <c r="M382" i="43"/>
  <c r="M247" i="41"/>
  <c r="K383" i="43"/>
  <c r="H388" i="43"/>
  <c r="I1638" i="37" s="1"/>
  <c r="F379" i="43"/>
  <c r="M388" i="43"/>
  <c r="H386" i="43"/>
  <c r="L388" i="43"/>
  <c r="J383" i="43"/>
  <c r="J381" i="43"/>
  <c r="J391" i="43"/>
  <c r="J380" i="43"/>
  <c r="H381" i="43"/>
  <c r="K390" i="43"/>
  <c r="L389" i="43"/>
  <c r="H389" i="43"/>
  <c r="I389" i="43" s="1"/>
  <c r="F380" i="43"/>
  <c r="M391" i="43"/>
  <c r="M386" i="43"/>
  <c r="L382" i="43"/>
  <c r="H390" i="43"/>
  <c r="I390" i="43" s="1"/>
  <c r="K379" i="43"/>
  <c r="L384" i="43"/>
  <c r="J387" i="43"/>
  <c r="K387" i="43"/>
  <c r="K384" i="43"/>
  <c r="H391" i="43"/>
  <c r="I391" i="43" s="1"/>
  <c r="M389" i="43"/>
  <c r="L381" i="43"/>
  <c r="M380" i="43"/>
  <c r="M390" i="43"/>
  <c r="L385" i="43"/>
  <c r="L386" i="43"/>
  <c r="H380" i="43"/>
  <c r="J388" i="43"/>
  <c r="K385" i="43"/>
  <c r="L387" i="43"/>
  <c r="F387" i="43"/>
  <c r="F383" i="43"/>
  <c r="K391" i="43"/>
  <c r="J392" i="43"/>
  <c r="H382" i="43"/>
  <c r="F390" i="43"/>
  <c r="K380" i="43"/>
  <c r="J382" i="43"/>
  <c r="L383" i="43"/>
  <c r="L391" i="43"/>
  <c r="F392" i="43"/>
  <c r="K393" i="43"/>
  <c r="M384" i="43"/>
  <c r="H384" i="43"/>
  <c r="J389" i="43"/>
  <c r="M392" i="43"/>
  <c r="L390" i="43"/>
  <c r="H379" i="43"/>
  <c r="M385" i="43"/>
  <c r="L392" i="43"/>
  <c r="F382" i="43"/>
  <c r="F388" i="43"/>
  <c r="L380" i="43"/>
  <c r="F391" i="43"/>
  <c r="H392" i="43"/>
  <c r="I392" i="43" s="1"/>
  <c r="F393" i="43"/>
  <c r="F394" i="43"/>
  <c r="K381" i="43"/>
  <c r="H393" i="43"/>
  <c r="I393" i="43" s="1"/>
  <c r="F384" i="43"/>
  <c r="H385" i="43"/>
  <c r="K388" i="43"/>
  <c r="L393" i="43"/>
  <c r="F389" i="43"/>
  <c r="J384" i="43"/>
  <c r="L394" i="43"/>
  <c r="J394" i="43"/>
  <c r="J379" i="43"/>
  <c r="H394" i="43"/>
  <c r="I394" i="43" s="1"/>
  <c r="F386" i="43"/>
  <c r="K394" i="43"/>
  <c r="M394" i="43"/>
  <c r="J393" i="43"/>
  <c r="M383" i="43"/>
  <c r="K392" i="43"/>
  <c r="M393" i="43"/>
  <c r="J390" i="43"/>
  <c r="L379" i="43"/>
  <c r="L293" i="47"/>
  <c r="L292" i="47"/>
  <c r="J293" i="47"/>
  <c r="J292" i="47"/>
  <c r="M245" i="41"/>
  <c r="K88" i="50"/>
  <c r="K58" i="49"/>
  <c r="J84" i="50"/>
  <c r="J56" i="49"/>
  <c r="M369" i="50"/>
  <c r="I56" i="49"/>
  <c r="I84" i="50"/>
  <c r="M248" i="41"/>
  <c r="M52" i="49"/>
  <c r="M21" i="49"/>
  <c r="M23" i="49" s="1"/>
  <c r="V673" i="42"/>
  <c r="V665" i="42"/>
  <c r="E376" i="50"/>
  <c r="E243" i="41"/>
  <c r="E248" i="41" s="1"/>
  <c r="M85" i="50"/>
  <c r="C1059" i="50"/>
  <c r="Q990" i="50"/>
  <c r="D990" i="50"/>
  <c r="I990" i="50"/>
  <c r="T211" i="37"/>
  <c r="I341" i="50"/>
  <c r="I228" i="41"/>
  <c r="I197" i="41"/>
  <c r="I345" i="50" s="1"/>
  <c r="I134" i="49"/>
  <c r="E123" i="50"/>
  <c r="G5" i="37"/>
  <c r="E156" i="41"/>
  <c r="I387" i="43"/>
  <c r="H1468" i="37"/>
  <c r="H1469" i="37" s="1"/>
  <c r="H1470" i="37" s="1"/>
  <c r="E119" i="50"/>
  <c r="I768" i="37"/>
  <c r="H772" i="37"/>
  <c r="H773" i="37" s="1"/>
  <c r="H774" i="37" s="1"/>
  <c r="E152" i="41"/>
  <c r="G4" i="37"/>
  <c r="I383" i="43"/>
  <c r="I783" i="50"/>
  <c r="P261" i="50"/>
  <c r="J218" i="41"/>
  <c r="J339" i="50"/>
  <c r="J193" i="41"/>
  <c r="J194" i="41"/>
  <c r="J342" i="50" s="1"/>
  <c r="L396" i="50"/>
  <c r="L283" i="41"/>
  <c r="L398" i="50" s="1"/>
  <c r="P1468" i="50"/>
  <c r="P1465" i="50"/>
  <c r="P1467" i="50"/>
  <c r="H1450" i="50"/>
  <c r="P1459" i="50"/>
  <c r="P1469" i="50"/>
  <c r="P1456" i="50"/>
  <c r="P1475" i="50"/>
  <c r="P1470" i="50"/>
  <c r="P1466" i="50"/>
  <c r="P1455" i="50"/>
  <c r="P1472" i="50"/>
  <c r="P1474" i="50"/>
  <c r="R1447" i="50"/>
  <c r="H1452" i="50"/>
  <c r="S1449" i="50" s="1"/>
  <c r="E1450" i="50"/>
  <c r="P1458" i="50"/>
  <c r="L54" i="49"/>
  <c r="L21" i="49"/>
  <c r="L23" i="49" s="1"/>
  <c r="K396" i="50"/>
  <c r="K283" i="41"/>
  <c r="K398" i="50" s="1"/>
  <c r="D221" i="34"/>
  <c r="C222" i="34"/>
  <c r="C61" i="34"/>
  <c r="H1254" i="37" s="1"/>
  <c r="H273" i="47"/>
  <c r="H325" i="47"/>
  <c r="M296" i="43"/>
  <c r="L296" i="43"/>
  <c r="R296" i="43"/>
  <c r="H135" i="37"/>
  <c r="H107" i="49"/>
  <c r="H170" i="50" s="1"/>
  <c r="H1276" i="50"/>
  <c r="H1013" i="37"/>
  <c r="H1013" i="50"/>
  <c r="H1026" i="37"/>
  <c r="H1721" i="37"/>
  <c r="H1051" i="50"/>
  <c r="H945" i="50"/>
  <c r="H944" i="50"/>
  <c r="H1014" i="50"/>
  <c r="H18" i="49"/>
  <c r="H1547" i="37"/>
  <c r="H1199" i="37"/>
  <c r="H917" i="50"/>
  <c r="H109" i="49"/>
  <c r="H172" i="50" s="1"/>
  <c r="H1710" i="37"/>
  <c r="H164" i="49"/>
  <c r="H197" i="50" s="1"/>
  <c r="H851" i="37"/>
  <c r="H946" i="50"/>
  <c r="H42" i="49"/>
  <c r="H318" i="37"/>
  <c r="H1188" i="37"/>
  <c r="H504" i="37"/>
  <c r="H1014" i="37"/>
  <c r="H678" i="37"/>
  <c r="H806" i="50"/>
  <c r="H915" i="50"/>
  <c r="H123" i="37"/>
  <c r="H1362" i="37"/>
  <c r="H1053" i="50"/>
  <c r="H1472" i="50"/>
  <c r="H669" i="50"/>
  <c r="H846" i="50"/>
  <c r="H1408" i="50"/>
  <c r="H1200" i="37"/>
  <c r="H301" i="49"/>
  <c r="H234" i="50" s="1"/>
  <c r="H491" i="37"/>
  <c r="H637" i="50"/>
  <c r="H1373" i="37"/>
  <c r="H1535" i="37"/>
  <c r="H641" i="50"/>
  <c r="H677" i="37"/>
  <c r="H392" i="47"/>
  <c r="H601" i="50"/>
  <c r="H122" i="37"/>
  <c r="H570" i="50"/>
  <c r="H108" i="49"/>
  <c r="H171" i="50" s="1"/>
  <c r="H1361" i="37"/>
  <c r="H503" i="37"/>
  <c r="H710" i="50"/>
  <c r="H739" i="50"/>
  <c r="H163" i="49"/>
  <c r="H196" i="50" s="1"/>
  <c r="H1709" i="37"/>
  <c r="H1083" i="50"/>
  <c r="H708" i="50"/>
  <c r="H389" i="47"/>
  <c r="H317" i="37"/>
  <c r="H599" i="50"/>
  <c r="H1084" i="50"/>
  <c r="H1536" i="37"/>
  <c r="H706" i="50"/>
  <c r="H982" i="50"/>
  <c r="H1374" i="37"/>
  <c r="H1025" i="37"/>
  <c r="H1187" i="37"/>
  <c r="H737" i="50"/>
  <c r="H1120" i="50"/>
  <c r="H162" i="49"/>
  <c r="H195" i="50" s="1"/>
  <c r="H57" i="49"/>
  <c r="H89" i="50" s="1"/>
  <c r="H330" i="37"/>
  <c r="H1230" i="50"/>
  <c r="H37" i="49"/>
  <c r="H1124" i="50"/>
  <c r="H600" i="50"/>
  <c r="H134" i="49"/>
  <c r="H181" i="50" s="1"/>
  <c r="H22" i="49"/>
  <c r="H1191" i="50"/>
  <c r="H986" i="50"/>
  <c r="H1322" i="50"/>
  <c r="H1189" i="50"/>
  <c r="H530" i="50"/>
  <c r="H568" i="50"/>
  <c r="H296" i="49"/>
  <c r="H233" i="50" s="1"/>
  <c r="H852" i="37"/>
  <c r="H253" i="49"/>
  <c r="H222" i="50" s="1"/>
  <c r="H53" i="49"/>
  <c r="H85" i="50" s="1"/>
  <c r="H875" i="50"/>
  <c r="H984" i="50"/>
  <c r="H246" i="49"/>
  <c r="H221" i="50" s="1"/>
  <c r="H1193" i="50"/>
  <c r="H1122" i="50"/>
  <c r="H807" i="50"/>
  <c r="H52" i="49"/>
  <c r="H84" i="50" s="1"/>
  <c r="H329" i="37"/>
  <c r="H839" i="37"/>
  <c r="H180" i="49"/>
  <c r="H206" i="50" s="1"/>
  <c r="H1152" i="50"/>
  <c r="H777" i="50"/>
  <c r="H572" i="50"/>
  <c r="H913" i="50"/>
  <c r="H1153" i="50"/>
  <c r="H1055" i="50"/>
  <c r="H1082" i="50"/>
  <c r="H639" i="50"/>
  <c r="H808" i="50"/>
  <c r="H492" i="37"/>
  <c r="H844" i="50"/>
  <c r="H393" i="47"/>
  <c r="H1722" i="37"/>
  <c r="H668" i="50"/>
  <c r="H38" i="49"/>
  <c r="H134" i="37"/>
  <c r="H779" i="50"/>
  <c r="H848" i="50"/>
  <c r="H531" i="50"/>
  <c r="H876" i="50"/>
  <c r="H670" i="50"/>
  <c r="H775" i="50"/>
  <c r="H1440" i="50"/>
  <c r="B43" i="34"/>
  <c r="H665" i="37"/>
  <c r="H1015" i="50"/>
  <c r="H738" i="50"/>
  <c r="H877" i="50"/>
  <c r="H840" i="37"/>
  <c r="H1368" i="50"/>
  <c r="H1548" i="37"/>
  <c r="H666" i="37"/>
  <c r="H1151" i="50"/>
  <c r="H17" i="49"/>
  <c r="H532" i="50"/>
  <c r="H882" i="37"/>
  <c r="H566" i="37"/>
  <c r="H1056" i="37"/>
  <c r="H376" i="37"/>
  <c r="H890" i="37"/>
  <c r="H1133" i="37"/>
  <c r="H435" i="42"/>
  <c r="H193" i="41"/>
  <c r="H341" i="50" s="1"/>
  <c r="H1314" i="50"/>
  <c r="H252" i="50"/>
  <c r="H433" i="41"/>
  <c r="H96" i="49"/>
  <c r="H166" i="50" s="1"/>
  <c r="H1280" i="50"/>
  <c r="H354" i="41"/>
  <c r="H462" i="50" s="1"/>
  <c r="H1057" i="37"/>
  <c r="H333" i="41"/>
  <c r="H443" i="50" s="1"/>
  <c r="H273" i="41"/>
  <c r="H390" i="50" s="1"/>
  <c r="H682" i="50"/>
  <c r="H1091" i="50"/>
  <c r="H295" i="41"/>
  <c r="H408" i="50" s="1"/>
  <c r="H673" i="50"/>
  <c r="H1010" i="50"/>
  <c r="H334" i="41"/>
  <c r="H444" i="50" s="1"/>
  <c r="H267" i="41"/>
  <c r="H384" i="50" s="1"/>
  <c r="H455" i="41"/>
  <c r="H102" i="41"/>
  <c r="H276" i="50" s="1"/>
  <c r="H1165" i="50"/>
  <c r="H733" i="37"/>
  <c r="H1559" i="37"/>
  <c r="H1065" i="37"/>
  <c r="H304" i="37"/>
  <c r="H1429" i="37"/>
  <c r="H1219" i="37"/>
  <c r="H814" i="50"/>
  <c r="H1167" i="50"/>
  <c r="H684" i="50"/>
  <c r="H1156" i="50"/>
  <c r="H205" i="42"/>
  <c r="H1148" i="50"/>
  <c r="H319" i="41"/>
  <c r="H430" i="50" s="1"/>
  <c r="H437" i="37"/>
  <c r="H1738" i="37"/>
  <c r="H1390" i="37"/>
  <c r="H393" i="37"/>
  <c r="H1437" i="37"/>
  <c r="H1041" i="37"/>
  <c r="H1174" i="37"/>
  <c r="H1413" i="37"/>
  <c r="H748" i="50"/>
  <c r="H1035" i="50"/>
  <c r="H962" i="50"/>
  <c r="H102" i="49"/>
  <c r="H167" i="50" s="1"/>
  <c r="H506" i="42"/>
  <c r="H1469" i="50"/>
  <c r="H303" i="42"/>
  <c r="H686" i="50"/>
  <c r="H1587" i="37"/>
  <c r="H824" i="50"/>
  <c r="H193" i="37"/>
  <c r="H260" i="50"/>
  <c r="H746" i="50"/>
  <c r="H1169" i="50"/>
  <c r="H305" i="41"/>
  <c r="H417" i="50" s="1"/>
  <c r="H107" i="42"/>
  <c r="H105" i="42"/>
  <c r="H153" i="37"/>
  <c r="H1031" i="50"/>
  <c r="H667" i="37"/>
  <c r="H1421" i="37"/>
  <c r="H899" i="37"/>
  <c r="H385" i="37"/>
  <c r="H1603" i="37"/>
  <c r="H1211" i="37"/>
  <c r="H868" i="37"/>
  <c r="H785" i="37"/>
  <c r="H1567" i="37"/>
  <c r="H543" i="37"/>
  <c r="H880" i="50"/>
  <c r="H725" i="37"/>
  <c r="H155" i="41"/>
  <c r="H313" i="50" s="1"/>
  <c r="H1100" i="50"/>
  <c r="H403" i="42"/>
  <c r="H1405" i="50"/>
  <c r="H301" i="42"/>
  <c r="H820" i="50"/>
  <c r="H338" i="41"/>
  <c r="H448" i="50" s="1"/>
  <c r="H1769" i="37"/>
  <c r="H361" i="37"/>
  <c r="H1372" i="50"/>
  <c r="H734" i="50"/>
  <c r="H941" i="50"/>
  <c r="H1312" i="50"/>
  <c r="H826" i="50"/>
  <c r="H330" i="41"/>
  <c r="H440" i="50" s="1"/>
  <c r="H97" i="41"/>
  <c r="H1286" i="50"/>
  <c r="H265" i="50"/>
  <c r="H1021" i="50"/>
  <c r="H185" i="49"/>
  <c r="H209" i="50" s="1"/>
  <c r="H679" i="37"/>
  <c r="H1239" i="37"/>
  <c r="H180" i="41"/>
  <c r="H332" i="50" s="1"/>
  <c r="H689" i="37"/>
  <c r="H1405" i="37"/>
  <c r="H883" i="37"/>
  <c r="H1000" i="37"/>
  <c r="H1045" i="37"/>
  <c r="H1723" i="37"/>
  <c r="H615" i="50"/>
  <c r="H154" i="41"/>
  <c r="H312" i="50" s="1"/>
  <c r="H621" i="50"/>
  <c r="H1018" i="50"/>
  <c r="H1307" i="50"/>
  <c r="H307" i="42"/>
  <c r="H1318" i="50"/>
  <c r="H1366" i="50"/>
  <c r="H952" i="50"/>
  <c r="H751" i="50"/>
  <c r="H966" i="50"/>
  <c r="H247" i="50"/>
  <c r="H608" i="50"/>
  <c r="H949" i="50"/>
  <c r="H347" i="41"/>
  <c r="H455" i="50" s="1"/>
  <c r="H453" i="41"/>
  <c r="H242" i="50"/>
  <c r="H355" i="41"/>
  <c r="H463" i="50" s="1"/>
  <c r="H897" i="50"/>
  <c r="H709" i="37"/>
  <c r="H1042" i="37"/>
  <c r="H493" i="37"/>
  <c r="H1201" i="37"/>
  <c r="H607" i="50"/>
  <c r="H1104" i="50"/>
  <c r="H815" i="50"/>
  <c r="H1096" i="50"/>
  <c r="H1326" i="50"/>
  <c r="H243" i="50"/>
  <c r="H454" i="41"/>
  <c r="H43" i="37"/>
  <c r="H1098" i="50"/>
  <c r="H679" i="50"/>
  <c r="H1711" i="37"/>
  <c r="H959" i="37"/>
  <c r="H604" i="50"/>
  <c r="H1777" i="37"/>
  <c r="H1263" i="37"/>
  <c r="H1189" i="37"/>
  <c r="H1563" i="37"/>
  <c r="H535" i="37"/>
  <c r="H955" i="50"/>
  <c r="H550" i="50"/>
  <c r="H676" i="50"/>
  <c r="H1316" i="50"/>
  <c r="H1270" i="50"/>
  <c r="H579" i="42"/>
  <c r="H401" i="42"/>
  <c r="H745" i="50"/>
  <c r="H1033" i="50"/>
  <c r="H1234" i="50"/>
  <c r="H826" i="37"/>
  <c r="H152" i="41"/>
  <c r="H310" i="50" s="1"/>
  <c r="H420" i="41"/>
  <c r="H548" i="50"/>
  <c r="H148" i="41"/>
  <c r="H306" i="50" s="1"/>
  <c r="H270" i="41"/>
  <c r="H387" i="50" s="1"/>
  <c r="H349" i="41"/>
  <c r="H457" i="50" s="1"/>
  <c r="H253" i="50"/>
  <c r="H202" i="37"/>
  <c r="H256" i="50"/>
  <c r="H328" i="42"/>
  <c r="H576" i="42"/>
  <c r="H243" i="42"/>
  <c r="H377" i="37"/>
  <c r="H551" i="37"/>
  <c r="H1308" i="50"/>
  <c r="H1093" i="50"/>
  <c r="H1435" i="50"/>
  <c r="H1087" i="50"/>
  <c r="H161" i="41"/>
  <c r="H319" i="50" s="1"/>
  <c r="H619" i="50"/>
  <c r="H907" i="37"/>
  <c r="H369" i="37"/>
  <c r="H895" i="50"/>
  <c r="H693" i="37"/>
  <c r="H414" i="41"/>
  <c r="H405" i="42"/>
  <c r="H305" i="42"/>
  <c r="H1171" i="50"/>
  <c r="H1307" i="37"/>
  <c r="H438" i="41"/>
  <c r="H177" i="41"/>
  <c r="H329" i="50" s="1"/>
  <c r="H352" i="41"/>
  <c r="H460" i="50" s="1"/>
  <c r="H1376" i="50"/>
  <c r="H322" i="41"/>
  <c r="H433" i="50" s="1"/>
  <c r="H20" i="41"/>
  <c r="H411" i="42"/>
  <c r="H653" i="42"/>
  <c r="H434" i="41"/>
  <c r="H140" i="42"/>
  <c r="H1828" i="37"/>
  <c r="H375" i="50"/>
  <c r="H611" i="37"/>
  <c r="H376" i="50"/>
  <c r="H321" i="41"/>
  <c r="H432" i="50" s="1"/>
  <c r="H1354" i="50"/>
  <c r="H1262" i="50"/>
  <c r="H535" i="50"/>
  <c r="H208" i="41"/>
  <c r="H353" i="50" s="1"/>
  <c r="H153" i="41"/>
  <c r="H311" i="50" s="1"/>
  <c r="H349" i="37"/>
  <c r="H677" i="50"/>
  <c r="H1162" i="50"/>
  <c r="H519" i="37"/>
  <c r="H136" i="37"/>
  <c r="H391" i="47"/>
  <c r="H1027" i="50"/>
  <c r="H753" i="50"/>
  <c r="H273" i="50"/>
  <c r="H1102" i="50"/>
  <c r="H520" i="37"/>
  <c r="H1215" i="37"/>
  <c r="H373" i="50"/>
  <c r="H309" i="42"/>
  <c r="H254" i="50"/>
  <c r="H757" i="50"/>
  <c r="H863" i="37"/>
  <c r="H144" i="42"/>
  <c r="H251" i="50"/>
  <c r="H275" i="41"/>
  <c r="H392" i="50" s="1"/>
  <c r="H1240" i="50"/>
  <c r="H244" i="50"/>
  <c r="H441" i="41"/>
  <c r="H1370" i="50"/>
  <c r="H339" i="42"/>
  <c r="H304" i="41"/>
  <c r="H416" i="50" s="1"/>
  <c r="H1393" i="37"/>
  <c r="H444" i="41"/>
  <c r="H124" i="37"/>
  <c r="H320" i="42"/>
  <c r="H424" i="42"/>
  <c r="H1465" i="50"/>
  <c r="H209" i="41"/>
  <c r="H354" i="50" s="1"/>
  <c r="H853" i="37"/>
  <c r="H158" i="49"/>
  <c r="H192" i="50" s="1"/>
  <c r="H886" i="50"/>
  <c r="H213" i="42"/>
  <c r="H559" i="37"/>
  <c r="H1595" i="37"/>
  <c r="H1385" i="37"/>
  <c r="H1222" i="50"/>
  <c r="H755" i="50"/>
  <c r="H1437" i="50"/>
  <c r="H1228" i="50"/>
  <c r="H1232" i="50"/>
  <c r="H867" i="37"/>
  <c r="H140" i="41"/>
  <c r="H300" i="50" s="1"/>
  <c r="H282" i="41"/>
  <c r="H397" i="50" s="1"/>
  <c r="H150" i="41"/>
  <c r="H308" i="50" s="1"/>
  <c r="H1401" i="50"/>
  <c r="H359" i="41"/>
  <c r="H466" i="50" s="1"/>
  <c r="H332" i="41"/>
  <c r="H442" i="50" s="1"/>
  <c r="H236" i="42"/>
  <c r="H113" i="42"/>
  <c r="H281" i="41"/>
  <c r="H396" i="50" s="1"/>
  <c r="H189" i="41"/>
  <c r="H339" i="50" s="1"/>
  <c r="H447" i="41"/>
  <c r="H1015" i="37"/>
  <c r="H415" i="41"/>
  <c r="H336" i="42"/>
  <c r="H1328" i="50"/>
  <c r="H335" i="41"/>
  <c r="H445" i="50" s="1"/>
  <c r="H509" i="42"/>
  <c r="H296" i="41"/>
  <c r="H409" i="50" s="1"/>
  <c r="H182" i="41"/>
  <c r="H334" i="50" s="1"/>
  <c r="H1081" i="37"/>
  <c r="H331" i="37"/>
  <c r="H91" i="49"/>
  <c r="H165" i="50" s="1"/>
  <c r="H111" i="41"/>
  <c r="H283" i="50" s="1"/>
  <c r="H149" i="41"/>
  <c r="H307" i="50" s="1"/>
  <c r="H294" i="41"/>
  <c r="H407" i="50" s="1"/>
  <c r="H346" i="37"/>
  <c r="H114" i="42"/>
  <c r="H141" i="49"/>
  <c r="H185" i="50" s="1"/>
  <c r="H582" i="42"/>
  <c r="H1348" i="37"/>
  <c r="H250" i="50"/>
  <c r="H1374" i="50"/>
  <c r="H348" i="41"/>
  <c r="H456" i="50" s="1"/>
  <c r="H272" i="41"/>
  <c r="H389" i="50" s="1"/>
  <c r="H351" i="41"/>
  <c r="H459" i="50" s="1"/>
  <c r="H285" i="41"/>
  <c r="H400" i="50" s="1"/>
  <c r="H218" i="41"/>
  <c r="H361" i="50" s="1"/>
  <c r="H259" i="50"/>
  <c r="H960" i="50"/>
  <c r="H142" i="41"/>
  <c r="H302" i="50" s="1"/>
  <c r="H1611" i="37"/>
  <c r="H1027" i="37"/>
  <c r="H1741" i="37"/>
  <c r="H44" i="49"/>
  <c r="H889" i="50"/>
  <c r="H1320" i="50"/>
  <c r="H1224" i="50"/>
  <c r="H297" i="41"/>
  <c r="H410" i="50" s="1"/>
  <c r="B41" i="34"/>
  <c r="H871" i="37"/>
  <c r="H546" i="50"/>
  <c r="H1261" i="50"/>
  <c r="H445" i="41"/>
  <c r="H884" i="50"/>
  <c r="H264" i="50"/>
  <c r="H23" i="41"/>
  <c r="H94" i="50" s="1"/>
  <c r="H1475" i="50"/>
  <c r="H538" i="50"/>
  <c r="H329" i="41"/>
  <c r="H439" i="50" s="1"/>
  <c r="H1073" i="37"/>
  <c r="H136" i="42"/>
  <c r="H246" i="50"/>
  <c r="H288" i="41"/>
  <c r="H403" i="50" s="1"/>
  <c r="H426" i="41"/>
  <c r="H552" i="50"/>
  <c r="H1037" i="37"/>
  <c r="H431" i="41"/>
  <c r="H841" i="37"/>
  <c r="H222" i="41"/>
  <c r="H365" i="50" s="1"/>
  <c r="H544" i="50"/>
  <c r="H262" i="50"/>
  <c r="H319" i="37"/>
  <c r="H210" i="41"/>
  <c r="H355" i="50" s="1"/>
  <c r="H194" i="41"/>
  <c r="H342" i="50" s="1"/>
  <c r="H596" i="50"/>
  <c r="H448" i="41"/>
  <c r="H891" i="50"/>
  <c r="H240" i="42"/>
  <c r="H1549" i="37"/>
  <c r="H891" i="37"/>
  <c r="H1481" i="37"/>
  <c r="H617" i="50"/>
  <c r="H331" i="41"/>
  <c r="H441" i="50" s="1"/>
  <c r="H803" i="50"/>
  <c r="H1226" i="50"/>
  <c r="H399" i="42"/>
  <c r="H872" i="50"/>
  <c r="H156" i="41"/>
  <c r="H314" i="50" s="1"/>
  <c r="H478" i="37"/>
  <c r="H274" i="41"/>
  <c r="H391" i="50" s="1"/>
  <c r="H1284" i="50"/>
  <c r="H332" i="42"/>
  <c r="H346" i="41"/>
  <c r="H454" i="50" s="1"/>
  <c r="H109" i="41"/>
  <c r="H281" i="50" s="1"/>
  <c r="H178" i="41"/>
  <c r="H330" i="50" s="1"/>
  <c r="H161" i="37"/>
  <c r="H1282" i="50"/>
  <c r="H158" i="41"/>
  <c r="H316" i="50" s="1"/>
  <c r="H1268" i="50"/>
  <c r="H1753" i="37"/>
  <c r="H412" i="41"/>
  <c r="H265" i="41"/>
  <c r="H382" i="50" s="1"/>
  <c r="H266" i="41"/>
  <c r="H383" i="50" s="1"/>
  <c r="H328" i="41"/>
  <c r="H438" i="50" s="1"/>
  <c r="H245" i="50"/>
  <c r="H257" i="50"/>
  <c r="H345" i="41"/>
  <c r="H453" i="50" s="1"/>
  <c r="H1255" i="37"/>
  <c r="H1655" i="37"/>
  <c r="H59" i="49"/>
  <c r="H91" i="50" s="1"/>
  <c r="H1467" i="50"/>
  <c r="H117" i="41"/>
  <c r="H287" i="50" s="1"/>
  <c r="H390" i="47"/>
  <c r="H430" i="41"/>
  <c r="H186" i="49"/>
  <c r="H210" i="50" s="1"/>
  <c r="H212" i="41"/>
  <c r="H357" i="50" s="1"/>
  <c r="H419" i="41"/>
  <c r="H759" i="50"/>
  <c r="H291" i="47"/>
  <c r="H1173" i="50"/>
  <c r="H1231" i="37"/>
  <c r="H915" i="37"/>
  <c r="H263" i="37"/>
  <c r="H822" i="50"/>
  <c r="H1159" i="50"/>
  <c r="H1364" i="50"/>
  <c r="H1362" i="50"/>
  <c r="H1079" i="50"/>
  <c r="H1733" i="37"/>
  <c r="H652" i="37"/>
  <c r="H1220" i="50"/>
  <c r="H1278" i="50"/>
  <c r="H410" i="42"/>
  <c r="H1833" i="37"/>
  <c r="H320" i="41"/>
  <c r="H431" i="50" s="1"/>
  <c r="H157" i="37"/>
  <c r="H317" i="41"/>
  <c r="H428" i="50" s="1"/>
  <c r="H271" i="41"/>
  <c r="H388" i="50" s="1"/>
  <c r="H1266" i="50"/>
  <c r="H219" i="42"/>
  <c r="H694" i="37"/>
  <c r="H644" i="42"/>
  <c r="H302" i="41"/>
  <c r="H414" i="50" s="1"/>
  <c r="H1443" i="50"/>
  <c r="H201" i="41"/>
  <c r="H348" i="50" s="1"/>
  <c r="H350" i="41"/>
  <c r="H458" i="50" s="1"/>
  <c r="H151" i="41"/>
  <c r="H309" i="50" s="1"/>
  <c r="H427" i="41"/>
  <c r="H1761" i="37"/>
  <c r="H211" i="37"/>
  <c r="H1363" i="37"/>
  <c r="H1375" i="37"/>
  <c r="H613" i="50"/>
  <c r="H1024" i="50"/>
  <c r="H128" i="42"/>
  <c r="H258" i="50"/>
  <c r="H541" i="50"/>
  <c r="H99" i="42"/>
  <c r="H1216" i="37"/>
  <c r="H1358" i="50"/>
  <c r="H228" i="41"/>
  <c r="H369" i="50" s="1"/>
  <c r="H232" i="42"/>
  <c r="H1785" i="37"/>
  <c r="H432" i="42"/>
  <c r="H224" i="42"/>
  <c r="H437" i="41"/>
  <c r="H503" i="42"/>
  <c r="H964" i="50"/>
  <c r="H1247" i="37"/>
  <c r="H828" i="50"/>
  <c r="H893" i="50"/>
  <c r="H1579" i="37"/>
  <c r="H255" i="50"/>
  <c r="H266" i="50"/>
  <c r="H1433" i="50"/>
  <c r="H315" i="41"/>
  <c r="H426" i="50" s="1"/>
  <c r="H261" i="50"/>
  <c r="H1411" i="50"/>
  <c r="H141" i="41"/>
  <c r="H301" i="50" s="1"/>
  <c r="H323" i="41"/>
  <c r="H434" i="50" s="1"/>
  <c r="H181" i="41"/>
  <c r="H333" i="50" s="1"/>
  <c r="H1236" i="50"/>
  <c r="H742" i="50"/>
  <c r="H209" i="42"/>
  <c r="H324" i="42"/>
  <c r="H665" i="50"/>
  <c r="H1522" i="37"/>
  <c r="H316" i="41"/>
  <c r="H427" i="50" s="1"/>
  <c r="H567" i="37"/>
  <c r="H153" i="49"/>
  <c r="H191" i="50" s="1"/>
  <c r="H120" i="41"/>
  <c r="H290" i="50" s="1"/>
  <c r="H218" i="42"/>
  <c r="H101" i="42"/>
  <c r="H314" i="42"/>
  <c r="H345" i="37"/>
  <c r="H132" i="42"/>
  <c r="H1238" i="50"/>
  <c r="H610" i="50"/>
  <c r="H211" i="42"/>
  <c r="H1360" i="50"/>
  <c r="H1160" i="50"/>
  <c r="H505" i="37"/>
  <c r="H650" i="42"/>
  <c r="H741" i="37"/>
  <c r="H647" i="42"/>
  <c r="H263" i="50"/>
  <c r="H283" i="41"/>
  <c r="H398" i="50" s="1"/>
  <c r="H1696" i="37"/>
  <c r="H1564" i="37"/>
  <c r="H1330" i="50"/>
  <c r="H1403" i="50"/>
  <c r="H420" i="42"/>
  <c r="H539" i="50"/>
  <c r="H883" i="50"/>
  <c r="H817" i="50"/>
  <c r="H103" i="42"/>
  <c r="H1442" i="50"/>
  <c r="H1216" i="50"/>
  <c r="H688" i="50"/>
  <c r="H1274" i="50"/>
  <c r="H440" i="41"/>
  <c r="H1737" i="37"/>
  <c r="H416" i="42"/>
  <c r="H523" i="37"/>
  <c r="H179" i="41"/>
  <c r="H331" i="50" s="1"/>
  <c r="H413" i="41"/>
  <c r="H1389" i="37"/>
  <c r="H527" i="50"/>
  <c r="H96" i="41"/>
  <c r="H272" i="50" s="1"/>
  <c r="H140" i="49"/>
  <c r="H184" i="50" s="1"/>
  <c r="H690" i="50"/>
  <c r="H1022" i="50"/>
  <c r="H207" i="42"/>
  <c r="H1410" i="50"/>
  <c r="H1089" i="37"/>
  <c r="H1090" i="50"/>
  <c r="H397" i="42"/>
  <c r="H174" i="37"/>
  <c r="H303" i="41"/>
  <c r="H415" i="50" s="1"/>
  <c r="H341" i="37"/>
  <c r="H428" i="42"/>
  <c r="H811" i="50"/>
  <c r="H108" i="41"/>
  <c r="H280" i="50" s="1"/>
  <c r="H228" i="42"/>
  <c r="H314" i="41"/>
  <c r="H425" i="50" s="1"/>
  <c r="H118" i="41"/>
  <c r="H288" i="50" s="1"/>
  <c r="H958" i="50"/>
  <c r="H1029" i="50"/>
  <c r="H241" i="50"/>
  <c r="H697" i="37"/>
  <c r="H1272" i="50"/>
  <c r="H24" i="49"/>
  <c r="H1378" i="50"/>
  <c r="H123" i="41"/>
  <c r="H293" i="50" s="1"/>
  <c r="H717" i="37"/>
  <c r="H183" i="37"/>
  <c r="H149" i="49"/>
  <c r="H190" i="50" s="1"/>
  <c r="H573" i="42"/>
  <c r="H157" i="41"/>
  <c r="H315" i="50" s="1"/>
  <c r="H953" i="50"/>
  <c r="H418" i="41"/>
  <c r="H269" i="41"/>
  <c r="H386" i="50" s="1"/>
  <c r="H1332" i="50"/>
  <c r="H207" i="41"/>
  <c r="H352" i="50" s="1"/>
  <c r="H308" i="41"/>
  <c r="H420" i="50" s="1"/>
  <c r="H1215" i="50"/>
  <c r="H353" i="41"/>
  <c r="H461" i="50" s="1"/>
  <c r="H318" i="41"/>
  <c r="H429" i="50" s="1"/>
  <c r="H21" i="41"/>
  <c r="H92" i="50" s="1"/>
  <c r="H315" i="42"/>
  <c r="H1537" i="37"/>
  <c r="H158" i="37"/>
  <c r="H344" i="41"/>
  <c r="H452" i="50" s="1"/>
  <c r="H22" i="41"/>
  <c r="H93" i="50" s="1"/>
  <c r="H313" i="41"/>
  <c r="H424" i="50" s="1"/>
  <c r="H110" i="41"/>
  <c r="H282" i="50" s="1"/>
  <c r="H268" i="41"/>
  <c r="H385" i="50" s="1"/>
  <c r="H1324" i="50"/>
  <c r="H1353" i="50"/>
  <c r="H500" i="42"/>
  <c r="H103" i="37"/>
  <c r="H515" i="37"/>
  <c r="H119" i="41"/>
  <c r="H289" i="50" s="1"/>
  <c r="H374" i="50"/>
  <c r="H147" i="42"/>
  <c r="H211" i="41"/>
  <c r="H356" i="50" s="1"/>
  <c r="H363" i="41"/>
  <c r="H469" i="50" s="1"/>
  <c r="H1474" i="50"/>
  <c r="J396" i="50"/>
  <c r="J283" i="41"/>
  <c r="J398" i="50" s="1"/>
  <c r="H407" i="43"/>
  <c r="E38" i="50" s="1"/>
  <c r="J407" i="43"/>
  <c r="I38" i="50" s="1"/>
  <c r="G407" i="43"/>
  <c r="K407" i="43"/>
  <c r="L38" i="50" s="1"/>
  <c r="E220" i="34"/>
  <c r="Q220" i="34"/>
  <c r="T220" i="34" s="1"/>
  <c r="I1464" i="37"/>
  <c r="I91" i="50"/>
  <c r="I20" i="41"/>
  <c r="I23" i="41" s="1"/>
  <c r="D298" i="43"/>
  <c r="E297" i="43"/>
  <c r="I283" i="41"/>
  <c r="I396" i="50"/>
  <c r="H95" i="47"/>
  <c r="H253" i="47"/>
  <c r="I140" i="49"/>
  <c r="E409" i="43"/>
  <c r="F408" i="43"/>
  <c r="N1452" i="50"/>
  <c r="H1456" i="50"/>
  <c r="G1459" i="50" s="1"/>
  <c r="N1450" i="50"/>
  <c r="N1451" i="50"/>
  <c r="P1638" i="37"/>
  <c r="H1642" i="37"/>
  <c r="H1643" i="37" s="1"/>
  <c r="H1644" i="37" s="1"/>
  <c r="J397" i="43" l="1"/>
  <c r="P666" i="42"/>
  <c r="H666" i="42"/>
  <c r="S1479" i="50"/>
  <c r="S1482" i="50"/>
  <c r="H192" i="37"/>
  <c r="I379" i="43"/>
  <c r="E148" i="41"/>
  <c r="I13" i="37"/>
  <c r="I507" i="50"/>
  <c r="E115" i="50"/>
  <c r="G3" i="37"/>
  <c r="H25" i="37"/>
  <c r="H26" i="37" s="1"/>
  <c r="H27" i="37" s="1"/>
  <c r="E122" i="50"/>
  <c r="E155" i="41"/>
  <c r="I386" i="43"/>
  <c r="M4" i="37"/>
  <c r="I1290" i="37"/>
  <c r="H1294" i="37"/>
  <c r="H1295" i="37" s="1"/>
  <c r="H1296" i="37" s="1"/>
  <c r="H424" i="37"/>
  <c r="H425" i="37" s="1"/>
  <c r="H426" i="37" s="1"/>
  <c r="I645" i="50"/>
  <c r="E150" i="41"/>
  <c r="I381" i="43"/>
  <c r="K3" i="37"/>
  <c r="I420" i="37"/>
  <c r="E117" i="50"/>
  <c r="I921" i="50"/>
  <c r="E121" i="50"/>
  <c r="I385" i="43"/>
  <c r="I1116" i="37"/>
  <c r="E154" i="41"/>
  <c r="H1120" i="37"/>
  <c r="H1121" i="37" s="1"/>
  <c r="H1122" i="37" s="1"/>
  <c r="K4" i="37"/>
  <c r="I5" i="37"/>
  <c r="E124" i="50"/>
  <c r="I388" i="43"/>
  <c r="E157" i="41"/>
  <c r="I4" i="37"/>
  <c r="H946" i="37"/>
  <c r="H947" i="37" s="1"/>
  <c r="H948" i="37" s="1"/>
  <c r="I852" i="50"/>
  <c r="E153" i="41"/>
  <c r="E120" i="50"/>
  <c r="I384" i="43"/>
  <c r="I942" i="37"/>
  <c r="I382" i="43"/>
  <c r="I714" i="50"/>
  <c r="E151" i="41"/>
  <c r="H598" i="37"/>
  <c r="H599" i="37" s="1"/>
  <c r="H600" i="37" s="1"/>
  <c r="E118" i="50"/>
  <c r="M3" i="37"/>
  <c r="I594" i="37"/>
  <c r="I246" i="37"/>
  <c r="I576" i="50"/>
  <c r="H250" i="37"/>
  <c r="H251" i="37" s="1"/>
  <c r="H252" i="37" s="1"/>
  <c r="I3" i="37"/>
  <c r="I380" i="43"/>
  <c r="E149" i="41"/>
  <c r="E116" i="50"/>
  <c r="I88" i="50"/>
  <c r="I58" i="49"/>
  <c r="J58" i="49"/>
  <c r="J88" i="50"/>
  <c r="K61" i="49"/>
  <c r="K90" i="50"/>
  <c r="K112" i="50" s="1"/>
  <c r="K162" i="43"/>
  <c r="K68" i="49"/>
  <c r="H1412" i="37"/>
  <c r="L86" i="50"/>
  <c r="L56" i="49"/>
  <c r="E273" i="41"/>
  <c r="E314" i="50"/>
  <c r="H1768" i="37"/>
  <c r="H716" i="37"/>
  <c r="H1404" i="37"/>
  <c r="H898" i="37"/>
  <c r="H368" i="37"/>
  <c r="H1230" i="37"/>
  <c r="H550" i="37"/>
  <c r="H1586" i="37"/>
  <c r="J197" i="41"/>
  <c r="J345" i="50" s="1"/>
  <c r="P858" i="37"/>
  <c r="E772" i="37"/>
  <c r="P851" i="37"/>
  <c r="L773" i="37"/>
  <c r="M773" i="37"/>
  <c r="P900" i="37"/>
  <c r="P933" i="37"/>
  <c r="E822" i="37"/>
  <c r="AA923" i="37"/>
  <c r="AA832" i="37"/>
  <c r="R839" i="37"/>
  <c r="R916" i="37"/>
  <c r="P934" i="37"/>
  <c r="AA878" i="37"/>
  <c r="AA881" i="37" s="1"/>
  <c r="AA882" i="37" s="1"/>
  <c r="X876" i="37"/>
  <c r="P899" i="37"/>
  <c r="U768" i="37"/>
  <c r="P839" i="37"/>
  <c r="J773" i="37"/>
  <c r="P864" i="37"/>
  <c r="P827" i="37"/>
  <c r="R863" i="37"/>
  <c r="AA785" i="37"/>
  <c r="AA796" i="37" s="1"/>
  <c r="AA797" i="37" s="1"/>
  <c r="AA798" i="37" s="1"/>
  <c r="AA799" i="37" s="1"/>
  <c r="AA800" i="37" s="1"/>
  <c r="AA801" i="37" s="1"/>
  <c r="AA802" i="37" s="1"/>
  <c r="AA803" i="37" s="1"/>
  <c r="AA804" i="37" s="1"/>
  <c r="AA805" i="37" s="1"/>
  <c r="AA806" i="37" s="1"/>
  <c r="R907" i="37"/>
  <c r="P920" i="37"/>
  <c r="T768" i="37"/>
  <c r="I773" i="37"/>
  <c r="P891" i="37"/>
  <c r="R822" i="37"/>
  <c r="P892" i="37"/>
  <c r="P929" i="37"/>
  <c r="S776" i="37"/>
  <c r="L774" i="37"/>
  <c r="P915" i="37"/>
  <c r="P923" i="37"/>
  <c r="S768" i="37"/>
  <c r="P907" i="37"/>
  <c r="K773" i="37"/>
  <c r="P884" i="37"/>
  <c r="I811" i="37"/>
  <c r="P773" i="37"/>
  <c r="P786" i="37"/>
  <c r="P868" i="37"/>
  <c r="K774" i="37"/>
  <c r="R858" i="37"/>
  <c r="V768" i="37"/>
  <c r="E923" i="37"/>
  <c r="J774" i="37"/>
  <c r="H776" i="37"/>
  <c r="P826" i="37"/>
  <c r="P871" i="37"/>
  <c r="P916" i="37"/>
  <c r="P867" i="37"/>
  <c r="P908" i="37"/>
  <c r="M774" i="37"/>
  <c r="P822" i="37"/>
  <c r="R872" i="37"/>
  <c r="R864" i="37"/>
  <c r="P883" i="37"/>
  <c r="X830" i="37"/>
  <c r="P774" i="37"/>
  <c r="P872" i="37"/>
  <c r="R908" i="37"/>
  <c r="J782" i="37"/>
  <c r="R871" i="37"/>
  <c r="R851" i="37"/>
  <c r="W768" i="37"/>
  <c r="R768" i="37"/>
  <c r="Q780" i="37"/>
  <c r="I774" i="37"/>
  <c r="P930" i="37"/>
  <c r="Q776" i="37"/>
  <c r="AA773" i="37" s="1"/>
  <c r="AA768" i="37"/>
  <c r="R920" i="37"/>
  <c r="X926" i="37"/>
  <c r="P863" i="37"/>
  <c r="E146" i="50"/>
  <c r="E258" i="50" s="1"/>
  <c r="S123" i="50"/>
  <c r="P123" i="50"/>
  <c r="P1027" i="50"/>
  <c r="L1028" i="50"/>
  <c r="M1013" i="50"/>
  <c r="E1041" i="50"/>
  <c r="L1021" i="50"/>
  <c r="P1003" i="50"/>
  <c r="M1035" i="50"/>
  <c r="P1031" i="50"/>
  <c r="M1027" i="50"/>
  <c r="J1010" i="50"/>
  <c r="L1025" i="50"/>
  <c r="L999" i="50"/>
  <c r="I1038" i="50"/>
  <c r="K1027" i="50"/>
  <c r="P1022" i="50"/>
  <c r="K1036" i="50"/>
  <c r="J1016" i="50"/>
  <c r="K1034" i="50"/>
  <c r="K1022" i="50"/>
  <c r="P1041" i="50"/>
  <c r="L1014" i="50"/>
  <c r="L1032" i="50"/>
  <c r="R990" i="50"/>
  <c r="D1585" i="50" s="1"/>
  <c r="L1044" i="50"/>
  <c r="J1042" i="50"/>
  <c r="P1028" i="50"/>
  <c r="K1015" i="50"/>
  <c r="L1038" i="50"/>
  <c r="K1013" i="50"/>
  <c r="M1010" i="50"/>
  <c r="M994" i="50"/>
  <c r="J1014" i="50"/>
  <c r="I1029" i="50"/>
  <c r="K1042" i="50"/>
  <c r="P1029" i="50"/>
  <c r="K1021" i="50"/>
  <c r="J993" i="50"/>
  <c r="M1025" i="50"/>
  <c r="I1027" i="50"/>
  <c r="J995" i="50"/>
  <c r="L1013" i="50"/>
  <c r="P1011" i="50"/>
  <c r="K1025" i="50"/>
  <c r="P1019" i="50"/>
  <c r="J1018" i="50"/>
  <c r="J1035" i="50"/>
  <c r="I1044" i="50"/>
  <c r="L1022" i="50"/>
  <c r="K999" i="50"/>
  <c r="P1030" i="50"/>
  <c r="K1010" i="50"/>
  <c r="P1045" i="50"/>
  <c r="M995" i="50"/>
  <c r="M1004" i="50" s="1"/>
  <c r="T990" i="50" s="1"/>
  <c r="T1003" i="50" s="1"/>
  <c r="M1014" i="50"/>
  <c r="M1041" i="50"/>
  <c r="K1011" i="50"/>
  <c r="J999" i="50"/>
  <c r="M1045" i="50"/>
  <c r="P1010" i="50"/>
  <c r="M1030" i="50"/>
  <c r="J1045" i="50"/>
  <c r="K1019" i="50"/>
  <c r="J1022" i="50"/>
  <c r="I1014" i="50"/>
  <c r="L1024" i="50"/>
  <c r="K1024" i="50"/>
  <c r="M1029" i="50"/>
  <c r="L1030" i="50"/>
  <c r="K1028" i="50"/>
  <c r="P998" i="50"/>
  <c r="J1044" i="50"/>
  <c r="L1036" i="50"/>
  <c r="I1015" i="50"/>
  <c r="K1041" i="50"/>
  <c r="P1036" i="50"/>
  <c r="M1022" i="50"/>
  <c r="J1001" i="50"/>
  <c r="L998" i="50"/>
  <c r="M1015" i="50"/>
  <c r="M1028" i="50"/>
  <c r="L1001" i="50"/>
  <c r="I1022" i="50"/>
  <c r="M1019" i="50"/>
  <c r="M1016" i="50"/>
  <c r="M1021" i="50"/>
  <c r="M1034" i="50"/>
  <c r="I1032" i="50"/>
  <c r="M1044" i="50"/>
  <c r="P1021" i="50"/>
  <c r="S994" i="50"/>
  <c r="H995" i="50" s="1"/>
  <c r="S992" i="50" s="1"/>
  <c r="P1018" i="50"/>
  <c r="P1034" i="50"/>
  <c r="K1045" i="50"/>
  <c r="J1038" i="50"/>
  <c r="K998" i="50"/>
  <c r="I1045" i="50"/>
  <c r="E1045" i="50"/>
  <c r="L1035" i="50"/>
  <c r="I1018" i="50"/>
  <c r="M1018" i="50"/>
  <c r="I1013" i="50"/>
  <c r="P1014" i="50"/>
  <c r="I1034" i="50"/>
  <c r="J1034" i="50"/>
  <c r="I1010" i="50"/>
  <c r="I1033" i="50"/>
  <c r="L1041" i="50"/>
  <c r="I1041" i="50"/>
  <c r="K1018" i="50"/>
  <c r="L1031" i="50"/>
  <c r="M999" i="50"/>
  <c r="I1028" i="50"/>
  <c r="L1034" i="50"/>
  <c r="K1016" i="50"/>
  <c r="M1033" i="50"/>
  <c r="P1004" i="50"/>
  <c r="M1036" i="50"/>
  <c r="J1041" i="50"/>
  <c r="J1025" i="50"/>
  <c r="L1033" i="50"/>
  <c r="I999" i="50"/>
  <c r="P1024" i="50"/>
  <c r="P1015" i="50"/>
  <c r="I1011" i="50"/>
  <c r="I1001" i="50"/>
  <c r="P1048" i="50"/>
  <c r="L1015" i="50"/>
  <c r="F1004" i="50"/>
  <c r="L1027" i="50"/>
  <c r="J1019" i="50"/>
  <c r="G995" i="50"/>
  <c r="K1035" i="50"/>
  <c r="M998" i="50"/>
  <c r="K1032" i="50"/>
  <c r="E993" i="50"/>
  <c r="L993" i="50" s="1"/>
  <c r="N999" i="50" s="1"/>
  <c r="P1038" i="50"/>
  <c r="K1004" i="50"/>
  <c r="S1003" i="50" s="1"/>
  <c r="I995" i="50"/>
  <c r="P1032" i="50"/>
  <c r="K1038" i="50"/>
  <c r="P1044" i="50"/>
  <c r="I998" i="50"/>
  <c r="M1031" i="50"/>
  <c r="K995" i="50"/>
  <c r="L1048" i="50"/>
  <c r="J1011" i="50"/>
  <c r="J1048" i="50"/>
  <c r="I1019" i="50"/>
  <c r="I1024" i="50"/>
  <c r="K1031" i="50"/>
  <c r="J1024" i="50"/>
  <c r="I1021" i="50"/>
  <c r="J1021" i="50"/>
  <c r="L1019" i="50"/>
  <c r="I1030" i="50"/>
  <c r="J1029" i="50"/>
  <c r="P1033" i="50"/>
  <c r="J1015" i="50"/>
  <c r="L1042" i="50"/>
  <c r="J1036" i="50"/>
  <c r="E1042" i="50"/>
  <c r="M993" i="50"/>
  <c r="I1036" i="50"/>
  <c r="L1029" i="50"/>
  <c r="J1032" i="50"/>
  <c r="I1004" i="50"/>
  <c r="R1003" i="50" s="1"/>
  <c r="I1035" i="50"/>
  <c r="J1013" i="50"/>
  <c r="L1045" i="50"/>
  <c r="P1013" i="50"/>
  <c r="M1032" i="50"/>
  <c r="M1038" i="50"/>
  <c r="E1044" i="50"/>
  <c r="J1030" i="50"/>
  <c r="K1014" i="50"/>
  <c r="L1018" i="50"/>
  <c r="L1011" i="50"/>
  <c r="P1035" i="50"/>
  <c r="P999" i="50"/>
  <c r="I1042" i="50"/>
  <c r="I1025" i="50"/>
  <c r="P1025" i="50"/>
  <c r="P1001" i="50"/>
  <c r="J998" i="50"/>
  <c r="M1048" i="50"/>
  <c r="K1030" i="50"/>
  <c r="K1029" i="50"/>
  <c r="I1048" i="50"/>
  <c r="K1044" i="50"/>
  <c r="J1033" i="50"/>
  <c r="M1024" i="50"/>
  <c r="K1033" i="50"/>
  <c r="P1016" i="50"/>
  <c r="M1001" i="50"/>
  <c r="M1042" i="50"/>
  <c r="J1028" i="50"/>
  <c r="L1016" i="50"/>
  <c r="P1042" i="50"/>
  <c r="J1031" i="50"/>
  <c r="K1001" i="50"/>
  <c r="K1048" i="50"/>
  <c r="I1016" i="50"/>
  <c r="K993" i="50"/>
  <c r="J1027" i="50"/>
  <c r="M1011" i="50"/>
  <c r="L1010" i="50"/>
  <c r="I1031" i="50"/>
  <c r="Q221" i="34"/>
  <c r="T221" i="34" s="1"/>
  <c r="E221" i="34"/>
  <c r="H360" i="37"/>
  <c r="E269" i="41"/>
  <c r="E310" i="50"/>
  <c r="H1436" i="37"/>
  <c r="P1535" i="37"/>
  <c r="P1630" i="37"/>
  <c r="AA1481" i="37"/>
  <c r="AA1492" i="37" s="1"/>
  <c r="AA1493" i="37" s="1"/>
  <c r="AA1494" i="37" s="1"/>
  <c r="AA1495" i="37" s="1"/>
  <c r="AA1496" i="37" s="1"/>
  <c r="AA1497" i="37" s="1"/>
  <c r="AA1498" i="37" s="1"/>
  <c r="AA1499" i="37" s="1"/>
  <c r="AA1500" i="37" s="1"/>
  <c r="AA1501" i="37" s="1"/>
  <c r="AA1502" i="37" s="1"/>
  <c r="P1604" i="37"/>
  <c r="AA1574" i="37"/>
  <c r="AA1577" i="37" s="1"/>
  <c r="AA1578" i="37" s="1"/>
  <c r="X1526" i="37"/>
  <c r="R1518" i="37"/>
  <c r="I1507" i="37"/>
  <c r="L1470" i="37"/>
  <c r="J1470" i="37"/>
  <c r="R1604" i="37"/>
  <c r="R1559" i="37"/>
  <c r="P1580" i="37"/>
  <c r="P1587" i="37"/>
  <c r="P1603" i="37"/>
  <c r="R1568" i="37"/>
  <c r="I1469" i="37"/>
  <c r="P1547" i="37"/>
  <c r="P1568" i="37"/>
  <c r="U1464" i="37"/>
  <c r="J1469" i="37"/>
  <c r="R1603" i="37"/>
  <c r="P1560" i="37"/>
  <c r="P1482" i="37"/>
  <c r="P1522" i="37"/>
  <c r="P1619" i="37"/>
  <c r="X1572" i="37"/>
  <c r="S1464" i="37"/>
  <c r="P1612" i="37"/>
  <c r="R1554" i="37"/>
  <c r="E1468" i="37"/>
  <c r="R1567" i="37"/>
  <c r="P1523" i="37"/>
  <c r="M1469" i="37"/>
  <c r="T1464" i="37"/>
  <c r="K1470" i="37"/>
  <c r="M1470" i="37"/>
  <c r="P1469" i="37"/>
  <c r="E1619" i="37"/>
  <c r="AA1528" i="37"/>
  <c r="E1518" i="37"/>
  <c r="P1564" i="37"/>
  <c r="AA1619" i="37"/>
  <c r="P1626" i="37"/>
  <c r="P1470" i="37"/>
  <c r="X1622" i="37"/>
  <c r="P1554" i="37"/>
  <c r="P1629" i="37"/>
  <c r="I1470" i="37"/>
  <c r="P1611" i="37"/>
  <c r="Q1472" i="37"/>
  <c r="AA1469" i="37" s="1"/>
  <c r="P1625" i="37"/>
  <c r="L1469" i="37"/>
  <c r="P1588" i="37"/>
  <c r="R1464" i="37"/>
  <c r="P1595" i="37"/>
  <c r="P1579" i="37"/>
  <c r="P1563" i="37"/>
  <c r="P1559" i="37"/>
  <c r="H1472" i="37"/>
  <c r="P1518" i="37"/>
  <c r="R1535" i="37"/>
  <c r="R1612" i="37"/>
  <c r="W1464" i="37"/>
  <c r="V1464" i="37"/>
  <c r="S1472" i="37"/>
  <c r="R1547" i="37"/>
  <c r="R1560" i="37"/>
  <c r="R1616" i="37"/>
  <c r="P1616" i="37"/>
  <c r="P1567" i="37"/>
  <c r="AA1464" i="37"/>
  <c r="J1478" i="37"/>
  <c r="Q1476" i="37"/>
  <c r="P1596" i="37"/>
  <c r="K1469" i="37"/>
  <c r="H1776" i="37"/>
  <c r="H201" i="37"/>
  <c r="H906" i="37"/>
  <c r="H1072" i="37"/>
  <c r="H1594" i="37"/>
  <c r="H1080" i="37"/>
  <c r="S1447" i="50"/>
  <c r="S1450" i="50"/>
  <c r="J341" i="50"/>
  <c r="J228" i="41"/>
  <c r="S119" i="50"/>
  <c r="P119" i="50"/>
  <c r="E142" i="50"/>
  <c r="E254" i="50" s="1"/>
  <c r="I181" i="50"/>
  <c r="I135" i="49"/>
  <c r="I182" i="50" s="1"/>
  <c r="D299" i="43"/>
  <c r="E298" i="43"/>
  <c r="H1578" i="37"/>
  <c r="H558" i="37"/>
  <c r="P1696" i="37"/>
  <c r="P1778" i="37"/>
  <c r="AA1748" i="37"/>
  <c r="AA1751" i="37" s="1"/>
  <c r="AA1752" i="37" s="1"/>
  <c r="P1777" i="37"/>
  <c r="P1644" i="37"/>
  <c r="X1700" i="37"/>
  <c r="R1638" i="37"/>
  <c r="I1644" i="37"/>
  <c r="AA1638" i="37"/>
  <c r="R1734" i="37"/>
  <c r="P1656" i="37"/>
  <c r="E1692" i="37"/>
  <c r="R1790" i="37"/>
  <c r="P1769" i="37"/>
  <c r="J1652" i="37"/>
  <c r="P1709" i="37"/>
  <c r="J1643" i="37"/>
  <c r="P1804" i="37"/>
  <c r="R1786" i="37"/>
  <c r="E1642" i="37"/>
  <c r="P1742" i="37"/>
  <c r="P1785" i="37"/>
  <c r="I1643" i="37"/>
  <c r="R1742" i="37"/>
  <c r="E1793" i="37"/>
  <c r="I1681" i="37"/>
  <c r="P1728" i="37"/>
  <c r="AA1702" i="37"/>
  <c r="P1697" i="37"/>
  <c r="P1762" i="37"/>
  <c r="P1754" i="37"/>
  <c r="W1638" i="37"/>
  <c r="P1721" i="37"/>
  <c r="P1737" i="37"/>
  <c r="X1746" i="37"/>
  <c r="S1646" i="37"/>
  <c r="R1709" i="37"/>
  <c r="AA1655" i="37"/>
  <c r="AA1666" i="37" s="1"/>
  <c r="AA1667" i="37" s="1"/>
  <c r="AA1668" i="37" s="1"/>
  <c r="AA1669" i="37" s="1"/>
  <c r="AA1670" i="37" s="1"/>
  <c r="AA1671" i="37" s="1"/>
  <c r="AA1672" i="37" s="1"/>
  <c r="AA1673" i="37" s="1"/>
  <c r="AA1674" i="37" s="1"/>
  <c r="AA1675" i="37" s="1"/>
  <c r="AA1676" i="37" s="1"/>
  <c r="P1692" i="37"/>
  <c r="J1644" i="37"/>
  <c r="R1741" i="37"/>
  <c r="P1734" i="37"/>
  <c r="P1799" i="37"/>
  <c r="T1638" i="37"/>
  <c r="L1644" i="37"/>
  <c r="V1638" i="37"/>
  <c r="AA1793" i="37"/>
  <c r="S1638" i="37"/>
  <c r="P1803" i="37"/>
  <c r="P1741" i="37"/>
  <c r="M1644" i="37"/>
  <c r="K1643" i="37"/>
  <c r="P1770" i="37"/>
  <c r="P1790" i="37"/>
  <c r="H1646" i="37"/>
  <c r="U1638" i="37"/>
  <c r="P1753" i="37"/>
  <c r="K1644" i="37"/>
  <c r="P1738" i="37"/>
  <c r="R1728" i="37"/>
  <c r="R1721" i="37"/>
  <c r="R1733" i="37"/>
  <c r="M1643" i="37"/>
  <c r="Q1650" i="37"/>
  <c r="P1733" i="37"/>
  <c r="P1793" i="37"/>
  <c r="Q1646" i="37"/>
  <c r="AA1643" i="37" s="1"/>
  <c r="P1643" i="37"/>
  <c r="R1692" i="37"/>
  <c r="X1796" i="37"/>
  <c r="R1777" i="37"/>
  <c r="P1761" i="37"/>
  <c r="L1643" i="37"/>
  <c r="P1800" i="37"/>
  <c r="R1778" i="37"/>
  <c r="P1786" i="37"/>
  <c r="H1760" i="37"/>
  <c r="H724" i="37"/>
  <c r="H392" i="37"/>
  <c r="H1610" i="37"/>
  <c r="H1602" i="37"/>
  <c r="H1262" i="37"/>
  <c r="H542" i="37"/>
  <c r="E835" i="50"/>
  <c r="P814" i="50"/>
  <c r="I823" i="50"/>
  <c r="I841" i="50"/>
  <c r="P829" i="50"/>
  <c r="J808" i="50"/>
  <c r="I827" i="50"/>
  <c r="K807" i="50"/>
  <c r="M818" i="50"/>
  <c r="K824" i="50"/>
  <c r="K827" i="50"/>
  <c r="L792" i="50"/>
  <c r="I788" i="50"/>
  <c r="M807" i="50"/>
  <c r="L791" i="50"/>
  <c r="I829" i="50"/>
  <c r="K808" i="50"/>
  <c r="L812" i="50"/>
  <c r="L803" i="50"/>
  <c r="I838" i="50"/>
  <c r="M829" i="50"/>
  <c r="K838" i="50"/>
  <c r="L834" i="50"/>
  <c r="P834" i="50"/>
  <c r="F797" i="50"/>
  <c r="M791" i="50"/>
  <c r="M809" i="50"/>
  <c r="L820" i="50"/>
  <c r="J803" i="50"/>
  <c r="L822" i="50"/>
  <c r="K837" i="50"/>
  <c r="P818" i="50"/>
  <c r="M823" i="50"/>
  <c r="L828" i="50"/>
  <c r="L827" i="50"/>
  <c r="I821" i="50"/>
  <c r="K791" i="50"/>
  <c r="M837" i="50"/>
  <c r="I806" i="50"/>
  <c r="M806" i="50"/>
  <c r="I825" i="50"/>
  <c r="I809" i="50"/>
  <c r="K812" i="50"/>
  <c r="P811" i="50"/>
  <c r="M787" i="50"/>
  <c r="K811" i="50"/>
  <c r="K831" i="50"/>
  <c r="M794" i="50"/>
  <c r="P807" i="50"/>
  <c r="I817" i="50"/>
  <c r="P827" i="50"/>
  <c r="M792" i="50"/>
  <c r="I808" i="50"/>
  <c r="L837" i="50"/>
  <c r="I824" i="50"/>
  <c r="J788" i="50"/>
  <c r="K825" i="50"/>
  <c r="E837" i="50"/>
  <c r="K814" i="50"/>
  <c r="M831" i="50"/>
  <c r="M835" i="50"/>
  <c r="J817" i="50"/>
  <c r="J835" i="50"/>
  <c r="K788" i="50"/>
  <c r="I828" i="50"/>
  <c r="P831" i="50"/>
  <c r="J807" i="50"/>
  <c r="M825" i="50"/>
  <c r="M826" i="50"/>
  <c r="P837" i="50"/>
  <c r="L815" i="50"/>
  <c r="K818" i="50"/>
  <c r="L821" i="50"/>
  <c r="P792" i="50"/>
  <c r="K829" i="50"/>
  <c r="E838" i="50"/>
  <c r="M803" i="50"/>
  <c r="M828" i="50"/>
  <c r="K817" i="50"/>
  <c r="J794" i="50"/>
  <c r="I792" i="50"/>
  <c r="I831" i="50"/>
  <c r="M812" i="50"/>
  <c r="L814" i="50"/>
  <c r="P826" i="50"/>
  <c r="M804" i="50"/>
  <c r="L838" i="50"/>
  <c r="K792" i="50"/>
  <c r="I814" i="50"/>
  <c r="K821" i="50"/>
  <c r="J812" i="50"/>
  <c r="P835" i="50"/>
  <c r="L841" i="50"/>
  <c r="M815" i="50"/>
  <c r="K786" i="50"/>
  <c r="M820" i="50"/>
  <c r="P804" i="50"/>
  <c r="M788" i="50"/>
  <c r="M797" i="50" s="1"/>
  <c r="T783" i="50" s="1"/>
  <c r="T796" i="50" s="1"/>
  <c r="K828" i="50"/>
  <c r="K820" i="50"/>
  <c r="P809" i="50"/>
  <c r="J826" i="50"/>
  <c r="J792" i="50"/>
  <c r="J829" i="50"/>
  <c r="L808" i="50"/>
  <c r="M834" i="50"/>
  <c r="I811" i="50"/>
  <c r="J806" i="50"/>
  <c r="P791" i="50"/>
  <c r="L835" i="50"/>
  <c r="M808" i="50"/>
  <c r="I826" i="50"/>
  <c r="K804" i="50"/>
  <c r="J809" i="50"/>
  <c r="I791" i="50"/>
  <c r="I820" i="50"/>
  <c r="P817" i="50"/>
  <c r="M838" i="50"/>
  <c r="L804" i="50"/>
  <c r="K815" i="50"/>
  <c r="K803" i="50"/>
  <c r="K834" i="50"/>
  <c r="L806" i="50"/>
  <c r="M814" i="50"/>
  <c r="J838" i="50"/>
  <c r="J786" i="50"/>
  <c r="K841" i="50"/>
  <c r="J821" i="50"/>
  <c r="J822" i="50"/>
  <c r="L807" i="50"/>
  <c r="E786" i="50"/>
  <c r="L786" i="50" s="1"/>
  <c r="N792" i="50" s="1"/>
  <c r="K809" i="50"/>
  <c r="P797" i="50"/>
  <c r="J814" i="50"/>
  <c r="J824" i="50"/>
  <c r="J818" i="50"/>
  <c r="L811" i="50"/>
  <c r="P841" i="50"/>
  <c r="I834" i="50"/>
  <c r="I812" i="50"/>
  <c r="L823" i="50"/>
  <c r="I837" i="50"/>
  <c r="M827" i="50"/>
  <c r="J841" i="50"/>
  <c r="K797" i="50"/>
  <c r="S796" i="50" s="1"/>
  <c r="M822" i="50"/>
  <c r="P838" i="50"/>
  <c r="I797" i="50"/>
  <c r="R796" i="50" s="1"/>
  <c r="J831" i="50"/>
  <c r="M817" i="50"/>
  <c r="P812" i="50"/>
  <c r="M841" i="50"/>
  <c r="J837" i="50"/>
  <c r="J791" i="50"/>
  <c r="P794" i="50"/>
  <c r="E834" i="50"/>
  <c r="L831" i="50"/>
  <c r="L818" i="50"/>
  <c r="J825" i="50"/>
  <c r="K806" i="50"/>
  <c r="P828" i="50"/>
  <c r="L826" i="50"/>
  <c r="L794" i="50"/>
  <c r="P821" i="50"/>
  <c r="I835" i="50"/>
  <c r="J834" i="50"/>
  <c r="I807" i="50"/>
  <c r="P825" i="50"/>
  <c r="G788" i="50"/>
  <c r="I822" i="50"/>
  <c r="P824" i="50"/>
  <c r="L829" i="50"/>
  <c r="K822" i="50"/>
  <c r="J811" i="50"/>
  <c r="P822" i="50"/>
  <c r="P820" i="50"/>
  <c r="J828" i="50"/>
  <c r="M811" i="50"/>
  <c r="L824" i="50"/>
  <c r="I804" i="50"/>
  <c r="P806" i="50"/>
  <c r="P796" i="50"/>
  <c r="J804" i="50"/>
  <c r="I803" i="50"/>
  <c r="J823" i="50"/>
  <c r="L825" i="50"/>
  <c r="L817" i="50"/>
  <c r="J815" i="50"/>
  <c r="L809" i="50"/>
  <c r="I794" i="50"/>
  <c r="I818" i="50"/>
  <c r="K823" i="50"/>
  <c r="P815" i="50"/>
  <c r="J827" i="50"/>
  <c r="K826" i="50"/>
  <c r="P803" i="50"/>
  <c r="M786" i="50"/>
  <c r="P823" i="50"/>
  <c r="K794" i="50"/>
  <c r="R783" i="50"/>
  <c r="D1582" i="50" s="1"/>
  <c r="J820" i="50"/>
  <c r="M821" i="50"/>
  <c r="P808" i="50"/>
  <c r="S787" i="50"/>
  <c r="H788" i="50" s="1"/>
  <c r="S785" i="50" s="1"/>
  <c r="S1582" i="50" s="1"/>
  <c r="I815" i="50"/>
  <c r="M824" i="50"/>
  <c r="K835" i="50"/>
  <c r="S1585" i="50"/>
  <c r="M56" i="49"/>
  <c r="M84" i="50"/>
  <c r="P1810" i="37"/>
  <c r="I55" i="41"/>
  <c r="I58" i="41"/>
  <c r="I56" i="41"/>
  <c r="I57" i="41"/>
  <c r="I94" i="50"/>
  <c r="I48" i="41"/>
  <c r="I59" i="41" s="1"/>
  <c r="I54" i="41"/>
  <c r="I53" i="41"/>
  <c r="H1246" i="37"/>
  <c r="H1088" i="37"/>
  <c r="K408" i="43"/>
  <c r="L39" i="50" s="1"/>
  <c r="H408" i="43"/>
  <c r="E39" i="50" s="1"/>
  <c r="J408" i="43"/>
  <c r="I39" i="50" s="1"/>
  <c r="G408" i="43"/>
  <c r="I398" i="50"/>
  <c r="S285" i="41"/>
  <c r="H182" i="37"/>
  <c r="H1428" i="37"/>
  <c r="H740" i="37"/>
  <c r="H1064" i="37"/>
  <c r="H210" i="37"/>
  <c r="H384" i="37"/>
  <c r="H534" i="37"/>
  <c r="J361" i="50"/>
  <c r="J219" i="41"/>
  <c r="J362" i="50" s="1"/>
  <c r="I246" i="41"/>
  <c r="I247" i="41"/>
  <c r="I369" i="50"/>
  <c r="I245" i="41"/>
  <c r="I248" i="41"/>
  <c r="C1128" i="50"/>
  <c r="Q1059" i="50"/>
  <c r="D1059" i="50"/>
  <c r="I1059" i="50"/>
  <c r="H173" i="37"/>
  <c r="H732" i="37"/>
  <c r="I184" i="50"/>
  <c r="I141" i="49"/>
  <c r="I185" i="50" s="1"/>
  <c r="H242" i="41"/>
  <c r="H47" i="41"/>
  <c r="H53" i="41"/>
  <c r="H55" i="41"/>
  <c r="H46" i="41"/>
  <c r="H45" i="41"/>
  <c r="H243" i="41"/>
  <c r="H240" i="41"/>
  <c r="H59" i="41"/>
  <c r="H56" i="41"/>
  <c r="H43" i="41"/>
  <c r="H54" i="41"/>
  <c r="H245" i="41"/>
  <c r="H248" i="41"/>
  <c r="H48" i="41"/>
  <c r="H58" i="41"/>
  <c r="H44" i="41"/>
  <c r="H246" i="41"/>
  <c r="H241" i="41"/>
  <c r="H42" i="41"/>
  <c r="H247" i="41"/>
  <c r="H57" i="41"/>
  <c r="H914" i="37"/>
  <c r="F409" i="43"/>
  <c r="E410" i="43"/>
  <c r="L297" i="43"/>
  <c r="R297" i="43"/>
  <c r="M297" i="43"/>
  <c r="H1752" i="37"/>
  <c r="H1420" i="37"/>
  <c r="H1238" i="37"/>
  <c r="H708" i="37"/>
  <c r="H1784" i="37"/>
  <c r="D222" i="34"/>
  <c r="C223" i="34"/>
  <c r="J453" i="41" l="1"/>
  <c r="K329" i="41"/>
  <c r="K439" i="50" s="1"/>
  <c r="I333" i="41"/>
  <c r="I443" i="50" s="1"/>
  <c r="L334" i="41"/>
  <c r="L444" i="50" s="1"/>
  <c r="I328" i="41"/>
  <c r="M454" i="41"/>
  <c r="J329" i="41"/>
  <c r="J439" i="50" s="1"/>
  <c r="L332" i="41"/>
  <c r="L442" i="50" s="1"/>
  <c r="K330" i="41"/>
  <c r="K440" i="50" s="1"/>
  <c r="M333" i="41"/>
  <c r="M443" i="50" s="1"/>
  <c r="I330" i="41"/>
  <c r="I440" i="50" s="1"/>
  <c r="I331" i="41"/>
  <c r="I441" i="50" s="1"/>
  <c r="M455" i="41"/>
  <c r="J454" i="41"/>
  <c r="M329" i="41"/>
  <c r="M439" i="50" s="1"/>
  <c r="K331" i="41"/>
  <c r="K441" i="50" s="1"/>
  <c r="L328" i="41"/>
  <c r="M332" i="41"/>
  <c r="M442" i="50" s="1"/>
  <c r="K455" i="41"/>
  <c r="I332" i="41"/>
  <c r="I442" i="50" s="1"/>
  <c r="M334" i="41"/>
  <c r="M444" i="50" s="1"/>
  <c r="J334" i="41"/>
  <c r="J444" i="50" s="1"/>
  <c r="J331" i="41"/>
  <c r="J441" i="50" s="1"/>
  <c r="J333" i="41"/>
  <c r="J443" i="50" s="1"/>
  <c r="K454" i="41"/>
  <c r="J332" i="41"/>
  <c r="J442" i="50" s="1"/>
  <c r="K453" i="41"/>
  <c r="M328" i="41"/>
  <c r="K328" i="41"/>
  <c r="L331" i="41"/>
  <c r="L441" i="50" s="1"/>
  <c r="J330" i="41"/>
  <c r="J440" i="50" s="1"/>
  <c r="I455" i="41"/>
  <c r="K332" i="41"/>
  <c r="K442" i="50" s="1"/>
  <c r="K334" i="41"/>
  <c r="K444" i="50" s="1"/>
  <c r="L453" i="41"/>
  <c r="K333" i="41"/>
  <c r="K443" i="50" s="1"/>
  <c r="I334" i="41"/>
  <c r="I444" i="50" s="1"/>
  <c r="L330" i="41"/>
  <c r="L440" i="50" s="1"/>
  <c r="I329" i="41"/>
  <c r="I439" i="50" s="1"/>
  <c r="L454" i="41"/>
  <c r="L333" i="41"/>
  <c r="L443" i="50" s="1"/>
  <c r="M453" i="41"/>
  <c r="I453" i="41"/>
  <c r="L329" i="41"/>
  <c r="L439" i="50" s="1"/>
  <c r="J328" i="41"/>
  <c r="M331" i="41"/>
  <c r="M441" i="50" s="1"/>
  <c r="M330" i="41"/>
  <c r="M440" i="50" s="1"/>
  <c r="L455" i="41"/>
  <c r="J455" i="41"/>
  <c r="I454" i="41"/>
  <c r="Q319" i="47"/>
  <c r="Q340" i="47" s="1"/>
  <c r="Q227" i="47"/>
  <c r="Q255" i="47" s="1"/>
  <c r="Q267" i="47"/>
  <c r="Q307" i="47" s="1"/>
  <c r="Q384" i="47"/>
  <c r="Q395" i="47" s="1"/>
  <c r="Q108" i="47"/>
  <c r="Q129" i="47" s="1"/>
  <c r="Q140" i="47"/>
  <c r="Q163" i="47" s="1"/>
  <c r="Q174" i="47"/>
  <c r="Q215" i="47" s="1"/>
  <c r="L738" i="50"/>
  <c r="P734" i="50"/>
  <c r="M752" i="50"/>
  <c r="P743" i="50"/>
  <c r="L760" i="50"/>
  <c r="L762" i="50"/>
  <c r="K753" i="50"/>
  <c r="P737" i="50"/>
  <c r="M759" i="50"/>
  <c r="L751" i="50"/>
  <c r="I754" i="50"/>
  <c r="J760" i="50"/>
  <c r="P748" i="50"/>
  <c r="K766" i="50"/>
  <c r="K745" i="50"/>
  <c r="E768" i="50"/>
  <c r="L766" i="50"/>
  <c r="K759" i="50"/>
  <c r="P746" i="50"/>
  <c r="J769" i="50"/>
  <c r="P752" i="50"/>
  <c r="L742" i="50"/>
  <c r="K739" i="50"/>
  <c r="M722" i="50"/>
  <c r="G719" i="50"/>
  <c r="K769" i="50"/>
  <c r="J743" i="50"/>
  <c r="I734" i="50"/>
  <c r="P758" i="50"/>
  <c r="M757" i="50"/>
  <c r="M772" i="50"/>
  <c r="I728" i="50"/>
  <c r="R727" i="50" s="1"/>
  <c r="J738" i="50"/>
  <c r="P745" i="50"/>
  <c r="K728" i="50"/>
  <c r="S727" i="50" s="1"/>
  <c r="J765" i="50"/>
  <c r="P768" i="50"/>
  <c r="E769" i="50"/>
  <c r="K740" i="50"/>
  <c r="K735" i="50"/>
  <c r="L765" i="50"/>
  <c r="P738" i="50"/>
  <c r="M740" i="50"/>
  <c r="L753" i="50"/>
  <c r="L752" i="50"/>
  <c r="M769" i="50"/>
  <c r="P762" i="50"/>
  <c r="L740" i="50"/>
  <c r="J762" i="50"/>
  <c r="I748" i="50"/>
  <c r="I725" i="50"/>
  <c r="I719" i="50"/>
  <c r="F728" i="50"/>
  <c r="K743" i="50"/>
  <c r="K734" i="50"/>
  <c r="L745" i="50"/>
  <c r="M749" i="50"/>
  <c r="I758" i="50"/>
  <c r="K746" i="50"/>
  <c r="P769" i="50"/>
  <c r="J722" i="50"/>
  <c r="S718" i="50"/>
  <c r="H719" i="50" s="1"/>
  <c r="S716" i="50" s="1"/>
  <c r="S1581" i="50" s="1"/>
  <c r="L743" i="50"/>
  <c r="M742" i="50"/>
  <c r="L734" i="50"/>
  <c r="K772" i="50"/>
  <c r="L759" i="50"/>
  <c r="I751" i="50"/>
  <c r="K737" i="50"/>
  <c r="E765" i="50"/>
  <c r="I738" i="50"/>
  <c r="P765" i="50"/>
  <c r="K757" i="50"/>
  <c r="P725" i="50"/>
  <c r="P754" i="50"/>
  <c r="M719" i="50"/>
  <c r="M728" i="50" s="1"/>
  <c r="T714" i="50" s="1"/>
  <c r="T727" i="50" s="1"/>
  <c r="M765" i="50"/>
  <c r="P759" i="50"/>
  <c r="L772" i="50"/>
  <c r="J751" i="50"/>
  <c r="P740" i="50"/>
  <c r="I746" i="50"/>
  <c r="J742" i="50"/>
  <c r="P766" i="50"/>
  <c r="L723" i="50"/>
  <c r="P772" i="50"/>
  <c r="M745" i="50"/>
  <c r="I765" i="50"/>
  <c r="I742" i="50"/>
  <c r="K765" i="50"/>
  <c r="I739" i="50"/>
  <c r="I755" i="50"/>
  <c r="I769" i="50"/>
  <c r="J753" i="50"/>
  <c r="L749" i="50"/>
  <c r="M748" i="50"/>
  <c r="L769" i="50"/>
  <c r="J756" i="50"/>
  <c r="J737" i="50"/>
  <c r="M754" i="50"/>
  <c r="K725" i="50"/>
  <c r="I772" i="50"/>
  <c r="K751" i="50"/>
  <c r="E717" i="50"/>
  <c r="L717" i="50" s="1"/>
  <c r="N723" i="50" s="1"/>
  <c r="I749" i="50"/>
  <c r="J749" i="50"/>
  <c r="L725" i="50"/>
  <c r="M751" i="50"/>
  <c r="K755" i="50"/>
  <c r="L737" i="50"/>
  <c r="K758" i="50"/>
  <c r="K719" i="50"/>
  <c r="P749" i="50"/>
  <c r="L755" i="50"/>
  <c r="I756" i="50"/>
  <c r="M768" i="50"/>
  <c r="J723" i="50"/>
  <c r="I759" i="50"/>
  <c r="I740" i="50"/>
  <c r="L746" i="50"/>
  <c r="P727" i="50"/>
  <c r="J757" i="50"/>
  <c r="M734" i="50"/>
  <c r="J759" i="50"/>
  <c r="P756" i="50"/>
  <c r="M753" i="50"/>
  <c r="R714" i="50"/>
  <c r="D1581" i="50" s="1"/>
  <c r="K723" i="50"/>
  <c r="I768" i="50"/>
  <c r="P757" i="50"/>
  <c r="K752" i="50"/>
  <c r="I757" i="50"/>
  <c r="I745" i="50"/>
  <c r="P722" i="50"/>
  <c r="M746" i="50"/>
  <c r="K762" i="50"/>
  <c r="J740" i="50"/>
  <c r="I762" i="50"/>
  <c r="J748" i="50"/>
  <c r="M737" i="50"/>
  <c r="E766" i="50"/>
  <c r="P735" i="50"/>
  <c r="K768" i="50"/>
  <c r="L735" i="50"/>
  <c r="K749" i="50"/>
  <c r="J734" i="50"/>
  <c r="K754" i="50"/>
  <c r="M760" i="50"/>
  <c r="P760" i="50"/>
  <c r="J755" i="50"/>
  <c r="J739" i="50"/>
  <c r="M723" i="50"/>
  <c r="M743" i="50"/>
  <c r="L757" i="50"/>
  <c r="M755" i="50"/>
  <c r="P751" i="50"/>
  <c r="P739" i="50"/>
  <c r="M758" i="50"/>
  <c r="M725" i="50"/>
  <c r="M718" i="50"/>
  <c r="J746" i="50"/>
  <c r="L758" i="50"/>
  <c r="K748" i="50"/>
  <c r="M766" i="50"/>
  <c r="I735" i="50"/>
  <c r="J735" i="50"/>
  <c r="M717" i="50"/>
  <c r="J768" i="50"/>
  <c r="J717" i="50"/>
  <c r="K722" i="50"/>
  <c r="L768" i="50"/>
  <c r="I753" i="50"/>
  <c r="K742" i="50"/>
  <c r="M735" i="50"/>
  <c r="J772" i="50"/>
  <c r="M762" i="50"/>
  <c r="I722" i="50"/>
  <c r="M739" i="50"/>
  <c r="I766" i="50"/>
  <c r="P755" i="50"/>
  <c r="J754" i="50"/>
  <c r="I723" i="50"/>
  <c r="K738" i="50"/>
  <c r="P728" i="50"/>
  <c r="L722" i="50"/>
  <c r="K760" i="50"/>
  <c r="L754" i="50"/>
  <c r="J745" i="50"/>
  <c r="J758" i="50"/>
  <c r="I760" i="50"/>
  <c r="J752" i="50"/>
  <c r="P753" i="50"/>
  <c r="P723" i="50"/>
  <c r="I752" i="50"/>
  <c r="I737" i="50"/>
  <c r="J719" i="50"/>
  <c r="L739" i="50"/>
  <c r="M738" i="50"/>
  <c r="M756" i="50"/>
  <c r="J766" i="50"/>
  <c r="I743" i="50"/>
  <c r="J725" i="50"/>
  <c r="K756" i="50"/>
  <c r="L756" i="50"/>
  <c r="K717" i="50"/>
  <c r="P742" i="50"/>
  <c r="L748" i="50"/>
  <c r="P1220" i="37"/>
  <c r="M1122" i="37"/>
  <c r="R1170" i="37"/>
  <c r="R1219" i="37"/>
  <c r="R1211" i="37"/>
  <c r="R1187" i="37"/>
  <c r="P1281" i="37"/>
  <c r="E1271" i="37"/>
  <c r="P1231" i="37"/>
  <c r="P1264" i="37"/>
  <c r="P1248" i="37"/>
  <c r="P1271" i="37"/>
  <c r="R1212" i="37"/>
  <c r="Q1124" i="37"/>
  <c r="AA1121" i="37" s="1"/>
  <c r="P1268" i="37"/>
  <c r="M1121" i="37"/>
  <c r="R1268" i="37"/>
  <c r="R1206" i="37"/>
  <c r="P1239" i="37"/>
  <c r="P1122" i="37"/>
  <c r="P1199" i="37"/>
  <c r="I1122" i="37"/>
  <c r="P1255" i="37"/>
  <c r="L1121" i="37"/>
  <c r="X1178" i="37"/>
  <c r="X1274" i="37"/>
  <c r="J1122" i="37"/>
  <c r="R1199" i="37"/>
  <c r="S1116" i="37"/>
  <c r="R1116" i="37"/>
  <c r="J1121" i="37"/>
  <c r="P1215" i="37"/>
  <c r="L1122" i="37"/>
  <c r="AA1271" i="37"/>
  <c r="AA1226" i="37"/>
  <c r="AA1229" i="37" s="1"/>
  <c r="AA1230" i="37" s="1"/>
  <c r="AA1180" i="37"/>
  <c r="K1121" i="37"/>
  <c r="P1134" i="37"/>
  <c r="AA1133" i="37"/>
  <c r="AA1144" i="37" s="1"/>
  <c r="AA1145" i="37" s="1"/>
  <c r="AA1146" i="37" s="1"/>
  <c r="AA1147" i="37" s="1"/>
  <c r="AA1148" i="37" s="1"/>
  <c r="AA1149" i="37" s="1"/>
  <c r="AA1150" i="37" s="1"/>
  <c r="AA1151" i="37" s="1"/>
  <c r="AA1152" i="37" s="1"/>
  <c r="AA1153" i="37" s="1"/>
  <c r="AA1154" i="37" s="1"/>
  <c r="P1175" i="37"/>
  <c r="V1116" i="37"/>
  <c r="P1256" i="37"/>
  <c r="T1116" i="37"/>
  <c r="P1170" i="37"/>
  <c r="K1122" i="37"/>
  <c r="P1187" i="37"/>
  <c r="Q1128" i="37"/>
  <c r="H1124" i="37"/>
  <c r="R1264" i="37"/>
  <c r="AA1116" i="37"/>
  <c r="P1212" i="37"/>
  <c r="I1121" i="37"/>
  <c r="P1277" i="37"/>
  <c r="E1170" i="37"/>
  <c r="S1124" i="37"/>
  <c r="U1116" i="37"/>
  <c r="P1282" i="37"/>
  <c r="W1116" i="37"/>
  <c r="J1130" i="37"/>
  <c r="P1219" i="37"/>
  <c r="R1220" i="37"/>
  <c r="I1159" i="37"/>
  <c r="R1255" i="37"/>
  <c r="P1247" i="37"/>
  <c r="P1121" i="37"/>
  <c r="X1224" i="37"/>
  <c r="P1206" i="37"/>
  <c r="R1256" i="37"/>
  <c r="P1211" i="37"/>
  <c r="P1174" i="37"/>
  <c r="P1263" i="37"/>
  <c r="E1120" i="37"/>
  <c r="P1278" i="37"/>
  <c r="P1216" i="37"/>
  <c r="P1232" i="37"/>
  <c r="P1240" i="37"/>
  <c r="E308" i="50"/>
  <c r="E267" i="41"/>
  <c r="P122" i="50"/>
  <c r="E145" i="50"/>
  <c r="E257" i="50" s="1"/>
  <c r="S122" i="50"/>
  <c r="L620" i="50"/>
  <c r="M617" i="50"/>
  <c r="M630" i="50"/>
  <c r="I610" i="50"/>
  <c r="P615" i="50"/>
  <c r="L613" i="50"/>
  <c r="K624" i="50"/>
  <c r="I628" i="50"/>
  <c r="I599" i="50"/>
  <c r="K611" i="50"/>
  <c r="P610" i="50"/>
  <c r="I581" i="50"/>
  <c r="L622" i="50"/>
  <c r="M602" i="50"/>
  <c r="K630" i="50"/>
  <c r="P618" i="50"/>
  <c r="M604" i="50"/>
  <c r="L634" i="50"/>
  <c r="M622" i="50"/>
  <c r="M615" i="50"/>
  <c r="P617" i="50"/>
  <c r="L601" i="50"/>
  <c r="J634" i="50"/>
  <c r="L616" i="50"/>
  <c r="J630" i="50"/>
  <c r="I607" i="50"/>
  <c r="J599" i="50"/>
  <c r="P600" i="50"/>
  <c r="J579" i="50"/>
  <c r="M608" i="50"/>
  <c r="J621" i="50"/>
  <c r="P616" i="50"/>
  <c r="M585" i="50"/>
  <c r="K607" i="50"/>
  <c r="P590" i="50"/>
  <c r="P614" i="50"/>
  <c r="M613" i="50"/>
  <c r="L608" i="50"/>
  <c r="I616" i="50"/>
  <c r="K604" i="50"/>
  <c r="M628" i="50"/>
  <c r="I613" i="50"/>
  <c r="J627" i="50"/>
  <c r="M607" i="50"/>
  <c r="I601" i="50"/>
  <c r="P605" i="50"/>
  <c r="I619" i="50"/>
  <c r="J616" i="50"/>
  <c r="K602" i="50"/>
  <c r="I608" i="50"/>
  <c r="M614" i="50"/>
  <c r="J620" i="50"/>
  <c r="L610" i="50"/>
  <c r="K584" i="50"/>
  <c r="K615" i="50"/>
  <c r="F590" i="50"/>
  <c r="L621" i="50"/>
  <c r="L599" i="50"/>
  <c r="J618" i="50"/>
  <c r="L585" i="50"/>
  <c r="J600" i="50"/>
  <c r="I590" i="50"/>
  <c r="R589" i="50" s="1"/>
  <c r="I584" i="50"/>
  <c r="L631" i="50"/>
  <c r="P599" i="50"/>
  <c r="K590" i="50"/>
  <c r="S589" i="50" s="1"/>
  <c r="J596" i="50"/>
  <c r="K616" i="50"/>
  <c r="L614" i="50"/>
  <c r="I634" i="50"/>
  <c r="I614" i="50"/>
  <c r="J607" i="50"/>
  <c r="J608" i="50"/>
  <c r="K634" i="50"/>
  <c r="P587" i="50"/>
  <c r="K620" i="50"/>
  <c r="K621" i="50"/>
  <c r="L596" i="50"/>
  <c r="K627" i="50"/>
  <c r="I596" i="50"/>
  <c r="J604" i="50"/>
  <c r="I630" i="50"/>
  <c r="E630" i="50"/>
  <c r="L624" i="50"/>
  <c r="I597" i="50"/>
  <c r="J584" i="50"/>
  <c r="P589" i="50"/>
  <c r="J601" i="50"/>
  <c r="M619" i="50"/>
  <c r="M616" i="50"/>
  <c r="J624" i="50"/>
  <c r="P620" i="50"/>
  <c r="M631" i="50"/>
  <c r="K581" i="50"/>
  <c r="J613" i="50"/>
  <c r="K599" i="50"/>
  <c r="L600" i="50"/>
  <c r="J631" i="50"/>
  <c r="L615" i="50"/>
  <c r="K613" i="50"/>
  <c r="K600" i="50"/>
  <c r="K601" i="50"/>
  <c r="J611" i="50"/>
  <c r="L604" i="50"/>
  <c r="K587" i="50"/>
  <c r="R576" i="50"/>
  <c r="D1579" i="50" s="1"/>
  <c r="E627" i="50"/>
  <c r="L587" i="50"/>
  <c r="P604" i="50"/>
  <c r="L611" i="50"/>
  <c r="K618" i="50"/>
  <c r="I620" i="50"/>
  <c r="M601" i="50"/>
  <c r="P631" i="50"/>
  <c r="K596" i="50"/>
  <c r="M624" i="50"/>
  <c r="L584" i="50"/>
  <c r="P624" i="50"/>
  <c r="L617" i="50"/>
  <c r="P585" i="50"/>
  <c r="P601" i="50"/>
  <c r="E631" i="50"/>
  <c r="J605" i="50"/>
  <c r="I615" i="50"/>
  <c r="M580" i="50"/>
  <c r="K605" i="50"/>
  <c r="P611" i="50"/>
  <c r="P622" i="50"/>
  <c r="I585" i="50"/>
  <c r="P596" i="50"/>
  <c r="M600" i="50"/>
  <c r="M611" i="50"/>
  <c r="J628" i="50"/>
  <c r="I622" i="50"/>
  <c r="K614" i="50"/>
  <c r="K585" i="50"/>
  <c r="I617" i="50"/>
  <c r="J597" i="50"/>
  <c r="M620" i="50"/>
  <c r="M599" i="50"/>
  <c r="P597" i="50"/>
  <c r="L605" i="50"/>
  <c r="P613" i="50"/>
  <c r="L619" i="50"/>
  <c r="I587" i="50"/>
  <c r="M587" i="50"/>
  <c r="L627" i="50"/>
  <c r="K617" i="50"/>
  <c r="I627" i="50"/>
  <c r="M621" i="50"/>
  <c r="K610" i="50"/>
  <c r="L597" i="50"/>
  <c r="K631" i="50"/>
  <c r="P619" i="50"/>
  <c r="L618" i="50"/>
  <c r="P628" i="50"/>
  <c r="I602" i="50"/>
  <c r="J587" i="50"/>
  <c r="P630" i="50"/>
  <c r="M597" i="50"/>
  <c r="J617" i="50"/>
  <c r="I605" i="50"/>
  <c r="K608" i="50"/>
  <c r="P621" i="50"/>
  <c r="J585" i="50"/>
  <c r="P627" i="50"/>
  <c r="M596" i="50"/>
  <c r="K597" i="50"/>
  <c r="L628" i="50"/>
  <c r="M627" i="50"/>
  <c r="J581" i="50"/>
  <c r="I624" i="50"/>
  <c r="P602" i="50"/>
  <c r="M618" i="50"/>
  <c r="M584" i="50"/>
  <c r="M634" i="50"/>
  <c r="M605" i="50"/>
  <c r="P608" i="50"/>
  <c r="L602" i="50"/>
  <c r="I618" i="50"/>
  <c r="I611" i="50"/>
  <c r="E579" i="50"/>
  <c r="L579" i="50" s="1"/>
  <c r="N585" i="50" s="1"/>
  <c r="M581" i="50"/>
  <c r="M590" i="50" s="1"/>
  <c r="T576" i="50" s="1"/>
  <c r="T589" i="50" s="1"/>
  <c r="I600" i="50"/>
  <c r="J614" i="50"/>
  <c r="G581" i="50"/>
  <c r="L607" i="50"/>
  <c r="P634" i="50"/>
  <c r="I621" i="50"/>
  <c r="I631" i="50"/>
  <c r="K622" i="50"/>
  <c r="P584" i="50"/>
  <c r="J610" i="50"/>
  <c r="P607" i="50"/>
  <c r="S580" i="50"/>
  <c r="H581" i="50" s="1"/>
  <c r="S578" i="50" s="1"/>
  <c r="S1579" i="50" s="1"/>
  <c r="K628" i="50"/>
  <c r="M579" i="50"/>
  <c r="K619" i="50"/>
  <c r="J619" i="50"/>
  <c r="I604" i="50"/>
  <c r="J615" i="50"/>
  <c r="M610" i="50"/>
  <c r="L630" i="50"/>
  <c r="J602" i="50"/>
  <c r="E628" i="50"/>
  <c r="K579" i="50"/>
  <c r="J622" i="50"/>
  <c r="E274" i="41"/>
  <c r="E315" i="50"/>
  <c r="P685" i="50"/>
  <c r="G650" i="50"/>
  <c r="J690" i="50"/>
  <c r="L654" i="50"/>
  <c r="M685" i="50"/>
  <c r="S649" i="50"/>
  <c r="H650" i="50" s="1"/>
  <c r="S647" i="50" s="1"/>
  <c r="S1580" i="50" s="1"/>
  <c r="J693" i="50"/>
  <c r="L689" i="50"/>
  <c r="P669" i="50"/>
  <c r="P700" i="50"/>
  <c r="L670" i="50"/>
  <c r="P656" i="50"/>
  <c r="K685" i="50"/>
  <c r="P677" i="50"/>
  <c r="M684" i="50"/>
  <c r="I659" i="50"/>
  <c r="R658" i="50" s="1"/>
  <c r="L683" i="50"/>
  <c r="L685" i="50"/>
  <c r="P689" i="50"/>
  <c r="E700" i="50"/>
  <c r="J703" i="50"/>
  <c r="P690" i="50"/>
  <c r="P658" i="50"/>
  <c r="I669" i="50"/>
  <c r="P683" i="50"/>
  <c r="P703" i="50"/>
  <c r="P691" i="50"/>
  <c r="L684" i="50"/>
  <c r="L653" i="50"/>
  <c r="P668" i="50"/>
  <c r="P659" i="50"/>
  <c r="K654" i="50"/>
  <c r="J653" i="50"/>
  <c r="M649" i="50"/>
  <c r="J676" i="50"/>
  <c r="J687" i="50"/>
  <c r="K653" i="50"/>
  <c r="M671" i="50"/>
  <c r="P666" i="50"/>
  <c r="M656" i="50"/>
  <c r="M697" i="50"/>
  <c r="L666" i="50"/>
  <c r="I670" i="50"/>
  <c r="P665" i="50"/>
  <c r="J648" i="50"/>
  <c r="L676" i="50"/>
  <c r="K696" i="50"/>
  <c r="J688" i="50"/>
  <c r="M665" i="50"/>
  <c r="I687" i="50"/>
  <c r="L690" i="50"/>
  <c r="I688" i="50"/>
  <c r="L674" i="50"/>
  <c r="I700" i="50"/>
  <c r="L696" i="50"/>
  <c r="E696" i="50"/>
  <c r="L669" i="50"/>
  <c r="P699" i="50"/>
  <c r="M653" i="50"/>
  <c r="K687" i="50"/>
  <c r="L680" i="50"/>
  <c r="L677" i="50"/>
  <c r="M688" i="50"/>
  <c r="I674" i="50"/>
  <c r="E648" i="50"/>
  <c r="L648" i="50" s="1"/>
  <c r="N654" i="50" s="1"/>
  <c r="I696" i="50"/>
  <c r="J680" i="50"/>
  <c r="L700" i="50"/>
  <c r="L686" i="50"/>
  <c r="M668" i="50"/>
  <c r="J697" i="50"/>
  <c r="J700" i="50"/>
  <c r="M700" i="50"/>
  <c r="J650" i="50"/>
  <c r="M676" i="50"/>
  <c r="M699" i="50"/>
  <c r="M666" i="50"/>
  <c r="K683" i="50"/>
  <c r="L682" i="50"/>
  <c r="I671" i="50"/>
  <c r="P687" i="50"/>
  <c r="K674" i="50"/>
  <c r="L697" i="50"/>
  <c r="K677" i="50"/>
  <c r="M686" i="50"/>
  <c r="P653" i="50"/>
  <c r="M680" i="50"/>
  <c r="P676" i="50"/>
  <c r="I673" i="50"/>
  <c r="M650" i="50"/>
  <c r="M659" i="50" s="1"/>
  <c r="T645" i="50" s="1"/>
  <c r="T658" i="50" s="1"/>
  <c r="K666" i="50"/>
  <c r="J696" i="50"/>
  <c r="J683" i="50"/>
  <c r="K682" i="50"/>
  <c r="M654" i="50"/>
  <c r="I703" i="50"/>
  <c r="K670" i="50"/>
  <c r="P654" i="50"/>
  <c r="I693" i="50"/>
  <c r="I680" i="50"/>
  <c r="P686" i="50"/>
  <c r="L699" i="50"/>
  <c r="K699" i="50"/>
  <c r="L673" i="50"/>
  <c r="K656" i="50"/>
  <c r="P671" i="50"/>
  <c r="L688" i="50"/>
  <c r="I654" i="50"/>
  <c r="I686" i="50"/>
  <c r="M677" i="50"/>
  <c r="M673" i="50"/>
  <c r="I699" i="50"/>
  <c r="I676" i="50"/>
  <c r="M683" i="50"/>
  <c r="K700" i="50"/>
  <c r="M674" i="50"/>
  <c r="I666" i="50"/>
  <c r="K697" i="50"/>
  <c r="I650" i="50"/>
  <c r="J677" i="50"/>
  <c r="M682" i="50"/>
  <c r="K684" i="50"/>
  <c r="I684" i="50"/>
  <c r="J691" i="50"/>
  <c r="J684" i="50"/>
  <c r="P682" i="50"/>
  <c r="L656" i="50"/>
  <c r="I689" i="50"/>
  <c r="I677" i="50"/>
  <c r="J679" i="50"/>
  <c r="P684" i="50"/>
  <c r="J671" i="50"/>
  <c r="M691" i="50"/>
  <c r="J666" i="50"/>
  <c r="I682" i="50"/>
  <c r="K669" i="50"/>
  <c r="P696" i="50"/>
  <c r="J673" i="50"/>
  <c r="K686" i="50"/>
  <c r="K703" i="50"/>
  <c r="J670" i="50"/>
  <c r="E699" i="50"/>
  <c r="K690" i="50"/>
  <c r="J689" i="50"/>
  <c r="J654" i="50"/>
  <c r="L693" i="50"/>
  <c r="J682" i="50"/>
  <c r="M670" i="50"/>
  <c r="M690" i="50"/>
  <c r="K665" i="50"/>
  <c r="I665" i="50"/>
  <c r="I691" i="50"/>
  <c r="K693" i="50"/>
  <c r="P674" i="50"/>
  <c r="P679" i="50"/>
  <c r="J656" i="50"/>
  <c r="K650" i="50"/>
  <c r="L691" i="50"/>
  <c r="M679" i="50"/>
  <c r="P673" i="50"/>
  <c r="K648" i="50"/>
  <c r="J685" i="50"/>
  <c r="P693" i="50"/>
  <c r="K673" i="50"/>
  <c r="J686" i="50"/>
  <c r="K680" i="50"/>
  <c r="I685" i="50"/>
  <c r="K689" i="50"/>
  <c r="L668" i="50"/>
  <c r="I683" i="50"/>
  <c r="P680" i="50"/>
  <c r="E697" i="50"/>
  <c r="L679" i="50"/>
  <c r="K691" i="50"/>
  <c r="M696" i="50"/>
  <c r="J674" i="50"/>
  <c r="L665" i="50"/>
  <c r="K671" i="50"/>
  <c r="J665" i="50"/>
  <c r="M687" i="50"/>
  <c r="L703" i="50"/>
  <c r="K668" i="50"/>
  <c r="P697" i="50"/>
  <c r="K679" i="50"/>
  <c r="J669" i="50"/>
  <c r="L687" i="50"/>
  <c r="L671" i="50"/>
  <c r="K659" i="50"/>
  <c r="S658" i="50" s="1"/>
  <c r="I668" i="50"/>
  <c r="M693" i="50"/>
  <c r="P688" i="50"/>
  <c r="J699" i="50"/>
  <c r="M669" i="50"/>
  <c r="I690" i="50"/>
  <c r="M689" i="50"/>
  <c r="R645" i="50"/>
  <c r="D1580" i="50" s="1"/>
  <c r="I653" i="50"/>
  <c r="I697" i="50"/>
  <c r="F659" i="50"/>
  <c r="M648" i="50"/>
  <c r="I656" i="50"/>
  <c r="M703" i="50"/>
  <c r="K676" i="50"/>
  <c r="I679" i="50"/>
  <c r="K688" i="50"/>
  <c r="P670" i="50"/>
  <c r="J668" i="50"/>
  <c r="Q351" i="47"/>
  <c r="Q369" i="47" s="1"/>
  <c r="H254" i="37"/>
  <c r="P393" i="37"/>
  <c r="P252" i="37"/>
  <c r="R341" i="37"/>
  <c r="K251" i="37"/>
  <c r="Q254" i="37"/>
  <c r="AA251" i="37" s="1"/>
  <c r="I289" i="37"/>
  <c r="P264" i="37"/>
  <c r="P346" i="37"/>
  <c r="X354" i="37"/>
  <c r="E401" i="37"/>
  <c r="J251" i="37"/>
  <c r="P329" i="37"/>
  <c r="P378" i="37"/>
  <c r="U246" i="37"/>
  <c r="P300" i="37"/>
  <c r="K252" i="37"/>
  <c r="M252" i="37"/>
  <c r="P305" i="37"/>
  <c r="R336" i="37"/>
  <c r="W246" i="37"/>
  <c r="P398" i="37"/>
  <c r="R398" i="37"/>
  <c r="L251" i="37"/>
  <c r="P412" i="37"/>
  <c r="P304" i="37"/>
  <c r="Q258" i="37"/>
  <c r="P317" i="37"/>
  <c r="R300" i="37"/>
  <c r="P336" i="37"/>
  <c r="P341" i="37"/>
  <c r="P408" i="37"/>
  <c r="S254" i="37"/>
  <c r="E300" i="37"/>
  <c r="P407" i="37"/>
  <c r="X404" i="37"/>
  <c r="R329" i="37"/>
  <c r="P251" i="37"/>
  <c r="P349" i="37"/>
  <c r="P385" i="37"/>
  <c r="P361" i="37"/>
  <c r="P370" i="37"/>
  <c r="P345" i="37"/>
  <c r="R349" i="37"/>
  <c r="X308" i="37"/>
  <c r="M251" i="37"/>
  <c r="T246" i="37"/>
  <c r="R317" i="37"/>
  <c r="P350" i="37"/>
  <c r="AA310" i="37"/>
  <c r="P362" i="37"/>
  <c r="R386" i="37"/>
  <c r="P401" i="37"/>
  <c r="R385" i="37"/>
  <c r="AA356" i="37"/>
  <c r="AA359" i="37" s="1"/>
  <c r="AA360" i="37" s="1"/>
  <c r="P342" i="37"/>
  <c r="I252" i="37"/>
  <c r="P369" i="37"/>
  <c r="E250" i="37"/>
  <c r="R246" i="37"/>
  <c r="L252" i="37"/>
  <c r="P394" i="37"/>
  <c r="R394" i="37"/>
  <c r="P377" i="37"/>
  <c r="R350" i="37"/>
  <c r="AA401" i="37"/>
  <c r="V246" i="37"/>
  <c r="R342" i="37"/>
  <c r="AA246" i="37"/>
  <c r="S246" i="37"/>
  <c r="P411" i="37"/>
  <c r="P386" i="37"/>
  <c r="J260" i="37"/>
  <c r="AA263" i="37"/>
  <c r="AA274" i="37" s="1"/>
  <c r="AA275" i="37" s="1"/>
  <c r="AA276" i="37" s="1"/>
  <c r="AA277" i="37" s="1"/>
  <c r="AA278" i="37" s="1"/>
  <c r="AA279" i="37" s="1"/>
  <c r="AA280" i="37" s="1"/>
  <c r="AA281" i="37" s="1"/>
  <c r="AA282" i="37" s="1"/>
  <c r="AA283" i="37" s="1"/>
  <c r="AA284" i="37" s="1"/>
  <c r="J252" i="37"/>
  <c r="I251" i="37"/>
  <c r="E996" i="37"/>
  <c r="W942" i="37"/>
  <c r="P1046" i="37"/>
  <c r="J948" i="37"/>
  <c r="Q954" i="37"/>
  <c r="AA942" i="37"/>
  <c r="P1082" i="37"/>
  <c r="R942" i="37"/>
  <c r="AA1097" i="37"/>
  <c r="P947" i="37"/>
  <c r="P1057" i="37"/>
  <c r="P948" i="37"/>
  <c r="I948" i="37"/>
  <c r="P1032" i="37"/>
  <c r="P1107" i="37"/>
  <c r="AA959" i="37"/>
  <c r="AA970" i="37" s="1"/>
  <c r="AA971" i="37" s="1"/>
  <c r="AA972" i="37" s="1"/>
  <c r="AA973" i="37" s="1"/>
  <c r="AA974" i="37" s="1"/>
  <c r="AA975" i="37" s="1"/>
  <c r="AA976" i="37" s="1"/>
  <c r="AA977" i="37" s="1"/>
  <c r="AA978" i="37" s="1"/>
  <c r="AA979" i="37" s="1"/>
  <c r="AA980" i="37" s="1"/>
  <c r="P960" i="37"/>
  <c r="R1090" i="37"/>
  <c r="R1013" i="37"/>
  <c r="P1081" i="37"/>
  <c r="M948" i="37"/>
  <c r="R1082" i="37"/>
  <c r="P1089" i="37"/>
  <c r="P1045" i="37"/>
  <c r="T942" i="37"/>
  <c r="X1100" i="37"/>
  <c r="M947" i="37"/>
  <c r="P1042" i="37"/>
  <c r="P1065" i="37"/>
  <c r="P1073" i="37"/>
  <c r="S942" i="37"/>
  <c r="AA1006" i="37"/>
  <c r="E946" i="37"/>
  <c r="H950" i="37"/>
  <c r="V942" i="37"/>
  <c r="R1037" i="37"/>
  <c r="L948" i="37"/>
  <c r="I947" i="37"/>
  <c r="P1094" i="37"/>
  <c r="U942" i="37"/>
  <c r="P1108" i="37"/>
  <c r="R1025" i="37"/>
  <c r="P996" i="37"/>
  <c r="L947" i="37"/>
  <c r="P1000" i="37"/>
  <c r="J956" i="37"/>
  <c r="X1050" i="37"/>
  <c r="P1037" i="37"/>
  <c r="R1081" i="37"/>
  <c r="R1094" i="37"/>
  <c r="P1097" i="37"/>
  <c r="R1038" i="37"/>
  <c r="P1001" i="37"/>
  <c r="J947" i="37"/>
  <c r="E1097" i="37"/>
  <c r="Q950" i="37"/>
  <c r="AA947" i="37" s="1"/>
  <c r="R1045" i="37"/>
  <c r="P1103" i="37"/>
  <c r="P1104" i="37"/>
  <c r="K947" i="37"/>
  <c r="P1038" i="37"/>
  <c r="K948" i="37"/>
  <c r="P1066" i="37"/>
  <c r="P1025" i="37"/>
  <c r="I985" i="37"/>
  <c r="X1004" i="37"/>
  <c r="P1058" i="37"/>
  <c r="P1013" i="37"/>
  <c r="AA1052" i="37"/>
  <c r="AA1055" i="37" s="1"/>
  <c r="AA1056" i="37" s="1"/>
  <c r="P1041" i="37"/>
  <c r="R996" i="37"/>
  <c r="S950" i="37"/>
  <c r="P1090" i="37"/>
  <c r="R1046" i="37"/>
  <c r="P1074" i="37"/>
  <c r="R1032" i="37"/>
  <c r="P121" i="50"/>
  <c r="E144" i="50"/>
  <c r="E256" i="50" s="1"/>
  <c r="S121" i="50"/>
  <c r="L599" i="37"/>
  <c r="AA749" i="37"/>
  <c r="S594" i="37"/>
  <c r="P665" i="37"/>
  <c r="T594" i="37"/>
  <c r="P759" i="37"/>
  <c r="AA704" i="37"/>
  <c r="AA707" i="37" s="1"/>
  <c r="AA708" i="37" s="1"/>
  <c r="P677" i="37"/>
  <c r="AA611" i="37"/>
  <c r="AA622" i="37" s="1"/>
  <c r="AA623" i="37" s="1"/>
  <c r="AA624" i="37" s="1"/>
  <c r="AA625" i="37" s="1"/>
  <c r="AA626" i="37" s="1"/>
  <c r="AA627" i="37" s="1"/>
  <c r="AA628" i="37" s="1"/>
  <c r="AA629" i="37" s="1"/>
  <c r="AA630" i="37" s="1"/>
  <c r="AA631" i="37" s="1"/>
  <c r="AA632" i="37" s="1"/>
  <c r="P684" i="37"/>
  <c r="P760" i="37"/>
  <c r="P693" i="37"/>
  <c r="R734" i="37"/>
  <c r="U594" i="37"/>
  <c r="X752" i="37"/>
  <c r="I637" i="37"/>
  <c r="Q602" i="37"/>
  <c r="AA599" i="37" s="1"/>
  <c r="R697" i="37"/>
  <c r="R684" i="37"/>
  <c r="I600" i="37"/>
  <c r="R690" i="37"/>
  <c r="P710" i="37"/>
  <c r="J608" i="37"/>
  <c r="P612" i="37"/>
  <c r="R742" i="37"/>
  <c r="I599" i="37"/>
  <c r="R648" i="37"/>
  <c r="P600" i="37"/>
  <c r="P756" i="37"/>
  <c r="AA658" i="37"/>
  <c r="P741" i="37"/>
  <c r="P733" i="37"/>
  <c r="R698" i="37"/>
  <c r="P648" i="37"/>
  <c r="V594" i="37"/>
  <c r="P734" i="37"/>
  <c r="P689" i="37"/>
  <c r="P599" i="37"/>
  <c r="P742" i="37"/>
  <c r="Q606" i="37"/>
  <c r="P718" i="37"/>
  <c r="E749" i="37"/>
  <c r="R677" i="37"/>
  <c r="H602" i="37"/>
  <c r="P726" i="37"/>
  <c r="R746" i="37"/>
  <c r="P694" i="37"/>
  <c r="P749" i="37"/>
  <c r="P652" i="37"/>
  <c r="P717" i="37"/>
  <c r="X656" i="37"/>
  <c r="X702" i="37"/>
  <c r="G1844" i="37" s="1"/>
  <c r="R594" i="37"/>
  <c r="E598" i="37"/>
  <c r="J600" i="37"/>
  <c r="AA594" i="37"/>
  <c r="R665" i="37"/>
  <c r="J599" i="37"/>
  <c r="K599" i="37"/>
  <c r="P690" i="37"/>
  <c r="P653" i="37"/>
  <c r="L600" i="37"/>
  <c r="P725" i="37"/>
  <c r="E648" i="37"/>
  <c r="K600" i="37"/>
  <c r="R689" i="37"/>
  <c r="M599" i="37"/>
  <c r="R733" i="37"/>
  <c r="P698" i="37"/>
  <c r="W594" i="37"/>
  <c r="S602" i="37"/>
  <c r="P709" i="37"/>
  <c r="M600" i="37"/>
  <c r="P697" i="37"/>
  <c r="P755" i="37"/>
  <c r="P746" i="37"/>
  <c r="S124" i="50"/>
  <c r="P124" i="50"/>
  <c r="E147" i="50"/>
  <c r="E259" i="50" s="1"/>
  <c r="I946" i="50"/>
  <c r="J976" i="50"/>
  <c r="L961" i="50"/>
  <c r="M946" i="50"/>
  <c r="K966" i="50"/>
  <c r="J964" i="50"/>
  <c r="E976" i="50"/>
  <c r="P950" i="50"/>
  <c r="L959" i="50"/>
  <c r="J960" i="50"/>
  <c r="M964" i="50"/>
  <c r="L956" i="50"/>
  <c r="M945" i="50"/>
  <c r="E972" i="50"/>
  <c r="I932" i="50"/>
  <c r="I945" i="50"/>
  <c r="P955" i="50"/>
  <c r="L946" i="50"/>
  <c r="J979" i="50"/>
  <c r="K967" i="50"/>
  <c r="F935" i="50"/>
  <c r="J930" i="50"/>
  <c r="J942" i="50"/>
  <c r="L950" i="50"/>
  <c r="K979" i="50"/>
  <c r="K952" i="50"/>
  <c r="K953" i="50"/>
  <c r="I950" i="50"/>
  <c r="I962" i="50"/>
  <c r="I961" i="50"/>
  <c r="P958" i="50"/>
  <c r="K950" i="50"/>
  <c r="P953" i="50"/>
  <c r="P944" i="50"/>
  <c r="M958" i="50"/>
  <c r="L941" i="50"/>
  <c r="M930" i="50"/>
  <c r="L969" i="50"/>
  <c r="J966" i="50"/>
  <c r="I947" i="50"/>
  <c r="K932" i="50"/>
  <c r="L963" i="50"/>
  <c r="L965" i="50"/>
  <c r="M956" i="50"/>
  <c r="J963" i="50"/>
  <c r="J953" i="50"/>
  <c r="P967" i="50"/>
  <c r="P946" i="50"/>
  <c r="J949" i="50"/>
  <c r="K946" i="50"/>
  <c r="J975" i="50"/>
  <c r="K964" i="50"/>
  <c r="P959" i="50"/>
  <c r="I967" i="50"/>
  <c r="K960" i="50"/>
  <c r="P942" i="50"/>
  <c r="I935" i="50"/>
  <c r="R934" i="50" s="1"/>
  <c r="J959" i="50"/>
  <c r="L952" i="50"/>
  <c r="L979" i="50"/>
  <c r="E924" i="50"/>
  <c r="L924" i="50" s="1"/>
  <c r="N930" i="50" s="1"/>
  <c r="L966" i="50"/>
  <c r="I930" i="50"/>
  <c r="K958" i="50"/>
  <c r="R921" i="50"/>
  <c r="D1584" i="50" s="1"/>
  <c r="G926" i="50"/>
  <c r="K976" i="50"/>
  <c r="M925" i="50"/>
  <c r="I972" i="50"/>
  <c r="I941" i="50"/>
  <c r="M973" i="50"/>
  <c r="I963" i="50"/>
  <c r="K947" i="50"/>
  <c r="P952" i="50"/>
  <c r="J952" i="50"/>
  <c r="K924" i="50"/>
  <c r="M967" i="50"/>
  <c r="J929" i="50"/>
  <c r="M961" i="50"/>
  <c r="J958" i="50"/>
  <c r="M965" i="50"/>
  <c r="K949" i="50"/>
  <c r="S925" i="50"/>
  <c r="H926" i="50" s="1"/>
  <c r="S923" i="50" s="1"/>
  <c r="S1584" i="50" s="1"/>
  <c r="K955" i="50"/>
  <c r="I942" i="50"/>
  <c r="M942" i="50"/>
  <c r="I975" i="50"/>
  <c r="P934" i="50"/>
  <c r="M962" i="50"/>
  <c r="J962" i="50"/>
  <c r="I958" i="50"/>
  <c r="M952" i="50"/>
  <c r="M953" i="50"/>
  <c r="P972" i="50"/>
  <c r="M944" i="50"/>
  <c r="K935" i="50"/>
  <c r="S934" i="50" s="1"/>
  <c r="I955" i="50"/>
  <c r="J972" i="50"/>
  <c r="J973" i="50"/>
  <c r="L962" i="50"/>
  <c r="M960" i="50"/>
  <c r="I964" i="50"/>
  <c r="L953" i="50"/>
  <c r="I965" i="50"/>
  <c r="L929" i="50"/>
  <c r="M924" i="50"/>
  <c r="M941" i="50"/>
  <c r="L958" i="50"/>
  <c r="I966" i="50"/>
  <c r="I973" i="50"/>
  <c r="J926" i="50"/>
  <c r="L942" i="50"/>
  <c r="K942" i="50"/>
  <c r="L967" i="50"/>
  <c r="L973" i="50"/>
  <c r="M955" i="50"/>
  <c r="K969" i="50"/>
  <c r="P935" i="50"/>
  <c r="P947" i="50"/>
  <c r="L932" i="50"/>
  <c r="P960" i="50"/>
  <c r="K941" i="50"/>
  <c r="K959" i="50"/>
  <c r="J950" i="50"/>
  <c r="J947" i="50"/>
  <c r="J969" i="50"/>
  <c r="K956" i="50"/>
  <c r="L955" i="50"/>
  <c r="L949" i="50"/>
  <c r="I979" i="50"/>
  <c r="I956" i="50"/>
  <c r="M926" i="50"/>
  <c r="M935" i="50" s="1"/>
  <c r="T921" i="50" s="1"/>
  <c r="T934" i="50" s="1"/>
  <c r="I926" i="50"/>
  <c r="I976" i="50"/>
  <c r="M979" i="50"/>
  <c r="M929" i="50"/>
  <c r="J941" i="50"/>
  <c r="P945" i="50"/>
  <c r="J956" i="50"/>
  <c r="P976" i="50"/>
  <c r="P969" i="50"/>
  <c r="J955" i="50"/>
  <c r="P932" i="50"/>
  <c r="J965" i="50"/>
  <c r="L947" i="50"/>
  <c r="P963" i="50"/>
  <c r="M972" i="50"/>
  <c r="L972" i="50"/>
  <c r="K930" i="50"/>
  <c r="M950" i="50"/>
  <c r="P949" i="50"/>
  <c r="K975" i="50"/>
  <c r="L930" i="50"/>
  <c r="J932" i="50"/>
  <c r="M949" i="50"/>
  <c r="L964" i="50"/>
  <c r="I959" i="50"/>
  <c r="E975" i="50"/>
  <c r="P962" i="50"/>
  <c r="P965" i="50"/>
  <c r="K944" i="50"/>
  <c r="M963" i="50"/>
  <c r="P929" i="50"/>
  <c r="M932" i="50"/>
  <c r="P961" i="50"/>
  <c r="J924" i="50"/>
  <c r="K926" i="50"/>
  <c r="J944" i="50"/>
  <c r="K945" i="50"/>
  <c r="P973" i="50"/>
  <c r="M959" i="50"/>
  <c r="I929" i="50"/>
  <c r="P975" i="50"/>
  <c r="P941" i="50"/>
  <c r="M947" i="50"/>
  <c r="M966" i="50"/>
  <c r="K963" i="50"/>
  <c r="I952" i="50"/>
  <c r="L976" i="50"/>
  <c r="I953" i="50"/>
  <c r="I949" i="50"/>
  <c r="K972" i="50"/>
  <c r="K929" i="50"/>
  <c r="I944" i="50"/>
  <c r="L975" i="50"/>
  <c r="K973" i="50"/>
  <c r="M975" i="50"/>
  <c r="M976" i="50"/>
  <c r="K961" i="50"/>
  <c r="I969" i="50"/>
  <c r="I960" i="50"/>
  <c r="J961" i="50"/>
  <c r="K962" i="50"/>
  <c r="J946" i="50"/>
  <c r="P966" i="50"/>
  <c r="E973" i="50"/>
  <c r="L944" i="50"/>
  <c r="P979" i="50"/>
  <c r="L945" i="50"/>
  <c r="L960" i="50"/>
  <c r="P964" i="50"/>
  <c r="K965" i="50"/>
  <c r="J967" i="50"/>
  <c r="J945" i="50"/>
  <c r="P956" i="50"/>
  <c r="M969" i="50"/>
  <c r="P930" i="50"/>
  <c r="E138" i="50"/>
  <c r="E250" i="50" s="1"/>
  <c r="P115" i="50"/>
  <c r="S115" i="50"/>
  <c r="S116" i="50"/>
  <c r="P116" i="50"/>
  <c r="E139" i="50"/>
  <c r="E251" i="50" s="1"/>
  <c r="S120" i="50"/>
  <c r="P120" i="50"/>
  <c r="E143" i="50"/>
  <c r="E255" i="50" s="1"/>
  <c r="E140" i="50"/>
  <c r="E252" i="50" s="1"/>
  <c r="P117" i="50"/>
  <c r="S117" i="50"/>
  <c r="W1290" i="37"/>
  <c r="P1414" i="37"/>
  <c r="P1296" i="37"/>
  <c r="P1393" i="37"/>
  <c r="M1296" i="37"/>
  <c r="R1394" i="37"/>
  <c r="P1386" i="37"/>
  <c r="I1295" i="37"/>
  <c r="P1422" i="37"/>
  <c r="P1437" i="37"/>
  <c r="E1445" i="37"/>
  <c r="AA1354" i="37"/>
  <c r="X1448" i="37"/>
  <c r="P1445" i="37"/>
  <c r="M1295" i="37"/>
  <c r="R1430" i="37"/>
  <c r="P1456" i="37"/>
  <c r="AA1307" i="37"/>
  <c r="AA1318" i="37" s="1"/>
  <c r="AA1319" i="37" s="1"/>
  <c r="AA1320" i="37" s="1"/>
  <c r="AA1321" i="37" s="1"/>
  <c r="AA1322" i="37" s="1"/>
  <c r="AA1323" i="37" s="1"/>
  <c r="AA1324" i="37" s="1"/>
  <c r="AA1325" i="37" s="1"/>
  <c r="AA1326" i="37" s="1"/>
  <c r="AA1327" i="37" s="1"/>
  <c r="AA1328" i="37" s="1"/>
  <c r="U1290" i="37"/>
  <c r="AA1445" i="37"/>
  <c r="J1296" i="37"/>
  <c r="Q1302" i="37"/>
  <c r="AA1290" i="37"/>
  <c r="P1442" i="37"/>
  <c r="V1290" i="37"/>
  <c r="Q1298" i="37"/>
  <c r="AA1295" i="37" s="1"/>
  <c r="P1406" i="37"/>
  <c r="P1452" i="37"/>
  <c r="P1390" i="37"/>
  <c r="L1296" i="37"/>
  <c r="P1295" i="37"/>
  <c r="R1386" i="37"/>
  <c r="P1373" i="37"/>
  <c r="P1430" i="37"/>
  <c r="R1361" i="37"/>
  <c r="I1333" i="37"/>
  <c r="R1290" i="37"/>
  <c r="P1394" i="37"/>
  <c r="P1455" i="37"/>
  <c r="L1295" i="37"/>
  <c r="AA1400" i="37"/>
  <c r="AA1403" i="37" s="1"/>
  <c r="AA1404" i="37" s="1"/>
  <c r="I1296" i="37"/>
  <c r="P1389" i="37"/>
  <c r="P1344" i="37"/>
  <c r="T1290" i="37"/>
  <c r="R1438" i="37"/>
  <c r="P1349" i="37"/>
  <c r="K1295" i="37"/>
  <c r="X1352" i="37"/>
  <c r="S1290" i="37"/>
  <c r="P1413" i="37"/>
  <c r="P1385" i="37"/>
  <c r="S1298" i="37"/>
  <c r="R1393" i="37"/>
  <c r="P1405" i="37"/>
  <c r="P1429" i="37"/>
  <c r="R1442" i="37"/>
  <c r="E1294" i="37"/>
  <c r="P1438" i="37"/>
  <c r="R1380" i="37"/>
  <c r="P1361" i="37"/>
  <c r="R1385" i="37"/>
  <c r="K1296" i="37"/>
  <c r="E1344" i="37"/>
  <c r="R1344" i="37"/>
  <c r="P1380" i="37"/>
  <c r="P1451" i="37"/>
  <c r="J1304" i="37"/>
  <c r="R1429" i="37"/>
  <c r="J1295" i="37"/>
  <c r="X1398" i="37"/>
  <c r="H1298" i="37"/>
  <c r="P1421" i="37"/>
  <c r="P1308" i="37"/>
  <c r="R1373" i="37"/>
  <c r="P1348" i="37"/>
  <c r="E562" i="50"/>
  <c r="L536" i="50"/>
  <c r="K562" i="50"/>
  <c r="L562" i="50"/>
  <c r="P546" i="50"/>
  <c r="K555" i="50"/>
  <c r="J535" i="50"/>
  <c r="M539" i="50"/>
  <c r="P520" i="50"/>
  <c r="I538" i="50"/>
  <c r="L544" i="50"/>
  <c r="L555" i="50"/>
  <c r="M555" i="50"/>
  <c r="K565" i="50"/>
  <c r="L561" i="50"/>
  <c r="L541" i="50"/>
  <c r="M531" i="50"/>
  <c r="I561" i="50"/>
  <c r="L551" i="50"/>
  <c r="I539" i="50"/>
  <c r="J553" i="50"/>
  <c r="M551" i="50"/>
  <c r="I536" i="50"/>
  <c r="L550" i="50"/>
  <c r="P538" i="50"/>
  <c r="E558" i="50"/>
  <c r="P531" i="50"/>
  <c r="K558" i="50"/>
  <c r="P528" i="50"/>
  <c r="J541" i="50"/>
  <c r="J546" i="50"/>
  <c r="P532" i="50"/>
  <c r="K541" i="50"/>
  <c r="I527" i="50"/>
  <c r="M528" i="50"/>
  <c r="I528" i="50"/>
  <c r="J530" i="50"/>
  <c r="K535" i="50"/>
  <c r="P536" i="50"/>
  <c r="J531" i="50"/>
  <c r="L532" i="50"/>
  <c r="L552" i="50"/>
  <c r="K528" i="50"/>
  <c r="I555" i="50"/>
  <c r="K521" i="50"/>
  <c r="S520" i="50" s="1"/>
  <c r="K547" i="50"/>
  <c r="K539" i="50"/>
  <c r="I518" i="50"/>
  <c r="J510" i="50"/>
  <c r="S511" i="50"/>
  <c r="H512" i="50" s="1"/>
  <c r="S509" i="50" s="1"/>
  <c r="S1578" i="50" s="1"/>
  <c r="M510" i="50"/>
  <c r="K533" i="50"/>
  <c r="J548" i="50"/>
  <c r="P552" i="50"/>
  <c r="I545" i="50"/>
  <c r="J544" i="50"/>
  <c r="K549" i="50"/>
  <c r="P545" i="50"/>
  <c r="E561" i="50"/>
  <c r="K518" i="50"/>
  <c r="I515" i="50"/>
  <c r="K538" i="50"/>
  <c r="M516" i="50"/>
  <c r="J533" i="50"/>
  <c r="K552" i="50"/>
  <c r="M542" i="50"/>
  <c r="K527" i="50"/>
  <c r="J550" i="50"/>
  <c r="I533" i="50"/>
  <c r="P544" i="50"/>
  <c r="M533" i="50"/>
  <c r="J538" i="50"/>
  <c r="I535" i="50"/>
  <c r="M548" i="50"/>
  <c r="L559" i="50"/>
  <c r="L558" i="50"/>
  <c r="P555" i="50"/>
  <c r="I547" i="50"/>
  <c r="I553" i="50"/>
  <c r="J527" i="50"/>
  <c r="M515" i="50"/>
  <c r="K532" i="50"/>
  <c r="P565" i="50"/>
  <c r="K553" i="50"/>
  <c r="K559" i="50"/>
  <c r="L535" i="50"/>
  <c r="J532" i="50"/>
  <c r="I512" i="50"/>
  <c r="L530" i="50"/>
  <c r="L547" i="50"/>
  <c r="L527" i="50"/>
  <c r="K544" i="50"/>
  <c r="I544" i="50"/>
  <c r="I546" i="50"/>
  <c r="P542" i="50"/>
  <c r="J518" i="50"/>
  <c r="K548" i="50"/>
  <c r="I550" i="50"/>
  <c r="I551" i="50"/>
  <c r="P547" i="50"/>
  <c r="M518" i="50"/>
  <c r="P539" i="50"/>
  <c r="P530" i="50"/>
  <c r="I530" i="50"/>
  <c r="M538" i="50"/>
  <c r="M559" i="50"/>
  <c r="J559" i="50"/>
  <c r="J555" i="50"/>
  <c r="M546" i="50"/>
  <c r="P559" i="50"/>
  <c r="M565" i="50"/>
  <c r="L538" i="50"/>
  <c r="J516" i="50"/>
  <c r="P516" i="50"/>
  <c r="Q1582" i="50" s="1"/>
  <c r="P551" i="50"/>
  <c r="L533" i="50"/>
  <c r="M547" i="50"/>
  <c r="P553" i="50"/>
  <c r="L515" i="50"/>
  <c r="M558" i="50"/>
  <c r="M552" i="50"/>
  <c r="L518" i="50"/>
  <c r="I559" i="50"/>
  <c r="L516" i="50"/>
  <c r="K512" i="50"/>
  <c r="L528" i="50"/>
  <c r="I542" i="50"/>
  <c r="K536" i="50"/>
  <c r="M544" i="50"/>
  <c r="L549" i="50"/>
  <c r="I531" i="50"/>
  <c r="M532" i="50"/>
  <c r="M511" i="50"/>
  <c r="P521" i="50"/>
  <c r="I552" i="50"/>
  <c r="P541" i="50"/>
  <c r="P515" i="50"/>
  <c r="K545" i="50"/>
  <c r="P549" i="50"/>
  <c r="M541" i="50"/>
  <c r="K530" i="50"/>
  <c r="P527" i="50"/>
  <c r="J562" i="50"/>
  <c r="M536" i="50"/>
  <c r="P558" i="50"/>
  <c r="L553" i="50"/>
  <c r="M561" i="50"/>
  <c r="M530" i="50"/>
  <c r="J552" i="50"/>
  <c r="M550" i="50"/>
  <c r="J536" i="50"/>
  <c r="J512" i="50"/>
  <c r="L565" i="50"/>
  <c r="J561" i="50"/>
  <c r="L539" i="50"/>
  <c r="E510" i="50"/>
  <c r="L510" i="50" s="1"/>
  <c r="N516" i="50" s="1"/>
  <c r="J515" i="50"/>
  <c r="J549" i="50"/>
  <c r="J558" i="50"/>
  <c r="L542" i="50"/>
  <c r="K531" i="50"/>
  <c r="J565" i="50"/>
  <c r="M549" i="50"/>
  <c r="I548" i="50"/>
  <c r="K561" i="50"/>
  <c r="M562" i="50"/>
  <c r="P562" i="50"/>
  <c r="K516" i="50"/>
  <c r="K546" i="50"/>
  <c r="R507" i="50"/>
  <c r="D1578" i="50" s="1"/>
  <c r="P550" i="50"/>
  <c r="P533" i="50"/>
  <c r="P548" i="50"/>
  <c r="M512" i="50"/>
  <c r="M521" i="50" s="1"/>
  <c r="T507" i="50" s="1"/>
  <c r="T520" i="50" s="1"/>
  <c r="J528" i="50"/>
  <c r="K510" i="50"/>
  <c r="M527" i="50"/>
  <c r="I521" i="50"/>
  <c r="R520" i="50" s="1"/>
  <c r="P535" i="50"/>
  <c r="L548" i="50"/>
  <c r="I558" i="50"/>
  <c r="J547" i="50"/>
  <c r="I565" i="50"/>
  <c r="I516" i="50"/>
  <c r="I549" i="50"/>
  <c r="L531" i="50"/>
  <c r="G512" i="50"/>
  <c r="K551" i="50"/>
  <c r="I541" i="50"/>
  <c r="I562" i="50"/>
  <c r="J551" i="50"/>
  <c r="J539" i="50"/>
  <c r="K542" i="50"/>
  <c r="K515" i="50"/>
  <c r="L545" i="50"/>
  <c r="J542" i="50"/>
  <c r="M553" i="50"/>
  <c r="K550" i="50"/>
  <c r="L546" i="50"/>
  <c r="F521" i="50"/>
  <c r="M535" i="50"/>
  <c r="I532" i="50"/>
  <c r="P518" i="50"/>
  <c r="J545" i="50"/>
  <c r="E559" i="50"/>
  <c r="M545" i="50"/>
  <c r="P561" i="50"/>
  <c r="E266" i="41"/>
  <c r="E307" i="50"/>
  <c r="E141" i="50"/>
  <c r="E253" i="50" s="1"/>
  <c r="S118" i="50"/>
  <c r="P118" i="50"/>
  <c r="E270" i="41"/>
  <c r="E311" i="50"/>
  <c r="R560" i="37"/>
  <c r="L425" i="37"/>
  <c r="Q428" i="37"/>
  <c r="AA425" i="37" s="1"/>
  <c r="P425" i="37"/>
  <c r="R491" i="37"/>
  <c r="L426" i="37"/>
  <c r="P524" i="37"/>
  <c r="P575" i="37"/>
  <c r="E474" i="37"/>
  <c r="R572" i="37"/>
  <c r="P552" i="37"/>
  <c r="AA420" i="37"/>
  <c r="AA437" i="37"/>
  <c r="AA448" i="37" s="1"/>
  <c r="AA449" i="37" s="1"/>
  <c r="AA450" i="37" s="1"/>
  <c r="AA451" i="37" s="1"/>
  <c r="AA452" i="37" s="1"/>
  <c r="AA453" i="37" s="1"/>
  <c r="AA454" i="37" s="1"/>
  <c r="AA455" i="37" s="1"/>
  <c r="AA456" i="37" s="1"/>
  <c r="AA457" i="37" s="1"/>
  <c r="AA458" i="37" s="1"/>
  <c r="X482" i="37"/>
  <c r="P572" i="37"/>
  <c r="P503" i="37"/>
  <c r="E575" i="37"/>
  <c r="R503" i="37"/>
  <c r="R516" i="37"/>
  <c r="W420" i="37"/>
  <c r="E424" i="37"/>
  <c r="S420" i="37"/>
  <c r="H428" i="37"/>
  <c r="R420" i="37"/>
  <c r="R510" i="37"/>
  <c r="R515" i="37"/>
  <c r="P568" i="37"/>
  <c r="J425" i="37"/>
  <c r="Q432" i="37"/>
  <c r="K426" i="37"/>
  <c r="I463" i="37"/>
  <c r="P510" i="37"/>
  <c r="P515" i="37"/>
  <c r="P582" i="37"/>
  <c r="P567" i="37"/>
  <c r="P560" i="37"/>
  <c r="AA575" i="37"/>
  <c r="P516" i="37"/>
  <c r="S428" i="37"/>
  <c r="R524" i="37"/>
  <c r="M426" i="37"/>
  <c r="P535" i="37"/>
  <c r="P543" i="37"/>
  <c r="P479" i="37"/>
  <c r="P586" i="37"/>
  <c r="T420" i="37"/>
  <c r="R568" i="37"/>
  <c r="AA484" i="37"/>
  <c r="J426" i="37"/>
  <c r="R474" i="37"/>
  <c r="P438" i="37"/>
  <c r="P523" i="37"/>
  <c r="X528" i="37"/>
  <c r="P478" i="37"/>
  <c r="P491" i="37"/>
  <c r="P536" i="37"/>
  <c r="X578" i="37"/>
  <c r="P581" i="37"/>
  <c r="P559" i="37"/>
  <c r="U420" i="37"/>
  <c r="R559" i="37"/>
  <c r="I426" i="37"/>
  <c r="R523" i="37"/>
  <c r="I425" i="37"/>
  <c r="K425" i="37"/>
  <c r="M425" i="37"/>
  <c r="P519" i="37"/>
  <c r="P426" i="37"/>
  <c r="AA530" i="37"/>
  <c r="AA533" i="37" s="1"/>
  <c r="AA534" i="37" s="1"/>
  <c r="P585" i="37"/>
  <c r="P544" i="37"/>
  <c r="P474" i="37"/>
  <c r="J434" i="37"/>
  <c r="V420" i="37"/>
  <c r="P551" i="37"/>
  <c r="P520" i="37"/>
  <c r="X166" i="37"/>
  <c r="L26" i="37"/>
  <c r="P236" i="37"/>
  <c r="P212" i="37"/>
  <c r="W13" i="37"/>
  <c r="P95" i="37"/>
  <c r="R154" i="37"/>
  <c r="P175" i="37"/>
  <c r="P158" i="37"/>
  <c r="AA13" i="37"/>
  <c r="AA115" i="37"/>
  <c r="Q29" i="37"/>
  <c r="AA26" i="37" s="1"/>
  <c r="H29" i="37"/>
  <c r="P193" i="37"/>
  <c r="R161" i="37"/>
  <c r="I26" i="37"/>
  <c r="P157" i="37"/>
  <c r="T13" i="37"/>
  <c r="R153" i="37"/>
  <c r="P154" i="37"/>
  <c r="R122" i="37"/>
  <c r="R95" i="37"/>
  <c r="AA168" i="37"/>
  <c r="AA172" i="37" s="1"/>
  <c r="AA173" i="37" s="1"/>
  <c r="Q35" i="37"/>
  <c r="K26" i="37"/>
  <c r="P153" i="37"/>
  <c r="E95" i="37"/>
  <c r="U13" i="37"/>
  <c r="P103" i="37"/>
  <c r="AA224" i="37"/>
  <c r="P218" i="37"/>
  <c r="L27" i="37"/>
  <c r="R202" i="37"/>
  <c r="P232" i="37"/>
  <c r="I75" i="37"/>
  <c r="R203" i="37"/>
  <c r="P122" i="37"/>
  <c r="E224" i="37"/>
  <c r="X113" i="37"/>
  <c r="P224" i="37"/>
  <c r="M26" i="37"/>
  <c r="P174" i="37"/>
  <c r="P184" i="37"/>
  <c r="V13" i="37"/>
  <c r="P237" i="37"/>
  <c r="P202" i="37"/>
  <c r="X229" i="37"/>
  <c r="P162" i="37"/>
  <c r="P134" i="37"/>
  <c r="P203" i="37"/>
  <c r="R212" i="37"/>
  <c r="R144" i="37"/>
  <c r="J27" i="37"/>
  <c r="K27" i="37"/>
  <c r="P183" i="37"/>
  <c r="E25" i="37"/>
  <c r="S13" i="37"/>
  <c r="R218" i="37"/>
  <c r="P194" i="37"/>
  <c r="R162" i="37"/>
  <c r="S29" i="37"/>
  <c r="P161" i="37"/>
  <c r="AA43" i="37"/>
  <c r="AA60" i="37" s="1"/>
  <c r="AA61" i="37" s="1"/>
  <c r="AA62" i="37" s="1"/>
  <c r="AA63" i="37" s="1"/>
  <c r="AA64" i="37" s="1"/>
  <c r="AA65" i="37" s="1"/>
  <c r="AA66" i="37" s="1"/>
  <c r="AA67" i="37" s="1"/>
  <c r="AA68" i="37" s="1"/>
  <c r="AA69" i="37" s="1"/>
  <c r="AA70" i="37" s="1"/>
  <c r="J26" i="37"/>
  <c r="M27" i="37"/>
  <c r="P27" i="37"/>
  <c r="I27" i="37"/>
  <c r="P26" i="37"/>
  <c r="P144" i="37"/>
  <c r="R134" i="37"/>
  <c r="P233" i="37"/>
  <c r="J37" i="37"/>
  <c r="P44" i="37"/>
  <c r="R13" i="37"/>
  <c r="P211" i="37"/>
  <c r="P104" i="37"/>
  <c r="J876" i="50"/>
  <c r="J884" i="50"/>
  <c r="P900" i="50"/>
  <c r="K898" i="50"/>
  <c r="J900" i="50"/>
  <c r="K903" i="50"/>
  <c r="P884" i="50"/>
  <c r="K894" i="50"/>
  <c r="J907" i="50"/>
  <c r="P891" i="50"/>
  <c r="L904" i="50"/>
  <c r="L903" i="50"/>
  <c r="L875" i="50"/>
  <c r="I860" i="50"/>
  <c r="K884" i="50"/>
  <c r="E907" i="50"/>
  <c r="K900" i="50"/>
  <c r="J857" i="50"/>
  <c r="J904" i="50"/>
  <c r="L898" i="50"/>
  <c r="R852" i="50"/>
  <c r="D1583" i="50" s="1"/>
  <c r="P860" i="50"/>
  <c r="J855" i="50"/>
  <c r="K889" i="50"/>
  <c r="P881" i="50"/>
  <c r="M890" i="50"/>
  <c r="M855" i="50"/>
  <c r="P910" i="50"/>
  <c r="P898" i="50"/>
  <c r="K881" i="50"/>
  <c r="I886" i="50"/>
  <c r="J891" i="50"/>
  <c r="M857" i="50"/>
  <c r="M866" i="50" s="1"/>
  <c r="T852" i="50" s="1"/>
  <c r="T865" i="50" s="1"/>
  <c r="I897" i="50"/>
  <c r="P883" i="50"/>
  <c r="M881" i="50"/>
  <c r="P892" i="50"/>
  <c r="I889" i="50"/>
  <c r="L893" i="50"/>
  <c r="L889" i="50"/>
  <c r="I890" i="50"/>
  <c r="I861" i="50"/>
  <c r="L887" i="50"/>
  <c r="K887" i="50"/>
  <c r="P873" i="50"/>
  <c r="J906" i="50"/>
  <c r="J894" i="50"/>
  <c r="M863" i="50"/>
  <c r="J873" i="50"/>
  <c r="L906" i="50"/>
  <c r="J889" i="50"/>
  <c r="K875" i="50"/>
  <c r="M861" i="50"/>
  <c r="K873" i="50"/>
  <c r="I892" i="50"/>
  <c r="L863" i="50"/>
  <c r="L896" i="50"/>
  <c r="M898" i="50"/>
  <c r="M900" i="50"/>
  <c r="P887" i="50"/>
  <c r="K897" i="50"/>
  <c r="P875" i="50"/>
  <c r="L878" i="50"/>
  <c r="M886" i="50"/>
  <c r="P895" i="50"/>
  <c r="J860" i="50"/>
  <c r="M904" i="50"/>
  <c r="P907" i="50"/>
  <c r="M856" i="50"/>
  <c r="M877" i="50"/>
  <c r="L877" i="50"/>
  <c r="L892" i="50"/>
  <c r="P889" i="50"/>
  <c r="I876" i="50"/>
  <c r="J861" i="50"/>
  <c r="S856" i="50"/>
  <c r="H857" i="50" s="1"/>
  <c r="S854" i="50" s="1"/>
  <c r="S1583" i="50" s="1"/>
  <c r="E855" i="50"/>
  <c r="L855" i="50" s="1"/>
  <c r="N861" i="50" s="1"/>
  <c r="P863" i="50"/>
  <c r="J881" i="50"/>
  <c r="M910" i="50"/>
  <c r="P876" i="50"/>
  <c r="L910" i="50"/>
  <c r="L894" i="50"/>
  <c r="J863" i="50"/>
  <c r="L886" i="50"/>
  <c r="M884" i="50"/>
  <c r="K910" i="50"/>
  <c r="I898" i="50"/>
  <c r="K893" i="50"/>
  <c r="P897" i="50"/>
  <c r="P886" i="50"/>
  <c r="I906" i="50"/>
  <c r="L890" i="50"/>
  <c r="K855" i="50"/>
  <c r="I866" i="50"/>
  <c r="R865" i="50" s="1"/>
  <c r="K863" i="50"/>
  <c r="M891" i="50"/>
  <c r="K883" i="50"/>
  <c r="L884" i="50"/>
  <c r="I877" i="50"/>
  <c r="L891" i="50"/>
  <c r="J878" i="50"/>
  <c r="J890" i="50"/>
  <c r="K891" i="50"/>
  <c r="M876" i="50"/>
  <c r="P890" i="50"/>
  <c r="M893" i="50"/>
  <c r="L873" i="50"/>
  <c r="P893" i="50"/>
  <c r="K857" i="50"/>
  <c r="L907" i="50"/>
  <c r="I903" i="50"/>
  <c r="I907" i="50"/>
  <c r="I875" i="50"/>
  <c r="L861" i="50"/>
  <c r="M903" i="50"/>
  <c r="M895" i="50"/>
  <c r="J883" i="50"/>
  <c r="I895" i="50"/>
  <c r="P861" i="50"/>
  <c r="K878" i="50"/>
  <c r="K904" i="50"/>
  <c r="J895" i="50"/>
  <c r="M880" i="50"/>
  <c r="K876" i="50"/>
  <c r="P865" i="50"/>
  <c r="L900" i="50"/>
  <c r="K880" i="50"/>
  <c r="I891" i="50"/>
  <c r="I887" i="50"/>
  <c r="P877" i="50"/>
  <c r="I884" i="50"/>
  <c r="F866" i="50"/>
  <c r="J880" i="50"/>
  <c r="J887" i="50"/>
  <c r="E906" i="50"/>
  <c r="M860" i="50"/>
  <c r="K877" i="50"/>
  <c r="L860" i="50"/>
  <c r="J903" i="50"/>
  <c r="I857" i="50"/>
  <c r="P896" i="50"/>
  <c r="G857" i="50"/>
  <c r="J910" i="50"/>
  <c r="E903" i="50"/>
  <c r="K907" i="50"/>
  <c r="L876" i="50"/>
  <c r="P866" i="50"/>
  <c r="M894" i="50"/>
  <c r="J877" i="50"/>
  <c r="K890" i="50"/>
  <c r="P903" i="50"/>
  <c r="L880" i="50"/>
  <c r="M872" i="50"/>
  <c r="I904" i="50"/>
  <c r="M896" i="50"/>
  <c r="M892" i="50"/>
  <c r="P872" i="50"/>
  <c r="J872" i="50"/>
  <c r="J893" i="50"/>
  <c r="P906" i="50"/>
  <c r="J875" i="50"/>
  <c r="M887" i="50"/>
  <c r="M873" i="50"/>
  <c r="L872" i="50"/>
  <c r="P878" i="50"/>
  <c r="I883" i="50"/>
  <c r="M889" i="50"/>
  <c r="M883" i="50"/>
  <c r="I881" i="50"/>
  <c r="J896" i="50"/>
  <c r="K861" i="50"/>
  <c r="M897" i="50"/>
  <c r="L897" i="50"/>
  <c r="P880" i="50"/>
  <c r="K866" i="50"/>
  <c r="S865" i="50" s="1"/>
  <c r="J886" i="50"/>
  <c r="M907" i="50"/>
  <c r="L895" i="50"/>
  <c r="I880" i="50"/>
  <c r="P904" i="50"/>
  <c r="K892" i="50"/>
  <c r="M878" i="50"/>
  <c r="I863" i="50"/>
  <c r="P894" i="50"/>
  <c r="L883" i="50"/>
  <c r="K906" i="50"/>
  <c r="I878" i="50"/>
  <c r="M875" i="50"/>
  <c r="I893" i="50"/>
  <c r="M906" i="50"/>
  <c r="J898" i="50"/>
  <c r="K872" i="50"/>
  <c r="K896" i="50"/>
  <c r="L881" i="50"/>
  <c r="I910" i="50"/>
  <c r="J897" i="50"/>
  <c r="K860" i="50"/>
  <c r="K895" i="50"/>
  <c r="J892" i="50"/>
  <c r="E904" i="50"/>
  <c r="I900" i="50"/>
  <c r="I894" i="50"/>
  <c r="I896" i="50"/>
  <c r="I873" i="50"/>
  <c r="K886" i="50"/>
  <c r="I872" i="50"/>
  <c r="E265" i="41"/>
  <c r="E306" i="50"/>
  <c r="E268" i="41"/>
  <c r="E309" i="50"/>
  <c r="E312" i="50"/>
  <c r="E271" i="41"/>
  <c r="E313" i="50"/>
  <c r="E272" i="41"/>
  <c r="Q19" i="47"/>
  <c r="Q97" i="47" s="1"/>
  <c r="K131" i="50"/>
  <c r="K116" i="50"/>
  <c r="K139" i="50" s="1"/>
  <c r="K132" i="50"/>
  <c r="K134" i="50"/>
  <c r="K126" i="50"/>
  <c r="K121" i="50"/>
  <c r="K144" i="50" s="1"/>
  <c r="K120" i="50"/>
  <c r="K143" i="50" s="1"/>
  <c r="K125" i="50"/>
  <c r="K129" i="50"/>
  <c r="K135" i="50"/>
  <c r="K158" i="50" s="1"/>
  <c r="K124" i="50"/>
  <c r="K147" i="50" s="1"/>
  <c r="K118" i="50"/>
  <c r="K141" i="50" s="1"/>
  <c r="K128" i="50"/>
  <c r="K119" i="50"/>
  <c r="K142" i="50" s="1"/>
  <c r="K123" i="50"/>
  <c r="K146" i="50" s="1"/>
  <c r="K133" i="50"/>
  <c r="K115" i="50"/>
  <c r="K1077" i="50" s="1"/>
  <c r="K127" i="50"/>
  <c r="K130" i="50"/>
  <c r="K117" i="50"/>
  <c r="K140" i="50" s="1"/>
  <c r="K122" i="50"/>
  <c r="K145" i="50" s="1"/>
  <c r="K96" i="50"/>
  <c r="K171" i="43"/>
  <c r="J61" i="49"/>
  <c r="J68" i="49"/>
  <c r="J90" i="50"/>
  <c r="J112" i="50" s="1"/>
  <c r="I68" i="49"/>
  <c r="I61" i="49"/>
  <c r="I90" i="50"/>
  <c r="I112" i="50" s="1"/>
  <c r="P1636" i="37"/>
  <c r="P1462" i="37" s="1"/>
  <c r="C224" i="34"/>
  <c r="D223" i="34"/>
  <c r="E222" i="34"/>
  <c r="Q222" i="34"/>
  <c r="T222" i="34" s="1"/>
  <c r="L1114" i="50"/>
  <c r="J1084" i="50"/>
  <c r="J1101" i="50"/>
  <c r="K1103" i="50"/>
  <c r="K1067" i="50"/>
  <c r="K1111" i="50"/>
  <c r="L1085" i="50"/>
  <c r="M1080" i="50"/>
  <c r="M1079" i="50"/>
  <c r="P1082" i="50"/>
  <c r="L1104" i="50"/>
  <c r="I1101" i="50"/>
  <c r="J1117" i="50"/>
  <c r="M1067" i="50"/>
  <c r="I1103" i="50"/>
  <c r="M1082" i="50"/>
  <c r="M1107" i="50"/>
  <c r="J1100" i="50"/>
  <c r="J1096" i="50"/>
  <c r="L1083" i="50"/>
  <c r="L1111" i="50"/>
  <c r="J1093" i="50"/>
  <c r="P1073" i="50"/>
  <c r="I1094" i="50"/>
  <c r="J1097" i="50"/>
  <c r="I1117" i="50"/>
  <c r="I1068" i="50"/>
  <c r="L1100" i="50"/>
  <c r="L1101" i="50"/>
  <c r="L1093" i="50"/>
  <c r="S1063" i="50"/>
  <c r="H1064" i="50" s="1"/>
  <c r="S1061" i="50" s="1"/>
  <c r="S1586" i="50" s="1"/>
  <c r="J1099" i="50"/>
  <c r="L1090" i="50"/>
  <c r="J1087" i="50"/>
  <c r="J1094" i="50"/>
  <c r="K1102" i="50"/>
  <c r="P1085" i="50"/>
  <c r="P1107" i="50"/>
  <c r="I1113" i="50"/>
  <c r="J1079" i="50"/>
  <c r="L1096" i="50"/>
  <c r="L1067" i="50"/>
  <c r="M1110" i="50"/>
  <c r="P1117" i="50"/>
  <c r="K1084" i="50"/>
  <c r="J1107" i="50"/>
  <c r="J1113" i="50"/>
  <c r="I1084" i="50"/>
  <c r="K1090" i="50"/>
  <c r="K1094" i="50"/>
  <c r="I1090" i="50"/>
  <c r="M1062" i="50"/>
  <c r="P1090" i="50"/>
  <c r="K1100" i="50"/>
  <c r="L1098" i="50"/>
  <c r="K1088" i="50"/>
  <c r="K1113" i="50"/>
  <c r="R1059" i="50"/>
  <c r="D1586" i="50" s="1"/>
  <c r="I1104" i="50"/>
  <c r="M1097" i="50"/>
  <c r="K1104" i="50"/>
  <c r="M1113" i="50"/>
  <c r="J1070" i="50"/>
  <c r="J1085" i="50"/>
  <c r="K1091" i="50"/>
  <c r="I1082" i="50"/>
  <c r="P1068" i="50"/>
  <c r="P1111" i="50"/>
  <c r="M1105" i="50"/>
  <c r="G1064" i="50"/>
  <c r="P1103" i="50"/>
  <c r="K1087" i="50"/>
  <c r="P1096" i="50"/>
  <c r="L1110" i="50"/>
  <c r="I1096" i="50"/>
  <c r="L1087" i="50"/>
  <c r="E1110" i="50"/>
  <c r="K1096" i="50"/>
  <c r="M1111" i="50"/>
  <c r="E1111" i="50"/>
  <c r="P1080" i="50"/>
  <c r="J1090" i="50"/>
  <c r="K1093" i="50"/>
  <c r="I1087" i="50"/>
  <c r="P1110" i="50"/>
  <c r="M1091" i="50"/>
  <c r="F1073" i="50"/>
  <c r="L1082" i="50"/>
  <c r="J1103" i="50"/>
  <c r="M1096" i="50"/>
  <c r="P1070" i="50"/>
  <c r="I1080" i="50"/>
  <c r="P1094" i="50"/>
  <c r="I1064" i="50"/>
  <c r="P1079" i="50"/>
  <c r="I1100" i="50"/>
  <c r="J1064" i="50"/>
  <c r="J1105" i="50"/>
  <c r="L1099" i="50"/>
  <c r="P1102" i="50"/>
  <c r="I1091" i="50"/>
  <c r="M1098" i="50"/>
  <c r="P1101" i="50"/>
  <c r="K1101" i="50"/>
  <c r="L1068" i="50"/>
  <c r="I1098" i="50"/>
  <c r="I1107" i="50"/>
  <c r="P1099" i="50"/>
  <c r="L1117" i="50"/>
  <c r="M1083" i="50"/>
  <c r="M1084" i="50"/>
  <c r="M1114" i="50"/>
  <c r="P1104" i="50"/>
  <c r="K1083" i="50"/>
  <c r="L1105" i="50"/>
  <c r="P1105" i="50"/>
  <c r="P1067" i="50"/>
  <c r="P1098" i="50"/>
  <c r="M1103" i="50"/>
  <c r="K1099" i="50"/>
  <c r="M1117" i="50"/>
  <c r="J1110" i="50"/>
  <c r="L1102" i="50"/>
  <c r="J1102" i="50"/>
  <c r="E1062" i="50"/>
  <c r="L1062" i="50" s="1"/>
  <c r="N1068" i="50" s="1"/>
  <c r="M1070" i="50"/>
  <c r="E1114" i="50"/>
  <c r="K1070" i="50"/>
  <c r="L1070" i="50"/>
  <c r="I1111" i="50"/>
  <c r="M1104" i="50"/>
  <c r="I1073" i="50"/>
  <c r="R1072" i="50" s="1"/>
  <c r="L1088" i="50"/>
  <c r="J1104" i="50"/>
  <c r="L1080" i="50"/>
  <c r="I1088" i="50"/>
  <c r="P1072" i="50"/>
  <c r="I1079" i="50"/>
  <c r="L1091" i="50"/>
  <c r="M1085" i="50"/>
  <c r="K1114" i="50"/>
  <c r="K1110" i="50"/>
  <c r="J1067" i="50"/>
  <c r="E1113" i="50"/>
  <c r="P1100" i="50"/>
  <c r="L1113" i="50"/>
  <c r="M1090" i="50"/>
  <c r="I1114" i="50"/>
  <c r="P1114" i="50"/>
  <c r="P1088" i="50"/>
  <c r="K1062" i="50"/>
  <c r="J1083" i="50"/>
  <c r="J1091" i="50"/>
  <c r="P1113" i="50"/>
  <c r="J1111" i="50"/>
  <c r="J1062" i="50"/>
  <c r="M1064" i="50"/>
  <c r="M1073" i="50" s="1"/>
  <c r="T1059" i="50" s="1"/>
  <c r="T1072" i="50" s="1"/>
  <c r="I1099" i="50"/>
  <c r="M1101" i="50"/>
  <c r="I1105" i="50"/>
  <c r="K1073" i="50"/>
  <c r="S1072" i="50" s="1"/>
  <c r="I1070" i="50"/>
  <c r="J1114" i="50"/>
  <c r="K1117" i="50"/>
  <c r="K1080" i="50"/>
  <c r="L1103" i="50"/>
  <c r="I1067" i="50"/>
  <c r="M1099" i="50"/>
  <c r="M1102" i="50"/>
  <c r="L1107" i="50"/>
  <c r="P1084" i="50"/>
  <c r="K1098" i="50"/>
  <c r="M1068" i="50"/>
  <c r="J1080" i="50"/>
  <c r="I1093" i="50"/>
  <c r="I1102" i="50"/>
  <c r="P1091" i="50"/>
  <c r="M1093" i="50"/>
  <c r="M1063" i="50"/>
  <c r="I1097" i="50"/>
  <c r="P1087" i="50"/>
  <c r="M1100" i="50"/>
  <c r="K1068" i="50"/>
  <c r="K1107" i="50"/>
  <c r="M1094" i="50"/>
  <c r="K1079" i="50"/>
  <c r="M1087" i="50"/>
  <c r="P1097" i="50"/>
  <c r="K1064" i="50"/>
  <c r="J1088" i="50"/>
  <c r="J1098" i="50"/>
  <c r="K1105" i="50"/>
  <c r="L1094" i="50"/>
  <c r="L1079" i="50"/>
  <c r="I1083" i="50"/>
  <c r="L1097" i="50"/>
  <c r="L1084" i="50"/>
  <c r="K1097" i="50"/>
  <c r="J1068" i="50"/>
  <c r="K1085" i="50"/>
  <c r="K1082" i="50"/>
  <c r="J1082" i="50"/>
  <c r="P1093" i="50"/>
  <c r="M1088" i="50"/>
  <c r="P1083" i="50"/>
  <c r="I1110" i="50"/>
  <c r="I1085" i="50"/>
  <c r="AA1772" i="37"/>
  <c r="AA1775" i="37" s="1"/>
  <c r="AA1754" i="37"/>
  <c r="E299" i="43"/>
  <c r="D300" i="43"/>
  <c r="T1535" i="37"/>
  <c r="T1560" i="37"/>
  <c r="T1547" i="37"/>
  <c r="T1568" i="37"/>
  <c r="T1616" i="37"/>
  <c r="T1470" i="37"/>
  <c r="T1604" i="37"/>
  <c r="T1518" i="37"/>
  <c r="T1595" i="37"/>
  <c r="T1596" i="37"/>
  <c r="T1554" i="37"/>
  <c r="T1469" i="37"/>
  <c r="T1612" i="37"/>
  <c r="T1481" i="37"/>
  <c r="E411" i="43"/>
  <c r="F411" i="43" s="1"/>
  <c r="F410" i="43"/>
  <c r="R1590" i="50"/>
  <c r="M1050" i="50"/>
  <c r="J1053" i="50"/>
  <c r="H993" i="50"/>
  <c r="I1053" i="50"/>
  <c r="J1051" i="50"/>
  <c r="K1053" i="50"/>
  <c r="I1050" i="50"/>
  <c r="L1050" i="50"/>
  <c r="K1050" i="50"/>
  <c r="L1053" i="50"/>
  <c r="J1055" i="50"/>
  <c r="M1055" i="50"/>
  <c r="I1055" i="50"/>
  <c r="J1050" i="50"/>
  <c r="L1055" i="50"/>
  <c r="K1051" i="50"/>
  <c r="L1051" i="50"/>
  <c r="I1051" i="50"/>
  <c r="K1055" i="50"/>
  <c r="H998" i="50"/>
  <c r="M1051" i="50"/>
  <c r="M1053" i="50"/>
  <c r="V773" i="37"/>
  <c r="V839" i="37"/>
  <c r="V858" i="37"/>
  <c r="V899" i="37"/>
  <c r="V916" i="37"/>
  <c r="V822" i="37"/>
  <c r="V864" i="37"/>
  <c r="V900" i="37"/>
  <c r="V851" i="37"/>
  <c r="V908" i="37"/>
  <c r="V774" i="37"/>
  <c r="V872" i="37"/>
  <c r="V785" i="37"/>
  <c r="V920" i="37"/>
  <c r="AA902" i="37"/>
  <c r="AA905" i="37" s="1"/>
  <c r="AA884" i="37"/>
  <c r="E321" i="41"/>
  <c r="P273" i="41"/>
  <c r="E390" i="50"/>
  <c r="D1128" i="50"/>
  <c r="Q1128" i="50"/>
  <c r="D1588" i="50" s="1"/>
  <c r="I1128" i="50"/>
  <c r="R1597" i="50"/>
  <c r="Q1585" i="50"/>
  <c r="D1627" i="50"/>
  <c r="D1624" i="50"/>
  <c r="U1769" i="37"/>
  <c r="U1644" i="37"/>
  <c r="U1692" i="37"/>
  <c r="U1721" i="37"/>
  <c r="U1655" i="37"/>
  <c r="U1734" i="37"/>
  <c r="U1728" i="37"/>
  <c r="U1790" i="37"/>
  <c r="U1709" i="37"/>
  <c r="U1786" i="37"/>
  <c r="U1643" i="37"/>
  <c r="U1770" i="37"/>
  <c r="U1778" i="37"/>
  <c r="U1742" i="37"/>
  <c r="S1734" i="37"/>
  <c r="S1742" i="37"/>
  <c r="S1728" i="37"/>
  <c r="S1709" i="37"/>
  <c r="S1655" i="37"/>
  <c r="S1643" i="37"/>
  <c r="S1790" i="37"/>
  <c r="S1770" i="37"/>
  <c r="S1721" i="37"/>
  <c r="S1786" i="37"/>
  <c r="S1692" i="37"/>
  <c r="S1778" i="37"/>
  <c r="S1769" i="37"/>
  <c r="S1644" i="37"/>
  <c r="W1728" i="37"/>
  <c r="W1655" i="37"/>
  <c r="W1742" i="37"/>
  <c r="W1709" i="37"/>
  <c r="W1786" i="37"/>
  <c r="W1770" i="37"/>
  <c r="W1721" i="37"/>
  <c r="W1790" i="37"/>
  <c r="W1692" i="37"/>
  <c r="W1644" i="37"/>
  <c r="W1734" i="37"/>
  <c r="W1643" i="37"/>
  <c r="W1778" i="37"/>
  <c r="W1769" i="37"/>
  <c r="W1518" i="37"/>
  <c r="W1469" i="37"/>
  <c r="W1568" i="37"/>
  <c r="W1535" i="37"/>
  <c r="W1481" i="37"/>
  <c r="W1547" i="37"/>
  <c r="W1470" i="37"/>
  <c r="W1604" i="37"/>
  <c r="W1616" i="37"/>
  <c r="W1596" i="37"/>
  <c r="W1595" i="37"/>
  <c r="W1554" i="37"/>
  <c r="W1560" i="37"/>
  <c r="W1612" i="37"/>
  <c r="AA1540" i="37"/>
  <c r="AA1543" i="37" s="1"/>
  <c r="AA1544" i="37" s="1"/>
  <c r="AA1545" i="37" s="1"/>
  <c r="AA1546" i="37" s="1"/>
  <c r="AA1531" i="37"/>
  <c r="AA1532" i="37" s="1"/>
  <c r="AA1533" i="37" s="1"/>
  <c r="AA1534" i="37" s="1"/>
  <c r="S851" i="37"/>
  <c r="S785" i="37"/>
  <c r="S864" i="37"/>
  <c r="S899" i="37"/>
  <c r="S916" i="37"/>
  <c r="S773" i="37"/>
  <c r="S872" i="37"/>
  <c r="S774" i="37"/>
  <c r="S822" i="37"/>
  <c r="S920" i="37"/>
  <c r="S858" i="37"/>
  <c r="S908" i="37"/>
  <c r="S900" i="37"/>
  <c r="S839" i="37"/>
  <c r="K258" i="50"/>
  <c r="M258" i="50"/>
  <c r="J258" i="50"/>
  <c r="L258" i="50"/>
  <c r="P258" i="50"/>
  <c r="I258" i="50"/>
  <c r="L88" i="50"/>
  <c r="L58" i="49"/>
  <c r="M58" i="49"/>
  <c r="M88" i="50"/>
  <c r="S1591" i="50"/>
  <c r="I254" i="50"/>
  <c r="M254" i="50"/>
  <c r="K254" i="50"/>
  <c r="L254" i="50"/>
  <c r="P254" i="50"/>
  <c r="J254" i="50"/>
  <c r="W822" i="37"/>
  <c r="W839" i="37"/>
  <c r="W899" i="37"/>
  <c r="W774" i="37"/>
  <c r="W864" i="37"/>
  <c r="W851" i="37"/>
  <c r="W858" i="37"/>
  <c r="W773" i="37"/>
  <c r="W900" i="37"/>
  <c r="W872" i="37"/>
  <c r="W785" i="37"/>
  <c r="W908" i="37"/>
  <c r="W920" i="37"/>
  <c r="W916" i="37"/>
  <c r="K409" i="43"/>
  <c r="L40" i="50" s="1"/>
  <c r="G409" i="43"/>
  <c r="H409" i="43"/>
  <c r="E40" i="50" s="1"/>
  <c r="J409" i="43"/>
  <c r="I40" i="50" s="1"/>
  <c r="D1595" i="50"/>
  <c r="S1589" i="50"/>
  <c r="V1728" i="37"/>
  <c r="V1770" i="37"/>
  <c r="V1655" i="37"/>
  <c r="V1709" i="37"/>
  <c r="V1643" i="37"/>
  <c r="V1769" i="37"/>
  <c r="V1742" i="37"/>
  <c r="V1721" i="37"/>
  <c r="V1734" i="37"/>
  <c r="V1786" i="37"/>
  <c r="V1692" i="37"/>
  <c r="V1644" i="37"/>
  <c r="V1778" i="37"/>
  <c r="V1790" i="37"/>
  <c r="T773" i="37"/>
  <c r="T920" i="37"/>
  <c r="T900" i="37"/>
  <c r="T839" i="37"/>
  <c r="T858" i="37"/>
  <c r="T899" i="37"/>
  <c r="T851" i="37"/>
  <c r="T916" i="37"/>
  <c r="T864" i="37"/>
  <c r="T785" i="37"/>
  <c r="T822" i="37"/>
  <c r="T872" i="37"/>
  <c r="T908" i="37"/>
  <c r="T774" i="37"/>
  <c r="AA835" i="37"/>
  <c r="AA836" i="37" s="1"/>
  <c r="AA837" i="37" s="1"/>
  <c r="AA838" i="37" s="1"/>
  <c r="AA844" i="37"/>
  <c r="AA847" i="37" s="1"/>
  <c r="AA848" i="37" s="1"/>
  <c r="AA849" i="37" s="1"/>
  <c r="AA850" i="37" s="1"/>
  <c r="V1481" i="37"/>
  <c r="V1547" i="37"/>
  <c r="V1568" i="37"/>
  <c r="V1616" i="37"/>
  <c r="V1612" i="37"/>
  <c r="V1469" i="37"/>
  <c r="V1560" i="37"/>
  <c r="V1595" i="37"/>
  <c r="V1554" i="37"/>
  <c r="V1518" i="37"/>
  <c r="V1596" i="37"/>
  <c r="V1535" i="37"/>
  <c r="V1604" i="37"/>
  <c r="V1470" i="37"/>
  <c r="D1592" i="50"/>
  <c r="S1588" i="50"/>
  <c r="M844" i="50"/>
  <c r="H791" i="50"/>
  <c r="L848" i="50"/>
  <c r="K844" i="50"/>
  <c r="M846" i="50"/>
  <c r="J846" i="50"/>
  <c r="K846" i="50"/>
  <c r="K848" i="50"/>
  <c r="I843" i="50"/>
  <c r="L844" i="50"/>
  <c r="J843" i="50"/>
  <c r="J848" i="50"/>
  <c r="I848" i="50"/>
  <c r="H786" i="50"/>
  <c r="L843" i="50"/>
  <c r="I844" i="50"/>
  <c r="M848" i="50"/>
  <c r="L846" i="50"/>
  <c r="I846" i="50"/>
  <c r="K843" i="50"/>
  <c r="J844" i="50"/>
  <c r="M843" i="50"/>
  <c r="AA1598" i="37"/>
  <c r="AA1601" i="37" s="1"/>
  <c r="AA1580" i="37"/>
  <c r="U920" i="37"/>
  <c r="U774" i="37"/>
  <c r="U864" i="37"/>
  <c r="U908" i="37"/>
  <c r="U851" i="37"/>
  <c r="U916" i="37"/>
  <c r="U872" i="37"/>
  <c r="U785" i="37"/>
  <c r="U822" i="37"/>
  <c r="U839" i="37"/>
  <c r="U858" i="37"/>
  <c r="U900" i="37"/>
  <c r="U899" i="37"/>
  <c r="U773" i="37"/>
  <c r="S1594" i="50"/>
  <c r="S1595" i="50"/>
  <c r="T1721" i="37"/>
  <c r="T1655" i="37"/>
  <c r="T1786" i="37"/>
  <c r="T1644" i="37"/>
  <c r="T1769" i="37"/>
  <c r="T1778" i="37"/>
  <c r="T1728" i="37"/>
  <c r="T1734" i="37"/>
  <c r="T1709" i="37"/>
  <c r="T1742" i="37"/>
  <c r="T1643" i="37"/>
  <c r="T1770" i="37"/>
  <c r="T1790" i="37"/>
  <c r="T1692" i="37"/>
  <c r="AA1705" i="37"/>
  <c r="AA1706" i="37" s="1"/>
  <c r="AA1707" i="37" s="1"/>
  <c r="AA1708" i="37" s="1"/>
  <c r="AA1714" i="37"/>
  <c r="AA1717" i="37" s="1"/>
  <c r="AA1718" i="37" s="1"/>
  <c r="AA1719" i="37" s="1"/>
  <c r="AA1720" i="37" s="1"/>
  <c r="R298" i="43"/>
  <c r="M298" i="43"/>
  <c r="L298" i="43"/>
  <c r="J248" i="41"/>
  <c r="J245" i="41"/>
  <c r="J369" i="50"/>
  <c r="J247" i="41"/>
  <c r="J246" i="41"/>
  <c r="S1595" i="37"/>
  <c r="S1568" i="37"/>
  <c r="S1604" i="37"/>
  <c r="S1518" i="37"/>
  <c r="S1612" i="37"/>
  <c r="S1469" i="37"/>
  <c r="S1616" i="37"/>
  <c r="S1481" i="37"/>
  <c r="S1535" i="37"/>
  <c r="S1560" i="37"/>
  <c r="S1547" i="37"/>
  <c r="S1554" i="37"/>
  <c r="S1470" i="37"/>
  <c r="S1596" i="37"/>
  <c r="U1616" i="37"/>
  <c r="U1470" i="37"/>
  <c r="U1560" i="37"/>
  <c r="U1469" i="37"/>
  <c r="U1554" i="37"/>
  <c r="U1595" i="37"/>
  <c r="U1535" i="37"/>
  <c r="U1568" i="37"/>
  <c r="U1604" i="37"/>
  <c r="U1596" i="37"/>
  <c r="U1612" i="37"/>
  <c r="U1481" i="37"/>
  <c r="U1518" i="37"/>
  <c r="U1547" i="37"/>
  <c r="E317" i="41"/>
  <c r="P269" i="41"/>
  <c r="E386" i="50"/>
  <c r="L335" i="41" l="1"/>
  <c r="L445" i="50" s="1"/>
  <c r="L438" i="50"/>
  <c r="J438" i="50"/>
  <c r="J335" i="41"/>
  <c r="J445" i="50" s="1"/>
  <c r="K438" i="50"/>
  <c r="K335" i="41"/>
  <c r="K445" i="50" s="1"/>
  <c r="I438" i="50"/>
  <c r="I335" i="41"/>
  <c r="I445" i="50" s="1"/>
  <c r="M438" i="50"/>
  <c r="M335" i="41"/>
  <c r="M445" i="50" s="1"/>
  <c r="G1842" i="37"/>
  <c r="G1843" i="37"/>
  <c r="G1846" i="37"/>
  <c r="G1848" i="37"/>
  <c r="G1849" i="37"/>
  <c r="G1841" i="37"/>
  <c r="G1850" i="37"/>
  <c r="G1845" i="37"/>
  <c r="G1847" i="37"/>
  <c r="P1288" i="37"/>
  <c r="P1114" i="37" s="1"/>
  <c r="P940" i="37" s="1"/>
  <c r="P766" i="37" s="1"/>
  <c r="P592" i="37" s="1"/>
  <c r="P418" i="37" s="1"/>
  <c r="P244" i="37" s="1"/>
  <c r="I266" i="41" s="1"/>
  <c r="I383" i="50" s="1"/>
  <c r="E320" i="41"/>
  <c r="P272" i="41"/>
  <c r="E389" i="50"/>
  <c r="AA118" i="37"/>
  <c r="AA119" i="37" s="1"/>
  <c r="AA120" i="37" s="1"/>
  <c r="AA121" i="37" s="1"/>
  <c r="AA127" i="37"/>
  <c r="AA130" i="37" s="1"/>
  <c r="AA131" i="37" s="1"/>
  <c r="AA132" i="37" s="1"/>
  <c r="AA133" i="37" s="1"/>
  <c r="E318" i="41"/>
  <c r="P270" i="41"/>
  <c r="E387" i="50"/>
  <c r="AA1424" i="37"/>
  <c r="AA1427" i="37" s="1"/>
  <c r="AA1406" i="37"/>
  <c r="V1386" i="37"/>
  <c r="V1307" i="37"/>
  <c r="V1295" i="37"/>
  <c r="V1344" i="37"/>
  <c r="V1421" i="37"/>
  <c r="V1394" i="37"/>
  <c r="V1380" i="37"/>
  <c r="V1373" i="37"/>
  <c r="V1361" i="37"/>
  <c r="V1442" i="37"/>
  <c r="V1296" i="37"/>
  <c r="V1438" i="37"/>
  <c r="V1430" i="37"/>
  <c r="V1422" i="37"/>
  <c r="W1296" i="37"/>
  <c r="W1442" i="37"/>
  <c r="W1380" i="37"/>
  <c r="W1295" i="37"/>
  <c r="W1421" i="37"/>
  <c r="W1344" i="37"/>
  <c r="W1373" i="37"/>
  <c r="W1438" i="37"/>
  <c r="W1394" i="37"/>
  <c r="W1430" i="37"/>
  <c r="W1361" i="37"/>
  <c r="W1307" i="37"/>
  <c r="W1386" i="37"/>
  <c r="W1422" i="37"/>
  <c r="H924" i="50"/>
  <c r="J984" i="50"/>
  <c r="I982" i="50"/>
  <c r="M981" i="50"/>
  <c r="J982" i="50"/>
  <c r="H929" i="50"/>
  <c r="K981" i="50"/>
  <c r="M984" i="50"/>
  <c r="K986" i="50"/>
  <c r="L981" i="50"/>
  <c r="I986" i="50"/>
  <c r="L986" i="50"/>
  <c r="M982" i="50"/>
  <c r="J986" i="50"/>
  <c r="J981" i="50"/>
  <c r="K982" i="50"/>
  <c r="I981" i="50"/>
  <c r="L982" i="50"/>
  <c r="L984" i="50"/>
  <c r="K984" i="50"/>
  <c r="M986" i="50"/>
  <c r="I984" i="50"/>
  <c r="V746" i="37"/>
  <c r="V677" i="37"/>
  <c r="V698" i="37"/>
  <c r="V726" i="37"/>
  <c r="V734" i="37"/>
  <c r="V600" i="37"/>
  <c r="V684" i="37"/>
  <c r="V648" i="37"/>
  <c r="V690" i="37"/>
  <c r="V665" i="37"/>
  <c r="V742" i="37"/>
  <c r="V611" i="37"/>
  <c r="V599" i="37"/>
  <c r="V725" i="37"/>
  <c r="S611" i="37"/>
  <c r="S665" i="37"/>
  <c r="S725" i="37"/>
  <c r="S698" i="37"/>
  <c r="S746" i="37"/>
  <c r="S726" i="37"/>
  <c r="S677" i="37"/>
  <c r="S742" i="37"/>
  <c r="S684" i="37"/>
  <c r="S734" i="37"/>
  <c r="S648" i="37"/>
  <c r="S599" i="37"/>
  <c r="S600" i="37"/>
  <c r="S690" i="37"/>
  <c r="W1032" i="37"/>
  <c r="W959" i="37"/>
  <c r="W996" i="37"/>
  <c r="W1073" i="37"/>
  <c r="W1082" i="37"/>
  <c r="W1046" i="37"/>
  <c r="W947" i="37"/>
  <c r="W948" i="37"/>
  <c r="W1074" i="37"/>
  <c r="W1025" i="37"/>
  <c r="W1094" i="37"/>
  <c r="W1038" i="37"/>
  <c r="W1013" i="37"/>
  <c r="W1090" i="37"/>
  <c r="S398" i="37"/>
  <c r="S394" i="37"/>
  <c r="S377" i="37"/>
  <c r="S336" i="37"/>
  <c r="S378" i="37"/>
  <c r="S386" i="37"/>
  <c r="S251" i="37"/>
  <c r="S252" i="37"/>
  <c r="S350" i="37"/>
  <c r="S317" i="37"/>
  <c r="S300" i="37"/>
  <c r="S329" i="37"/>
  <c r="S263" i="37"/>
  <c r="S342" i="37"/>
  <c r="P257" i="50"/>
  <c r="I257" i="50"/>
  <c r="K257" i="50"/>
  <c r="J257" i="50"/>
  <c r="L257" i="50"/>
  <c r="M257" i="50"/>
  <c r="U1256" i="37"/>
  <c r="U1220" i="37"/>
  <c r="U1199" i="37"/>
  <c r="U1212" i="37"/>
  <c r="U1122" i="37"/>
  <c r="U1121" i="37"/>
  <c r="U1247" i="37"/>
  <c r="U1187" i="37"/>
  <c r="U1170" i="37"/>
  <c r="U1248" i="37"/>
  <c r="U1264" i="37"/>
  <c r="U1133" i="37"/>
  <c r="U1206" i="37"/>
  <c r="U1268" i="37"/>
  <c r="L915" i="50"/>
  <c r="K912" i="50"/>
  <c r="J915" i="50"/>
  <c r="I913" i="50"/>
  <c r="K915" i="50"/>
  <c r="L912" i="50"/>
  <c r="H860" i="50"/>
  <c r="I917" i="50"/>
  <c r="K913" i="50"/>
  <c r="M917" i="50"/>
  <c r="H855" i="50"/>
  <c r="L913" i="50"/>
  <c r="M912" i="50"/>
  <c r="I915" i="50"/>
  <c r="K917" i="50"/>
  <c r="M915" i="50"/>
  <c r="J913" i="50"/>
  <c r="J912" i="50"/>
  <c r="M913" i="50"/>
  <c r="L917" i="50"/>
  <c r="I912" i="50"/>
  <c r="J917" i="50"/>
  <c r="T203" i="37"/>
  <c r="T162" i="37"/>
  <c r="T134" i="37"/>
  <c r="T212" i="37"/>
  <c r="T43" i="37"/>
  <c r="T218" i="37"/>
  <c r="T154" i="37"/>
  <c r="T194" i="37"/>
  <c r="T26" i="37"/>
  <c r="T95" i="37"/>
  <c r="T27" i="37"/>
  <c r="T144" i="37"/>
  <c r="T193" i="37"/>
  <c r="T122" i="37"/>
  <c r="T551" i="37"/>
  <c r="T474" i="37"/>
  <c r="T560" i="37"/>
  <c r="T552" i="37"/>
  <c r="T491" i="37"/>
  <c r="T425" i="37"/>
  <c r="T503" i="37"/>
  <c r="T572" i="37"/>
  <c r="T568" i="37"/>
  <c r="T510" i="37"/>
  <c r="T516" i="37"/>
  <c r="T524" i="37"/>
  <c r="T426" i="37"/>
  <c r="T437" i="37"/>
  <c r="S491" i="37"/>
  <c r="S425" i="37"/>
  <c r="S426" i="37"/>
  <c r="S572" i="37"/>
  <c r="S524" i="37"/>
  <c r="S474" i="37"/>
  <c r="S437" i="37"/>
  <c r="S552" i="37"/>
  <c r="S560" i="37"/>
  <c r="S516" i="37"/>
  <c r="S503" i="37"/>
  <c r="S510" i="37"/>
  <c r="S568" i="37"/>
  <c r="S551" i="37"/>
  <c r="T1025" i="37"/>
  <c r="T996" i="37"/>
  <c r="T1074" i="37"/>
  <c r="T948" i="37"/>
  <c r="T1094" i="37"/>
  <c r="T1046" i="37"/>
  <c r="T959" i="37"/>
  <c r="T1073" i="37"/>
  <c r="T1038" i="37"/>
  <c r="T1090" i="37"/>
  <c r="T947" i="37"/>
  <c r="T1013" i="37"/>
  <c r="T1082" i="37"/>
  <c r="T1032" i="37"/>
  <c r="W386" i="37"/>
  <c r="W329" i="37"/>
  <c r="W263" i="37"/>
  <c r="W342" i="37"/>
  <c r="W300" i="37"/>
  <c r="W252" i="37"/>
  <c r="W251" i="37"/>
  <c r="W398" i="37"/>
  <c r="W336" i="37"/>
  <c r="W378" i="37"/>
  <c r="W394" i="37"/>
  <c r="W317" i="37"/>
  <c r="W377" i="37"/>
  <c r="W350" i="37"/>
  <c r="L641" i="50"/>
  <c r="M636" i="50"/>
  <c r="J641" i="50"/>
  <c r="I636" i="50"/>
  <c r="K637" i="50"/>
  <c r="L639" i="50"/>
  <c r="M639" i="50"/>
  <c r="K639" i="50"/>
  <c r="L637" i="50"/>
  <c r="I639" i="50"/>
  <c r="M637" i="50"/>
  <c r="M641" i="50"/>
  <c r="K641" i="50"/>
  <c r="I637" i="50"/>
  <c r="I641" i="50"/>
  <c r="L636" i="50"/>
  <c r="K636" i="50"/>
  <c r="J636" i="50"/>
  <c r="H579" i="50"/>
  <c r="J637" i="50"/>
  <c r="H584" i="50"/>
  <c r="J639" i="50"/>
  <c r="D1623" i="50"/>
  <c r="Q1581" i="50"/>
  <c r="E388" i="50"/>
  <c r="E319" i="41"/>
  <c r="P271" i="41"/>
  <c r="D1625" i="50"/>
  <c r="Q1583" i="50"/>
  <c r="S212" i="37"/>
  <c r="S218" i="37"/>
  <c r="S154" i="37"/>
  <c r="S43" i="37"/>
  <c r="S203" i="37"/>
  <c r="S122" i="37"/>
  <c r="S134" i="37"/>
  <c r="S194" i="37"/>
  <c r="S162" i="37"/>
  <c r="S26" i="37"/>
  <c r="S193" i="37"/>
  <c r="S27" i="37"/>
  <c r="S95" i="37"/>
  <c r="S144" i="37"/>
  <c r="AA536" i="37"/>
  <c r="AA554" i="37"/>
  <c r="AA557" i="37" s="1"/>
  <c r="U948" i="37"/>
  <c r="U1074" i="37"/>
  <c r="U1094" i="37"/>
  <c r="U1038" i="37"/>
  <c r="U947" i="37"/>
  <c r="U1073" i="37"/>
  <c r="U1046" i="37"/>
  <c r="U1013" i="37"/>
  <c r="U1025" i="37"/>
  <c r="U1082" i="37"/>
  <c r="U959" i="37"/>
  <c r="U996" i="37"/>
  <c r="U1090" i="37"/>
  <c r="U1032" i="37"/>
  <c r="AA1018" i="37"/>
  <c r="AA1021" i="37" s="1"/>
  <c r="AA1022" i="37" s="1"/>
  <c r="AA1023" i="37" s="1"/>
  <c r="AA1024" i="37" s="1"/>
  <c r="AA1009" i="37"/>
  <c r="AA1010" i="37" s="1"/>
  <c r="AA1011" i="37" s="1"/>
  <c r="AA1012" i="37" s="1"/>
  <c r="D1622" i="50"/>
  <c r="Q1580" i="50"/>
  <c r="E384" i="50"/>
  <c r="P267" i="41"/>
  <c r="E315" i="41"/>
  <c r="K779" i="50"/>
  <c r="I775" i="50"/>
  <c r="J777" i="50"/>
  <c r="M779" i="50"/>
  <c r="H722" i="50"/>
  <c r="L774" i="50"/>
  <c r="K775" i="50"/>
  <c r="M774" i="50"/>
  <c r="I774" i="50"/>
  <c r="L779" i="50"/>
  <c r="L777" i="50"/>
  <c r="J775" i="50"/>
  <c r="K777" i="50"/>
  <c r="H717" i="50"/>
  <c r="K774" i="50"/>
  <c r="J779" i="50"/>
  <c r="I779" i="50"/>
  <c r="M777" i="50"/>
  <c r="I777" i="50"/>
  <c r="M775" i="50"/>
  <c r="J774" i="50"/>
  <c r="L775" i="50"/>
  <c r="U425" i="37"/>
  <c r="U516" i="37"/>
  <c r="U551" i="37"/>
  <c r="U426" i="37"/>
  <c r="U474" i="37"/>
  <c r="U572" i="37"/>
  <c r="U491" i="37"/>
  <c r="U510" i="37"/>
  <c r="U503" i="37"/>
  <c r="U568" i="37"/>
  <c r="U524" i="37"/>
  <c r="U552" i="37"/>
  <c r="U437" i="37"/>
  <c r="U560" i="37"/>
  <c r="W572" i="37"/>
  <c r="W474" i="37"/>
  <c r="W524" i="37"/>
  <c r="W568" i="37"/>
  <c r="W503" i="37"/>
  <c r="W551" i="37"/>
  <c r="W516" i="37"/>
  <c r="W425" i="37"/>
  <c r="W552" i="37"/>
  <c r="W510" i="37"/>
  <c r="W560" i="37"/>
  <c r="W437" i="37"/>
  <c r="W491" i="37"/>
  <c r="W426" i="37"/>
  <c r="M253" i="50"/>
  <c r="J253" i="50"/>
  <c r="I253" i="50"/>
  <c r="K253" i="50"/>
  <c r="P253" i="50"/>
  <c r="L253" i="50"/>
  <c r="D1620" i="50"/>
  <c r="Q1578" i="50"/>
  <c r="J252" i="50"/>
  <c r="L252" i="50"/>
  <c r="I252" i="50"/>
  <c r="M252" i="50"/>
  <c r="P252" i="50"/>
  <c r="K252" i="50"/>
  <c r="D1626" i="50"/>
  <c r="Q1584" i="50"/>
  <c r="S1074" i="37"/>
  <c r="S996" i="37"/>
  <c r="S1046" i="37"/>
  <c r="S1082" i="37"/>
  <c r="S1094" i="37"/>
  <c r="S1038" i="37"/>
  <c r="S959" i="37"/>
  <c r="S947" i="37"/>
  <c r="S1073" i="37"/>
  <c r="S1032" i="37"/>
  <c r="S1013" i="37"/>
  <c r="S948" i="37"/>
  <c r="S1025" i="37"/>
  <c r="S1090" i="37"/>
  <c r="V336" i="37"/>
  <c r="V329" i="37"/>
  <c r="V398" i="37"/>
  <c r="V386" i="37"/>
  <c r="V317" i="37"/>
  <c r="V252" i="37"/>
  <c r="V377" i="37"/>
  <c r="V263" i="37"/>
  <c r="V251" i="37"/>
  <c r="V350" i="37"/>
  <c r="V394" i="37"/>
  <c r="V342" i="37"/>
  <c r="V300" i="37"/>
  <c r="V378" i="37"/>
  <c r="S1170" i="37"/>
  <c r="S1187" i="37"/>
  <c r="S1121" i="37"/>
  <c r="S1247" i="37"/>
  <c r="S1199" i="37"/>
  <c r="S1248" i="37"/>
  <c r="S1268" i="37"/>
  <c r="S1206" i="37"/>
  <c r="S1122" i="37"/>
  <c r="S1212" i="37"/>
  <c r="S1133" i="37"/>
  <c r="S1256" i="37"/>
  <c r="S1264" i="37"/>
  <c r="S1220" i="37"/>
  <c r="AA175" i="37"/>
  <c r="AA196" i="37"/>
  <c r="AA200" i="37" s="1"/>
  <c r="T1422" i="37"/>
  <c r="T1296" i="37"/>
  <c r="T1307" i="37"/>
  <c r="T1295" i="37"/>
  <c r="T1361" i="37"/>
  <c r="T1373" i="37"/>
  <c r="T1394" i="37"/>
  <c r="T1421" i="37"/>
  <c r="T1344" i="37"/>
  <c r="T1438" i="37"/>
  <c r="T1442" i="37"/>
  <c r="T1380" i="37"/>
  <c r="T1430" i="37"/>
  <c r="T1386" i="37"/>
  <c r="I255" i="50"/>
  <c r="L255" i="50"/>
  <c r="J255" i="50"/>
  <c r="P255" i="50"/>
  <c r="K255" i="50"/>
  <c r="M255" i="50"/>
  <c r="M250" i="50"/>
  <c r="P250" i="50"/>
  <c r="L250" i="50"/>
  <c r="J250" i="50"/>
  <c r="I250" i="50"/>
  <c r="K250" i="50"/>
  <c r="L259" i="50"/>
  <c r="I259" i="50"/>
  <c r="K259" i="50"/>
  <c r="J259" i="50"/>
  <c r="P259" i="50"/>
  <c r="M259" i="50"/>
  <c r="AA710" i="37"/>
  <c r="AA728" i="37"/>
  <c r="AA731" i="37" s="1"/>
  <c r="J256" i="50"/>
  <c r="M256" i="50"/>
  <c r="K256" i="50"/>
  <c r="L256" i="50"/>
  <c r="P256" i="50"/>
  <c r="I256" i="50"/>
  <c r="AA313" i="37"/>
  <c r="AA314" i="37" s="1"/>
  <c r="AA315" i="37" s="1"/>
  <c r="AA316" i="37" s="1"/>
  <c r="AA322" i="37"/>
  <c r="AA325" i="37" s="1"/>
  <c r="AA326" i="37" s="1"/>
  <c r="AA327" i="37" s="1"/>
  <c r="AA328" i="37" s="1"/>
  <c r="AA1192" i="37"/>
  <c r="AA1195" i="37" s="1"/>
  <c r="AA1196" i="37" s="1"/>
  <c r="AA1197" i="37" s="1"/>
  <c r="AA1198" i="37" s="1"/>
  <c r="AA1183" i="37"/>
  <c r="AA1184" i="37" s="1"/>
  <c r="AA1185" i="37" s="1"/>
  <c r="AA1186" i="37" s="1"/>
  <c r="E316" i="41"/>
  <c r="P268" i="41"/>
  <c r="E385" i="50"/>
  <c r="V503" i="37"/>
  <c r="V560" i="37"/>
  <c r="V510" i="37"/>
  <c r="V426" i="37"/>
  <c r="V425" i="37"/>
  <c r="V552" i="37"/>
  <c r="V568" i="37"/>
  <c r="V437" i="37"/>
  <c r="V474" i="37"/>
  <c r="V516" i="37"/>
  <c r="V491" i="37"/>
  <c r="V572" i="37"/>
  <c r="V524" i="37"/>
  <c r="V551" i="37"/>
  <c r="E314" i="41"/>
  <c r="P266" i="41"/>
  <c r="E383" i="50"/>
  <c r="M572" i="50"/>
  <c r="H515" i="50"/>
  <c r="M567" i="50"/>
  <c r="L572" i="50"/>
  <c r="H510" i="50"/>
  <c r="K570" i="50"/>
  <c r="J568" i="50"/>
  <c r="K568" i="50"/>
  <c r="J567" i="50"/>
  <c r="L568" i="50"/>
  <c r="M568" i="50"/>
  <c r="K567" i="50"/>
  <c r="J572" i="50"/>
  <c r="M570" i="50"/>
  <c r="L567" i="50"/>
  <c r="I567" i="50"/>
  <c r="I570" i="50"/>
  <c r="I572" i="50"/>
  <c r="L570" i="50"/>
  <c r="J570" i="50"/>
  <c r="K572" i="50"/>
  <c r="I568" i="50"/>
  <c r="AA1357" i="37"/>
  <c r="AA1358" i="37" s="1"/>
  <c r="AA1359" i="37" s="1"/>
  <c r="AA1360" i="37" s="1"/>
  <c r="AA1366" i="37"/>
  <c r="AA1369" i="37" s="1"/>
  <c r="AA1370" i="37" s="1"/>
  <c r="AA1371" i="37" s="1"/>
  <c r="AA1372" i="37" s="1"/>
  <c r="W611" i="37"/>
  <c r="W698" i="37"/>
  <c r="W677" i="37"/>
  <c r="W726" i="37"/>
  <c r="W599" i="37"/>
  <c r="W746" i="37"/>
  <c r="W600" i="37"/>
  <c r="W725" i="37"/>
  <c r="W648" i="37"/>
  <c r="W690" i="37"/>
  <c r="W742" i="37"/>
  <c r="W734" i="37"/>
  <c r="W665" i="37"/>
  <c r="W684" i="37"/>
  <c r="AA661" i="37"/>
  <c r="AA662" i="37" s="1"/>
  <c r="AA663" i="37" s="1"/>
  <c r="AA664" i="37" s="1"/>
  <c r="AA670" i="37"/>
  <c r="AA673" i="37" s="1"/>
  <c r="AA674" i="37" s="1"/>
  <c r="AA675" i="37" s="1"/>
  <c r="AA676" i="37" s="1"/>
  <c r="U734" i="37"/>
  <c r="U725" i="37"/>
  <c r="U677" i="37"/>
  <c r="U742" i="37"/>
  <c r="U726" i="37"/>
  <c r="U611" i="37"/>
  <c r="U746" i="37"/>
  <c r="U648" i="37"/>
  <c r="U665" i="37"/>
  <c r="U690" i="37"/>
  <c r="U698" i="37"/>
  <c r="U599" i="37"/>
  <c r="Q599" i="37" s="1"/>
  <c r="U684" i="37"/>
  <c r="U600" i="37"/>
  <c r="Q600" i="37" s="1"/>
  <c r="AA1058" i="37"/>
  <c r="AA1076" i="37"/>
  <c r="AA1079" i="37" s="1"/>
  <c r="H653" i="50"/>
  <c r="M706" i="50"/>
  <c r="I710" i="50"/>
  <c r="K708" i="50"/>
  <c r="L710" i="50"/>
  <c r="M708" i="50"/>
  <c r="J710" i="50"/>
  <c r="I705" i="50"/>
  <c r="J708" i="50"/>
  <c r="K705" i="50"/>
  <c r="L708" i="50"/>
  <c r="I708" i="50"/>
  <c r="K710" i="50"/>
  <c r="J705" i="50"/>
  <c r="K706" i="50"/>
  <c r="J706" i="50"/>
  <c r="M705" i="50"/>
  <c r="L705" i="50"/>
  <c r="L706" i="50"/>
  <c r="I706" i="50"/>
  <c r="M710" i="50"/>
  <c r="H648" i="50"/>
  <c r="D1621" i="50"/>
  <c r="Q1579" i="50"/>
  <c r="T1247" i="37"/>
  <c r="T1212" i="37"/>
  <c r="T1220" i="37"/>
  <c r="T1170" i="37"/>
  <c r="T1264" i="37"/>
  <c r="T1121" i="37"/>
  <c r="T1199" i="37"/>
  <c r="T1268" i="37"/>
  <c r="T1248" i="37"/>
  <c r="T1206" i="37"/>
  <c r="T1122" i="37"/>
  <c r="T1133" i="37"/>
  <c r="T1256" i="37"/>
  <c r="T1187" i="37"/>
  <c r="AA1250" i="37"/>
  <c r="AA1253" i="37" s="1"/>
  <c r="AA1232" i="37"/>
  <c r="W122" i="37"/>
  <c r="W218" i="37"/>
  <c r="W27" i="37"/>
  <c r="W95" i="37"/>
  <c r="W212" i="37"/>
  <c r="W162" i="37"/>
  <c r="W43" i="37"/>
  <c r="W144" i="37"/>
  <c r="W26" i="37"/>
  <c r="W154" i="37"/>
  <c r="W194" i="37"/>
  <c r="W134" i="37"/>
  <c r="W203" i="37"/>
  <c r="W193" i="37"/>
  <c r="U1344" i="37"/>
  <c r="U1394" i="37"/>
  <c r="U1442" i="37"/>
  <c r="U1438" i="37"/>
  <c r="U1421" i="37"/>
  <c r="U1386" i="37"/>
  <c r="U1295" i="37"/>
  <c r="U1430" i="37"/>
  <c r="U1380" i="37"/>
  <c r="U1361" i="37"/>
  <c r="U1422" i="37"/>
  <c r="U1373" i="37"/>
  <c r="U1296" i="37"/>
  <c r="U1307" i="37"/>
  <c r="T684" i="37"/>
  <c r="T599" i="37"/>
  <c r="T746" i="37"/>
  <c r="T677" i="37"/>
  <c r="T665" i="37"/>
  <c r="T690" i="37"/>
  <c r="T726" i="37"/>
  <c r="T611" i="37"/>
  <c r="T742" i="37"/>
  <c r="T648" i="37"/>
  <c r="T734" i="37"/>
  <c r="T725" i="37"/>
  <c r="T600" i="37"/>
  <c r="T698" i="37"/>
  <c r="W1220" i="37"/>
  <c r="W1133" i="37"/>
  <c r="W1256" i="37"/>
  <c r="W1122" i="37"/>
  <c r="W1187" i="37"/>
  <c r="W1170" i="37"/>
  <c r="W1268" i="37"/>
  <c r="W1206" i="37"/>
  <c r="W1121" i="37"/>
  <c r="W1247" i="37"/>
  <c r="W1212" i="37"/>
  <c r="W1199" i="37"/>
  <c r="W1264" i="37"/>
  <c r="W1248" i="37"/>
  <c r="E313" i="41"/>
  <c r="E382" i="50"/>
  <c r="P265" i="41"/>
  <c r="V95" i="37"/>
  <c r="V162" i="37"/>
  <c r="V27" i="37"/>
  <c r="V144" i="37"/>
  <c r="V194" i="37"/>
  <c r="V212" i="37"/>
  <c r="V26" i="37"/>
  <c r="V43" i="37"/>
  <c r="V218" i="37"/>
  <c r="V203" i="37"/>
  <c r="V154" i="37"/>
  <c r="V193" i="37"/>
  <c r="V134" i="37"/>
  <c r="V122" i="37"/>
  <c r="U203" i="37"/>
  <c r="U154" i="37"/>
  <c r="U193" i="37"/>
  <c r="U122" i="37"/>
  <c r="U162" i="37"/>
  <c r="U43" i="37"/>
  <c r="U218" i="37"/>
  <c r="U26" i="37"/>
  <c r="U95" i="37"/>
  <c r="U212" i="37"/>
  <c r="U194" i="37"/>
  <c r="U134" i="37"/>
  <c r="U27" i="37"/>
  <c r="Q27" i="37" s="1"/>
  <c r="U144" i="37"/>
  <c r="AA496" i="37"/>
  <c r="AA499" i="37" s="1"/>
  <c r="AA500" i="37" s="1"/>
  <c r="AA501" i="37" s="1"/>
  <c r="AA502" i="37" s="1"/>
  <c r="AA487" i="37"/>
  <c r="AA488" i="37" s="1"/>
  <c r="AA489" i="37" s="1"/>
  <c r="AA490" i="37" s="1"/>
  <c r="S1430" i="37"/>
  <c r="S1438" i="37"/>
  <c r="S1296" i="37"/>
  <c r="S1386" i="37"/>
  <c r="S1373" i="37"/>
  <c r="S1344" i="37"/>
  <c r="S1361" i="37"/>
  <c r="S1307" i="37"/>
  <c r="S1422" i="37"/>
  <c r="S1394" i="37"/>
  <c r="S1380" i="37"/>
  <c r="S1295" i="37"/>
  <c r="S1421" i="37"/>
  <c r="S1442" i="37"/>
  <c r="J251" i="50"/>
  <c r="P251" i="50"/>
  <c r="M251" i="50"/>
  <c r="K251" i="50"/>
  <c r="L251" i="50"/>
  <c r="I251" i="50"/>
  <c r="V996" i="37"/>
  <c r="V1090" i="37"/>
  <c r="V1094" i="37"/>
  <c r="V1073" i="37"/>
  <c r="V948" i="37"/>
  <c r="V959" i="37"/>
  <c r="V1074" i="37"/>
  <c r="V947" i="37"/>
  <c r="V1025" i="37"/>
  <c r="V1038" i="37"/>
  <c r="V1046" i="37"/>
  <c r="V1082" i="37"/>
  <c r="V1032" i="37"/>
  <c r="V1013" i="37"/>
  <c r="AA362" i="37"/>
  <c r="AA380" i="37"/>
  <c r="AA383" i="37" s="1"/>
  <c r="T394" i="37"/>
  <c r="T252" i="37"/>
  <c r="T342" i="37"/>
  <c r="T317" i="37"/>
  <c r="T251" i="37"/>
  <c r="T300" i="37"/>
  <c r="T336" i="37"/>
  <c r="T378" i="37"/>
  <c r="T263" i="37"/>
  <c r="T377" i="37"/>
  <c r="T350" i="37"/>
  <c r="T398" i="37"/>
  <c r="T386" i="37"/>
  <c r="T329" i="37"/>
  <c r="U317" i="37"/>
  <c r="U394" i="37"/>
  <c r="U252" i="37"/>
  <c r="U263" i="37"/>
  <c r="U398" i="37"/>
  <c r="U350" i="37"/>
  <c r="U377" i="37"/>
  <c r="U342" i="37"/>
  <c r="U300" i="37"/>
  <c r="U336" i="37"/>
  <c r="U378" i="37"/>
  <c r="U251" i="37"/>
  <c r="U329" i="37"/>
  <c r="U386" i="37"/>
  <c r="E322" i="41"/>
  <c r="P274" i="41"/>
  <c r="E391" i="50"/>
  <c r="V1122" i="37"/>
  <c r="V1264" i="37"/>
  <c r="V1220" i="37"/>
  <c r="V1170" i="37"/>
  <c r="V1133" i="37"/>
  <c r="V1199" i="37"/>
  <c r="V1212" i="37"/>
  <c r="V1187" i="37"/>
  <c r="V1268" i="37"/>
  <c r="V1206" i="37"/>
  <c r="V1256" i="37"/>
  <c r="V1121" i="37"/>
  <c r="V1248" i="37"/>
  <c r="V1247" i="37"/>
  <c r="Q774" i="37"/>
  <c r="Q773" i="37"/>
  <c r="J120" i="50"/>
  <c r="J143" i="50" s="1"/>
  <c r="J125" i="50"/>
  <c r="J130" i="50"/>
  <c r="J123" i="50"/>
  <c r="J146" i="50" s="1"/>
  <c r="J126" i="50"/>
  <c r="J118" i="50"/>
  <c r="J141" i="50" s="1"/>
  <c r="J131" i="50"/>
  <c r="J117" i="50"/>
  <c r="J140" i="50" s="1"/>
  <c r="J116" i="50"/>
  <c r="J139" i="50" s="1"/>
  <c r="J133" i="50"/>
  <c r="J119" i="50"/>
  <c r="J142" i="50" s="1"/>
  <c r="J132" i="50"/>
  <c r="J124" i="50"/>
  <c r="J147" i="50" s="1"/>
  <c r="J122" i="50"/>
  <c r="J145" i="50" s="1"/>
  <c r="J128" i="50"/>
  <c r="J127" i="50"/>
  <c r="J115" i="50"/>
  <c r="J1146" i="50" s="1"/>
  <c r="J121" i="50"/>
  <c r="J144" i="50" s="1"/>
  <c r="J135" i="50"/>
  <c r="J158" i="50" s="1"/>
  <c r="J134" i="50"/>
  <c r="J129" i="50"/>
  <c r="K151" i="50"/>
  <c r="K1356" i="50"/>
  <c r="K149" i="50"/>
  <c r="K1264" i="50"/>
  <c r="J171" i="43"/>
  <c r="J96" i="50"/>
  <c r="K320" i="49"/>
  <c r="K157" i="50"/>
  <c r="K1535" i="50"/>
  <c r="K153" i="50"/>
  <c r="K1431" i="50"/>
  <c r="K318" i="49"/>
  <c r="K155" i="50"/>
  <c r="K1495" i="50"/>
  <c r="K148" i="50"/>
  <c r="K1218" i="50"/>
  <c r="I171" i="43"/>
  <c r="I96" i="50"/>
  <c r="K150" i="50"/>
  <c r="K1310" i="50"/>
  <c r="K156" i="50"/>
  <c r="K319" i="49"/>
  <c r="K1515" i="50"/>
  <c r="I124" i="50"/>
  <c r="I147" i="50" s="1"/>
  <c r="I134" i="50"/>
  <c r="I133" i="50"/>
  <c r="I128" i="50"/>
  <c r="I125" i="50"/>
  <c r="I127" i="50"/>
  <c r="I131" i="50"/>
  <c r="I120" i="50"/>
  <c r="I143" i="50" s="1"/>
  <c r="I129" i="50"/>
  <c r="I130" i="50"/>
  <c r="I126" i="50"/>
  <c r="I135" i="50"/>
  <c r="I158" i="50" s="1"/>
  <c r="I116" i="50"/>
  <c r="I139" i="50" s="1"/>
  <c r="I121" i="50"/>
  <c r="I144" i="50" s="1"/>
  <c r="I115" i="50"/>
  <c r="I1146" i="50" s="1"/>
  <c r="I118" i="50"/>
  <c r="I141" i="50" s="1"/>
  <c r="I132" i="50"/>
  <c r="I123" i="50"/>
  <c r="I146" i="50" s="1"/>
  <c r="I122" i="50"/>
  <c r="I145" i="50" s="1"/>
  <c r="I119" i="50"/>
  <c r="I142" i="50" s="1"/>
  <c r="I117" i="50"/>
  <c r="I140" i="50" s="1"/>
  <c r="K138" i="50"/>
  <c r="K870" i="50"/>
  <c r="K594" i="50"/>
  <c r="K663" i="50"/>
  <c r="K525" i="50"/>
  <c r="K732" i="50"/>
  <c r="K939" i="50"/>
  <c r="K1008" i="50"/>
  <c r="K801" i="50"/>
  <c r="K152" i="50"/>
  <c r="K1399" i="50"/>
  <c r="K154" i="50"/>
  <c r="K1463" i="50"/>
  <c r="R1769" i="37"/>
  <c r="Q1656" i="37"/>
  <c r="Q1643" i="37"/>
  <c r="R1469" i="37"/>
  <c r="AA1582" i="37"/>
  <c r="AA1585" i="37" s="1"/>
  <c r="AA1586" i="37" s="1"/>
  <c r="AA1588" i="37" s="1"/>
  <c r="AA1590" i="37"/>
  <c r="AA1593" i="37" s="1"/>
  <c r="AA1594" i="37" s="1"/>
  <c r="AA1596" i="37" s="1"/>
  <c r="R1596" i="37"/>
  <c r="J410" i="43"/>
  <c r="I41" i="50" s="1"/>
  <c r="K410" i="43"/>
  <c r="L41" i="50" s="1"/>
  <c r="H410" i="43"/>
  <c r="E41" i="50" s="1"/>
  <c r="G410" i="43"/>
  <c r="AA1756" i="37"/>
  <c r="AA1759" i="37" s="1"/>
  <c r="AA1760" i="37" s="1"/>
  <c r="AA1762" i="37" s="1"/>
  <c r="AA1764" i="37"/>
  <c r="AA1767" i="37" s="1"/>
  <c r="AA1768" i="37" s="1"/>
  <c r="AA1770" i="37" s="1"/>
  <c r="J1585" i="50"/>
  <c r="J1627" i="50" s="1"/>
  <c r="I1585" i="50"/>
  <c r="K1585" i="50"/>
  <c r="K1627" i="50" s="1"/>
  <c r="L1585" i="50"/>
  <c r="L1627" i="50" s="1"/>
  <c r="M1585" i="50"/>
  <c r="M1627" i="50" s="1"/>
  <c r="E428" i="50"/>
  <c r="P317" i="41"/>
  <c r="E348" i="41"/>
  <c r="R1470" i="37"/>
  <c r="D1594" i="50"/>
  <c r="H792" i="50"/>
  <c r="N788" i="50"/>
  <c r="G797" i="50"/>
  <c r="N787" i="50"/>
  <c r="N786" i="50"/>
  <c r="M61" i="49"/>
  <c r="M90" i="50"/>
  <c r="M112" i="50" s="1"/>
  <c r="M68" i="49"/>
  <c r="M162" i="43"/>
  <c r="R774" i="37"/>
  <c r="R1644" i="37"/>
  <c r="R1643" i="37"/>
  <c r="H411" i="43"/>
  <c r="E42" i="50" s="1"/>
  <c r="K411" i="43"/>
  <c r="L42" i="50" s="1"/>
  <c r="G411" i="43"/>
  <c r="J411" i="43"/>
  <c r="I42" i="50" s="1"/>
  <c r="AA1780" i="37"/>
  <c r="AA1783" i="37" s="1"/>
  <c r="AA1784" i="37" s="1"/>
  <c r="AA1786" i="37" s="1"/>
  <c r="AA1776" i="37"/>
  <c r="AA1778" i="37" s="1"/>
  <c r="Q223" i="34"/>
  <c r="T223" i="34" s="1"/>
  <c r="E223" i="34"/>
  <c r="C225" i="34"/>
  <c r="D224" i="34"/>
  <c r="D1591" i="50"/>
  <c r="R773" i="37"/>
  <c r="Q1644" i="37"/>
  <c r="S1592" i="50"/>
  <c r="E432" i="50"/>
  <c r="P321" i="41"/>
  <c r="E352" i="41"/>
  <c r="R1594" i="50"/>
  <c r="D301" i="43"/>
  <c r="E300" i="43"/>
  <c r="K1122" i="50"/>
  <c r="L1119" i="50"/>
  <c r="J1120" i="50"/>
  <c r="I1119" i="50"/>
  <c r="L1124" i="50"/>
  <c r="H1067" i="50"/>
  <c r="I1124" i="50"/>
  <c r="M1122" i="50"/>
  <c r="M1119" i="50"/>
  <c r="J1124" i="50"/>
  <c r="K1124" i="50"/>
  <c r="K1119" i="50"/>
  <c r="I1122" i="50"/>
  <c r="L1120" i="50"/>
  <c r="K1120" i="50"/>
  <c r="J1122" i="50"/>
  <c r="J1119" i="50"/>
  <c r="H1062" i="50"/>
  <c r="M1124" i="50"/>
  <c r="L1122" i="50"/>
  <c r="M1120" i="50"/>
  <c r="I1120" i="50"/>
  <c r="R1588" i="50"/>
  <c r="D1628" i="50"/>
  <c r="Q1586" i="50"/>
  <c r="AA1606" i="37"/>
  <c r="AA1609" i="37" s="1"/>
  <c r="AA1610" i="37" s="1"/>
  <c r="AA1612" i="37" s="1"/>
  <c r="AA1602" i="37"/>
  <c r="AA1604" i="37" s="1"/>
  <c r="Q1469" i="37"/>
  <c r="R1595" i="50"/>
  <c r="D1589" i="50"/>
  <c r="R1593" i="50"/>
  <c r="D1593" i="50"/>
  <c r="R900" i="37"/>
  <c r="S1593" i="50"/>
  <c r="L1167" i="50"/>
  <c r="M1182" i="50"/>
  <c r="M1173" i="50"/>
  <c r="J1148" i="50"/>
  <c r="M1174" i="50"/>
  <c r="K1151" i="50"/>
  <c r="I1142" i="50"/>
  <c r="R1141" i="50" s="1"/>
  <c r="P1180" i="50"/>
  <c r="M1149" i="50"/>
  <c r="K1157" i="50"/>
  <c r="I1168" i="50"/>
  <c r="K1154" i="50"/>
  <c r="E1179" i="50"/>
  <c r="K1156" i="50"/>
  <c r="L1157" i="50"/>
  <c r="I1169" i="50"/>
  <c r="J1154" i="50"/>
  <c r="G1133" i="50"/>
  <c r="J1149" i="50"/>
  <c r="J1151" i="50"/>
  <c r="J1131" i="50"/>
  <c r="M1139" i="50"/>
  <c r="S1132" i="50"/>
  <c r="H1133" i="50" s="1"/>
  <c r="S1130" i="50" s="1"/>
  <c r="S1587" i="50" s="1"/>
  <c r="L1168" i="50"/>
  <c r="M1136" i="50"/>
  <c r="M1157" i="50"/>
  <c r="I1165" i="50"/>
  <c r="J1137" i="50"/>
  <c r="K1171" i="50"/>
  <c r="K1169" i="50"/>
  <c r="L1172" i="50"/>
  <c r="I1176" i="50"/>
  <c r="L1171" i="50"/>
  <c r="M1179" i="50"/>
  <c r="P1141" i="50"/>
  <c r="K1183" i="50"/>
  <c r="J1133" i="50"/>
  <c r="P1162" i="50"/>
  <c r="P1149" i="50"/>
  <c r="J1167" i="50"/>
  <c r="I1180" i="50"/>
  <c r="L1173" i="50"/>
  <c r="K1186" i="50"/>
  <c r="P1183" i="50"/>
  <c r="L1149" i="50"/>
  <c r="P1152" i="50"/>
  <c r="P1168" i="50"/>
  <c r="L1166" i="50"/>
  <c r="P1170" i="50"/>
  <c r="J1162" i="50"/>
  <c r="L1165" i="50"/>
  <c r="K1176" i="50"/>
  <c r="K1162" i="50"/>
  <c r="M1160" i="50"/>
  <c r="I1179" i="50"/>
  <c r="P1136" i="50"/>
  <c r="I1182" i="50"/>
  <c r="K1133" i="50"/>
  <c r="J1173" i="50"/>
  <c r="L1156" i="50"/>
  <c r="L1169" i="50"/>
  <c r="I1170" i="50"/>
  <c r="L1170" i="50"/>
  <c r="K1180" i="50"/>
  <c r="P1137" i="50"/>
  <c r="M1180" i="50"/>
  <c r="J1156" i="50"/>
  <c r="M1148" i="50"/>
  <c r="P1167" i="50"/>
  <c r="I1167" i="50"/>
  <c r="L1159" i="50"/>
  <c r="M1131" i="50"/>
  <c r="J1152" i="50"/>
  <c r="K1153" i="50"/>
  <c r="J1153" i="50"/>
  <c r="M1186" i="50"/>
  <c r="P1176" i="50"/>
  <c r="J1139" i="50"/>
  <c r="I1156" i="50"/>
  <c r="P1156" i="50"/>
  <c r="K1165" i="50"/>
  <c r="P1160" i="50"/>
  <c r="I1133" i="50"/>
  <c r="L1186" i="50"/>
  <c r="P1153" i="50"/>
  <c r="L1163" i="50"/>
  <c r="I1172" i="50"/>
  <c r="L1151" i="50"/>
  <c r="P1148" i="50"/>
  <c r="P1157" i="50"/>
  <c r="P1166" i="50"/>
  <c r="P1151" i="50"/>
  <c r="P1186" i="50"/>
  <c r="I1160" i="50"/>
  <c r="J1166" i="50"/>
  <c r="M1133" i="50"/>
  <c r="M1142" i="50" s="1"/>
  <c r="T1128" i="50" s="1"/>
  <c r="T1141" i="50" s="1"/>
  <c r="M1159" i="50"/>
  <c r="F1142" i="50"/>
  <c r="P1179" i="50"/>
  <c r="J1165" i="50"/>
  <c r="M1166" i="50"/>
  <c r="K1173" i="50"/>
  <c r="I1173" i="50"/>
  <c r="M1163" i="50"/>
  <c r="J1168" i="50"/>
  <c r="M1169" i="50"/>
  <c r="L1162" i="50"/>
  <c r="K1167" i="50"/>
  <c r="J1186" i="50"/>
  <c r="L1182" i="50"/>
  <c r="K1137" i="50"/>
  <c r="L1153" i="50"/>
  <c r="I1153" i="50"/>
  <c r="M1176" i="50"/>
  <c r="L1152" i="50"/>
  <c r="K1182" i="50"/>
  <c r="K1160" i="50"/>
  <c r="J1159" i="50"/>
  <c r="P1171" i="50"/>
  <c r="P1165" i="50"/>
  <c r="M1165" i="50"/>
  <c r="I1162" i="50"/>
  <c r="P1172" i="50"/>
  <c r="I1136" i="50"/>
  <c r="M1132" i="50"/>
  <c r="L1148" i="50"/>
  <c r="K1174" i="50"/>
  <c r="R1128" i="50"/>
  <c r="D1587" i="50" s="1"/>
  <c r="I1137" i="50"/>
  <c r="K1152" i="50"/>
  <c r="K1163" i="50"/>
  <c r="I1174" i="50"/>
  <c r="M1151" i="50"/>
  <c r="J1170" i="50"/>
  <c r="M1167" i="50"/>
  <c r="K1131" i="50"/>
  <c r="P1174" i="50"/>
  <c r="L1183" i="50"/>
  <c r="P1154" i="50"/>
  <c r="K1149" i="50"/>
  <c r="I1139" i="50"/>
  <c r="E1180" i="50"/>
  <c r="J1174" i="50"/>
  <c r="K1139" i="50"/>
  <c r="J1157" i="50"/>
  <c r="I1157" i="50"/>
  <c r="I1148" i="50"/>
  <c r="E1183" i="50"/>
  <c r="M1156" i="50"/>
  <c r="M1168" i="50"/>
  <c r="K1179" i="50"/>
  <c r="I1186" i="50"/>
  <c r="K1168" i="50"/>
  <c r="K1136" i="50"/>
  <c r="M1162" i="50"/>
  <c r="M1171" i="50"/>
  <c r="I1151" i="50"/>
  <c r="J1160" i="50"/>
  <c r="J1171" i="50"/>
  <c r="I1149" i="50"/>
  <c r="E1131" i="50"/>
  <c r="L1131" i="50" s="1"/>
  <c r="N1137" i="50" s="1"/>
  <c r="K1172" i="50"/>
  <c r="K1142" i="50"/>
  <c r="S1141" i="50" s="1"/>
  <c r="K1170" i="50"/>
  <c r="J1172" i="50"/>
  <c r="K1148" i="50"/>
  <c r="I1163" i="50"/>
  <c r="P1169" i="50"/>
  <c r="J1163" i="50"/>
  <c r="K1166" i="50"/>
  <c r="M1183" i="50"/>
  <c r="K1159" i="50"/>
  <c r="M1170" i="50"/>
  <c r="I1183" i="50"/>
  <c r="I1171" i="50"/>
  <c r="L1154" i="50"/>
  <c r="L1180" i="50"/>
  <c r="L1179" i="50"/>
  <c r="M1152" i="50"/>
  <c r="P1142" i="50"/>
  <c r="J1179" i="50"/>
  <c r="J1176" i="50"/>
  <c r="L1176" i="50"/>
  <c r="L1174" i="50"/>
  <c r="M1137" i="50"/>
  <c r="I1154" i="50"/>
  <c r="P1173" i="50"/>
  <c r="J1183" i="50"/>
  <c r="P1182" i="50"/>
  <c r="M1153" i="50"/>
  <c r="I1152" i="50"/>
  <c r="J1169" i="50"/>
  <c r="L1136" i="50"/>
  <c r="M1172" i="50"/>
  <c r="L1160" i="50"/>
  <c r="L1137" i="50"/>
  <c r="I1159" i="50"/>
  <c r="P1159" i="50"/>
  <c r="P1139" i="50"/>
  <c r="K1146" i="50"/>
  <c r="J1180" i="50"/>
  <c r="I1166" i="50"/>
  <c r="M1154" i="50"/>
  <c r="J1182" i="50"/>
  <c r="L1139" i="50"/>
  <c r="J1136" i="50"/>
  <c r="E1182" i="50"/>
  <c r="P1163" i="50"/>
  <c r="AA886" i="37"/>
  <c r="AA889" i="37" s="1"/>
  <c r="AA890" i="37" s="1"/>
  <c r="AA892" i="37" s="1"/>
  <c r="AA894" i="37"/>
  <c r="AA897" i="37" s="1"/>
  <c r="AA898" i="37" s="1"/>
  <c r="AA900" i="37" s="1"/>
  <c r="R299" i="43"/>
  <c r="L299" i="43"/>
  <c r="M299" i="43"/>
  <c r="R1589" i="50"/>
  <c r="R1595" i="37"/>
  <c r="D1637" i="50"/>
  <c r="D1630" i="50"/>
  <c r="AA906" i="37"/>
  <c r="AA908" i="37" s="1"/>
  <c r="AA910" i="37"/>
  <c r="AA913" i="37" s="1"/>
  <c r="AA914" i="37" s="1"/>
  <c r="AA916" i="37" s="1"/>
  <c r="D1597" i="50"/>
  <c r="S1597" i="50"/>
  <c r="S786" i="50"/>
  <c r="S783" i="50"/>
  <c r="R1582" i="50" s="1"/>
  <c r="D1634" i="50"/>
  <c r="R899" i="37"/>
  <c r="Q1470" i="37"/>
  <c r="Q1482" i="37"/>
  <c r="R1591" i="50"/>
  <c r="R1596" i="50"/>
  <c r="L61" i="49"/>
  <c r="L68" i="49"/>
  <c r="L162" i="43"/>
  <c r="N162" i="43" s="1"/>
  <c r="L90" i="50"/>
  <c r="L112" i="50" s="1"/>
  <c r="N61" i="49"/>
  <c r="N171" i="43" s="1"/>
  <c r="N993" i="50"/>
  <c r="N995" i="50"/>
  <c r="H999" i="50"/>
  <c r="G1004" i="50"/>
  <c r="N994" i="50"/>
  <c r="S1590" i="50"/>
  <c r="R1592" i="50"/>
  <c r="D1590" i="50"/>
  <c r="S1596" i="50"/>
  <c r="D1596" i="50"/>
  <c r="Q786" i="37"/>
  <c r="R1770" i="37"/>
  <c r="M1582" i="50"/>
  <c r="J1582" i="50"/>
  <c r="L1582" i="50"/>
  <c r="I1582" i="50"/>
  <c r="K1582" i="50"/>
  <c r="S993" i="50"/>
  <c r="S990" i="50"/>
  <c r="R1585" i="50" s="1"/>
  <c r="J271" i="41" l="1"/>
  <c r="J388" i="50" s="1"/>
  <c r="L265" i="41"/>
  <c r="G1851" i="37"/>
  <c r="J270" i="41"/>
  <c r="J387" i="50" s="1"/>
  <c r="K267" i="41"/>
  <c r="K384" i="50" s="1"/>
  <c r="M265" i="41"/>
  <c r="J265" i="41"/>
  <c r="K274" i="41"/>
  <c r="K391" i="50" s="1"/>
  <c r="L270" i="41"/>
  <c r="L387" i="50" s="1"/>
  <c r="K265" i="41"/>
  <c r="I272" i="41"/>
  <c r="I389" i="50" s="1"/>
  <c r="M270" i="41"/>
  <c r="M387" i="50" s="1"/>
  <c r="L274" i="41"/>
  <c r="L391" i="50" s="1"/>
  <c r="L272" i="41"/>
  <c r="L389" i="50" s="1"/>
  <c r="I1827" i="37" a="1"/>
  <c r="I1827" i="37" s="1"/>
  <c r="I1828" i="37" s="1"/>
  <c r="I161" i="41" s="1"/>
  <c r="I168" i="41" s="1"/>
  <c r="I322" i="50" s="1"/>
  <c r="M272" i="41"/>
  <c r="M389" i="50" s="1"/>
  <c r="K271" i="41"/>
  <c r="K388" i="50" s="1"/>
  <c r="K266" i="41"/>
  <c r="K383" i="50" s="1"/>
  <c r="Q1296" i="37"/>
  <c r="L267" i="41"/>
  <c r="L384" i="50" s="1"/>
  <c r="M267" i="41"/>
  <c r="M384" i="50" s="1"/>
  <c r="I1832" i="37" a="1"/>
  <c r="I1832" i="37" s="1"/>
  <c r="I1833" i="37" s="1"/>
  <c r="I392" i="41" s="1"/>
  <c r="I393" i="41" s="1"/>
  <c r="M1832" i="37" a="1"/>
  <c r="M1832" i="37" s="1"/>
  <c r="M1833" i="37" s="1"/>
  <c r="M392" i="41" s="1"/>
  <c r="M393" i="41" s="1"/>
  <c r="M266" i="41"/>
  <c r="M383" i="50" s="1"/>
  <c r="I270" i="41"/>
  <c r="I387" i="50" s="1"/>
  <c r="I265" i="41"/>
  <c r="I268" i="41"/>
  <c r="I385" i="50" s="1"/>
  <c r="J272" i="41"/>
  <c r="J389" i="50" s="1"/>
  <c r="Q44" i="37"/>
  <c r="K1827" i="37" a="1"/>
  <c r="K1827" i="37" s="1"/>
  <c r="K1828" i="37" s="1"/>
  <c r="K161" i="41" s="1"/>
  <c r="K319" i="50" s="1"/>
  <c r="R1421" i="37"/>
  <c r="J1832" i="37" a="1"/>
  <c r="J1832" i="37" s="1"/>
  <c r="J1833" i="37" s="1"/>
  <c r="J392" i="41" s="1"/>
  <c r="J393" i="41" s="1"/>
  <c r="K268" i="41"/>
  <c r="K385" i="50" s="1"/>
  <c r="K270" i="41"/>
  <c r="K387" i="50" s="1"/>
  <c r="L268" i="41"/>
  <c r="L385" i="50" s="1"/>
  <c r="Q1295" i="37"/>
  <c r="L1827" i="37" a="1"/>
  <c r="L1827" i="37" s="1"/>
  <c r="L1828" i="37" s="1"/>
  <c r="L161" i="41" s="1"/>
  <c r="L438" i="41" s="1"/>
  <c r="L441" i="41" s="1"/>
  <c r="L448" i="41" s="1"/>
  <c r="J273" i="41"/>
  <c r="J390" i="50" s="1"/>
  <c r="L271" i="41"/>
  <c r="L388" i="50" s="1"/>
  <c r="M271" i="41"/>
  <c r="M388" i="50" s="1"/>
  <c r="K1832" i="37" a="1"/>
  <c r="K1832" i="37" s="1"/>
  <c r="K1833" i="37" s="1"/>
  <c r="K392" i="41" s="1"/>
  <c r="K393" i="41" s="1"/>
  <c r="J274" i="41"/>
  <c r="J391" i="50" s="1"/>
  <c r="K272" i="41"/>
  <c r="K389" i="50" s="1"/>
  <c r="M268" i="41"/>
  <c r="M385" i="50" s="1"/>
  <c r="K273" i="41"/>
  <c r="K390" i="50" s="1"/>
  <c r="M269" i="41"/>
  <c r="M386" i="50" s="1"/>
  <c r="M1827" i="37" a="1"/>
  <c r="M1827" i="37" s="1"/>
  <c r="M1828" i="37" s="1"/>
  <c r="M161" i="41" s="1"/>
  <c r="M171" i="41" s="1"/>
  <c r="M325" i="50" s="1"/>
  <c r="M273" i="41"/>
  <c r="M390" i="50" s="1"/>
  <c r="K269" i="41"/>
  <c r="K386" i="50" s="1"/>
  <c r="L1832" i="37" a="1"/>
  <c r="L1832" i="37" s="1"/>
  <c r="L1833" i="37" s="1"/>
  <c r="L392" i="41" s="1"/>
  <c r="L393" i="41" s="1"/>
  <c r="I274" i="41"/>
  <c r="I391" i="50" s="1"/>
  <c r="I273" i="41"/>
  <c r="I390" i="50" s="1"/>
  <c r="L269" i="41"/>
  <c r="L386" i="50" s="1"/>
  <c r="R2" i="37"/>
  <c r="I267" i="41"/>
  <c r="I384" i="50" s="1"/>
  <c r="L273" i="41"/>
  <c r="L390" i="50" s="1"/>
  <c r="J269" i="41"/>
  <c r="J386" i="50" s="1"/>
  <c r="J266" i="41"/>
  <c r="J383" i="50" s="1"/>
  <c r="I269" i="41"/>
  <c r="I386" i="50" s="1"/>
  <c r="I271" i="41"/>
  <c r="I388" i="50" s="1"/>
  <c r="J1827" i="37" a="1"/>
  <c r="J1827" i="37" s="1"/>
  <c r="J1828" i="37" s="1"/>
  <c r="J161" i="41" s="1"/>
  <c r="J171" i="41" s="1"/>
  <c r="J325" i="50" s="1"/>
  <c r="J267" i="41"/>
  <c r="J384" i="50" s="1"/>
  <c r="M274" i="41"/>
  <c r="M391" i="50" s="1"/>
  <c r="J268" i="41"/>
  <c r="J385" i="50" s="1"/>
  <c r="L266" i="41"/>
  <c r="L383" i="50" s="1"/>
  <c r="R1296" i="37"/>
  <c r="R947" i="37"/>
  <c r="Q426" i="37"/>
  <c r="Q1121" i="37"/>
  <c r="R1247" i="37"/>
  <c r="L1584" i="50"/>
  <c r="L1626" i="50" s="1"/>
  <c r="M1584" i="50"/>
  <c r="M1626" i="50" s="1"/>
  <c r="J1584" i="50"/>
  <c r="J1626" i="50" s="1"/>
  <c r="I1584" i="50"/>
  <c r="K1584" i="50"/>
  <c r="K1626" i="50" s="1"/>
  <c r="R194" i="37"/>
  <c r="Q1134" i="37"/>
  <c r="R1121" i="37"/>
  <c r="Q251" i="37"/>
  <c r="Q960" i="37"/>
  <c r="S576" i="50"/>
  <c r="R1579" i="50" s="1"/>
  <c r="S579" i="50"/>
  <c r="N856" i="50"/>
  <c r="G866" i="50"/>
  <c r="H861" i="50"/>
  <c r="N857" i="50"/>
  <c r="N855" i="50"/>
  <c r="Q1122" i="37"/>
  <c r="S921" i="50"/>
  <c r="R1584" i="50" s="1"/>
  <c r="S924" i="50"/>
  <c r="I262" i="50"/>
  <c r="E433" i="50"/>
  <c r="P322" i="41"/>
  <c r="E353" i="41"/>
  <c r="R1422" i="37"/>
  <c r="H516" i="50"/>
  <c r="N512" i="50"/>
  <c r="G521" i="50"/>
  <c r="N510" i="50"/>
  <c r="N511" i="50"/>
  <c r="AA736" i="37"/>
  <c r="AA739" i="37" s="1"/>
  <c r="AA740" i="37" s="1"/>
  <c r="AA742" i="37" s="1"/>
  <c r="AA732" i="37"/>
  <c r="AA734" i="37" s="1"/>
  <c r="E426" i="50"/>
  <c r="E346" i="41"/>
  <c r="P315" i="41"/>
  <c r="Q947" i="37"/>
  <c r="P319" i="41"/>
  <c r="E430" i="50"/>
  <c r="E350" i="41"/>
  <c r="R252" i="37"/>
  <c r="P318" i="41"/>
  <c r="E349" i="41"/>
  <c r="E429" i="50"/>
  <c r="Q1308" i="37"/>
  <c r="Q26" i="37"/>
  <c r="E344" i="41"/>
  <c r="E424" i="50"/>
  <c r="P313" i="41"/>
  <c r="N648" i="50"/>
  <c r="N650" i="50"/>
  <c r="N649" i="50"/>
  <c r="G659" i="50"/>
  <c r="H654" i="50"/>
  <c r="AA720" i="37"/>
  <c r="AA723" i="37" s="1"/>
  <c r="AA724" i="37" s="1"/>
  <c r="AA726" i="37" s="1"/>
  <c r="AA712" i="37"/>
  <c r="AA715" i="37" s="1"/>
  <c r="AA716" i="37" s="1"/>
  <c r="AA718" i="37" s="1"/>
  <c r="R1122" i="37"/>
  <c r="Q425" i="37"/>
  <c r="R27" i="37"/>
  <c r="R426" i="37"/>
  <c r="R251" i="37"/>
  <c r="AA1234" i="37"/>
  <c r="AA1237" i="37" s="1"/>
  <c r="AA1238" i="37" s="1"/>
  <c r="AA1240" i="37" s="1"/>
  <c r="AA1242" i="37"/>
  <c r="AA1245" i="37" s="1"/>
  <c r="AA1246" i="37" s="1"/>
  <c r="AA1248" i="37" s="1"/>
  <c r="I1579" i="50"/>
  <c r="M1579" i="50"/>
  <c r="M1621" i="50" s="1"/>
  <c r="J1579" i="50"/>
  <c r="J1621" i="50" s="1"/>
  <c r="K1579" i="50"/>
  <c r="K1621" i="50" s="1"/>
  <c r="L1579" i="50"/>
  <c r="L1621" i="50" s="1"/>
  <c r="AA1084" i="37"/>
  <c r="AA1087" i="37" s="1"/>
  <c r="AA1088" i="37" s="1"/>
  <c r="AA1090" i="37" s="1"/>
  <c r="AA1080" i="37"/>
  <c r="AA1082" i="37" s="1"/>
  <c r="AA205" i="37"/>
  <c r="AA209" i="37" s="1"/>
  <c r="AA210" i="37" s="1"/>
  <c r="AA212" i="37" s="1"/>
  <c r="AA201" i="37"/>
  <c r="AA203" i="37" s="1"/>
  <c r="Q252" i="37"/>
  <c r="R948" i="37"/>
  <c r="S717" i="50"/>
  <c r="S714" i="50"/>
  <c r="R1581" i="50" s="1"/>
  <c r="R193" i="37"/>
  <c r="I1581" i="50"/>
  <c r="L1581" i="50"/>
  <c r="L1623" i="50" s="1"/>
  <c r="J1581" i="50"/>
  <c r="J1623" i="50" s="1"/>
  <c r="K1581" i="50"/>
  <c r="K1623" i="50" s="1"/>
  <c r="M1581" i="50"/>
  <c r="M1623" i="50" s="1"/>
  <c r="R425" i="37"/>
  <c r="G935" i="50"/>
  <c r="N926" i="50"/>
  <c r="H930" i="50"/>
  <c r="N924" i="50"/>
  <c r="N925" i="50"/>
  <c r="AA1258" i="37"/>
  <c r="AA1261" i="37" s="1"/>
  <c r="AA1262" i="37" s="1"/>
  <c r="AA1264" i="37" s="1"/>
  <c r="AA1254" i="37"/>
  <c r="AA1256" i="37" s="1"/>
  <c r="AA1060" i="37"/>
  <c r="AA1063" i="37" s="1"/>
  <c r="AA1064" i="37" s="1"/>
  <c r="AA1066" i="37" s="1"/>
  <c r="AA1068" i="37"/>
  <c r="AA1071" i="37" s="1"/>
  <c r="AA1072" i="37" s="1"/>
  <c r="AA1074" i="37" s="1"/>
  <c r="AA177" i="37"/>
  <c r="AA181" i="37" s="1"/>
  <c r="AA182" i="37" s="1"/>
  <c r="AA184" i="37" s="1"/>
  <c r="AA186" i="37"/>
  <c r="AA191" i="37" s="1"/>
  <c r="AA192" i="37" s="1"/>
  <c r="AA194" i="37" s="1"/>
  <c r="G728" i="50"/>
  <c r="N718" i="50"/>
  <c r="N719" i="50"/>
  <c r="N717" i="50"/>
  <c r="H723" i="50"/>
  <c r="L1580" i="50"/>
  <c r="L1622" i="50" s="1"/>
  <c r="K1580" i="50"/>
  <c r="K1622" i="50" s="1"/>
  <c r="I1580" i="50"/>
  <c r="J1580" i="50"/>
  <c r="J1622" i="50" s="1"/>
  <c r="M1580" i="50"/>
  <c r="M1622" i="50" s="1"/>
  <c r="R26" i="37"/>
  <c r="S855" i="50"/>
  <c r="S852" i="50"/>
  <c r="R1583" i="50" s="1"/>
  <c r="Q264" i="37"/>
  <c r="R378" i="37"/>
  <c r="Q612" i="37"/>
  <c r="AA372" i="37"/>
  <c r="AA375" i="37" s="1"/>
  <c r="AA376" i="37" s="1"/>
  <c r="AA378" i="37" s="1"/>
  <c r="AA364" i="37"/>
  <c r="AA367" i="37" s="1"/>
  <c r="AA368" i="37" s="1"/>
  <c r="AA370" i="37" s="1"/>
  <c r="I1578" i="50"/>
  <c r="L1578" i="50"/>
  <c r="L1620" i="50" s="1"/>
  <c r="M1578" i="50"/>
  <c r="M1620" i="50" s="1"/>
  <c r="J1578" i="50"/>
  <c r="J1620" i="50" s="1"/>
  <c r="K1578" i="50"/>
  <c r="K1620" i="50" s="1"/>
  <c r="AA538" i="37"/>
  <c r="AA541" i="37" s="1"/>
  <c r="AA542" i="37" s="1"/>
  <c r="AA544" i="37" s="1"/>
  <c r="AA546" i="37"/>
  <c r="AA549" i="37" s="1"/>
  <c r="AA550" i="37" s="1"/>
  <c r="AA552" i="37" s="1"/>
  <c r="R551" i="37"/>
  <c r="R726" i="37"/>
  <c r="S648" i="50"/>
  <c r="S645" i="50"/>
  <c r="R1580" i="50" s="1"/>
  <c r="E425" i="50"/>
  <c r="P314" i="41"/>
  <c r="E345" i="41"/>
  <c r="R1248" i="37"/>
  <c r="Q948" i="37"/>
  <c r="R552" i="37"/>
  <c r="R725" i="37"/>
  <c r="R600" i="37"/>
  <c r="AA1408" i="37"/>
  <c r="AA1411" i="37" s="1"/>
  <c r="AA1412" i="37" s="1"/>
  <c r="AA1414" i="37" s="1"/>
  <c r="AA1416" i="37"/>
  <c r="AA1419" i="37" s="1"/>
  <c r="AA1420" i="37" s="1"/>
  <c r="AA1422" i="37" s="1"/>
  <c r="AA384" i="37"/>
  <c r="AA386" i="37" s="1"/>
  <c r="AA388" i="37"/>
  <c r="AA391" i="37" s="1"/>
  <c r="AA392" i="37" s="1"/>
  <c r="AA394" i="37" s="1"/>
  <c r="R1295" i="37"/>
  <c r="S507" i="50"/>
  <c r="R1578" i="50" s="1"/>
  <c r="S510" i="50"/>
  <c r="P316" i="41"/>
  <c r="E427" i="50"/>
  <c r="E347" i="41"/>
  <c r="R1073" i="37"/>
  <c r="R1074" i="37"/>
  <c r="AA558" i="37"/>
  <c r="AA560" i="37" s="1"/>
  <c r="AA562" i="37"/>
  <c r="AA565" i="37" s="1"/>
  <c r="AA566" i="37" s="1"/>
  <c r="AA568" i="37" s="1"/>
  <c r="K1583" i="50"/>
  <c r="K1625" i="50" s="1"/>
  <c r="L1583" i="50"/>
  <c r="L1625" i="50" s="1"/>
  <c r="M1583" i="50"/>
  <c r="M1625" i="50" s="1"/>
  <c r="J1583" i="50"/>
  <c r="J1625" i="50" s="1"/>
  <c r="I1583" i="50"/>
  <c r="N581" i="50"/>
  <c r="H585" i="50"/>
  <c r="N580" i="50"/>
  <c r="N579" i="50"/>
  <c r="G590" i="50"/>
  <c r="Q438" i="37"/>
  <c r="R377" i="37"/>
  <c r="R599" i="37"/>
  <c r="AA1432" i="37"/>
  <c r="AA1435" i="37" s="1"/>
  <c r="AA1436" i="37" s="1"/>
  <c r="AA1438" i="37" s="1"/>
  <c r="AA1428" i="37"/>
  <c r="AA1430" i="37" s="1"/>
  <c r="P320" i="41"/>
  <c r="E351" i="41"/>
  <c r="E431" i="50"/>
  <c r="I149" i="50"/>
  <c r="I1264" i="50"/>
  <c r="I156" i="50"/>
  <c r="I319" i="49"/>
  <c r="I1515" i="50"/>
  <c r="J151" i="50"/>
  <c r="J1356" i="50"/>
  <c r="J154" i="50"/>
  <c r="J1463" i="50"/>
  <c r="Q1595" i="50"/>
  <c r="I1595" i="50" s="1"/>
  <c r="I153" i="50"/>
  <c r="I1431" i="50"/>
  <c r="I157" i="50"/>
  <c r="I320" i="49"/>
  <c r="I1535" i="50"/>
  <c r="I155" i="50"/>
  <c r="I318" i="49"/>
  <c r="I1495" i="50"/>
  <c r="I152" i="50"/>
  <c r="I1399" i="50"/>
  <c r="J152" i="50"/>
  <c r="J1399" i="50"/>
  <c r="J149" i="50"/>
  <c r="J1264" i="50"/>
  <c r="J320" i="49"/>
  <c r="J1535" i="50"/>
  <c r="J157" i="50"/>
  <c r="J318" i="49"/>
  <c r="J155" i="50"/>
  <c r="J1495" i="50"/>
  <c r="I594" i="50"/>
  <c r="I732" i="50"/>
  <c r="I138" i="50"/>
  <c r="I939" i="50"/>
  <c r="I870" i="50"/>
  <c r="I663" i="50"/>
  <c r="I525" i="50"/>
  <c r="I1008" i="50"/>
  <c r="I801" i="50"/>
  <c r="I1077" i="50"/>
  <c r="I154" i="50"/>
  <c r="I1463" i="50"/>
  <c r="J153" i="50"/>
  <c r="J1431" i="50"/>
  <c r="I150" i="50"/>
  <c r="I1310" i="50"/>
  <c r="J1515" i="50"/>
  <c r="J319" i="49"/>
  <c r="J156" i="50"/>
  <c r="J148" i="50"/>
  <c r="J1218" i="50"/>
  <c r="I148" i="50"/>
  <c r="I1218" i="50"/>
  <c r="J594" i="50"/>
  <c r="J732" i="50"/>
  <c r="J939" i="50"/>
  <c r="J801" i="50"/>
  <c r="J1008" i="50"/>
  <c r="J138" i="50"/>
  <c r="J525" i="50"/>
  <c r="J870" i="50"/>
  <c r="J663" i="50"/>
  <c r="J1077" i="50"/>
  <c r="I151" i="50"/>
  <c r="I1356" i="50"/>
  <c r="J150" i="50"/>
  <c r="J1310" i="50"/>
  <c r="L264" i="50"/>
  <c r="J264" i="50"/>
  <c r="I261" i="50"/>
  <c r="I265" i="50"/>
  <c r="Q1587" i="50"/>
  <c r="D1629" i="50"/>
  <c r="J1595" i="50"/>
  <c r="J1637" i="50" s="1"/>
  <c r="J260" i="50"/>
  <c r="R300" i="43"/>
  <c r="L300" i="43"/>
  <c r="M300" i="43"/>
  <c r="N1582" i="50"/>
  <c r="I1624" i="50"/>
  <c r="T1582" i="50"/>
  <c r="J1624" i="50"/>
  <c r="D1632" i="50"/>
  <c r="Q1590" i="50"/>
  <c r="L265" i="50"/>
  <c r="Q1592" i="50"/>
  <c r="I275" i="41"/>
  <c r="I382" i="50"/>
  <c r="M266" i="50"/>
  <c r="L382" i="50"/>
  <c r="K260" i="50"/>
  <c r="M171" i="43"/>
  <c r="M96" i="50"/>
  <c r="D1638" i="50"/>
  <c r="Q1596" i="50"/>
  <c r="K382" i="50"/>
  <c r="K266" i="50"/>
  <c r="Q1588" i="50"/>
  <c r="M1624" i="50"/>
  <c r="I264" i="50"/>
  <c r="M382" i="50"/>
  <c r="J263" i="50"/>
  <c r="J262" i="50"/>
  <c r="I263" i="50"/>
  <c r="M262" i="50"/>
  <c r="K264" i="50"/>
  <c r="K265" i="50"/>
  <c r="L266" i="50"/>
  <c r="L262" i="50"/>
  <c r="J265" i="50"/>
  <c r="K261" i="50"/>
  <c r="M264" i="50"/>
  <c r="J266" i="50"/>
  <c r="K263" i="50"/>
  <c r="M263" i="50"/>
  <c r="J261" i="50"/>
  <c r="I260" i="50"/>
  <c r="L261" i="50"/>
  <c r="I319" i="50"/>
  <c r="I438" i="41"/>
  <c r="I441" i="41" s="1"/>
  <c r="I448" i="41" s="1"/>
  <c r="K262" i="50"/>
  <c r="K1624" i="50"/>
  <c r="L96" i="50"/>
  <c r="L171" i="43"/>
  <c r="M265" i="50"/>
  <c r="I266" i="50"/>
  <c r="D1639" i="50"/>
  <c r="Q1597" i="50"/>
  <c r="M260" i="50"/>
  <c r="I1586" i="50"/>
  <c r="M1586" i="50"/>
  <c r="M1628" i="50" s="1"/>
  <c r="L1586" i="50"/>
  <c r="L1628" i="50" s="1"/>
  <c r="J1586" i="50"/>
  <c r="J1628" i="50" s="1"/>
  <c r="K1586" i="50"/>
  <c r="K1628" i="50" s="1"/>
  <c r="N1063" i="50"/>
  <c r="H1068" i="50"/>
  <c r="N1064" i="50"/>
  <c r="N1062" i="50"/>
  <c r="G1073" i="50"/>
  <c r="E301" i="43"/>
  <c r="D302" i="43"/>
  <c r="J382" i="50"/>
  <c r="L260" i="50"/>
  <c r="D1633" i="50"/>
  <c r="Q1591" i="50"/>
  <c r="E456" i="50"/>
  <c r="P348" i="41"/>
  <c r="L1624" i="50"/>
  <c r="D1635" i="50"/>
  <c r="Q1593" i="50"/>
  <c r="Q224" i="34"/>
  <c r="T224" i="34" s="1"/>
  <c r="E224" i="34"/>
  <c r="I317" i="41"/>
  <c r="I428" i="50" s="1"/>
  <c r="L317" i="41"/>
  <c r="L428" i="50" s="1"/>
  <c r="J317" i="41"/>
  <c r="J428" i="50" s="1"/>
  <c r="K317" i="41"/>
  <c r="K428" i="50" s="1"/>
  <c r="M317" i="41"/>
  <c r="M428" i="50" s="1"/>
  <c r="E460" i="50"/>
  <c r="P352" i="41"/>
  <c r="D225" i="34"/>
  <c r="C226" i="34"/>
  <c r="M130" i="50"/>
  <c r="M134" i="50"/>
  <c r="M131" i="50"/>
  <c r="M127" i="50"/>
  <c r="M115" i="50"/>
  <c r="M133" i="50"/>
  <c r="M120" i="50"/>
  <c r="M143" i="50" s="1"/>
  <c r="M125" i="50"/>
  <c r="M122" i="50"/>
  <c r="M145" i="50" s="1"/>
  <c r="M126" i="50"/>
  <c r="M121" i="50"/>
  <c r="M144" i="50" s="1"/>
  <c r="M118" i="50"/>
  <c r="M141" i="50" s="1"/>
  <c r="M124" i="50"/>
  <c r="M147" i="50" s="1"/>
  <c r="M132" i="50"/>
  <c r="M135" i="50"/>
  <c r="M158" i="50" s="1"/>
  <c r="M123" i="50"/>
  <c r="M146" i="50" s="1"/>
  <c r="M119" i="50"/>
  <c r="M142" i="50" s="1"/>
  <c r="M129" i="50"/>
  <c r="M117" i="50"/>
  <c r="M140" i="50" s="1"/>
  <c r="M116" i="50"/>
  <c r="M139" i="50" s="1"/>
  <c r="M128" i="50"/>
  <c r="D1636" i="50"/>
  <c r="Q1594" i="50"/>
  <c r="I1627" i="50"/>
  <c r="T1585" i="50"/>
  <c r="N1585" i="50"/>
  <c r="L128" i="50"/>
  <c r="L123" i="50"/>
  <c r="L146" i="50" s="1"/>
  <c r="L116" i="50"/>
  <c r="L139" i="50" s="1"/>
  <c r="L126" i="50"/>
  <c r="L132" i="50"/>
  <c r="L118" i="50"/>
  <c r="L141" i="50" s="1"/>
  <c r="L131" i="50"/>
  <c r="L133" i="50"/>
  <c r="L119" i="50"/>
  <c r="L142" i="50" s="1"/>
  <c r="L129" i="50"/>
  <c r="L122" i="50"/>
  <c r="L145" i="50" s="1"/>
  <c r="L120" i="50"/>
  <c r="L143" i="50" s="1"/>
  <c r="L134" i="50"/>
  <c r="L121" i="50"/>
  <c r="L144" i="50" s="1"/>
  <c r="L127" i="50"/>
  <c r="L117" i="50"/>
  <c r="L140" i="50" s="1"/>
  <c r="L115" i="50"/>
  <c r="L130" i="50"/>
  <c r="L135" i="50"/>
  <c r="L158" i="50" s="1"/>
  <c r="L125" i="50"/>
  <c r="L124" i="50"/>
  <c r="L147" i="50" s="1"/>
  <c r="I1193" i="50"/>
  <c r="K1189" i="50"/>
  <c r="J1188" i="50"/>
  <c r="H1131" i="50"/>
  <c r="K1193" i="50"/>
  <c r="U1838" i="37" s="1"/>
  <c r="K1188" i="50"/>
  <c r="J1193" i="50"/>
  <c r="T1838" i="37" s="1"/>
  <c r="M1193" i="50"/>
  <c r="W1838" i="37" s="1"/>
  <c r="I1188" i="50"/>
  <c r="M1188" i="50"/>
  <c r="J1191" i="50"/>
  <c r="L1188" i="50"/>
  <c r="L1189" i="50"/>
  <c r="V1836" i="37" s="1"/>
  <c r="I1191" i="50"/>
  <c r="K1191" i="50"/>
  <c r="U1837" i="37" s="1"/>
  <c r="I1189" i="50"/>
  <c r="H1136" i="50"/>
  <c r="J1189" i="50"/>
  <c r="T1836" i="37" s="1"/>
  <c r="M1191" i="50"/>
  <c r="W1837" i="37" s="1"/>
  <c r="L1191" i="50"/>
  <c r="V1837" i="37" s="1"/>
  <c r="L1193" i="50"/>
  <c r="M1189" i="50"/>
  <c r="D1631" i="50"/>
  <c r="Q1589" i="50"/>
  <c r="S1062" i="50"/>
  <c r="S1059" i="50"/>
  <c r="R1586" i="50" s="1"/>
  <c r="M321" i="41"/>
  <c r="M432" i="50" s="1"/>
  <c r="J321" i="41"/>
  <c r="J432" i="50" s="1"/>
  <c r="K321" i="41"/>
  <c r="K432" i="50" s="1"/>
  <c r="L321" i="41"/>
  <c r="L432" i="50" s="1"/>
  <c r="I321" i="41"/>
  <c r="I432" i="50" s="1"/>
  <c r="M261" i="50"/>
  <c r="L263" i="50"/>
  <c r="L319" i="50" l="1"/>
  <c r="K438" i="41"/>
  <c r="K441" i="41" s="1"/>
  <c r="K448" i="41" s="1"/>
  <c r="I171" i="41"/>
  <c r="I325" i="50" s="1"/>
  <c r="K171" i="41"/>
  <c r="K325" i="50" s="1"/>
  <c r="M438" i="41"/>
  <c r="M441" i="41" s="1"/>
  <c r="M448" i="41" s="1"/>
  <c r="J275" i="41"/>
  <c r="K168" i="41"/>
  <c r="K322" i="50" s="1"/>
  <c r="M319" i="50"/>
  <c r="L168" i="41"/>
  <c r="L322" i="50" s="1"/>
  <c r="J319" i="50"/>
  <c r="M168" i="41"/>
  <c r="M322" i="50" s="1"/>
  <c r="M275" i="41"/>
  <c r="L171" i="41"/>
  <c r="L325" i="50" s="1"/>
  <c r="J438" i="41"/>
  <c r="J441" i="41" s="1"/>
  <c r="J448" i="41" s="1"/>
  <c r="L275" i="41"/>
  <c r="J168" i="41"/>
  <c r="J322" i="50" s="1"/>
  <c r="K275" i="41"/>
  <c r="P344" i="41"/>
  <c r="E452" i="50"/>
  <c r="E458" i="50"/>
  <c r="P350" i="41"/>
  <c r="M322" i="41"/>
  <c r="M433" i="50" s="1"/>
  <c r="K322" i="41"/>
  <c r="K433" i="50" s="1"/>
  <c r="I322" i="41"/>
  <c r="I433" i="50" s="1"/>
  <c r="J322" i="41"/>
  <c r="J433" i="50" s="1"/>
  <c r="L322" i="41"/>
  <c r="L433" i="50" s="1"/>
  <c r="I1625" i="50"/>
  <c r="N1583" i="50"/>
  <c r="T1583" i="50"/>
  <c r="P345" i="41"/>
  <c r="E453" i="50"/>
  <c r="T1580" i="50"/>
  <c r="N1580" i="50"/>
  <c r="I1622" i="50"/>
  <c r="I1623" i="50"/>
  <c r="N1581" i="50"/>
  <c r="T1581" i="50"/>
  <c r="L319" i="41"/>
  <c r="L430" i="50" s="1"/>
  <c r="M319" i="41"/>
  <c r="M430" i="50" s="1"/>
  <c r="I319" i="41"/>
  <c r="I430" i="50" s="1"/>
  <c r="J319" i="41"/>
  <c r="J430" i="50" s="1"/>
  <c r="K319" i="41"/>
  <c r="K430" i="50" s="1"/>
  <c r="P347" i="41"/>
  <c r="E455" i="50"/>
  <c r="K314" i="41"/>
  <c r="K425" i="50" s="1"/>
  <c r="J314" i="41"/>
  <c r="J425" i="50" s="1"/>
  <c r="M314" i="41"/>
  <c r="M425" i="50" s="1"/>
  <c r="I314" i="41"/>
  <c r="I425" i="50" s="1"/>
  <c r="L314" i="41"/>
  <c r="L425" i="50" s="1"/>
  <c r="I1626" i="50"/>
  <c r="T1584" i="50"/>
  <c r="N1584" i="50"/>
  <c r="N1579" i="50"/>
  <c r="I1621" i="50"/>
  <c r="T1579" i="50"/>
  <c r="J315" i="41"/>
  <c r="J426" i="50" s="1"/>
  <c r="M315" i="41"/>
  <c r="M426" i="50" s="1"/>
  <c r="L315" i="41"/>
  <c r="L426" i="50" s="1"/>
  <c r="I315" i="41"/>
  <c r="I426" i="50" s="1"/>
  <c r="K315" i="41"/>
  <c r="K426" i="50" s="1"/>
  <c r="M316" i="41"/>
  <c r="M427" i="50" s="1"/>
  <c r="K316" i="41"/>
  <c r="K427" i="50" s="1"/>
  <c r="I316" i="41"/>
  <c r="I427" i="50" s="1"/>
  <c r="J316" i="41"/>
  <c r="J427" i="50" s="1"/>
  <c r="L316" i="41"/>
  <c r="L427" i="50" s="1"/>
  <c r="E457" i="50"/>
  <c r="P349" i="41"/>
  <c r="P346" i="41"/>
  <c r="E454" i="50"/>
  <c r="P351" i="41"/>
  <c r="E459" i="50"/>
  <c r="J318" i="41"/>
  <c r="J429" i="50" s="1"/>
  <c r="K318" i="41"/>
  <c r="K429" i="50" s="1"/>
  <c r="I318" i="41"/>
  <c r="I429" i="50" s="1"/>
  <c r="L318" i="41"/>
  <c r="L429" i="50" s="1"/>
  <c r="M318" i="41"/>
  <c r="M429" i="50" s="1"/>
  <c r="L320" i="41"/>
  <c r="L431" i="50" s="1"/>
  <c r="J320" i="41"/>
  <c r="J431" i="50" s="1"/>
  <c r="I320" i="41"/>
  <c r="I431" i="50" s="1"/>
  <c r="M320" i="41"/>
  <c r="M431" i="50" s="1"/>
  <c r="K320" i="41"/>
  <c r="K431" i="50" s="1"/>
  <c r="I1620" i="50"/>
  <c r="T1578" i="50"/>
  <c r="N1578" i="50"/>
  <c r="I313" i="41"/>
  <c r="I424" i="50" s="1"/>
  <c r="K313" i="41"/>
  <c r="K424" i="50" s="1"/>
  <c r="J313" i="41"/>
  <c r="J424" i="50" s="1"/>
  <c r="L313" i="41"/>
  <c r="L424" i="50" s="1"/>
  <c r="M313" i="41"/>
  <c r="M424" i="50" s="1"/>
  <c r="P353" i="41"/>
  <c r="E461" i="50"/>
  <c r="K1595" i="50"/>
  <c r="K1637" i="50" s="1"/>
  <c r="M1595" i="50"/>
  <c r="M1637" i="50" s="1"/>
  <c r="L1595" i="50"/>
  <c r="L1637" i="50" s="1"/>
  <c r="L151" i="50"/>
  <c r="L1356" i="50"/>
  <c r="M732" i="50"/>
  <c r="M525" i="50"/>
  <c r="M138" i="50"/>
  <c r="M594" i="50"/>
  <c r="M663" i="50"/>
  <c r="M870" i="50"/>
  <c r="M939" i="50"/>
  <c r="M801" i="50"/>
  <c r="M1008" i="50"/>
  <c r="M1077" i="50"/>
  <c r="M1146" i="50"/>
  <c r="L150" i="50"/>
  <c r="L1310" i="50"/>
  <c r="L154" i="50"/>
  <c r="L1463" i="50"/>
  <c r="M154" i="50"/>
  <c r="M1463" i="50"/>
  <c r="D226" i="34"/>
  <c r="C227" i="34"/>
  <c r="M152" i="50"/>
  <c r="M1399" i="50"/>
  <c r="M149" i="50"/>
  <c r="M1264" i="50"/>
  <c r="M157" i="50"/>
  <c r="M320" i="49"/>
  <c r="M1535" i="50"/>
  <c r="E225" i="34"/>
  <c r="Q225" i="34"/>
  <c r="T225" i="34" s="1"/>
  <c r="J392" i="50"/>
  <c r="J288" i="41"/>
  <c r="L288" i="41"/>
  <c r="L392" i="50"/>
  <c r="K1589" i="50"/>
  <c r="K1631" i="50" s="1"/>
  <c r="L1589" i="50"/>
  <c r="L1631" i="50" s="1"/>
  <c r="J1589" i="50"/>
  <c r="J1631" i="50" s="1"/>
  <c r="M1589" i="50"/>
  <c r="M1631" i="50" s="1"/>
  <c r="I1589" i="50"/>
  <c r="L138" i="50"/>
  <c r="L594" i="50"/>
  <c r="L939" i="50"/>
  <c r="L663" i="50"/>
  <c r="L732" i="50"/>
  <c r="L870" i="50"/>
  <c r="L525" i="50"/>
  <c r="L1008" i="50"/>
  <c r="L801" i="50"/>
  <c r="L1077" i="50"/>
  <c r="L1146" i="50"/>
  <c r="K348" i="41"/>
  <c r="M348" i="41"/>
  <c r="M456" i="50" s="1"/>
  <c r="I348" i="41"/>
  <c r="I456" i="50" s="1"/>
  <c r="J348" i="41"/>
  <c r="J456" i="50" s="1"/>
  <c r="L348" i="41"/>
  <c r="L456" i="50" s="1"/>
  <c r="J1594" i="50"/>
  <c r="J1636" i="50" s="1"/>
  <c r="M1594" i="50"/>
  <c r="M1636" i="50" s="1"/>
  <c r="K1594" i="50"/>
  <c r="K1636" i="50" s="1"/>
  <c r="I1594" i="50"/>
  <c r="L1594" i="50"/>
  <c r="L1636" i="50" s="1"/>
  <c r="M153" i="50"/>
  <c r="M1431" i="50"/>
  <c r="K352" i="41"/>
  <c r="K460" i="50" s="1"/>
  <c r="M352" i="41"/>
  <c r="M460" i="50" s="1"/>
  <c r="J352" i="41"/>
  <c r="J460" i="50" s="1"/>
  <c r="L352" i="41"/>
  <c r="L460" i="50" s="1"/>
  <c r="I352" i="41"/>
  <c r="I460" i="50" s="1"/>
  <c r="J1597" i="50"/>
  <c r="J1639" i="50" s="1"/>
  <c r="K1597" i="50"/>
  <c r="K1639" i="50" s="1"/>
  <c r="I1597" i="50"/>
  <c r="M1597" i="50"/>
  <c r="M1639" i="50" s="1"/>
  <c r="L1597" i="50"/>
  <c r="L1639" i="50" s="1"/>
  <c r="J1596" i="50"/>
  <c r="J1638" i="50" s="1"/>
  <c r="I1596" i="50"/>
  <c r="L1596" i="50"/>
  <c r="L1638" i="50" s="1"/>
  <c r="K1596" i="50"/>
  <c r="K1638" i="50" s="1"/>
  <c r="M1596" i="50"/>
  <c r="M1638" i="50" s="1"/>
  <c r="K1587" i="50"/>
  <c r="K1629" i="50" s="1"/>
  <c r="M1587" i="50"/>
  <c r="M1629" i="50" s="1"/>
  <c r="I1587" i="50"/>
  <c r="L1587" i="50"/>
  <c r="L1629" i="50" s="1"/>
  <c r="J1587" i="50"/>
  <c r="J1629" i="50" s="1"/>
  <c r="L148" i="50"/>
  <c r="L1218" i="50"/>
  <c r="L149" i="50"/>
  <c r="L1264" i="50"/>
  <c r="M148" i="50"/>
  <c r="M1218" i="50"/>
  <c r="L1593" i="50"/>
  <c r="L1635" i="50" s="1"/>
  <c r="M1593" i="50"/>
  <c r="M1635" i="50" s="1"/>
  <c r="I1593" i="50"/>
  <c r="K1593" i="50"/>
  <c r="K1635" i="50" s="1"/>
  <c r="J1593" i="50"/>
  <c r="J1635" i="50" s="1"/>
  <c r="D303" i="43"/>
  <c r="E303" i="43" s="1"/>
  <c r="E302" i="43"/>
  <c r="M392" i="50"/>
  <c r="M288" i="41"/>
  <c r="M151" i="50"/>
  <c r="M1356" i="50"/>
  <c r="S1128" i="50"/>
  <c r="R1587" i="50" s="1"/>
  <c r="S1131" i="50"/>
  <c r="L157" i="50"/>
  <c r="L320" i="49"/>
  <c r="L1535" i="50"/>
  <c r="L318" i="49"/>
  <c r="L155" i="50"/>
  <c r="L1495" i="50"/>
  <c r="G1142" i="50"/>
  <c r="H1137" i="50"/>
  <c r="N1133" i="50"/>
  <c r="N1131" i="50"/>
  <c r="N1132" i="50"/>
  <c r="L153" i="50"/>
  <c r="L1431" i="50"/>
  <c r="L152" i="50"/>
  <c r="L1399" i="50"/>
  <c r="M318" i="49"/>
  <c r="M155" i="50"/>
  <c r="M1495" i="50"/>
  <c r="M319" i="49"/>
  <c r="M156" i="50"/>
  <c r="M1515" i="50"/>
  <c r="R301" i="43"/>
  <c r="L301" i="43"/>
  <c r="M301" i="43"/>
  <c r="L1588" i="50"/>
  <c r="L1630" i="50" s="1"/>
  <c r="M1588" i="50"/>
  <c r="M1630" i="50" s="1"/>
  <c r="I1588" i="50"/>
  <c r="K1588" i="50"/>
  <c r="K1630" i="50" s="1"/>
  <c r="J1588" i="50"/>
  <c r="J1630" i="50" s="1"/>
  <c r="I392" i="50"/>
  <c r="I288" i="41"/>
  <c r="J1592" i="50"/>
  <c r="J1634" i="50" s="1"/>
  <c r="K1592" i="50"/>
  <c r="K1634" i="50" s="1"/>
  <c r="M1592" i="50"/>
  <c r="M1634" i="50" s="1"/>
  <c r="I1592" i="50"/>
  <c r="L1592" i="50"/>
  <c r="L1634" i="50" s="1"/>
  <c r="L156" i="50"/>
  <c r="L319" i="49"/>
  <c r="L1515" i="50"/>
  <c r="M150" i="50"/>
  <c r="M1310" i="50"/>
  <c r="I1637" i="50"/>
  <c r="T1595" i="50"/>
  <c r="K1591" i="50"/>
  <c r="K1633" i="50" s="1"/>
  <c r="J1591" i="50"/>
  <c r="J1633" i="50" s="1"/>
  <c r="M1591" i="50"/>
  <c r="M1633" i="50" s="1"/>
  <c r="L1591" i="50"/>
  <c r="L1633" i="50" s="1"/>
  <c r="I1591" i="50"/>
  <c r="N1586" i="50"/>
  <c r="T1586" i="50"/>
  <c r="I1628" i="50"/>
  <c r="K392" i="50"/>
  <c r="K288" i="41"/>
  <c r="I1590" i="50"/>
  <c r="M1590" i="50"/>
  <c r="M1632" i="50" s="1"/>
  <c r="J1590" i="50"/>
  <c r="J1632" i="50" s="1"/>
  <c r="K1590" i="50"/>
  <c r="K1632" i="50" s="1"/>
  <c r="L1590" i="50"/>
  <c r="L1632" i="50" s="1"/>
  <c r="L351" i="41" l="1"/>
  <c r="L459" i="50" s="1"/>
  <c r="J351" i="41"/>
  <c r="J459" i="50" s="1"/>
  <c r="K351" i="41"/>
  <c r="K459" i="50" s="1"/>
  <c r="I351" i="41"/>
  <c r="I459" i="50" s="1"/>
  <c r="M351" i="41"/>
  <c r="M459" i="50" s="1"/>
  <c r="L345" i="41"/>
  <c r="L453" i="50" s="1"/>
  <c r="M345" i="41"/>
  <c r="M453" i="50" s="1"/>
  <c r="K345" i="41"/>
  <c r="K453" i="50" s="1"/>
  <c r="I345" i="41"/>
  <c r="I453" i="50" s="1"/>
  <c r="J345" i="41"/>
  <c r="J453" i="50" s="1"/>
  <c r="I350" i="41"/>
  <c r="I458" i="50" s="1"/>
  <c r="J350" i="41"/>
  <c r="J458" i="50" s="1"/>
  <c r="L350" i="41"/>
  <c r="L458" i="50" s="1"/>
  <c r="K350" i="41"/>
  <c r="K458" i="50" s="1"/>
  <c r="M350" i="41"/>
  <c r="M458" i="50" s="1"/>
  <c r="K323" i="41"/>
  <c r="K434" i="50" s="1"/>
  <c r="J323" i="41"/>
  <c r="J434" i="50" s="1"/>
  <c r="I323" i="41"/>
  <c r="I434" i="50" s="1"/>
  <c r="M346" i="41"/>
  <c r="M454" i="50" s="1"/>
  <c r="J346" i="41"/>
  <c r="J454" i="50" s="1"/>
  <c r="K346" i="41"/>
  <c r="K454" i="50" s="1"/>
  <c r="L346" i="41"/>
  <c r="L454" i="50" s="1"/>
  <c r="I346" i="41"/>
  <c r="I454" i="50" s="1"/>
  <c r="M323" i="41"/>
  <c r="M434" i="50" s="1"/>
  <c r="L323" i="41"/>
  <c r="L434" i="50" s="1"/>
  <c r="L349" i="41"/>
  <c r="L457" i="50" s="1"/>
  <c r="K349" i="41"/>
  <c r="K457" i="50" s="1"/>
  <c r="I349" i="41"/>
  <c r="I457" i="50" s="1"/>
  <c r="J349" i="41"/>
  <c r="J457" i="50" s="1"/>
  <c r="M349" i="41"/>
  <c r="M457" i="50" s="1"/>
  <c r="L347" i="41"/>
  <c r="L455" i="50" s="1"/>
  <c r="I347" i="41"/>
  <c r="I455" i="50" s="1"/>
  <c r="M347" i="41"/>
  <c r="M455" i="50" s="1"/>
  <c r="K347" i="41"/>
  <c r="K455" i="50" s="1"/>
  <c r="J347" i="41"/>
  <c r="J455" i="50" s="1"/>
  <c r="K353" i="41"/>
  <c r="K461" i="50" s="1"/>
  <c r="J353" i="41"/>
  <c r="J461" i="50" s="1"/>
  <c r="I353" i="41"/>
  <c r="I461" i="50" s="1"/>
  <c r="L353" i="41"/>
  <c r="L461" i="50" s="1"/>
  <c r="M353" i="41"/>
  <c r="M461" i="50" s="1"/>
  <c r="I344" i="41"/>
  <c r="I452" i="50" s="1"/>
  <c r="J344" i="41"/>
  <c r="J452" i="50" s="1"/>
  <c r="K344" i="41"/>
  <c r="K452" i="50" s="1"/>
  <c r="L344" i="41"/>
  <c r="L452" i="50" s="1"/>
  <c r="M344" i="41"/>
  <c r="M452" i="50" s="1"/>
  <c r="K1640" i="50"/>
  <c r="U1836" i="37" s="1"/>
  <c r="L1640" i="50"/>
  <c r="V1838" i="37" s="1"/>
  <c r="J1640" i="50"/>
  <c r="T1837" i="37" s="1"/>
  <c r="M1640" i="50"/>
  <c r="W1836" i="37" s="1"/>
  <c r="J403" i="50"/>
  <c r="J308" i="41"/>
  <c r="K308" i="41"/>
  <c r="K403" i="50"/>
  <c r="L302" i="43"/>
  <c r="R302" i="43"/>
  <c r="M302" i="43"/>
  <c r="T1596" i="50"/>
  <c r="I1638" i="50"/>
  <c r="N1589" i="50"/>
  <c r="I1631" i="50"/>
  <c r="T1589" i="50"/>
  <c r="T1587" i="50"/>
  <c r="N1587" i="50"/>
  <c r="I1629" i="50"/>
  <c r="I1598" i="50"/>
  <c r="I1634" i="50"/>
  <c r="T1592" i="50"/>
  <c r="N1592" i="50"/>
  <c r="N1588" i="50"/>
  <c r="T1588" i="50"/>
  <c r="I1630" i="50"/>
  <c r="L1598" i="50"/>
  <c r="C228" i="34"/>
  <c r="D227" i="34"/>
  <c r="M1598" i="50"/>
  <c r="N1594" i="50"/>
  <c r="I1636" i="50"/>
  <c r="T1594" i="50"/>
  <c r="K456" i="50"/>
  <c r="E226" i="34"/>
  <c r="Q226" i="34"/>
  <c r="T226" i="34" s="1"/>
  <c r="K1598" i="50"/>
  <c r="J1598" i="50"/>
  <c r="M303" i="43"/>
  <c r="R303" i="43"/>
  <c r="L303" i="43"/>
  <c r="N1591" i="50"/>
  <c r="I1633" i="50"/>
  <c r="T1591" i="50"/>
  <c r="M308" i="41"/>
  <c r="M403" i="50"/>
  <c r="N1593" i="50"/>
  <c r="T1593" i="50"/>
  <c r="I1635" i="50"/>
  <c r="N1590" i="50"/>
  <c r="I1632" i="50"/>
  <c r="T1590" i="50"/>
  <c r="I308" i="41"/>
  <c r="I403" i="50"/>
  <c r="I1639" i="50"/>
  <c r="T1597" i="50"/>
  <c r="L308" i="41"/>
  <c r="L403" i="50"/>
  <c r="J355" i="41" l="1"/>
  <c r="J463" i="50" s="1"/>
  <c r="K355" i="41"/>
  <c r="K463" i="50" s="1"/>
  <c r="L355" i="41"/>
  <c r="L463" i="50" s="1"/>
  <c r="I355" i="41"/>
  <c r="I463" i="50" s="1"/>
  <c r="M355" i="41"/>
  <c r="M463" i="50" s="1"/>
  <c r="I1640" i="50"/>
  <c r="S1836" i="37"/>
  <c r="S1837" i="37"/>
  <c r="S1838" i="37"/>
  <c r="M1610" i="50"/>
  <c r="E227" i="34"/>
  <c r="Q227" i="34"/>
  <c r="T227" i="34" s="1"/>
  <c r="K363" i="41"/>
  <c r="K420" i="50"/>
  <c r="D228" i="34"/>
  <c r="C229" i="34"/>
  <c r="J363" i="41"/>
  <c r="J420" i="50"/>
  <c r="L420" i="50"/>
  <c r="L363" i="41"/>
  <c r="I420" i="50"/>
  <c r="I363" i="41"/>
  <c r="M420" i="50"/>
  <c r="M363" i="41"/>
  <c r="K364" i="41" l="1"/>
  <c r="K470" i="50" s="1"/>
  <c r="K469" i="50"/>
  <c r="E228" i="34"/>
  <c r="Q228" i="34"/>
  <c r="T228" i="34" s="1"/>
  <c r="J469" i="50"/>
  <c r="J364" i="41"/>
  <c r="J470" i="50" s="1"/>
  <c r="I469" i="50"/>
  <c r="I364" i="41"/>
  <c r="I470" i="50" s="1"/>
  <c r="L469" i="50"/>
  <c r="L364" i="41"/>
  <c r="L470" i="50" s="1"/>
  <c r="M364" i="41"/>
  <c r="M470" i="50" s="1"/>
  <c r="M469" i="50"/>
  <c r="D229" i="34"/>
  <c r="C230" i="34"/>
  <c r="C231" i="34" l="1"/>
  <c r="D230" i="34"/>
  <c r="Q229" i="34"/>
  <c r="T229" i="34" s="1"/>
  <c r="E229" i="34"/>
  <c r="E230" i="34" l="1"/>
  <c r="Q230" i="34"/>
  <c r="T230" i="34" s="1"/>
  <c r="D231" i="34"/>
  <c r="C232" i="34"/>
  <c r="C233" i="34" l="1"/>
  <c r="D232" i="34"/>
  <c r="E231" i="34"/>
  <c r="Q231" i="34"/>
  <c r="T231" i="34" s="1"/>
  <c r="E232" i="34" l="1"/>
  <c r="Q232" i="34"/>
  <c r="T232" i="34" s="1"/>
  <c r="C234" i="34"/>
  <c r="D233" i="34"/>
  <c r="E233" i="34" l="1"/>
  <c r="Q233" i="34"/>
  <c r="T233" i="34" s="1"/>
  <c r="C235" i="34"/>
  <c r="D234" i="34"/>
  <c r="Q234" i="34" l="1"/>
  <c r="T234" i="34" s="1"/>
  <c r="E234" i="34"/>
  <c r="C236" i="34"/>
  <c r="D235" i="34"/>
  <c r="E235" i="34" l="1"/>
  <c r="Q235" i="34"/>
  <c r="T235" i="34" s="1"/>
  <c r="D236" i="34"/>
  <c r="C237" i="34"/>
  <c r="C238" i="34" l="1"/>
  <c r="D237" i="34"/>
  <c r="Q236" i="34"/>
  <c r="T236" i="34" s="1"/>
  <c r="E236" i="34"/>
  <c r="E237" i="34" l="1"/>
  <c r="Q237" i="34"/>
  <c r="T237" i="34" s="1"/>
  <c r="D238" i="34"/>
  <c r="C239" i="34"/>
  <c r="C240" i="34" l="1"/>
  <c r="D239" i="34"/>
  <c r="E238" i="34"/>
  <c r="Q238" i="34"/>
  <c r="T238" i="34" s="1"/>
  <c r="E239" i="34" l="1"/>
  <c r="Q239" i="34"/>
  <c r="T239" i="34" s="1"/>
  <c r="D240" i="34"/>
  <c r="C241" i="34"/>
  <c r="C242" i="34" l="1"/>
  <c r="D241" i="34"/>
  <c r="Q240" i="34"/>
  <c r="T240" i="34" s="1"/>
  <c r="E240" i="34"/>
  <c r="E241" i="34" l="1"/>
  <c r="Q241" i="34"/>
  <c r="T241" i="34" s="1"/>
  <c r="C243" i="34"/>
  <c r="D242" i="34"/>
  <c r="Q242" i="34" l="1"/>
  <c r="T242" i="34" s="1"/>
  <c r="E242" i="34"/>
  <c r="C244" i="34"/>
  <c r="D243" i="34"/>
  <c r="E243" i="34" l="1"/>
  <c r="Q243" i="34"/>
  <c r="T243" i="34" s="1"/>
  <c r="C245" i="34"/>
  <c r="D244" i="34"/>
  <c r="Q244" i="34" l="1"/>
  <c r="T244" i="34" s="1"/>
  <c r="E244" i="34"/>
  <c r="C246" i="34"/>
  <c r="D245" i="34"/>
  <c r="E245" i="34" l="1"/>
  <c r="Q245" i="34"/>
  <c r="T245" i="34" s="1"/>
  <c r="C247" i="34"/>
  <c r="D246" i="34"/>
  <c r="E246" i="34" l="1"/>
  <c r="Q246" i="34"/>
  <c r="T246" i="34" s="1"/>
  <c r="D247" i="34"/>
  <c r="C248" i="34"/>
  <c r="C249" i="34" l="1"/>
  <c r="D248" i="34"/>
  <c r="E247" i="34"/>
  <c r="Q247" i="34"/>
  <c r="T247" i="34" s="1"/>
  <c r="C250" i="34" l="1"/>
  <c r="D249" i="34"/>
  <c r="Q248" i="34"/>
  <c r="T248" i="34" s="1"/>
  <c r="E248" i="34"/>
  <c r="E249" i="34" l="1"/>
  <c r="Q249" i="34"/>
  <c r="T249" i="34" s="1"/>
  <c r="D250" i="34"/>
  <c r="C251" i="34"/>
  <c r="D251" i="34" l="1"/>
  <c r="C252" i="34"/>
  <c r="Q250" i="34"/>
  <c r="T250" i="34" s="1"/>
  <c r="E250" i="34"/>
  <c r="D252" i="34" l="1"/>
  <c r="C253" i="34"/>
  <c r="E251" i="34"/>
  <c r="Q251" i="34"/>
  <c r="T251" i="34" s="1"/>
  <c r="D253" i="34" l="1"/>
  <c r="C254" i="34"/>
  <c r="Q252" i="34"/>
  <c r="T252" i="34" s="1"/>
  <c r="E252" i="34"/>
  <c r="D254" i="34" l="1"/>
  <c r="C255" i="34"/>
  <c r="E253" i="34"/>
  <c r="Q253" i="34"/>
  <c r="T253" i="34" s="1"/>
  <c r="C256" i="34" l="1"/>
  <c r="D255" i="34"/>
  <c r="E254" i="34"/>
  <c r="Q254" i="34"/>
  <c r="T254" i="34" s="1"/>
  <c r="E255" i="34" l="1"/>
  <c r="Q255" i="34"/>
  <c r="T255" i="34" s="1"/>
  <c r="D256" i="34"/>
  <c r="C257" i="34"/>
  <c r="D257" i="34" l="1"/>
  <c r="C258" i="34"/>
  <c r="Q256" i="34"/>
  <c r="T256" i="34" s="1"/>
  <c r="E256" i="34"/>
  <c r="D258" i="34" l="1"/>
  <c r="C259" i="34"/>
  <c r="Q257" i="34"/>
  <c r="T257" i="34" s="1"/>
  <c r="E257" i="34"/>
  <c r="C260" i="34" l="1"/>
  <c r="D259" i="34"/>
  <c r="Q258" i="34"/>
  <c r="T258" i="34" s="1"/>
  <c r="E258" i="34"/>
  <c r="E259" i="34" l="1"/>
  <c r="Q259" i="34"/>
  <c r="T259" i="34" s="1"/>
  <c r="C261" i="34"/>
  <c r="D260" i="34"/>
  <c r="E260" i="34" l="1"/>
  <c r="Q260" i="34"/>
  <c r="T260" i="34" s="1"/>
  <c r="D261" i="34"/>
  <c r="C262" i="34"/>
  <c r="D262" i="34" l="1"/>
  <c r="C263" i="34"/>
  <c r="E261" i="34"/>
  <c r="Q261" i="34"/>
  <c r="T261" i="34" s="1"/>
  <c r="D263" i="34" l="1"/>
  <c r="C264" i="34"/>
  <c r="Q262" i="34"/>
  <c r="T262" i="34" s="1"/>
  <c r="E262" i="34"/>
  <c r="D264" i="34" l="1"/>
  <c r="E1836" i="37"/>
  <c r="R1836" i="37" s="1"/>
  <c r="E1838" i="37"/>
  <c r="R1838" i="37" s="1"/>
  <c r="P389" i="47"/>
  <c r="P390" i="47"/>
  <c r="E1837" i="37"/>
  <c r="R1837" i="37" s="1"/>
  <c r="Q263" i="34"/>
  <c r="T263" i="34" s="1"/>
  <c r="E263" i="34"/>
  <c r="E264" i="34" l="1"/>
  <c r="Q264" i="34"/>
  <c r="T264" i="34" s="1"/>
</calcChain>
</file>

<file path=xl/comments1.xml><?xml version="1.0" encoding="utf-8"?>
<comments xmlns="http://schemas.openxmlformats.org/spreadsheetml/2006/main">
  <authors>
    <author>Fallmann Hubert</author>
  </authors>
  <commentList>
    <comment ref="H401" authorId="0" shapeId="0">
      <text>
        <r>
          <rPr>
            <b/>
            <sz val="9"/>
            <color indexed="81"/>
            <rFont val="Tahoma"/>
            <family val="2"/>
          </rPr>
          <t>Needed for heat sub-installation, and for nitric acid</t>
        </r>
      </text>
    </comment>
  </commentList>
</comments>
</file>

<file path=xl/comments2.xml><?xml version="1.0" encoding="utf-8"?>
<comments xmlns="http://schemas.openxmlformats.org/spreadsheetml/2006/main">
  <authors>
    <author>Fallmann Hubert</author>
    <author>Heller</author>
  </authors>
  <commentList>
    <comment ref="Q29" authorId="0" shapeId="0">
      <text>
        <r>
          <rPr>
            <sz val="9"/>
            <color indexed="81"/>
            <rFont val="Tahoma"/>
            <family val="2"/>
          </rPr>
          <t>special reporting, exception = BM 47 (VCM)</t>
        </r>
      </text>
    </comment>
    <comment ref="R153" authorId="1" shapeId="0">
      <text>
        <r>
          <rPr>
            <b/>
            <sz val="9"/>
            <color indexed="81"/>
            <rFont val="Tahoma"/>
            <family val="2"/>
          </rPr>
          <t>1= BM applied --&gt; not used for attr. emissions</t>
        </r>
      </text>
    </comment>
    <comment ref="R161" authorId="1" shapeId="0">
      <text>
        <r>
          <rPr>
            <b/>
            <sz val="9"/>
            <color indexed="81"/>
            <rFont val="Tahoma"/>
            <family val="2"/>
          </rPr>
          <t>1= BM applied --&gt; not used for attr. emissions</t>
        </r>
      </text>
    </comment>
    <comment ref="R202" authorId="1" shapeId="0">
      <text>
        <r>
          <rPr>
            <b/>
            <sz val="9"/>
            <color indexed="81"/>
            <rFont val="Tahoma"/>
            <family val="2"/>
          </rPr>
          <t>1= BM applied --&gt; not used for attr. emissions</t>
        </r>
      </text>
    </comment>
    <comment ref="Q254" authorId="0" shapeId="0">
      <text>
        <r>
          <rPr>
            <sz val="9"/>
            <color indexed="81"/>
            <rFont val="Tahoma"/>
            <family val="2"/>
          </rPr>
          <t>special reporting, exception = BM 47 (VCM)</t>
        </r>
      </text>
    </comment>
    <comment ref="R341" authorId="1" shapeId="0">
      <text>
        <r>
          <rPr>
            <b/>
            <sz val="9"/>
            <color indexed="81"/>
            <rFont val="Tahoma"/>
            <family val="2"/>
          </rPr>
          <t>1= BM applied --&gt; not used for attr. emissions</t>
        </r>
      </text>
    </comment>
    <comment ref="R349" authorId="1" shapeId="0">
      <text>
        <r>
          <rPr>
            <b/>
            <sz val="9"/>
            <color indexed="81"/>
            <rFont val="Tahoma"/>
            <family val="2"/>
          </rPr>
          <t>1= BM applied --&gt; not used for attr. emissions</t>
        </r>
      </text>
    </comment>
    <comment ref="R385" authorId="1" shapeId="0">
      <text>
        <r>
          <rPr>
            <b/>
            <sz val="9"/>
            <color indexed="81"/>
            <rFont val="Tahoma"/>
            <family val="2"/>
          </rPr>
          <t>1= BM applied --&gt; not used for attr. emissions</t>
        </r>
      </text>
    </comment>
    <comment ref="Q428" authorId="0" shapeId="0">
      <text>
        <r>
          <rPr>
            <sz val="9"/>
            <color indexed="81"/>
            <rFont val="Tahoma"/>
            <family val="2"/>
          </rPr>
          <t>special reporting, exception = BM 47 (VCM)</t>
        </r>
      </text>
    </comment>
    <comment ref="R515" authorId="1" shapeId="0">
      <text>
        <r>
          <rPr>
            <b/>
            <sz val="9"/>
            <color indexed="81"/>
            <rFont val="Tahoma"/>
            <family val="2"/>
          </rPr>
          <t>1= BM applied --&gt; not used for attr. emissions</t>
        </r>
      </text>
    </comment>
    <comment ref="R523" authorId="1" shapeId="0">
      <text>
        <r>
          <rPr>
            <b/>
            <sz val="9"/>
            <color indexed="81"/>
            <rFont val="Tahoma"/>
            <family val="2"/>
          </rPr>
          <t>1= BM applied --&gt; not used for attr. emissions</t>
        </r>
      </text>
    </comment>
    <comment ref="R559" authorId="1" shapeId="0">
      <text>
        <r>
          <rPr>
            <b/>
            <sz val="9"/>
            <color indexed="81"/>
            <rFont val="Tahoma"/>
            <family val="2"/>
          </rPr>
          <t>1= BM applied --&gt; not used for attr. emissions</t>
        </r>
      </text>
    </comment>
    <comment ref="Q602" authorId="0" shapeId="0">
      <text>
        <r>
          <rPr>
            <sz val="9"/>
            <color indexed="81"/>
            <rFont val="Tahoma"/>
            <family val="2"/>
          </rPr>
          <t>special reporting, exception = BM 47 (VCM)</t>
        </r>
      </text>
    </comment>
    <comment ref="R689" authorId="1" shapeId="0">
      <text>
        <r>
          <rPr>
            <b/>
            <sz val="9"/>
            <color indexed="81"/>
            <rFont val="Tahoma"/>
            <family val="2"/>
          </rPr>
          <t>1= BM applied --&gt; not used for attr. emissions</t>
        </r>
      </text>
    </comment>
    <comment ref="R697" authorId="1" shapeId="0">
      <text>
        <r>
          <rPr>
            <b/>
            <sz val="9"/>
            <color indexed="81"/>
            <rFont val="Tahoma"/>
            <family val="2"/>
          </rPr>
          <t>1= BM applied --&gt; not used for attr. emissions</t>
        </r>
      </text>
    </comment>
    <comment ref="R733" authorId="1" shapeId="0">
      <text>
        <r>
          <rPr>
            <b/>
            <sz val="9"/>
            <color indexed="81"/>
            <rFont val="Tahoma"/>
            <family val="2"/>
          </rPr>
          <t>1= BM applied --&gt; not used for attr. emissions</t>
        </r>
      </text>
    </comment>
    <comment ref="Q776" authorId="0" shapeId="0">
      <text>
        <r>
          <rPr>
            <sz val="9"/>
            <color indexed="81"/>
            <rFont val="Tahoma"/>
            <family val="2"/>
          </rPr>
          <t>special reporting, exception = BM 47 (VCM)</t>
        </r>
      </text>
    </comment>
    <comment ref="R863" authorId="1" shapeId="0">
      <text>
        <r>
          <rPr>
            <b/>
            <sz val="9"/>
            <color indexed="81"/>
            <rFont val="Tahoma"/>
            <family val="2"/>
          </rPr>
          <t>1= BM applied --&gt; not used for attr. emissions</t>
        </r>
      </text>
    </comment>
    <comment ref="R871" authorId="1" shapeId="0">
      <text>
        <r>
          <rPr>
            <b/>
            <sz val="9"/>
            <color indexed="81"/>
            <rFont val="Tahoma"/>
            <family val="2"/>
          </rPr>
          <t>1= BM applied --&gt; not used for attr. emissions</t>
        </r>
      </text>
    </comment>
    <comment ref="R907" authorId="1" shapeId="0">
      <text>
        <r>
          <rPr>
            <b/>
            <sz val="9"/>
            <color indexed="81"/>
            <rFont val="Tahoma"/>
            <family val="2"/>
          </rPr>
          <t>1= BM applied --&gt; not used for attr. emissions</t>
        </r>
      </text>
    </comment>
    <comment ref="Q950" authorId="0" shapeId="0">
      <text>
        <r>
          <rPr>
            <sz val="9"/>
            <color indexed="81"/>
            <rFont val="Tahoma"/>
            <family val="2"/>
          </rPr>
          <t>special reporting, exception = BM 47 (VCM)</t>
        </r>
      </text>
    </comment>
    <comment ref="R1037" authorId="1" shapeId="0">
      <text>
        <r>
          <rPr>
            <b/>
            <sz val="9"/>
            <color indexed="81"/>
            <rFont val="Tahoma"/>
            <family val="2"/>
          </rPr>
          <t>1= BM applied --&gt; not used for attr. emissions</t>
        </r>
      </text>
    </comment>
    <comment ref="R1045" authorId="1" shapeId="0">
      <text>
        <r>
          <rPr>
            <b/>
            <sz val="9"/>
            <color indexed="81"/>
            <rFont val="Tahoma"/>
            <family val="2"/>
          </rPr>
          <t>1= BM applied --&gt; not used for attr. emissions</t>
        </r>
      </text>
    </comment>
    <comment ref="R1081" authorId="1" shapeId="0">
      <text>
        <r>
          <rPr>
            <b/>
            <sz val="9"/>
            <color indexed="81"/>
            <rFont val="Tahoma"/>
            <family val="2"/>
          </rPr>
          <t>1= BM applied --&gt; not used for attr. emissions</t>
        </r>
      </text>
    </comment>
    <comment ref="Q1124" authorId="0" shapeId="0">
      <text>
        <r>
          <rPr>
            <sz val="9"/>
            <color indexed="81"/>
            <rFont val="Tahoma"/>
            <family val="2"/>
          </rPr>
          <t>special reporting, exception = BM 47 (VCM)</t>
        </r>
      </text>
    </comment>
    <comment ref="R1211" authorId="1" shapeId="0">
      <text>
        <r>
          <rPr>
            <b/>
            <sz val="9"/>
            <color indexed="81"/>
            <rFont val="Tahoma"/>
            <family val="2"/>
          </rPr>
          <t>1= BM applied --&gt; not used for attr. emissions</t>
        </r>
      </text>
    </comment>
    <comment ref="R1219" authorId="1" shapeId="0">
      <text>
        <r>
          <rPr>
            <b/>
            <sz val="9"/>
            <color indexed="81"/>
            <rFont val="Tahoma"/>
            <family val="2"/>
          </rPr>
          <t>1= BM applied --&gt; not used for attr. emissions</t>
        </r>
      </text>
    </comment>
    <comment ref="R1255" authorId="1" shapeId="0">
      <text>
        <r>
          <rPr>
            <b/>
            <sz val="9"/>
            <color indexed="81"/>
            <rFont val="Tahoma"/>
            <family val="2"/>
          </rPr>
          <t>1= BM applied --&gt; not used for attr. emissions</t>
        </r>
      </text>
    </comment>
    <comment ref="Q1298" authorId="0" shapeId="0">
      <text>
        <r>
          <rPr>
            <sz val="9"/>
            <color indexed="81"/>
            <rFont val="Tahoma"/>
            <family val="2"/>
          </rPr>
          <t>special reporting, exception = BM 47 (VCM)</t>
        </r>
      </text>
    </comment>
    <comment ref="R1385" authorId="1" shapeId="0">
      <text>
        <r>
          <rPr>
            <b/>
            <sz val="9"/>
            <color indexed="81"/>
            <rFont val="Tahoma"/>
            <family val="2"/>
          </rPr>
          <t>1= BM applied --&gt; not used for attr. emissions</t>
        </r>
      </text>
    </comment>
    <comment ref="R1393" authorId="1" shapeId="0">
      <text>
        <r>
          <rPr>
            <b/>
            <sz val="9"/>
            <color indexed="81"/>
            <rFont val="Tahoma"/>
            <family val="2"/>
          </rPr>
          <t>1= BM applied --&gt; not used for attr. emissions</t>
        </r>
      </text>
    </comment>
    <comment ref="R1429" authorId="1" shapeId="0">
      <text>
        <r>
          <rPr>
            <b/>
            <sz val="9"/>
            <color indexed="81"/>
            <rFont val="Tahoma"/>
            <family val="2"/>
          </rPr>
          <t>1= BM applied --&gt; not used for attr. emissions</t>
        </r>
      </text>
    </comment>
    <comment ref="Q1472" authorId="0" shapeId="0">
      <text>
        <r>
          <rPr>
            <sz val="9"/>
            <color indexed="81"/>
            <rFont val="Tahoma"/>
            <family val="2"/>
          </rPr>
          <t>special reporting, exception = BM 47 (VCM)</t>
        </r>
      </text>
    </comment>
    <comment ref="R1559" authorId="1" shapeId="0">
      <text>
        <r>
          <rPr>
            <b/>
            <sz val="9"/>
            <color indexed="81"/>
            <rFont val="Tahoma"/>
            <family val="2"/>
          </rPr>
          <t>1= BM applied --&gt; not used for attr. emissions</t>
        </r>
      </text>
    </comment>
    <comment ref="R1567" authorId="1" shapeId="0">
      <text>
        <r>
          <rPr>
            <b/>
            <sz val="9"/>
            <color indexed="81"/>
            <rFont val="Tahoma"/>
            <family val="2"/>
          </rPr>
          <t>1= BM applied --&gt; not used for attr. emissions</t>
        </r>
      </text>
    </comment>
    <comment ref="R1603" authorId="1" shapeId="0">
      <text>
        <r>
          <rPr>
            <b/>
            <sz val="9"/>
            <color indexed="81"/>
            <rFont val="Tahoma"/>
            <family val="2"/>
          </rPr>
          <t>1= BM applied --&gt; not used for attr. emissions</t>
        </r>
      </text>
    </comment>
    <comment ref="Q1646" authorId="0" shapeId="0">
      <text>
        <r>
          <rPr>
            <sz val="9"/>
            <color indexed="81"/>
            <rFont val="Tahoma"/>
            <family val="2"/>
          </rPr>
          <t>special reporting, exception = BM 47 (VCM)</t>
        </r>
      </text>
    </comment>
    <comment ref="R1733" authorId="1" shapeId="0">
      <text>
        <r>
          <rPr>
            <b/>
            <sz val="9"/>
            <color indexed="81"/>
            <rFont val="Tahoma"/>
            <family val="2"/>
          </rPr>
          <t>1= BM applied --&gt; not used for attr. emissions</t>
        </r>
      </text>
    </comment>
    <comment ref="R1741" authorId="1" shapeId="0">
      <text>
        <r>
          <rPr>
            <b/>
            <sz val="9"/>
            <color indexed="81"/>
            <rFont val="Tahoma"/>
            <family val="2"/>
          </rPr>
          <t>1= BM applied --&gt; not used for attr. emissions</t>
        </r>
      </text>
    </comment>
    <comment ref="R1777" authorId="1" shapeId="0">
      <text>
        <r>
          <rPr>
            <b/>
            <sz val="9"/>
            <color indexed="81"/>
            <rFont val="Tahoma"/>
            <family val="2"/>
          </rPr>
          <t>1= BM applied --&gt; not used for attr. emissions</t>
        </r>
      </text>
    </comment>
    <comment ref="D1853" authorId="1" shapeId="0">
      <text>
        <r>
          <rPr>
            <sz val="9"/>
            <color indexed="81"/>
            <rFont val="Tahoma"/>
            <family val="2"/>
          </rPr>
          <t>INDEX($W:$W;VERGLEICH(MAX(INDIREKT(ADRESSE(1;3)&amp;":"&amp;ADRESSE(ZEILE(D12);3)));$C:$C;0))</t>
        </r>
      </text>
    </comment>
  </commentList>
</comments>
</file>

<file path=xl/comments3.xml><?xml version="1.0" encoding="utf-8"?>
<comments xmlns="http://schemas.openxmlformats.org/spreadsheetml/2006/main">
  <authors>
    <author>Heller</author>
  </authors>
  <commentList>
    <comment ref="R128" authorId="0" shapeId="0">
      <text>
        <r>
          <rPr>
            <b/>
            <sz val="9"/>
            <color indexed="81"/>
            <rFont val="Tahoma"/>
            <family val="2"/>
          </rPr>
          <t>1= BM applied --&gt; not used for attr. emissions</t>
        </r>
      </text>
    </comment>
    <comment ref="R132" authorId="0" shapeId="0">
      <text>
        <r>
          <rPr>
            <b/>
            <sz val="9"/>
            <color indexed="81"/>
            <rFont val="Tahoma"/>
            <family val="2"/>
          </rPr>
          <t>1= BM applied --&gt; not used for attr. emissions</t>
        </r>
      </text>
    </comment>
    <comment ref="R136" authorId="0" shapeId="0">
      <text>
        <r>
          <rPr>
            <b/>
            <sz val="9"/>
            <color indexed="81"/>
            <rFont val="Tahoma"/>
            <family val="2"/>
          </rPr>
          <t>1= BM applied --&gt; not used for attr. emissions</t>
        </r>
      </text>
    </comment>
    <comment ref="R140" authorId="0" shapeId="0">
      <text>
        <r>
          <rPr>
            <b/>
            <sz val="9"/>
            <color indexed="81"/>
            <rFont val="Tahoma"/>
            <family val="2"/>
          </rPr>
          <t>1= BM applied --&gt; not used for attr. emissions</t>
        </r>
      </text>
    </comment>
    <comment ref="R144" authorId="0" shapeId="0">
      <text>
        <r>
          <rPr>
            <b/>
            <sz val="9"/>
            <color indexed="81"/>
            <rFont val="Tahoma"/>
            <family val="2"/>
          </rPr>
          <t>1= BM applied --&gt; not used for attr. emissions</t>
        </r>
      </text>
    </comment>
    <comment ref="R224" authorId="0" shapeId="0">
      <text>
        <r>
          <rPr>
            <b/>
            <sz val="9"/>
            <color indexed="81"/>
            <rFont val="Tahoma"/>
            <family val="2"/>
          </rPr>
          <t>1= BM applied --&gt; not used for attr. emissions</t>
        </r>
      </text>
    </comment>
    <comment ref="R228" authorId="0" shapeId="0">
      <text>
        <r>
          <rPr>
            <b/>
            <sz val="9"/>
            <color indexed="81"/>
            <rFont val="Tahoma"/>
            <family val="2"/>
          </rPr>
          <t>1= BM applied --&gt; not used for attr. emissions</t>
        </r>
      </text>
    </comment>
    <comment ref="R232" authorId="0" shapeId="0">
      <text>
        <r>
          <rPr>
            <b/>
            <sz val="9"/>
            <color indexed="81"/>
            <rFont val="Tahoma"/>
            <family val="2"/>
          </rPr>
          <t>1= BM applied --&gt; not used for attr. emissions</t>
        </r>
      </text>
    </comment>
    <comment ref="R236" authorId="0" shapeId="0">
      <text>
        <r>
          <rPr>
            <b/>
            <sz val="9"/>
            <color indexed="81"/>
            <rFont val="Tahoma"/>
            <family val="2"/>
          </rPr>
          <t>1= BM applied --&gt; not used for attr. emissions</t>
        </r>
      </text>
    </comment>
    <comment ref="R240" authorId="0" shapeId="0">
      <text>
        <r>
          <rPr>
            <b/>
            <sz val="9"/>
            <color indexed="81"/>
            <rFont val="Tahoma"/>
            <family val="2"/>
          </rPr>
          <t>1= BM applied --&gt; not used for attr. emissions</t>
        </r>
      </text>
    </comment>
    <comment ref="R320" authorId="0" shapeId="0">
      <text>
        <r>
          <rPr>
            <b/>
            <sz val="9"/>
            <color indexed="81"/>
            <rFont val="Tahoma"/>
            <family val="2"/>
          </rPr>
          <t>1= BM applied --&gt; not used for attr. emissions</t>
        </r>
      </text>
    </comment>
    <comment ref="R324" authorId="0" shapeId="0">
      <text>
        <r>
          <rPr>
            <b/>
            <sz val="9"/>
            <color indexed="81"/>
            <rFont val="Tahoma"/>
            <family val="2"/>
          </rPr>
          <t>1= BM applied --&gt; not used for attr. emissions</t>
        </r>
      </text>
    </comment>
    <comment ref="R328" authorId="0" shapeId="0">
      <text>
        <r>
          <rPr>
            <b/>
            <sz val="9"/>
            <color indexed="81"/>
            <rFont val="Tahoma"/>
            <family val="2"/>
          </rPr>
          <t>1= BM applied --&gt; not used for attr. emissions</t>
        </r>
      </text>
    </comment>
    <comment ref="R332" authorId="0" shapeId="0">
      <text>
        <r>
          <rPr>
            <b/>
            <sz val="9"/>
            <color indexed="81"/>
            <rFont val="Tahoma"/>
            <family val="2"/>
          </rPr>
          <t>1= BM applied --&gt; not used for attr. emissions</t>
        </r>
      </text>
    </comment>
    <comment ref="R336" authorId="0" shapeId="0">
      <text>
        <r>
          <rPr>
            <b/>
            <sz val="9"/>
            <color indexed="81"/>
            <rFont val="Tahoma"/>
            <family val="2"/>
          </rPr>
          <t>1= BM applied --&gt; not used for attr. emissions</t>
        </r>
      </text>
    </comment>
    <comment ref="R416" authorId="0" shapeId="0">
      <text>
        <r>
          <rPr>
            <b/>
            <sz val="9"/>
            <color indexed="81"/>
            <rFont val="Tahoma"/>
            <family val="2"/>
          </rPr>
          <t>1= BM applied --&gt; not used for attr. emissions</t>
        </r>
      </text>
    </comment>
    <comment ref="R420" authorId="0" shapeId="0">
      <text>
        <r>
          <rPr>
            <b/>
            <sz val="9"/>
            <color indexed="81"/>
            <rFont val="Tahoma"/>
            <family val="2"/>
          </rPr>
          <t>1= BM applied --&gt; not used for attr. emissions</t>
        </r>
      </text>
    </comment>
    <comment ref="R424" authorId="0" shapeId="0">
      <text>
        <r>
          <rPr>
            <b/>
            <sz val="9"/>
            <color indexed="81"/>
            <rFont val="Tahoma"/>
            <family val="2"/>
          </rPr>
          <t>1= BM applied --&gt; not used for attr. emissions</t>
        </r>
      </text>
    </comment>
    <comment ref="R428" authorId="0" shapeId="0">
      <text>
        <r>
          <rPr>
            <b/>
            <sz val="9"/>
            <color indexed="81"/>
            <rFont val="Tahoma"/>
            <family val="2"/>
          </rPr>
          <t>1= BM applied --&gt; not used for attr. emissions</t>
        </r>
      </text>
    </comment>
    <comment ref="R432" authorId="0" shapeId="0">
      <text>
        <r>
          <rPr>
            <b/>
            <sz val="9"/>
            <color indexed="81"/>
            <rFont val="Tahoma"/>
            <family val="2"/>
          </rPr>
          <t>1= BM applied --&gt; not used for attr. emissions</t>
        </r>
      </text>
    </comment>
    <comment ref="R501" authorId="0" shapeId="0">
      <text>
        <r>
          <rPr>
            <b/>
            <sz val="9"/>
            <color indexed="81"/>
            <rFont val="Tahoma"/>
            <family val="2"/>
          </rPr>
          <t>1= BM applied --&gt; not used for attr. emissions</t>
        </r>
      </text>
    </comment>
    <comment ref="R574" authorId="0" shapeId="0">
      <text>
        <r>
          <rPr>
            <b/>
            <sz val="9"/>
            <color indexed="81"/>
            <rFont val="Tahoma"/>
            <family val="2"/>
          </rPr>
          <t>1= BM applied --&gt; not used for attr. emissions</t>
        </r>
      </text>
    </comment>
    <comment ref="R645" authorId="0" shapeId="0">
      <text>
        <r>
          <rPr>
            <b/>
            <sz val="9"/>
            <color indexed="81"/>
            <rFont val="Tahoma"/>
            <family val="2"/>
          </rPr>
          <t>1= BM applied --&gt; not used for attr. emissions</t>
        </r>
      </text>
    </comment>
    <comment ref="D812" authorId="0" shapeId="0">
      <text>
        <r>
          <rPr>
            <sz val="9"/>
            <color indexed="81"/>
            <rFont val="Tahoma"/>
            <family val="2"/>
          </rPr>
          <t>INDEX($W:$W;VERGLEICH(MAX(INDIREKT(ADRESSE(1;3)&amp;":"&amp;ADRESSE(ZEILE(D12);3)));$C:$C;0))</t>
        </r>
      </text>
    </comment>
  </commentList>
</comments>
</file>

<file path=xl/comments4.xml><?xml version="1.0" encoding="utf-8"?>
<comments xmlns="http://schemas.openxmlformats.org/spreadsheetml/2006/main">
  <authors>
    <author>Heller</author>
  </authors>
  <commentList>
    <comment ref="A2" authorId="0" shapeId="0">
      <text>
        <r>
          <rPr>
            <sz val="9"/>
            <color indexed="81"/>
            <rFont val="Tahoma"/>
            <family val="2"/>
          </rPr>
          <t xml:space="preserve">FALSE = draft preliminary data collection
TRUE = actual BM values included
</t>
        </r>
      </text>
    </comment>
  </commentList>
</comments>
</file>

<file path=xl/sharedStrings.xml><?xml version="1.0" encoding="utf-8"?>
<sst xmlns="http://schemas.openxmlformats.org/spreadsheetml/2006/main" count="6062" uniqueCount="2614">
  <si>
    <t>Version list</t>
  </si>
  <si>
    <t>Languages list</t>
  </si>
  <si>
    <t>i.</t>
  </si>
  <si>
    <t>ii.</t>
  </si>
  <si>
    <t>iii.</t>
  </si>
  <si>
    <t>IV</t>
  </si>
  <si>
    <t>iv.</t>
  </si>
  <si>
    <t>EUconst_FuelUseTypes</t>
  </si>
  <si>
    <t>CNTR_ConfirmationOK</t>
  </si>
  <si>
    <t>EUconst_tCO2pTJorT</t>
  </si>
  <si>
    <t>EUconst_AbsRel</t>
  </si>
  <si>
    <t>(c)</t>
  </si>
  <si>
    <t>(e)</t>
  </si>
  <si>
    <t>(f)</t>
  </si>
  <si>
    <t>VI</t>
  </si>
  <si>
    <t>x.</t>
  </si>
  <si>
    <t>xi.</t>
  </si>
  <si>
    <t>xii.</t>
  </si>
  <si>
    <t>EUconst_EUA</t>
  </si>
  <si>
    <t>EUconst_EUApa</t>
  </si>
  <si>
    <t>EUconst_EUApt</t>
  </si>
  <si>
    <t>Default values</t>
  </si>
  <si>
    <t>EUconst_HALsum</t>
  </si>
  <si>
    <t>HALsum_</t>
  </si>
  <si>
    <t>Version comments</t>
  </si>
  <si>
    <t>m(CaO)</t>
  </si>
  <si>
    <t>m(MgO)</t>
  </si>
  <si>
    <t>EUconst_FBSubinst</t>
  </si>
  <si>
    <t>EUconst_MsgEnterThisSection</t>
  </si>
  <si>
    <t>EUconst_MsgGoToNextSubInst</t>
  </si>
  <si>
    <t>taken from D.II.2.b</t>
  </si>
  <si>
    <t>BM no.</t>
  </si>
  <si>
    <t>Jump info:</t>
  </si>
  <si>
    <t>BM number:</t>
  </si>
  <si>
    <t>EUconst_MsgBackToSheetF</t>
  </si>
  <si>
    <t>HALspecial_</t>
  </si>
  <si>
    <t>EUconst_CNTR_HALspecial</t>
  </si>
  <si>
    <t>Special reporting?</t>
  </si>
  <si>
    <t>EUconst_BM</t>
  </si>
  <si>
    <t>EUconst_MWhpa</t>
  </si>
  <si>
    <t>EUconst_tpa</t>
  </si>
  <si>
    <t>EUconst_GJpt</t>
  </si>
  <si>
    <t>EUconst_tCO2pTJ</t>
  </si>
  <si>
    <t>EUconst_tCO2pa</t>
  </si>
  <si>
    <t>EUconst_tCO2pt</t>
  </si>
  <si>
    <t>EUconst_TJpa</t>
  </si>
  <si>
    <t>EUconst_tN2Opa</t>
  </si>
  <si>
    <t>EUconst_tCO2eptN2O</t>
  </si>
  <si>
    <t>EUconst_tCO2epa</t>
  </si>
  <si>
    <t>EUconst_tCO2ept</t>
  </si>
  <si>
    <t>EUconst_relOrTJpa</t>
  </si>
  <si>
    <t>EUconst_relOrMWhpa</t>
  </si>
  <si>
    <t>EUconst_relOrtCO2pa</t>
  </si>
  <si>
    <t>CWT</t>
  </si>
  <si>
    <t>EUconst_MsgGoOn_cd</t>
  </si>
  <si>
    <t>EUconst_MsgGoOn_e</t>
  </si>
  <si>
    <t>Start (up to section e)</t>
  </si>
  <si>
    <t>amount eligible (i.e. not coming from non-ETS):</t>
  </si>
  <si>
    <t>amount non-eligible</t>
  </si>
  <si>
    <t>amount eligible:</t>
  </si>
  <si>
    <t>Electricity production:</t>
  </si>
  <si>
    <t>AFTER electricity production:</t>
  </si>
  <si>
    <t>Product benchmarks</t>
  </si>
  <si>
    <t>AFTER product benchmarks:</t>
  </si>
  <si>
    <t>AFTER export to ETS installations:</t>
  </si>
  <si>
    <t>Export to ETS installations (considered 100% eligible)</t>
  </si>
  <si>
    <t>Determine relevant data (relevant=full baseline period, all years!)</t>
  </si>
  <si>
    <t>EUconst_CNTR_HEAT</t>
  </si>
  <si>
    <t>HEAT_</t>
  </si>
  <si>
    <t>EUconst_CNTR_VCM</t>
  </si>
  <si>
    <t>VCM_</t>
  </si>
  <si>
    <t>EUconst_CNTR_HVC</t>
  </si>
  <si>
    <t>HVC_</t>
  </si>
  <si>
    <t>Column for</t>
  </si>
  <si>
    <t>EUconst_Allowances</t>
  </si>
  <si>
    <t>IX</t>
  </si>
  <si>
    <t>Section III</t>
  </si>
  <si>
    <t>(n)</t>
  </si>
  <si>
    <t>taken from E.I.1.c</t>
  </si>
  <si>
    <t>CTRL_InputMethodHeatSubInstSplit</t>
  </si>
  <si>
    <t>a</t>
  </si>
  <si>
    <t>(g)</t>
  </si>
  <si>
    <t>(h)</t>
  </si>
  <si>
    <t>(i)</t>
  </si>
  <si>
    <t>EUconst_NA</t>
  </si>
  <si>
    <t>TJ</t>
  </si>
  <si>
    <t>t CO2e</t>
  </si>
  <si>
    <t>EUconst_TJ</t>
  </si>
  <si>
    <t>EUconst_tCO2e</t>
  </si>
  <si>
    <t>Sorting</t>
  </si>
  <si>
    <t>F</t>
  </si>
  <si>
    <t>K.</t>
  </si>
  <si>
    <t>EUconst_ConfirmAllowUseOfData</t>
  </si>
  <si>
    <t>ausblenden</t>
  </si>
  <si>
    <t>lv</t>
  </si>
  <si>
    <t>Lithuanian</t>
  </si>
  <si>
    <t>lt</t>
  </si>
  <si>
    <t>Hungarian</t>
  </si>
  <si>
    <t>hu</t>
  </si>
  <si>
    <t>Maltese</t>
  </si>
  <si>
    <t>mt</t>
  </si>
  <si>
    <t>Dutch</t>
  </si>
  <si>
    <t>nl</t>
  </si>
  <si>
    <t>Polish</t>
  </si>
  <si>
    <t>pl</t>
  </si>
  <si>
    <t>Portuguese</t>
  </si>
  <si>
    <t>pt</t>
  </si>
  <si>
    <t>Romanian</t>
  </si>
  <si>
    <t>ro</t>
  </si>
  <si>
    <t>Slovak</t>
  </si>
  <si>
    <t>sk</t>
  </si>
  <si>
    <t>Slovenian</t>
  </si>
  <si>
    <t>sl</t>
  </si>
  <si>
    <t>Finnish</t>
  </si>
  <si>
    <t>fi</t>
  </si>
  <si>
    <t>Swedish</t>
  </si>
  <si>
    <t>sv</t>
  </si>
  <si>
    <t>Reference File Name</t>
  </si>
  <si>
    <t>COM</t>
  </si>
  <si>
    <t>AT</t>
  </si>
  <si>
    <t>BE</t>
  </si>
  <si>
    <t>BG</t>
  </si>
  <si>
    <t>CY</t>
  </si>
  <si>
    <t>CZ</t>
  </si>
  <si>
    <t>DK</t>
  </si>
  <si>
    <t>EE</t>
  </si>
  <si>
    <t>FI</t>
  </si>
  <si>
    <t>FR</t>
  </si>
  <si>
    <t>DE</t>
  </si>
  <si>
    <t>EL</t>
  </si>
  <si>
    <t>HU</t>
  </si>
  <si>
    <t>IE</t>
  </si>
  <si>
    <t>IT</t>
  </si>
  <si>
    <t>LV</t>
  </si>
  <si>
    <t>LT</t>
  </si>
  <si>
    <t>LU</t>
  </si>
  <si>
    <t>MT</t>
  </si>
  <si>
    <t>NL</t>
  </si>
  <si>
    <t>PL</t>
  </si>
  <si>
    <t>PT</t>
  </si>
  <si>
    <t>RO</t>
  </si>
  <si>
    <t>SK</t>
  </si>
  <si>
    <t>SI</t>
  </si>
  <si>
    <t>ES</t>
  </si>
  <si>
    <t>SE</t>
  </si>
  <si>
    <t>UK</t>
  </si>
  <si>
    <t>P</t>
  </si>
  <si>
    <t>Green fields are used throughout the template for conditional formatting!</t>
  </si>
  <si>
    <t>EUconst_Negative</t>
  </si>
  <si>
    <t>SUM_CO2</t>
  </si>
  <si>
    <t>SUM_bioCO2</t>
  </si>
  <si>
    <t>SUM_EnergyIN</t>
  </si>
  <si>
    <t>EUconst_SumCO2</t>
  </si>
  <si>
    <t>EUconst_SumBioCO2</t>
  </si>
  <si>
    <t>EUconst_SumEnergyIN</t>
  </si>
  <si>
    <t>EUconst_SumN2O</t>
  </si>
  <si>
    <t>EUconst_SumPFC</t>
  </si>
  <si>
    <t>SUM_N2O</t>
  </si>
  <si>
    <t>SUM_PFC</t>
  </si>
  <si>
    <t>FB1</t>
  </si>
  <si>
    <t>FB2</t>
  </si>
  <si>
    <t>FB3</t>
  </si>
  <si>
    <t>FB4</t>
  </si>
  <si>
    <t>FB5</t>
  </si>
  <si>
    <t>FB6</t>
  </si>
  <si>
    <t>(a)</t>
  </si>
  <si>
    <t>Austria</t>
  </si>
  <si>
    <t>Belgium</t>
  </si>
  <si>
    <t>Bulgaria</t>
  </si>
  <si>
    <t>Cyprus</t>
  </si>
  <si>
    <t>Czech Republic</t>
  </si>
  <si>
    <t>Denmark</t>
  </si>
  <si>
    <t>Estonia</t>
  </si>
  <si>
    <t>Finland</t>
  </si>
  <si>
    <t>France</t>
  </si>
  <si>
    <t>Germany</t>
  </si>
  <si>
    <t>Greece</t>
  </si>
  <si>
    <t>Hungary</t>
  </si>
  <si>
    <t>Ireland</t>
  </si>
  <si>
    <t>Italy</t>
  </si>
  <si>
    <t>Latvia</t>
  </si>
  <si>
    <t>Lithuania</t>
  </si>
  <si>
    <t>Luxembourg</t>
  </si>
  <si>
    <t>Malta</t>
  </si>
  <si>
    <t>Netherlands</t>
  </si>
  <si>
    <t>Poland</t>
  </si>
  <si>
    <t>Iceland</t>
  </si>
  <si>
    <t>EUconst_CWTpa</t>
  </si>
  <si>
    <t>EUconst_ERR_MandatoryDII3a</t>
  </si>
  <si>
    <t>EUconst_ERR_MandatoryEII4</t>
  </si>
  <si>
    <t>Jump indicator</t>
  </si>
  <si>
    <t>EUconst_MsgUseElExchTool</t>
  </si>
  <si>
    <t>Jump Address:</t>
  </si>
  <si>
    <t>EUconst_MsgGoOn_d</t>
  </si>
  <si>
    <t>EUconst_MsgGoOnIfNotRelevant</t>
  </si>
  <si>
    <t>EUconst_Month</t>
  </si>
  <si>
    <t>EUconst_BMSubinst</t>
  </si>
  <si>
    <t>EUconst_ERR_DatesSorting</t>
  </si>
  <si>
    <t>EUconst_DateMissing</t>
  </si>
  <si>
    <t>EUconst_Unit</t>
  </si>
  <si>
    <t>EUconst_GJ</t>
  </si>
  <si>
    <t>GJ</t>
  </si>
  <si>
    <t>EUconst_MWh</t>
  </si>
  <si>
    <t>MWh</t>
  </si>
  <si>
    <t>EUconst_t</t>
  </si>
  <si>
    <t>t</t>
  </si>
  <si>
    <t>EUconst_tCO2</t>
  </si>
  <si>
    <t>t CO2</t>
  </si>
  <si>
    <t>EUconst_tN2O</t>
  </si>
  <si>
    <t>t N2O</t>
  </si>
  <si>
    <t>EUconst_Or</t>
  </si>
  <si>
    <t>(j)</t>
  </si>
  <si>
    <t>(k)</t>
  </si>
  <si>
    <t>(l)</t>
  </si>
  <si>
    <t>(m)</t>
  </si>
  <si>
    <t>EUconst_WithinInst</t>
  </si>
  <si>
    <t>EUconst_HeatUseTypes</t>
  </si>
  <si>
    <t>SG</t>
  </si>
  <si>
    <t>P (MNm3 O2)</t>
  </si>
  <si>
    <t>F (MNm3)</t>
  </si>
  <si>
    <t>kW</t>
  </si>
  <si>
    <t>List of Sub-installations for drop-downlists:</t>
  </si>
  <si>
    <t>EUconst_ConnectedEntityTypes</t>
  </si>
  <si>
    <t>EUconst_ConnectionTypes</t>
  </si>
  <si>
    <t>Period choosen:</t>
  </si>
  <si>
    <t>Year relevant:</t>
  </si>
  <si>
    <t>Member of period:</t>
  </si>
  <si>
    <t>Table for conditional formatting:</t>
  </si>
  <si>
    <t>Indicator</t>
  </si>
  <si>
    <t>Identify and use only relevant years here:</t>
  </si>
  <si>
    <t>EUconst_CNTR_HAL</t>
  </si>
  <si>
    <t>HAL_</t>
  </si>
  <si>
    <t>EUconst_CNTR_ELEXCH</t>
  </si>
  <si>
    <t>ELEXCH_</t>
  </si>
  <si>
    <t>http://ec.europa.eu/eurostat/ramon/nomenclatures/index.cfm?TargetUrl=LST_CLS_DLD&amp;StrNom=NACE_REV2&amp;StrLanguageCode=EN&amp;StrLayoutCode=HIERARCHIC</t>
  </si>
  <si>
    <t>EPRTR ID:</t>
  </si>
  <si>
    <t>for use in section E.III.1.f</t>
  </si>
  <si>
    <t>b</t>
  </si>
  <si>
    <t xml:space="preserve">&lt;&lt;&lt; END OF TEMPLATE &gt;&gt;&gt; </t>
  </si>
  <si>
    <t>List of technical connections for drop-downlists:</t>
  </si>
  <si>
    <t>sorted line</t>
  </si>
  <si>
    <t>interim value</t>
  </si>
  <si>
    <t>Name of Transfer Entity</t>
  </si>
  <si>
    <t>Product BM?</t>
  </si>
  <si>
    <t>V</t>
  </si>
  <si>
    <t>EUconst_Relevant</t>
  </si>
  <si>
    <t>EUconst_NotRelevant</t>
  </si>
  <si>
    <t>EUconst_kNm3pa</t>
  </si>
  <si>
    <t>EUconst_TonnesOrkNm3pa</t>
  </si>
  <si>
    <t>1000Nm3/year</t>
  </si>
  <si>
    <t>EUconst_GJperTorKNm3</t>
  </si>
  <si>
    <t>EUconst_GJperUnit</t>
  </si>
  <si>
    <t>A.</t>
  </si>
  <si>
    <t>D.</t>
  </si>
  <si>
    <t>E.</t>
  </si>
  <si>
    <t>F.</t>
  </si>
  <si>
    <t>G.</t>
  </si>
  <si>
    <t>H.</t>
  </si>
  <si>
    <t>I.</t>
  </si>
  <si>
    <t>J.</t>
  </si>
  <si>
    <t>EUconst_Incomplete</t>
  </si>
  <si>
    <t>EUconst_ERR_Mandatory_ef</t>
  </si>
  <si>
    <t>Make grey?</t>
  </si>
  <si>
    <t>EUconst_OK</t>
  </si>
  <si>
    <t>O.K.</t>
  </si>
  <si>
    <t>controls</t>
  </si>
  <si>
    <t>Version:</t>
  </si>
  <si>
    <t>Info for automatic Version detection</t>
  </si>
  <si>
    <t>Template type:</t>
  </si>
  <si>
    <t>Type list:</t>
  </si>
  <si>
    <t>Language:</t>
  </si>
  <si>
    <t>Issued by:</t>
  </si>
  <si>
    <t>European Commission</t>
  </si>
  <si>
    <t>Bulgarian</t>
  </si>
  <si>
    <t>bg</t>
  </si>
  <si>
    <t>Spanish</t>
  </si>
  <si>
    <t>es</t>
  </si>
  <si>
    <t>Czech</t>
  </si>
  <si>
    <t>cs</t>
  </si>
  <si>
    <t>Danish</t>
  </si>
  <si>
    <t>da</t>
  </si>
  <si>
    <t>German</t>
  </si>
  <si>
    <t>de</t>
  </si>
  <si>
    <t>Estonian</t>
  </si>
  <si>
    <t>et</t>
  </si>
  <si>
    <t>Greek</t>
  </si>
  <si>
    <t>el</t>
  </si>
  <si>
    <t>English</t>
  </si>
  <si>
    <t>en</t>
  </si>
  <si>
    <t>French</t>
  </si>
  <si>
    <t>fr</t>
  </si>
  <si>
    <t>Italian</t>
  </si>
  <si>
    <t>it</t>
  </si>
  <si>
    <t>Latvian</t>
  </si>
  <si>
    <t>EUconst_CNTR_nonETSMeasHeat</t>
  </si>
  <si>
    <t>Number of non-empty relevant cells</t>
  </si>
  <si>
    <t>Search criterion</t>
  </si>
  <si>
    <t>Start of aggregation</t>
  </si>
  <si>
    <t>for use in section E.II</t>
  </si>
  <si>
    <t>Number of activity</t>
  </si>
  <si>
    <t>EUconst_ERR_ActivityMissing</t>
  </si>
  <si>
    <t>EUconst_MSlist</t>
  </si>
  <si>
    <t>EUconst_MSlistISOcodes</t>
  </si>
  <si>
    <t>v.</t>
  </si>
  <si>
    <t>vi.</t>
  </si>
  <si>
    <t>vii.</t>
  </si>
  <si>
    <t>viii.</t>
  </si>
  <si>
    <t>ix.</t>
  </si>
  <si>
    <t>For formatting of capacity list:</t>
  </si>
  <si>
    <t>CNTR_ExistSubInstEntries</t>
  </si>
  <si>
    <t>For formatting of connection list:</t>
  </si>
  <si>
    <t>CNTR_ExistConnectionEntries</t>
  </si>
  <si>
    <t>Any error messages?</t>
  </si>
  <si>
    <t>Total:</t>
  </si>
  <si>
    <t>CNTR_HasEntries_A_I:</t>
  </si>
  <si>
    <t>Used for formatting and Error messages.</t>
  </si>
  <si>
    <t>S-PVC</t>
  </si>
  <si>
    <t>E-PVC</t>
  </si>
  <si>
    <t>end</t>
  </si>
  <si>
    <t>EUconst_Year</t>
  </si>
  <si>
    <t>BM number</t>
  </si>
  <si>
    <t>EUconst_Tons</t>
  </si>
  <si>
    <t>(o)</t>
  </si>
  <si>
    <t>(p)</t>
  </si>
  <si>
    <t>(q)</t>
  </si>
  <si>
    <t>CF(EOE)</t>
  </si>
  <si>
    <t>EUconst_MNm3pa</t>
  </si>
  <si>
    <t>Norway</t>
  </si>
  <si>
    <t>Liechtenstein</t>
  </si>
  <si>
    <t>IS</t>
  </si>
  <si>
    <t>LI</t>
  </si>
  <si>
    <t>NO</t>
  </si>
  <si>
    <t>UBA</t>
  </si>
  <si>
    <t>TEXT (Language Version)</t>
  </si>
  <si>
    <t>English Version (Original)</t>
  </si>
  <si>
    <t>EUconst_ReportingYears</t>
  </si>
  <si>
    <t>End</t>
  </si>
  <si>
    <t>Area for functionalities, Constants etc.</t>
  </si>
  <si>
    <t>II</t>
  </si>
  <si>
    <t>(b)</t>
  </si>
  <si>
    <t>Column Index:</t>
  </si>
  <si>
    <t xml:space="preserve"> %</t>
  </si>
  <si>
    <t>(d)</t>
  </si>
  <si>
    <t>III</t>
  </si>
  <si>
    <t>EUconst_ERR_Mandatory_g</t>
  </si>
  <si>
    <t>EUconst_ERR_Mandatory_abd</t>
  </si>
  <si>
    <t>Section II.1</t>
  </si>
  <si>
    <t>Section II.2</t>
  </si>
  <si>
    <t>EUconst_ERR_DoubleBMentry</t>
  </si>
  <si>
    <t>EUconst_ERR_MissingSubInstEntry</t>
  </si>
  <si>
    <t>EUconst_ERR_MissingFallBackEntry</t>
  </si>
  <si>
    <t>ETS coverage (f. formatting)</t>
  </si>
  <si>
    <t>Used f. Formatting of navigation panel</t>
  </si>
  <si>
    <t>EUconst_ERR_Mandatory_Bbc</t>
  </si>
  <si>
    <t>EUconst_ERR_StartWithFuels</t>
  </si>
  <si>
    <t>EUconst_ERR_Goto_DI2</t>
  </si>
  <si>
    <t>EUconst_Fuel</t>
  </si>
  <si>
    <t>EUconst_GJpa</t>
  </si>
  <si>
    <t>EUconst_BaselinePeriods</t>
  </si>
  <si>
    <t># occurances</t>
  </si>
  <si>
    <t>EUconst_HeatBMvalue</t>
  </si>
  <si>
    <t>EUconst_ElBM</t>
  </si>
  <si>
    <t>Unit of HAL</t>
  </si>
  <si>
    <t>Message regarding special reporting</t>
  </si>
  <si>
    <t xml:space="preserve">-  </t>
  </si>
  <si>
    <t>Norwegian</t>
  </si>
  <si>
    <t>no</t>
  </si>
  <si>
    <t>VII</t>
  </si>
  <si>
    <t>VIII</t>
  </si>
  <si>
    <t>EUconst_FuelBMvalue</t>
  </si>
  <si>
    <t>http://ec.europa.eu/eurostat/ramon/nomenclatures/index.cfm?TargetUrl=LST_CLS_DLD&amp;StrNom=PRD_2010&amp;StrLanguageCode=EN&amp;StrLayoutCode=HIERARCHIC</t>
  </si>
  <si>
    <t>EUconst_ProcessEmissionTypes</t>
  </si>
  <si>
    <t>N2O</t>
  </si>
  <si>
    <t>Umweltbundesamt</t>
  </si>
  <si>
    <t>Spain</t>
  </si>
  <si>
    <t>Sweden</t>
  </si>
  <si>
    <t>United Kingdom</t>
  </si>
  <si>
    <t>EUconst_MsgSeeFirst</t>
  </si>
  <si>
    <t>EUconst_MsgProceedF</t>
  </si>
  <si>
    <t>EUconst_MsgProceedEII2</t>
  </si>
  <si>
    <t>EUconst_MsgGoOn</t>
  </si>
  <si>
    <t>EUconst_Inconsistent</t>
  </si>
  <si>
    <t>EUconst_tCO2pkNm3</t>
  </si>
  <si>
    <t>Portugal</t>
  </si>
  <si>
    <t>Romania</t>
  </si>
  <si>
    <t>Slovakia</t>
  </si>
  <si>
    <t>Slovenia</t>
  </si>
  <si>
    <t>Identify and use only relevant years here (relevant = full baseline period):</t>
  </si>
  <si>
    <t>MSconst_AllowInstEmmisionTotals</t>
  </si>
  <si>
    <t>EUconst_TrueFalse</t>
  </si>
  <si>
    <t>EUconst_TrueFalseNA</t>
  </si>
  <si>
    <t>I</t>
  </si>
  <si>
    <t>-</t>
  </si>
  <si>
    <t>%</t>
  </si>
  <si>
    <t>R</t>
  </si>
  <si>
    <t>EUconst_Error</t>
  </si>
  <si>
    <t>ERR_</t>
  </si>
  <si>
    <t>Errors?</t>
  </si>
  <si>
    <t>Error messages?</t>
  </si>
  <si>
    <t>BM1</t>
  </si>
  <si>
    <t>BM2</t>
  </si>
  <si>
    <t>BM3</t>
  </si>
  <si>
    <t>BM4</t>
  </si>
  <si>
    <t>BM5</t>
  </si>
  <si>
    <t>BM6</t>
  </si>
  <si>
    <t>BM7</t>
  </si>
  <si>
    <t>BM8</t>
  </si>
  <si>
    <t>BM9</t>
  </si>
  <si>
    <t>BM10</t>
  </si>
  <si>
    <t>EUconst_RelevantNotRelevant</t>
  </si>
  <si>
    <t>EUconst_CLnonCL</t>
  </si>
  <si>
    <t>EUconst_ConnectionTransferTypes</t>
  </si>
  <si>
    <t>EUconst_ConnectionShortTypes</t>
  </si>
  <si>
    <t>CO2</t>
  </si>
  <si>
    <t>EUconst_ConfirmationNotEligible</t>
  </si>
  <si>
    <t>EUconst_ConfirmApplicationForAlloc</t>
  </si>
  <si>
    <t>for BM value</t>
  </si>
  <si>
    <t>HeatEx_</t>
  </si>
  <si>
    <t>WasteGasEx_</t>
  </si>
  <si>
    <t>EUconst_CNTR_HeatExport</t>
  </si>
  <si>
    <t>EUconst_CNTR_WGExport</t>
  </si>
  <si>
    <t>AVERAGE</t>
  </si>
  <si>
    <t>FuelInput_</t>
  </si>
  <si>
    <t>EUconst_CNTR_FuelInput</t>
  </si>
  <si>
    <t>EUconst_CNTR_WGExportEF</t>
  </si>
  <si>
    <t>WasteGasExEF_</t>
  </si>
  <si>
    <t>HeatExEF_</t>
  </si>
  <si>
    <t>EUconst_CNTR_HeatExportEF</t>
  </si>
  <si>
    <t>EUconst_CNTR_HeatImport</t>
  </si>
  <si>
    <t>HeatIm_</t>
  </si>
  <si>
    <t>EUconst_CNTR_HeatImportEF</t>
  </si>
  <si>
    <t>HeatImEF_</t>
  </si>
  <si>
    <t>EUconst_CNTR_ElectricityExported</t>
  </si>
  <si>
    <t>ElecEx_</t>
  </si>
  <si>
    <t>EUconst_CNTR_WGImport</t>
  </si>
  <si>
    <t>EUconst_CNTR_WGImportEF</t>
  </si>
  <si>
    <t>WasteGasImEF_</t>
  </si>
  <si>
    <t>WasteGasIm_</t>
  </si>
  <si>
    <t>xiii.</t>
  </si>
  <si>
    <t>xiv.</t>
  </si>
  <si>
    <t>xv.</t>
  </si>
  <si>
    <t>xvi.</t>
  </si>
  <si>
    <t>xvii.</t>
  </si>
  <si>
    <t>xviii.</t>
  </si>
  <si>
    <t>xix.</t>
  </si>
  <si>
    <t>xx.</t>
  </si>
  <si>
    <t>xxi.</t>
  </si>
  <si>
    <t>xxii.</t>
  </si>
  <si>
    <t>xxiii.</t>
  </si>
  <si>
    <t>EUconst_CNTR_Emissions</t>
  </si>
  <si>
    <t>make grey?</t>
  </si>
  <si>
    <t>2014-2018</t>
  </si>
  <si>
    <t>2019-2023</t>
  </si>
  <si>
    <t>EUconst_tCO2pMWh</t>
  </si>
  <si>
    <t>EUconst_NGEFvalue</t>
  </si>
  <si>
    <t>ARR</t>
  </si>
  <si>
    <t>Reporting years used:</t>
  </si>
  <si>
    <t>Reporting years (default):</t>
  </si>
  <si>
    <t>Croatia</t>
  </si>
  <si>
    <t>HR</t>
  </si>
  <si>
    <t>IC</t>
  </si>
  <si>
    <t>Croatian</t>
  </si>
  <si>
    <t>hr</t>
  </si>
  <si>
    <t>Icelandic</t>
  </si>
  <si>
    <t>ic</t>
  </si>
  <si>
    <t>Print area:</t>
  </si>
  <si>
    <t>#</t>
  </si>
  <si>
    <t>NCV</t>
  </si>
  <si>
    <t>EF</t>
  </si>
  <si>
    <t>B: AEO</t>
  </si>
  <si>
    <t>B: CE</t>
  </si>
  <si>
    <t>B: OVC</t>
  </si>
  <si>
    <t/>
  </si>
  <si>
    <t>EUconst_CNTR_HeatImportPulp</t>
  </si>
  <si>
    <t>HeatImPulp_</t>
  </si>
  <si>
    <t>EUconst_CNTR_HeatImportNitric</t>
  </si>
  <si>
    <t>HeatImNitric_</t>
  </si>
  <si>
    <t>CNTR_ProdElec</t>
  </si>
  <si>
    <t>EUconst_AllYears</t>
  </si>
  <si>
    <t>(r)</t>
  </si>
  <si>
    <t>D.II.b !</t>
  </si>
  <si>
    <t>for dynamic print area</t>
  </si>
  <si>
    <t>EUconst_CLEFYears</t>
  </si>
  <si>
    <t>EUconst_CLEFDistrict</t>
  </si>
  <si>
    <t>Draft NIMs baseline data Phase 4</t>
  </si>
  <si>
    <t>NIMs P4 draft</t>
  </si>
  <si>
    <t>NIMs P4 2nd draft</t>
  </si>
  <si>
    <t>NIMs P4 3rd draft</t>
  </si>
  <si>
    <t>Draft II NIMs baseline data Phase 4</t>
  </si>
  <si>
    <t>Draft III NIMs baseline data Phase 4</t>
  </si>
  <si>
    <t>District heating sub-installation</t>
  </si>
  <si>
    <t>EUconst_AllocPrelim</t>
  </si>
  <si>
    <t>AllocPrelim_</t>
  </si>
  <si>
    <t>Year:</t>
  </si>
  <si>
    <t>Sheet Y #</t>
  </si>
  <si>
    <t>CNTR_BaselinePeriod:</t>
  </si>
  <si>
    <t>FB7</t>
  </si>
  <si>
    <t>Average</t>
  </si>
  <si>
    <t>Dont touch!</t>
  </si>
  <si>
    <t>sub-inst-No</t>
  </si>
  <si>
    <t>CL-status</t>
  </si>
  <si>
    <t>EmInternalSource1_</t>
  </si>
  <si>
    <t>EmInternalSource2_</t>
  </si>
  <si>
    <t>EUconst_CNTR_EmissionsIntSource1</t>
  </si>
  <si>
    <t>EUconst_CNTR_EmissionsIntSource2</t>
  </si>
  <si>
    <t>EUconst_CNTR_CO2Feedstock</t>
  </si>
  <si>
    <t>EmCO2Feedstock_</t>
  </si>
  <si>
    <t>EUconst_SumTransferCO2</t>
  </si>
  <si>
    <t>SUM_Tranfer_CO2</t>
  </si>
  <si>
    <t>GJ/t</t>
  </si>
  <si>
    <t>tCO2/TJ</t>
  </si>
  <si>
    <t>tCO2/t</t>
  </si>
  <si>
    <t>tC/t</t>
  </si>
  <si>
    <t>g/Nm3</t>
  </si>
  <si>
    <t>make conditional?</t>
  </si>
  <si>
    <t>GB</t>
  </si>
  <si>
    <t>GR</t>
  </si>
  <si>
    <t>EUconst_MSlistEUTLcodes</t>
  </si>
  <si>
    <t>EUconst_CNTR_WGProduced</t>
  </si>
  <si>
    <t>WasteGasProd_</t>
  </si>
  <si>
    <t>EUconst_CNTR_WGFlared</t>
  </si>
  <si>
    <t>WasteGasFlare_</t>
  </si>
  <si>
    <t>https://eur-lex.europa.eu/eli/reg_del/2015/2402/oj</t>
  </si>
  <si>
    <t>EUconst_CNTR_WGConsumed</t>
  </si>
  <si>
    <t>WasteGasCons_</t>
  </si>
  <si>
    <t>for allocation reduction for flaring as of 2026:</t>
  </si>
  <si>
    <t>for E.III:</t>
  </si>
  <si>
    <t>These are auxiliary calculations for the heat balance:</t>
  </si>
  <si>
    <t>E.II.r !</t>
  </si>
  <si>
    <t>indicator for cond. format.</t>
  </si>
  <si>
    <t>CTRL_InputMethodFuelDistribution</t>
  </si>
  <si>
    <t>taken from E.II.r</t>
  </si>
  <si>
    <t>E.I.1.c !</t>
  </si>
  <si>
    <t>EUconst_WasteGasCorrFactor</t>
  </si>
  <si>
    <t>EUconst_CNTR_AttributedEmissions</t>
  </si>
  <si>
    <t>AttrEmissions_</t>
  </si>
  <si>
    <t>EUTL-List</t>
  </si>
  <si>
    <t>EUconst_CNTR_HALPulpTotal</t>
  </si>
  <si>
    <t>HALPulpTotal_</t>
  </si>
  <si>
    <t>CNTR_NACEInstallation</t>
  </si>
  <si>
    <t>CNTR_UniqueID</t>
  </si>
  <si>
    <t>1.</t>
  </si>
  <si>
    <t>2.</t>
  </si>
  <si>
    <t>3.</t>
  </si>
  <si>
    <t>4.</t>
  </si>
  <si>
    <t>5.</t>
  </si>
  <si>
    <t>6.</t>
  </si>
  <si>
    <t>EUconst_BM_ARR_Range</t>
  </si>
  <si>
    <t>ARR(min)</t>
  </si>
  <si>
    <t>ARR(max)</t>
  </si>
  <si>
    <t>HVC-Corr</t>
  </si>
  <si>
    <t>VCM-F</t>
  </si>
  <si>
    <t>EUconst_ERR_AttrEmBMapplied</t>
  </si>
  <si>
    <t>no calculation if heatBM or fuelBM needs to be applied:</t>
  </si>
  <si>
    <t>CL-value for Y1:</t>
  </si>
  <si>
    <t>EUconst_CNTR_ELEXCH_min</t>
  </si>
  <si>
    <t>EUconst_CNTR_ELEXCH_max</t>
  </si>
  <si>
    <t>ELEXCHmin_</t>
  </si>
  <si>
    <t>ELEXCHmax_</t>
  </si>
  <si>
    <t>EUconst_StatusOfDataCollection</t>
  </si>
  <si>
    <t>Prelim Alloc Y1</t>
  </si>
  <si>
    <t>ARR (actual)</t>
  </si>
  <si>
    <t>EUconst_MsgAttrEm</t>
  </si>
  <si>
    <t>EUconst_CNTR_FuelEF</t>
  </si>
  <si>
    <t>FuelEF_</t>
  </si>
  <si>
    <t>DirEmissions_</t>
  </si>
  <si>
    <t>EUconst_CNTR_WGProducedEF</t>
  </si>
  <si>
    <t>WasteGasProdEF_</t>
  </si>
  <si>
    <t>EUconst_CNTR_WGConsumedEF</t>
  </si>
  <si>
    <t>WasteGasConsEF_</t>
  </si>
  <si>
    <t>EUconst_CNTR_WGFlaredEF</t>
  </si>
  <si>
    <t>WasteGasFlareEF_</t>
  </si>
  <si>
    <t>&lt; 1 year</t>
  </si>
  <si>
    <t>Start date</t>
  </si>
  <si>
    <t>&lt; 1 year?</t>
  </si>
  <si>
    <t>EUconst_CNTR_IntermediateImport</t>
  </si>
  <si>
    <t>EUconst_CNTR_IntermediateExport</t>
  </si>
  <si>
    <t>IntImp_</t>
  </si>
  <si>
    <t>IntExp_</t>
  </si>
  <si>
    <t>=</t>
  </si>
  <si>
    <t>+</t>
  </si>
  <si>
    <t>+/-</t>
  </si>
  <si>
    <t>CNTR_ExistProductSubEntries</t>
  </si>
  <si>
    <t>EUconst_CNTR_HeatImportProduct</t>
  </si>
  <si>
    <t>EUconst_CNTR_HeatImportProductEF</t>
  </si>
  <si>
    <t>EUconst_CNTR_HeatImportPulpEF</t>
  </si>
  <si>
    <t>HeatImProd_</t>
  </si>
  <si>
    <t>HeatImProdEF_</t>
  </si>
  <si>
    <t>HeatImPulpEF_</t>
  </si>
  <si>
    <t>HeatImFuel_</t>
  </si>
  <si>
    <t>HeatImFuelEF_</t>
  </si>
  <si>
    <t>EUconst_CNTR_HeatImportFuel</t>
  </si>
  <si>
    <t>EUconst_CNTR_HeatImportFuelEF</t>
  </si>
  <si>
    <t>end of sum</t>
  </si>
  <si>
    <t>CL?</t>
  </si>
  <si>
    <t>Prelim Alloc</t>
  </si>
  <si>
    <t>prelim alloc</t>
  </si>
  <si>
    <t>value needed for conditional formatting</t>
  </si>
  <si>
    <t>MSconst_RequireArt27Info</t>
  </si>
  <si>
    <t>MSconst_RequireArt27aInfo</t>
  </si>
  <si>
    <t>Conditional formatting: Art. 27 reporting mandatory?</t>
  </si>
  <si>
    <t>Conditional formatting: Art. 27a reporting mandatory?</t>
  </si>
  <si>
    <t>EUconst_CNTR_HeatProduced</t>
  </si>
  <si>
    <t>HeatProd_</t>
  </si>
  <si>
    <t>Alloc (min)</t>
  </si>
  <si>
    <t>Alloc (max)</t>
  </si>
  <si>
    <t>Alloc (actual)</t>
  </si>
  <si>
    <t>CNTR_MinMaxActual</t>
  </si>
  <si>
    <t>EUconst_MinOrMaxOrActual</t>
  </si>
  <si>
    <t>B+C.</t>
  </si>
  <si>
    <t>MSconst_RequirePermitInfo</t>
  </si>
  <si>
    <t>B+C</t>
  </si>
  <si>
    <t>xxiv.</t>
  </si>
  <si>
    <t>xxv.</t>
  </si>
  <si>
    <t>xxvi.</t>
  </si>
  <si>
    <t>truncated to 250 characters</t>
  </si>
  <si>
    <t>Originals, not truncated</t>
  </si>
  <si>
    <t>Ref. No.</t>
  </si>
  <si>
    <t>avg16-17|21-22</t>
  </si>
  <si>
    <t>http://data.europa.eu/eli/reg_del/2019/331/oj</t>
  </si>
  <si>
    <t>https://ec.europa.eu/clima/policies/ets/allowances_en#tab-0-1</t>
  </si>
  <si>
    <t>EUconst_HeatBMvalueForBM</t>
  </si>
  <si>
    <t>EUconst_FuelBMvalueForBM</t>
  </si>
  <si>
    <t>CBAM</t>
  </si>
  <si>
    <t>HAL H2, WGS</t>
  </si>
  <si>
    <t>Median</t>
  </si>
  <si>
    <t>EUconst_CBAMFactor</t>
  </si>
  <si>
    <t>CBAM factors:</t>
  </si>
  <si>
    <t>CNTR_Conditionality22a22b</t>
  </si>
  <si>
    <t>MEDIAN</t>
  </si>
  <si>
    <t>EUconst_ConditionalityMissing</t>
  </si>
  <si>
    <t>CNTR_ConditionalityOK</t>
  </si>
  <si>
    <t>Conditionality for &gt;80%</t>
  </si>
  <si>
    <t>make tool conditional?</t>
  </si>
  <si>
    <t>CNP relevant?</t>
  </si>
  <si>
    <t>cond.form.</t>
  </si>
  <si>
    <t>CNTR_Conditionality22a</t>
  </si>
  <si>
    <t>CNTR_Conditionality22b</t>
  </si>
  <si>
    <t>EUconst_CNTR_ConditionalityOK</t>
  </si>
  <si>
    <t>A.II.1-4!</t>
  </si>
  <si>
    <t>10% best value (EUA/t)</t>
  </si>
  <si>
    <t>CBAM-status</t>
  </si>
  <si>
    <t>A.I.4.a!</t>
  </si>
  <si>
    <t>Conditionality for &lt;10%</t>
  </si>
  <si>
    <t>sum of prelim alloc for 10% best</t>
  </si>
  <si>
    <t>EUconst_CNTR_HeatProducedElectricity</t>
  </si>
  <si>
    <t>HeatProdElec_</t>
  </si>
  <si>
    <t>FB8</t>
  </si>
  <si>
    <t>FB9</t>
  </si>
  <si>
    <t>FB10</t>
  </si>
  <si>
    <t>EUconst_CNTR_H2AdditionalEmissions</t>
  </si>
  <si>
    <t>EUconst_CNTR_H2ActualPlusTheoretical</t>
  </si>
  <si>
    <t>H2Total_</t>
  </si>
  <si>
    <t>H2AddEm_</t>
  </si>
  <si>
    <t>Corrections for attributed emissions (columns S to W):</t>
  </si>
  <si>
    <t>https://eur-lex.europa.eu/eli/reg/1987/2658/2023-06-17</t>
  </si>
  <si>
    <t>Old BM No.</t>
  </si>
  <si>
    <t>BM main No.</t>
  </si>
  <si>
    <t>No. BM</t>
  </si>
  <si>
    <t>EUconst_MSDHConditionalityList</t>
  </si>
  <si>
    <t>taken from sheet G: used for memo-item on measurable heat exported from fuel BM sub</t>
  </si>
  <si>
    <t>https://eur-lex.europa.eu/eli/dir/2003/87/2023-06-05</t>
  </si>
  <si>
    <t>EUconst_CNTR_ElectricityInput</t>
  </si>
  <si>
    <t>ElectricityInput_</t>
  </si>
  <si>
    <t>ElectricityEF_</t>
  </si>
  <si>
    <t>EUconst_CNTR_ElectricityEF</t>
  </si>
  <si>
    <t>EUconst_CNTR_OtherEnergyInput</t>
  </si>
  <si>
    <t>EUconst_CNTR_OtherEnergyEF</t>
  </si>
  <si>
    <t>OtherEnergyInput_</t>
  </si>
  <si>
    <t>OtherEnergyEF_</t>
  </si>
  <si>
    <t>EUconst_CNTR_TotalEnergyInput</t>
  </si>
  <si>
    <t>TotalEnergyInput_</t>
  </si>
  <si>
    <t>80%-Percentile 2016/2017</t>
  </si>
  <si>
    <t>Threshold expressed in MW?</t>
  </si>
  <si>
    <t>NIMs baseline data report Phase 4_2</t>
  </si>
  <si>
    <t>NIMs P4 baseline 4_2</t>
  </si>
  <si>
    <t>b_Guidelines &amp; conditions'!$B$9</t>
  </si>
  <si>
    <t>b_Guidelines &amp; conditions'!$B$12</t>
  </si>
  <si>
    <t>b_Guidelines &amp; conditions'!$B$13</t>
  </si>
  <si>
    <t>b_Guidelines &amp; conditions'!$B$16</t>
  </si>
  <si>
    <t>A_InstallationData'!$G$4</t>
  </si>
  <si>
    <t>A_InstallationData'!$F$44</t>
  </si>
  <si>
    <t>A_InstallationData'!$F$45</t>
  </si>
  <si>
    <t>A_InstallationData'!$E$48</t>
  </si>
  <si>
    <t>A_InstallationData'!$E$51</t>
  </si>
  <si>
    <t>A_InstallationData'!$M$115</t>
  </si>
  <si>
    <t>A_InstallationData'!$E$123</t>
  </si>
  <si>
    <t>A_InstallationData'!$F$139</t>
  </si>
  <si>
    <t>A_InstallationData'!$E$167</t>
  </si>
  <si>
    <t>A_InstallationData'!$E$168</t>
  </si>
  <si>
    <t>A_InstallationData'!$D$173</t>
  </si>
  <si>
    <t>; 'A_InstallationData'!$D$175</t>
  </si>
  <si>
    <t>A_InstallationData'!$E$180</t>
  </si>
  <si>
    <t>A_InstallationData'!$E$186</t>
  </si>
  <si>
    <t>A_InstallationData'!$D$190</t>
  </si>
  <si>
    <t>A_InstallationData'!$E$191</t>
  </si>
  <si>
    <t>A_InstallationData'!$E$193</t>
  </si>
  <si>
    <t>A_InstallationData'!$E$194</t>
  </si>
  <si>
    <t>A_InstallationData'!$E$196</t>
  </si>
  <si>
    <t>A_InstallationData'!$E$197</t>
  </si>
  <si>
    <t>A_InstallationData'!$E$199</t>
  </si>
  <si>
    <t>A_InstallationData'!$E$200</t>
  </si>
  <si>
    <t>A_InstallationData'!$F$201</t>
  </si>
  <si>
    <t>A_InstallationData'!$F$202</t>
  </si>
  <si>
    <t>A_InstallationData'!$F$203</t>
  </si>
  <si>
    <t>A_InstallationData'!$F$204</t>
  </si>
  <si>
    <t>A_InstallationData'!$F$205</t>
  </si>
  <si>
    <t>A_InstallationData'!$E$206</t>
  </si>
  <si>
    <t>A_InstallationData'!$E$208</t>
  </si>
  <si>
    <t>A_InstallationData'!$G$208</t>
  </si>
  <si>
    <t>A_InstallationData'!$I$208</t>
  </si>
  <si>
    <t>A_InstallationData'!$K$208</t>
  </si>
  <si>
    <t>A_InstallationData'!$M$208</t>
  </si>
  <si>
    <t>A_InstallationData'!$E$211</t>
  </si>
  <si>
    <t>A_InstallationData'!$E$212</t>
  </si>
  <si>
    <t>A_InstallationData'!$E$214</t>
  </si>
  <si>
    <t>A_InstallationData'!$E$215</t>
  </si>
  <si>
    <t>A_InstallationData'!$E$216</t>
  </si>
  <si>
    <t>A_InstallationData'!$E$218</t>
  </si>
  <si>
    <t>A_InstallationData'!$E$219</t>
  </si>
  <si>
    <t>A_InstallationData'!$D$221</t>
  </si>
  <si>
    <t>A_InstallationData'!$E$222</t>
  </si>
  <si>
    <t>A_InstallationData'!$F$223</t>
  </si>
  <si>
    <t>A_InstallationData'!$F$224</t>
  </si>
  <si>
    <t>A_InstallationData'!$F$225</t>
  </si>
  <si>
    <t>A_InstallationData'!$E$227</t>
  </si>
  <si>
    <t>A_InstallationData'!$E$228</t>
  </si>
  <si>
    <t>A_InstallationData'!$E$230</t>
  </si>
  <si>
    <t>A_InstallationData'!$E$231</t>
  </si>
  <si>
    <t>A_InstallationData'!$E$233</t>
  </si>
  <si>
    <t>A_InstallationData'!$E$234</t>
  </si>
  <si>
    <t>A_InstallationData'!$E$236</t>
  </si>
  <si>
    <t>A_InstallationData'!$E$237</t>
  </si>
  <si>
    <t>A_InstallationData'!$D$239</t>
  </si>
  <si>
    <t>A_InstallationData'!$E$240</t>
  </si>
  <si>
    <t>A_InstallationData'!$E$242</t>
  </si>
  <si>
    <t>A_InstallationData'!$E$243</t>
  </si>
  <si>
    <t>A_InstallationData'!$E$244</t>
  </si>
  <si>
    <t>A_InstallationData'!$E$251</t>
  </si>
  <si>
    <t>A_InstallationData'!$E$263</t>
  </si>
  <si>
    <t>A_InstallationData'!$E$265</t>
  </si>
  <si>
    <t>A_InstallationData'!$E$266</t>
  </si>
  <si>
    <t>A_InstallationData'!$E$267</t>
  </si>
  <si>
    <t>A_InstallationData'!$I$270</t>
  </si>
  <si>
    <t>A_InstallationData'!$J$270</t>
  </si>
  <si>
    <t>A_InstallationData'!$E$287</t>
  </si>
  <si>
    <t>A_InstallationData'!$E$288</t>
  </si>
  <si>
    <t>A_InstallationData'!$E$289</t>
  </si>
  <si>
    <t>; 'A_InstallationData'!$R$270; 'A_InstallationData'!$R$294</t>
  </si>
  <si>
    <t>A_InstallationData'!$F$318</t>
  </si>
  <si>
    <t>; 'A_InstallationData'!$F$378</t>
  </si>
  <si>
    <t>; 'A_InstallationData'!$L$378</t>
  </si>
  <si>
    <t>; 'A_InstallationData'!$K$400</t>
  </si>
  <si>
    <t>D_Emissions'!$E$60</t>
  </si>
  <si>
    <t>A_InstallationData'!$E$171; 'D_Emissions'!$E$61</t>
  </si>
  <si>
    <t>D_Emissions'!$E$84</t>
  </si>
  <si>
    <t>D_Emissions'!$E$94</t>
  </si>
  <si>
    <t>D_Emissions'!$E$99</t>
  </si>
  <si>
    <t>E_EnergyFlows'!$G$3</t>
  </si>
  <si>
    <t>E_EnergyFlows'!$E$13</t>
  </si>
  <si>
    <t>E_EnergyFlows'!$E$14</t>
  </si>
  <si>
    <t>E_EnergyFlows'!$F$15</t>
  </si>
  <si>
    <t>E_EnergyFlows'!$F$16</t>
  </si>
  <si>
    <t>E_EnergyFlows'!$F$17</t>
  </si>
  <si>
    <t>E_EnergyFlows'!$F$18</t>
  </si>
  <si>
    <t>E_EnergyFlows'!$E$20</t>
  </si>
  <si>
    <t>E_EnergyFlows'!$E$23</t>
  </si>
  <si>
    <t>E_EnergyFlows'!$E$29</t>
  </si>
  <si>
    <t>E_EnergyFlows'!$F$31</t>
  </si>
  <si>
    <t>E_EnergyFlows'!$F$32</t>
  </si>
  <si>
    <t>E_EnergyFlows'!$F$33</t>
  </si>
  <si>
    <t>E_EnergyFlows'!$E$39</t>
  </si>
  <si>
    <t>E_EnergyFlows'!$E$42</t>
  </si>
  <si>
    <t>E_EnergyFlows'!$E$43</t>
  </si>
  <si>
    <t>E_EnergyFlows'!$F$34; 'E_EnergyFlows'!$E$47</t>
  </si>
  <si>
    <t>E_EnergyFlows'!$D$87</t>
  </si>
  <si>
    <t>E_EnergyFlows'!$E$92</t>
  </si>
  <si>
    <t>E_EnergyFlows'!$E$94</t>
  </si>
  <si>
    <t>E_EnergyFlows'!$E$100</t>
  </si>
  <si>
    <t>E_EnergyFlows'!$E$114</t>
  </si>
  <si>
    <t>E_EnergyFlows'!$E$122</t>
  </si>
  <si>
    <t>E_EnergyFlows'!$E$126</t>
  </si>
  <si>
    <t>E_EnergyFlows'!$E$127</t>
  </si>
  <si>
    <t>E_EnergyFlows'!$E$129</t>
  </si>
  <si>
    <t>E_EnergyFlows'!$E$199</t>
  </si>
  <si>
    <t>E_EnergyFlows'!$E$249</t>
  </si>
  <si>
    <t>E_EnergyFlows'!$E$250</t>
  </si>
  <si>
    <t>E_EnergyFlows'!$E$284</t>
  </si>
  <si>
    <t>E_EnergyFlows'!$E$285</t>
  </si>
  <si>
    <t>E_EnergyFlows'!$E$357</t>
  </si>
  <si>
    <t>E_EnergyFlows'!$E$358</t>
  </si>
  <si>
    <t>E_EnergyFlows'!$E$359</t>
  </si>
  <si>
    <t>E_EnergyFlows'!$E$371</t>
  </si>
  <si>
    <t>E_EnergyFlows'!$E$391</t>
  </si>
  <si>
    <t>E_EnergyFlows'!$E$392</t>
  </si>
  <si>
    <t>F_ProductBM'!$E$33</t>
  </si>
  <si>
    <t>F_ProductBM'!$E$98</t>
  </si>
  <si>
    <t>F_ProductBM'!$E$32; 'F_ProductBM'!$E$256; 'F_ProductBM'!$E$430; 'F_ProductBM'!$E$604; 'F_ProductBM'!$E$778; 'F_ProductBM'!$E$952; 'F_ProductBM'!$E$1126; 'F_ProductBM'!$E$1300; 'F_ProductBM'!$E$1474; 'F_ProductBM'!$E$1648</t>
  </si>
  <si>
    <t>F_ProductBM'!$E$103; 'F_ProductBM'!$E$304; 'F_ProductBM'!$E$478; 'F_ProductBM'!$E$652; 'F_ProductBM'!$E$826; 'F_ProductBM'!$E$1000; 'F_ProductBM'!$E$1174; 'F_ProductBM'!$E$1348; 'F_ProductBM'!$E$1522; 'F_ProductBM'!$E$1696</t>
  </si>
  <si>
    <t>D_Emissions'!$E$18; 'D_Emissions'!$E$38; 'D_Emissions'!$E$53; 'F_ProductBM'!$E$123; 'F_ProductBM'!$E$135; 'F_ProductBM'!$E$318; 'F_ProductBM'!$E$330; 'F_ProductBM'!$E$492; 'F_ProductBM'!$E$504; 'F_ProductBM'!$E$666; 'F_ProductBM'!$E$678; 'F_ProductBM'!$E$840; 'F_ProductBM'!$E$852; 'F_ProductBM'!$E$1014; 'F_ProductBM'!$E$1026; 'F_ProductBM'!$E$1188; 'F_ProductBM'!$E$1200; 'F_ProductBM'!$E$1362; 'F_ProductBM'!$E$1374; 'F_ProductBM'!$E$1536; 'F_ProductBM'!$E$1548; 'F_ProductBM'!$E$1710; 'F_ProductBM'!$E$1722</t>
  </si>
  <si>
    <t>F_ProductBM'!$E$1825</t>
  </si>
  <si>
    <t>F_ProductBM'!$E$1830</t>
  </si>
  <si>
    <t>F_ProductBM'!$E$1828; 'F_ProductBM'!$E$1833</t>
  </si>
  <si>
    <t>F_ProductBM'!$E$53; 'G_Fall-back'!$E$36</t>
  </si>
  <si>
    <t>F_ProductBM'!$E$54; 'G_Fall-back'!$E$39</t>
  </si>
  <si>
    <t>F_ProductBM'!$E$55; 'G_Fall-back'!$E$40</t>
  </si>
  <si>
    <t>G_Fall-back'!$E$92</t>
  </si>
  <si>
    <t>G_Fall-back'!$E$94</t>
  </si>
  <si>
    <t>G_Fall-back'!$E$110</t>
  </si>
  <si>
    <t>G_Fall-back'!$E$113; 'G_Fall-back'!$E$218; 'G_Fall-back'!$E$314; 'G_Fall-back'!$E$410</t>
  </si>
  <si>
    <t>G_Fall-back'!$E$498</t>
  </si>
  <si>
    <t>F_ProductBM'!$E$97; 'F_ProductBM'!$E$302; 'F_ProductBM'!$E$476; 'F_ProductBM'!$E$650; 'F_ProductBM'!$E$824; 'F_ProductBM'!$E$998; 'F_ProductBM'!$E$1172; 'F_ProductBM'!$E$1346; 'F_ProductBM'!$E$1520; 'F_ProductBM'!$E$1694; 'G_Fall-back'!$E$91; 'G_Fall-back'!$E$202; 'G_Fall-back'!$E$298; 'G_Fall-back'!$E$394; 'G_Fall-back'!$E$495; 'G_Fall-back'!$E$570; 'G_Fall-back'!$E$641</t>
  </si>
  <si>
    <t>G_Fall-back'!$E$500; 'G_Fall-back'!$E$573; 'G_Fall-back'!$E$644</t>
  </si>
  <si>
    <t>F_ProductBM'!$E$59; 'F_ProductBM'!$E$273; 'F_ProductBM'!$E$447; 'F_ProductBM'!$E$621; 'F_ProductBM'!$E$795; 'F_ProductBM'!$E$969; 'F_ProductBM'!$E$1143; 'F_ProductBM'!$E$1317; 'F_ProductBM'!$E$1491; 'F_ProductBM'!$E$1665; 'G_Fall-back'!$M$42; 'G_Fall-back'!$M$165; 'G_Fall-back'!$M$261; 'G_Fall-back'!$M$357; 'G_Fall-back'!$M$456; 'G_Fall-back'!$M$533; 'G_Fall-back'!$M$604; 'G_Fall-back'!$M$673; 'G_Fall-back'!$M$715; 'G_Fall-back'!$M$757</t>
  </si>
  <si>
    <t>F_ProductBM'!$N$59; 'F_ProductBM'!$N$273; 'F_ProductBM'!$N$447; 'F_ProductBM'!$N$621; 'F_ProductBM'!$N$795; 'F_ProductBM'!$N$969; 'F_ProductBM'!$N$1143; 'F_ProductBM'!$N$1317; 'F_ProductBM'!$N$1491; 'F_ProductBM'!$N$1665; 'G_Fall-back'!$N$42; 'G_Fall-back'!$N$165; 'G_Fall-back'!$N$261; 'G_Fall-back'!$N$357; 'G_Fall-back'!$N$456; 'G_Fall-back'!$N$533; 'G_Fall-back'!$N$604; 'G_Fall-back'!$N$673; 'G_Fall-back'!$N$715; 'G_Fall-back'!$N$757</t>
  </si>
  <si>
    <t>H_SpecialBM'!$E$90</t>
  </si>
  <si>
    <t>H_SpecialBM'!$E$124</t>
  </si>
  <si>
    <t>H_SpecialBM'!$E$158</t>
  </si>
  <si>
    <t>H_SpecialBM'!$E$192</t>
  </si>
  <si>
    <t>H_SpecialBM'!$E$248</t>
  </si>
  <si>
    <t>H_SpecialBM'!$E$263</t>
  </si>
  <si>
    <t>H_SpecialBM'!$E$276</t>
  </si>
  <si>
    <t>H_SpecialBM'!$E$278</t>
  </si>
  <si>
    <t>H_SpecialBM'!$E$281</t>
  </si>
  <si>
    <t>H_SpecialBM'!$E$284</t>
  </si>
  <si>
    <t>H_SpecialBM'!$E$286</t>
  </si>
  <si>
    <t>H_SpecialBM'!$E$287</t>
  </si>
  <si>
    <t>H_SpecialBM'!$E$288</t>
  </si>
  <si>
    <t>H_SpecialBM'!$E$290</t>
  </si>
  <si>
    <t>H_SpecialBM'!$E$291</t>
  </si>
  <si>
    <t>H_SpecialBM'!$E$292</t>
  </si>
  <si>
    <t>H_SpecialBM'!$E$293</t>
  </si>
  <si>
    <t>H_SpecialBM'!$E$294</t>
  </si>
  <si>
    <t>H_SpecialBM'!$E$295</t>
  </si>
  <si>
    <t>H_SpecialBM'!$E$296</t>
  </si>
  <si>
    <t>H_SpecialBM'!$E$298</t>
  </si>
  <si>
    <t>H_SpecialBM'!$E$299</t>
  </si>
  <si>
    <t>H_SpecialBM'!$E$301</t>
  </si>
  <si>
    <t>H_SpecialBM'!$E$302</t>
  </si>
  <si>
    <t>H_SpecialBM'!$E$303</t>
  </si>
  <si>
    <t>H_SpecialBM'!$E$305</t>
  </si>
  <si>
    <t>H_SpecialBM'!$E$334</t>
  </si>
  <si>
    <t>H_SpecialBM'!$E$93; 'H_SpecialBM'!$E$125; 'H_SpecialBM'!$E$159; 'H_SpecialBM'!$E$193; 'H_SpecialBM'!$E$251; 'H_SpecialBM'!$E$336; 'H_SpecialBM'!$E$365</t>
  </si>
  <si>
    <t>; 'H_SpecialBM'!$R$392</t>
  </si>
  <si>
    <t>; 'H_SpecialBM'!$R$393</t>
  </si>
  <si>
    <t>K_Summary'!$M$23</t>
  </si>
  <si>
    <t>K_Summary'!$D$51</t>
  </si>
  <si>
    <t>K_Summary'!$E$53</t>
  </si>
  <si>
    <t>K_Summary'!$E$55</t>
  </si>
  <si>
    <t>K_Summary'!$E$56</t>
  </si>
  <si>
    <t>K_Summary'!$L$56</t>
  </si>
  <si>
    <t>K_Summary'!$E$71</t>
  </si>
  <si>
    <t>K_Summary'!$E$73</t>
  </si>
  <si>
    <t>K_Summary'!$D$75</t>
  </si>
  <si>
    <t>K_Summary'!$E$108</t>
  </si>
  <si>
    <t>K_Summary'!$D$236</t>
  </si>
  <si>
    <t>K_Summary'!$E$247</t>
  </si>
  <si>
    <t>E_EnergyFlows'!$E$97; 'K_Summary'!$E$271</t>
  </si>
  <si>
    <t>K_Summary'!$E$398</t>
  </si>
  <si>
    <t>K_Summary'!$F$488</t>
  </si>
  <si>
    <t>K_Summary'!$F$497</t>
  </si>
  <si>
    <t>K_Summary'!$D$503</t>
  </si>
  <si>
    <t>K_Summary'!$E$562; 'K_Summary'!$E$631; 'K_Summary'!$E$700; 'K_Summary'!$E$769; 'K_Summary'!$E$838; 'K_Summary'!$E$907; 'K_Summary'!$E$976; 'K_Summary'!$E$1045; 'K_Summary'!$E$1114; 'K_Summary'!$E$1183</t>
  </si>
  <si>
    <t>K_Summary'!$E$565; 'K_Summary'!$E$634; 'K_Summary'!$E$703; 'K_Summary'!$E$772; 'K_Summary'!$E$841; 'K_Summary'!$E$910; 'K_Summary'!$E$979; 'K_Summary'!$E$1048; 'K_Summary'!$E$1117; 'K_Summary'!$E$1186</t>
  </si>
  <si>
    <t>K_Summary'!$E$566; 'K_Summary'!$E$635; 'K_Summary'!$E$704; 'K_Summary'!$E$773; 'K_Summary'!$E$842; 'K_Summary'!$E$911; 'K_Summary'!$E$980; 'K_Summary'!$E$1049; 'K_Summary'!$E$1118; 'K_Summary'!$E$1187</t>
  </si>
  <si>
    <t>K_Summary'!$E$568; 'K_Summary'!$E$637; 'K_Summary'!$E$706; 'K_Summary'!$E$775; 'K_Summary'!$E$844; 'K_Summary'!$E$913; 'K_Summary'!$E$982; 'K_Summary'!$E$1051; 'K_Summary'!$E$1120; 'K_Summary'!$E$1189</t>
  </si>
  <si>
    <t>K_Summary'!$E$570; 'K_Summary'!$E$639; 'K_Summary'!$E$708; 'K_Summary'!$E$777; 'K_Summary'!$E$846; 'K_Summary'!$E$915; 'K_Summary'!$E$984; 'K_Summary'!$E$1053; 'K_Summary'!$E$1122; 'K_Summary'!$E$1191</t>
  </si>
  <si>
    <t>K_Summary'!$E$1213; 'K_Summary'!$E$1259; 'K_Summary'!$E$1305; 'K_Summary'!$E$1351</t>
  </si>
  <si>
    <t>G_Fall-back'!$E$114; 'G_Fall-back'!$E$219; 'G_Fall-back'!$E$315; 'G_Fall-back'!$E$411; 'K_Summary'!$E$1214; 'K_Summary'!$E$1260; 'K_Summary'!$E$1306; 'K_Summary'!$E$1352</t>
  </si>
  <si>
    <t>E_EnergyFlows'!$E$22; 'G_Fall-back'!$E$105; 'G_Fall-back'!$E$211; 'G_Fall-back'!$E$307; 'G_Fall-back'!$E$403; 'K_Summary'!$E$1224; 'K_Summary'!$E$1270; 'K_Summary'!$E$1316; 'K_Summary'!$E$1362</t>
  </si>
  <si>
    <t>G_Fall-back'!$E$107; 'G_Fall-back'!$E$213; 'G_Fall-back'!$E$309; 'G_Fall-back'!$E$405; 'K_Summary'!$E$1226; 'K_Summary'!$E$1272; 'K_Summary'!$E$1318; 'K_Summary'!$E$1364</t>
  </si>
  <si>
    <t>E_EnergyFlows'!$D$8; 'K_Summary'!$E$525; 'K_Summary'!$E$594; 'K_Summary'!$E$663; 'K_Summary'!$E$732; 'K_Summary'!$E$801; 'K_Summary'!$E$870; 'K_Summary'!$E$939; 'K_Summary'!$E$1008; 'K_Summary'!$E$1077; 'K_Summary'!$E$1146; 'K_Summary'!$E$1399; 'K_Summary'!$E$1431; 'K_Summary'!$E$1463</t>
  </si>
  <si>
    <t>E_EnergyFlows'!$E$21; 'G_Fall-back'!$E$103; 'G_Fall-back'!$E$209; 'G_Fall-back'!$E$305; 'G_Fall-back'!$E$401; 'G_Fall-back'!$E$506; 'G_Fall-back'!$E$579; 'G_Fall-back'!$E$650; 'K_Summary'!$E$1222; 'K_Summary'!$E$1268; 'K_Summary'!$E$1314; 'K_Summary'!$E$1360; 'K_Summary'!$E$1403; 'K_Summary'!$E$1435; 'K_Summary'!$E$1467</t>
  </si>
  <si>
    <t>; 'G_Fall-back'!$E$507; 'G_Fall-back'!$E$580; 'G_Fall-back'!$E$651; 'K_Summary'!$E$1223; 'K_Summary'!$E$1225; 'K_Summary'!$E$1269; 'K_Summary'!$E$1271; 'K_Summary'!$E$1315; 'K_Summary'!$E$1317; 'K_Summary'!$E$1361; 'K_Summary'!$E$1363; 'K_Summary'!$E$1404; 'K_Summary'!$E$1436; 'K_Summary'!$E$1468</t>
  </si>
  <si>
    <t>; 'K_Summary'!$E$1409; 'K_Summary'!$E$1441; 'K_Summary'!$E$1473</t>
  </si>
  <si>
    <t>K_Summary'!$F$518; 'K_Summary'!$F$587; 'K_Summary'!$F$656; 'K_Summary'!$F$725; 'K_Summary'!$F$794; 'K_Summary'!$F$863; 'K_Summary'!$F$932; 'K_Summary'!$F$1001; 'K_Summary'!$F$1070; 'K_Summary'!$F$1139; 'K_Summary'!$F$1208; 'K_Summary'!$F$1254; 'K_Summary'!$F$1300; 'K_Summary'!$F$1346; 'K_Summary'!$F$1392; 'K_Summary'!$F$1424; 'K_Summary'!$F$1456; 'K_Summary'!$F$1488; 'K_Summary'!$F$1508; 'K_Summary'!$F$1528</t>
  </si>
  <si>
    <t>K_Summary'!$F$1546</t>
  </si>
  <si>
    <t>K_Summary'!$E$1567</t>
  </si>
  <si>
    <t>K_Summary'!$E$1571</t>
  </si>
  <si>
    <t>K_Summary'!$N$1575</t>
  </si>
  <si>
    <t>K_Summary'!$E$1600</t>
  </si>
  <si>
    <t>K_Summary'!$E$1601</t>
  </si>
  <si>
    <t>K_Summary'!$E$1606</t>
  </si>
  <si>
    <t>K_Summary'!$E$1607</t>
  </si>
  <si>
    <t>K_Summary'!$E$1608</t>
  </si>
  <si>
    <t>EUwideConstants'!$B$37</t>
  </si>
  <si>
    <t>EUwideConstants'!$C$44</t>
  </si>
  <si>
    <t>EUwideConstants'!$G$96</t>
  </si>
  <si>
    <t>EUwideConstants'!$B$101</t>
  </si>
  <si>
    <t>EUwideConstants'!$H$182</t>
  </si>
  <si>
    <t>EUwideConstants'!$H$185</t>
  </si>
  <si>
    <t>EUwideConstants'!$H$187</t>
  </si>
  <si>
    <t>EUwideConstants'!$H$195</t>
  </si>
  <si>
    <t>EUwideConstants'!$H$198</t>
  </si>
  <si>
    <t>EUwideConstants'!$H$204</t>
  </si>
  <si>
    <t>EUwideConstants'!$H$207</t>
  </si>
  <si>
    <t>EUwideConstants'!$F$214</t>
  </si>
  <si>
    <t>EUwideConstants'!$F$218</t>
  </si>
  <si>
    <t>EUwideConstants'!$F$219</t>
  </si>
  <si>
    <t>A_InstallationData'!$M$270; 'A_InstallationData'!$M$294; 'K_Summary'!$S$1575; 'EUwideConstants'!$I$211; 'EUwideConstants'!$I$267</t>
  </si>
  <si>
    <t>EUwideConstants'!$F$268</t>
  </si>
  <si>
    <t>EUwideConstants'!$F$269</t>
  </si>
  <si>
    <t>EUwideConstants'!$F$270</t>
  </si>
  <si>
    <t>; 'EUwideConstants'!$F$271</t>
  </si>
  <si>
    <t>EUwideConstants'!$F$272</t>
  </si>
  <si>
    <t>EUwideConstants'!$F$273</t>
  </si>
  <si>
    <t>EUwideConstants'!$F$274</t>
  </si>
  <si>
    <t>EUwideConstants'!$F$275</t>
  </si>
  <si>
    <t>EUwideConstants'!$F$276</t>
  </si>
  <si>
    <t>EUwideConstants'!$F$277</t>
  </si>
  <si>
    <t>; 'K_Summary'!$R$504; 'MSParameters'!$A$1</t>
  </si>
  <si>
    <t>; 'MSParameters'!$B$1</t>
  </si>
  <si>
    <t>; 'MSParameters'!$C$1</t>
  </si>
  <si>
    <t>First published version for 2026-2030 data collection</t>
  </si>
  <si>
    <t>K_Summary'!$E$1617</t>
  </si>
  <si>
    <t>Fuel BM non-CL fixed, FuelBMvalueForBM replaced in sheet F, updated heat/fuel BM values</t>
  </si>
  <si>
    <t>Corrections in the guidance text (e.g. electricity input for heat production, dolime, Art.22a conditionality)</t>
  </si>
  <si>
    <t>Translation LV</t>
  </si>
  <si>
    <t>Navigācijas josla:</t>
  </si>
  <si>
    <t>Nākamā lapa</t>
  </si>
  <si>
    <t>Kopsavilkums</t>
  </si>
  <si>
    <t>Lapas sākums</t>
  </si>
  <si>
    <t>Lapas beigas</t>
  </si>
  <si>
    <t>ETS 4.perioda BĀZLĪNIJAS DATU ZIŅOJUMS</t>
  </si>
  <si>
    <t>SATURS</t>
  </si>
  <si>
    <t>Valodas versija:</t>
  </si>
  <si>
    <t>Atsauces datnes nosaukums:</t>
  </si>
  <si>
    <t>Informācija par šo datni:</t>
  </si>
  <si>
    <t>Iekārtas nosaukums:</t>
  </si>
  <si>
    <t>Unikālais iekārtas identifikators:</t>
  </si>
  <si>
    <t>Relevantais bāzlīnijas periods</t>
  </si>
  <si>
    <t>Ja jūsu kompetentā iestāde pieprasa, lai iesniedzat parakstītu ziņojuma izdruku, parakstieties šeit:</t>
  </si>
  <si>
    <t>Datums</t>
  </si>
  <si>
    <t>Juridiski atbildīgās personas
vārds, uzvārds un paraksts</t>
  </si>
  <si>
    <t>Saturs</t>
  </si>
  <si>
    <t>Iepriekšējā lapa</t>
  </si>
  <si>
    <t>VADLĪNIJAS UN NOSACĪJUMI</t>
  </si>
  <si>
    <t>Vispārīga informācija par šo veidni</t>
  </si>
  <si>
    <t>Direktīvā 2003/87/EK, kurā jaunākie grozījumi izdarīti ar Direktīvu (ES) 2018/410 (turpmāk “ES ETS direktīva”), noteikts, ka dalībvalstīm ir iekārtām jāiedala bezmaksas kvotas, balstoties uz pilnīgi saskaņotiem Kopienas mēroga noteikumiem (10.a panta 1. punkts). Direktīvu var lejupielādēt no šīs vietnes:</t>
  </si>
  <si>
    <t>https://eur-lex.europa.eu/legal-content/LV/TXT/HTML/?uri=CELEX:02003L0087-20180408</t>
  </si>
  <si>
    <t>Šo datu vākšanas veidni pēc Komisijas pasūtījuma izstrādājuši tās konsultanti (Umweltbundesamt GmbH Austria un SQ Consult).</t>
  </si>
  <si>
    <t xml:space="preserve">Šajā datnē paustie uzskati ir autoru uzskati, un Komisijas viedoklis var būt atšķirīgs. </t>
  </si>
  <si>
    <t>Šī ir pirmā publicētā (galīgā) versija (2019. gada 4. marts).</t>
  </si>
  <si>
    <t>Kā šo datni izmantot</t>
  </si>
  <si>
    <t>Jābūt ieslēgtai automātiskajai aprēķināšanai (izvēlnes “Formula”/”Aprēķins” (Formula/Calculation) opcijās).</t>
  </si>
  <si>
    <t>Īpaši svarīgi ir aizpildīt lapas “A_InstallationData” II sadaļas 2. punktu (“Izraudzītais bāzlīnijas periods”) un III sadaļu (apakšiekārtu noteikšana). Ja minētajās sadaļās nav ievadīta pareiza informācija, aprēķinu rezultāti var būt nepareizi vai var nebūt iespējams pareizi ievadīt apakšiekārtu datus.</t>
  </si>
  <si>
    <t>Vienmēr, kad paziņojamā vērtība ir nulle, tā ir jāieraksta, nevis jāatstāj šūna neaizpildīta. Ja šūna tiek atstāta neaizpildīta, kompetentā iestāde nevar zināt, vai vērtība nav paziņota, nav relevanta vai nav zināma. Vienmēr jāievada aprēķiniem nepieciešamās vērtības (jo īpaši tad, ja vērtība ir nulle, jo ar dažām formulām nevar iegūt rezultātu, ja nepieciešamās šūnas nav aizpildītas).</t>
  </si>
  <si>
    <t>Vairākos laukos atbildi var izvēlēties no iepriekšnoteiktiem variantiem. Lai izvēlētos variantu šādā nolaižamajā izvēlnē, ar peli noklikšķiniet uz mazās bultiņas šūnas labajā malā vai nospiediet Alt un lejupējo bultiņu, kad šūna ir iezīmēta. Dažos laukos var ievadīt savu tekstu pat tad, ja ir šāda nolaižamā izvēlne. Tā ir tad, kad nolaižamajās izvēlnēs ir tukši ieraksti.</t>
  </si>
  <si>
    <t>Ja dati ir ievadīti nepilnīgi, dažkārt tiks parādīti kļūdas ziņojumi. Tomēr kļūdas ziņojumu neparādīšanās negarantē aprēķinu pareizību, jo ne vienmēr ir iespējams pārbaudīt, vai dati ir pilnīgi. Ja zaļajā laukā neparādās nekāds rezultāts, var pieņemt, ka kādu datu vēl trūkst.</t>
  </si>
  <si>
    <t>Īpaša uzmanība jāpievērš tam, lai dati atbilstu norādītajām mērvienībām.</t>
  </si>
  <si>
    <t>Kļūdas ziņojumi parasti ir ļoti īsi vietas trūkuma dēļ. Svarīgākie kļūdu paziņojumi ir šādi:</t>
  </si>
  <si>
    <t>Tas nozīmē, ka dati nav pietiekami aprēķina veikšanai (piemēram, vienam no gadiem nav norādīts emisijas faktors).</t>
  </si>
  <si>
    <t>Izraudzītās mērvienības ir nesaskanīgas, un aprēķini, kuru pamatā ir saistītie ievaddati, būs nepareizi.</t>
  </si>
  <si>
    <t>Šajā aprēķinā nedrīkst būt negatīvu vērtību.</t>
  </si>
  <si>
    <t>Šīs ir atsauces uz dokumenta sadaļām. Tas nozīmē, ka norādītajās sadaļās trūkst datu.</t>
  </si>
  <si>
    <t>Krāsu kodi un fonti:</t>
  </si>
  <si>
    <t>Melns teksts treknrakstā:</t>
  </si>
  <si>
    <t>Ar šādu tekstu apraksta ievadāmos datus.</t>
  </si>
  <si>
    <t>Mazāka lieluma teksts kursīvā:</t>
  </si>
  <si>
    <t xml:space="preserve">Ar šādu tekstu tiek sniegti sīkāki paskaidrojumi. </t>
  </si>
  <si>
    <t>Dzeltenajos laukos dati jāievada obligāti. Tomēr, ja lauks attiecīgajai iekārtai nav relevants, dati nav jāievada.</t>
  </si>
  <si>
    <t>Gaiši dzelteni lauki nozīmē, ka datu ievade tajos nav obligāta.</t>
  </si>
  <si>
    <t>Zaļos laukos tiek parādīti automātiski aprēķināti rezultāti. Teksts sarkanā krāsā ir kļūdas ziņojumi (trūkst datu u. c.).</t>
  </si>
  <si>
    <t>Ēnotajos laukos datu ievade nav relevanta, jo dati ir ievadīti citos laukos.</t>
  </si>
  <si>
    <t>Pelēki ēnotie lauki jāaizpilda dalībvalstīm pirms šīs veidnes pielāgotās versijas publicēšanas.</t>
  </si>
  <si>
    <t>Gaiši pelēkās joslas ir paredzētas navigācijai un hipersaitēm.</t>
  </si>
  <si>
    <t>Navigācijas daļā katras lapas augšā ir hipersaites ātrai pārejai uz konkrētām ievaddatu sadaļām. Pirmā rinda (“Saturs”, “Iepriekšējā lapa”, “Nākamā lapa”, “Kopsavilkums”) un punkti “Lapas sākums” un “Lapas beigas” ir visām lapām vienādi. Atkarībā no konkrētās lapas ir pievienoti vēl citi izvēlnes elementi. Ja kādas hipersaites fona krāsa mainās uz sarkanu, tas nozīmē, ka attiecīgajā sadaļā trūkst datu.</t>
  </si>
  <si>
    <t>Šajā veidnē datus var ievadīt tikai dzeltenajos laukos; pārējie lauki ir bloķēti. Tomēr caurredzamības labad nav izmantota parole. Tas ļauj pilnībā aplūkot visas formulas. Ja šo datni izmantojat datu ievadei, iesakām šo aizsardzību saglabāt. Aizsardzību lapām vajadzētu noņemt tikai tam, lai pārbaudītu formulu pareizību. Ieteicams to darīt atsevišķā datnē.</t>
  </si>
  <si>
    <t>Lai formulas aizsargātu pret nejaušām izmaiņām, kas parasti noved pie nepareiziem un maldinošiem rezultātiem,
ir ārkārtīgi svarīgi NEIZMANTOT darbības “IZGRIEZT” un “IELĪMĒT”.
Ja vēlaties datus pārvietot, vispirms tos NOKOPĒJIET un IELĪMĒJIET un pēc tam nevajadzīgos datus vecajā (nepareizajā) vietā izdzēsiet.</t>
  </si>
  <si>
    <t>Datu lauki nav optimizēti skaitliskiem un citiem formātiem. Tomēr lapu aizsardzība ir ierobežota, lai būtu iespējams izmantot savus formātus. Piemēram, jūs varat izvēlēties, cik zīmes aiz komata parādīt. Zīmju skaits aiz komata principā ir neatkarīgs no aprēķina precizitātes. Principā MS Excel opcijai “Precision as displayed” (“Precizitāte, kā parādīts”) vajadzētu būt deaktivētai. Sīkākai informācijai par šo tematu izmantojiet MS Excel funkciju “Help” (“Palīdzība”).</t>
  </si>
  <si>
    <t>ATRUNA. Visas formulas ir sagatavotas uzmanīgi un rūpīgi. Tomēr nav iespējams pilnīgi izslēgt kļūdas.
Kā aprakstīts iepriekš, ir nodrošināta pilnīga caurredzamība, lai būtu iespējams pārbaudīt aprēķinu derīgumu. Ne šīs datnes autorus, ne Eiropas Komisiju nevar saukt pie atbildības par iespējamu kaitējumu, kuru varētu radīt nepareizi vai maldinoši datnē nodrošināto aprēķinu rezultāti.
Pilnu atbildību par to, ka kompetentajai iestādei tiek paziņoti pareizi dati, uzņemas šīs datnes lietotājs (t. i., ES ETS iekārtas operators).</t>
  </si>
  <si>
    <t>Informācija, kas attiecas uz konkrēto dalībvalsti:</t>
  </si>
  <si>
    <t>Šis ziņojums ir jāiesniedz valsts kompetentajai iestādei šādā adresē:</t>
  </si>
  <si>
    <t>Informācijas avoti:</t>
  </si>
  <si>
    <t>ES vietnes:</t>
  </si>
  <si>
    <t>ES tiesību akti:</t>
  </si>
  <si>
    <t xml:space="preserve">http://eur-lex.europa.eu/lv/index.htm </t>
  </si>
  <si>
    <t>Vispārīga informācija par ES ETS:</t>
  </si>
  <si>
    <t>http://ec.europa.eu/clima/policies/ets/index_lv.htm</t>
  </si>
  <si>
    <t>Citas vietnes:</t>
  </si>
  <si>
    <t>Palīdzības dienests:</t>
  </si>
  <si>
    <t xml:space="preserve">&lt;&lt;&lt; Lai pārietu uz nākamo lapu, klikšķiniet šeit &gt;&gt;&gt; </t>
  </si>
  <si>
    <t>A. Dati par iekārtu</t>
  </si>
  <si>
    <t>Iekārtas ID</t>
  </si>
  <si>
    <t>Kontaktpersonas</t>
  </si>
  <si>
    <t>Verificētājs</t>
  </si>
  <si>
    <t>Papildinformācija</t>
  </si>
  <si>
    <t>Tiesīgums</t>
  </si>
  <si>
    <t>Bāzlīnijas periods</t>
  </si>
  <si>
    <t>Apakšiekārtas</t>
  </si>
  <si>
    <t>Tehniskie savienojumi</t>
  </si>
  <si>
    <t>Lapa “InstallationData” — VISPĀRĪGA INFORMĀCIJA PAR OPERATORU, IEKĀRTĀM UN VERIFICĒTĀJU</t>
  </si>
  <si>
    <t>Iekārtas identifikācija</t>
  </si>
  <si>
    <t>Vispārīga informācija:</t>
  </si>
  <si>
    <t>Nosaukumam jābūt tam pašam, kas jau ir izmantots saziņai ar kompetento iestādi.</t>
  </si>
  <si>
    <t>Dalībvalsts, kurā iekārta atrodas:</t>
  </si>
  <si>
    <t>"Dalībvalsts" šeit nozīmē valsti, kura piedalās ES ETS, t. i., ES dalībvalstis un Islandi, Norvēģiju un Lihtenšteinu.</t>
  </si>
  <si>
    <t>Vai šī iekārta ir bijusi iekļauta ES ETS jau iepriekš?</t>
  </si>
  <si>
    <t>Kompetentās iestādes piešķirtais unikālais identifikators:</t>
  </si>
  <si>
    <t>Šis ir ID, ko kompetentā iestāde izmanto saziņai ar iekārtu, piemēram, par bezmaksas kvotu iedali iepriekšējos periodos.</t>
  </si>
  <si>
    <t>Attiecībā uz iekārtām, kuras ES ETS iepriekš nav bijušas iekļautas, operatoriem, lai saņemtu šādu ID, jāsazinās ar kompetento iestādi.</t>
  </si>
  <si>
    <t xml:space="preserve">Pirms jebkādus datus paziņot Eiropas Komisijai, kompetentajām iestādēm jāpārliecinās par unikāla ID pieejamību. </t>
  </si>
  <si>
    <t>Iekārtas identifikācijas kods reģistrā:</t>
  </si>
  <si>
    <t>Tas parasti ir naturāls skaitlis — kods, kas atšķirīgs no reģistrā (EUTL) izmantotā atļaujas identifikatora.</t>
  </si>
  <si>
    <t>No b) punktā norādītās dalībvalsts koda un šā reģistra ID (unikālā ID) tiks izveidots unikāls ID, kas automātiski parādīsies f) punktā. Piemēram, ja Beļģijā atrodas iekārta ar reģistra ID 123456, galīgais ID būs “BE000000000123456”. Ja jūsu iekārtai ir bijušas iedalītas bezmaksas kvotas iepriekšējā ES ETS posmā, pārliecinieties, ka unikālais ID ir identisks iepriekšējam.</t>
  </si>
  <si>
    <t>Unikālais identifikators paziņošanai Komisijai:</t>
  </si>
  <si>
    <t>Informācija par siltumnīcefekta gāzu emisijas atļauju:</t>
  </si>
  <si>
    <t>Šeit sniedziet informāciju par siltumnīcefekta gāzu emisijas atļauju (t. i., atļauju, kas izsniegta saskaņā ar ES ETS direktīvas 5. un 6. pantu).</t>
  </si>
  <si>
    <t>Dalībvalstis drīkst noteikt, ka šī informācija nav obligāta, ja tā jau ir kompetentās iestādes rīcībā.</t>
  </si>
  <si>
    <t>Kompetentās iestādes nosaukums:</t>
  </si>
  <si>
    <t>Pirmā SEG atļauja, ko iekārta saņēma, kad pirmo reizi tika iekļauta ETS:</t>
  </si>
  <si>
    <t>Atļaujas ID:</t>
  </si>
  <si>
    <t>Izdošanas datums:</t>
  </si>
  <si>
    <t>Atļaujas nesenākais atjauninājums (attiecīgā gadījumā):</t>
  </si>
  <si>
    <t>Iekārtas ekspluatācijas sākuma datums:</t>
  </si>
  <si>
    <t>Dati ievadāmi tikai tad, ja visas iekārtas ekspluatācija sākta pēc 2014. gada 1. janvāra.</t>
  </si>
  <si>
    <t>Šī iekārta ir pastāvoša iekārta:</t>
  </si>
  <si>
    <t>Iekārta ir pastāvoša iekārta, ja tai siltumnīcefekta gāzu emisijas atļauja pirmo reizi piešķirta līdz šādai dienai vai šādā dienā:</t>
  </si>
  <si>
    <t>uz 2021.–2025. gada periodu — 2019. gada 30. jūnijs;</t>
  </si>
  <si>
    <t>uz 2026.–2030. gada periodu — 2024. gada 30. jūnijs.</t>
  </si>
  <si>
    <t>Visas iekārtas, kas pēc iepriekš norādītajiem kritērijiem nav pastāvošas iekārtas, kompetentā iestāde uzskatīs par "jaunām iekārtām".</t>
  </si>
  <si>
    <t xml:space="preserve">Par jaunajām iekārtām Komisijai nav jāpaziņo saskaņā ar valsts īstenošanas pasākumiem, kuru pamatā ir ES ETS direktīvas 11. pants. </t>
  </si>
  <si>
    <t xml:space="preserve">Tāpēc šī veidne nav paredzēta jaunām iekārtām. </t>
  </si>
  <si>
    <t>Dati par operatoru:</t>
  </si>
  <si>
    <t>Operators ir [fiziska vai juridiska] persona, kas ekspluatē vai kontrolē iekārtu, vai — gadījumos, kad to paredz valsts tiesību akti, — persona, kurai deleģēta ekonomiska vara lemt par iekārtas tehnisko darbību.</t>
  </si>
  <si>
    <t>Operatora nosaukums:</t>
  </si>
  <si>
    <t>Iela, mājas numurs:</t>
  </si>
  <si>
    <t>Pasta indekss:</t>
  </si>
  <si>
    <t>Pilsēta:</t>
  </si>
  <si>
    <t>Valsts:</t>
  </si>
  <si>
    <t>Pilnvarotā pārstāvja vārds vai nosaukums:</t>
  </si>
  <si>
    <t>E-pasts:</t>
  </si>
  <si>
    <t>Tālr.:</t>
  </si>
  <si>
    <t>Fakss:</t>
  </si>
  <si>
    <t>Iekārtas adrese:</t>
  </si>
  <si>
    <t>Kontaktpersonas:</t>
  </si>
  <si>
    <t>Norādiet kontaktpersonas, ar kurām kompetentā iestāde var sazināties, ja tai radušies jautājumi par šo ziņojumu, arī par tā verifikāciju.</t>
  </si>
  <si>
    <t>Par šo iekārtu atbildīgā operatora pilnvarotais pārstāvis:</t>
  </si>
  <si>
    <t>Vārds vai nosaukums:</t>
  </si>
  <si>
    <t>Primārā kontaktpersona tehniskiem jautājumiem par iekārtas datiem, ja tā nav a) punktā norādītā persona:</t>
  </si>
  <si>
    <t>Šā bāzlīnijas datu ziņojuma verificētājs:</t>
  </si>
  <si>
    <t>Šā bāzes datu ziņojuma verificētāja vārds vai nosaukums un adrese:</t>
  </si>
  <si>
    <t>Uzņēmuma nosaukums:</t>
  </si>
  <si>
    <t>Verificētāja pilnvarotais pārstāvis:</t>
  </si>
  <si>
    <t>Norādītajai personai jābūt lietas kursā par šo ziņojumu. Vēlams, lai tā būtu galvenais šā ziņojuma verificētājs.</t>
  </si>
  <si>
    <t>E-pasta adrese:</t>
  </si>
  <si>
    <t>Informācija par verificētāja akreditāciju:</t>
  </si>
  <si>
    <t>Akreditācijas dalībvalsts:</t>
  </si>
  <si>
    <t>Valsts akreditācijas struktūras nosaukums:</t>
  </si>
  <si>
    <t>Akreditācijas struktūras piešķirtais reģistrācijas numurs:</t>
  </si>
  <si>
    <t>Papildu dati par iekārtu:</t>
  </si>
  <si>
    <t>Darbības saskaņā ar ES ETS direktīvas I pielikumu:</t>
  </si>
  <si>
    <t>Šī informācija kompetentajām iestādēm ir svarīga tāpēc, ka var būt izmaiņas salīdzinājumā ar iepriekšējiem ETS posmiem.</t>
  </si>
  <si>
    <t>Ciktāl iespējams, sakārtojiet sarakstu pēc tiešajām emisijām, sākot ar darbībām, kas izraisa vislielākās tiešās emisijas.</t>
  </si>
  <si>
    <t>Nr.</t>
  </si>
  <si>
    <t>Darbības nosaukums (ETS direktīvas I pielikums)</t>
  </si>
  <si>
    <t>Kuru NACE kodu jūsu uzņēmums ir izmantojis, lai paziņotu pievienoto vērtību uzņēmējdarbības strukturālās statistikas vajadzībām?</t>
  </si>
  <si>
    <t>Ja droši nezināt, kādas vērtības šeit ievadāmas, sazinieties ar attiecīgo valsts statistikas biroju.</t>
  </si>
  <si>
    <t xml:space="preserve">NACE 2.0 red. ir pieejama šeit: </t>
  </si>
  <si>
    <t>NACE kodi jāievada 4 ciparu līmenī formā “nnnn”, t. i., bez punktiem vai citām atdalītājzīmēm.</t>
  </si>
  <si>
    <t>Ja neievadīsit tieši 4 ciparus, tiks parādīts kļūdas ziņojums.</t>
  </si>
  <si>
    <t>Paziņotais NACE kods saskaņā ar NACE 2. red. klasifikāciju:</t>
  </si>
  <si>
    <t>Attiecīgā gadījumā norādiet iekārtas identifikācijas kodu EPRTR:</t>
  </si>
  <si>
    <t>EPRTR ir Eiropas Piesārņojošo vielu un izmešu pārneses reģistrs.</t>
  </si>
  <si>
    <t>Šī informācija kompetentajām iestādēm noder tam, lai pārbaudītu konsekvenci un saskaņotu vidiskās informācijas avotus.</t>
  </si>
  <si>
    <t>Tiesības uz izslēgšanu saskaņā ar ES ETS direktīvas 27. pantu</t>
  </si>
  <si>
    <t>Saskaņā ar ES ETS direktīvas 27. pantu no ES ETS var izslēgt šādu veidu iekārtas, ja tās veic līdzvērtīgus pasākumus:</t>
  </si>
  <si>
    <t>iekārtas, kuru kompetentajai iestādei paziņotās emisijas nesasniedz 25 000 tonnu oglekļa dioksīda ekvivalenta, un, ja tajās tiek veiktas sadedzināšanas darbības, kuru nominālā ievadītā siltumjauda katrā no pēdējiem trim gadiem, izņemot emisijas no biomasas, ir bijusi mazāka par 35 MW.</t>
  </si>
  <si>
    <t>Datu vākšanai 2019. gadā šie trīs gadi ir 2016. līdz 2018. gads. Datu vākšanai 2024. gadā tie ir 2021. līdz 2023. gads.</t>
  </si>
  <si>
    <t>Iekārtas, kas ir slimnīcas.</t>
  </si>
  <si>
    <t>Vai iekārtas emisijas bijušas zem 25 000 tonnām un nominālā ievadītā siltumspēja zem 35 MW?</t>
  </si>
  <si>
    <t>Vai iekārta ir slimnīca?</t>
  </si>
  <si>
    <t>Iekārtai ir tiesības pretendēt uz izslēgšanu saskaņā ar ES ETS direktīvas 27. pantu:</t>
  </si>
  <si>
    <t>Tiesības uz izslēgšanu saskaņā ar ES ETS direktīvas 27.a pantu</t>
  </si>
  <si>
    <t>Saskaņā ar ES ETS direktīvas 27.a pantu dalībvalstis pēc apspriešanās ar operatoru no ES ETS var izslēgt šādu veidu iekārtas:</t>
  </si>
  <si>
    <t>iekārtas, kuru kompetentajai iestādei paziņotās emisijas nevienā no pēdējiem trim gadiem nesasniedz 2500 tonnas oglekļa dioksīda ekvivalenta, izņemot emisijas no biomasas;</t>
  </si>
  <si>
    <t>rezerves vai dublējošie bloki, kas nevienā no trim gadiem nav ekspluatēti vairāk kā 300 stundas gadā;</t>
  </si>
  <si>
    <t>Vai iekārta ir emitējusi mazāk nekā 2500 tonnas CO2 (e) gadā?</t>
  </si>
  <si>
    <t>Vai iekārtā ir rezerves vai dublējošie bloki, kas nav ekspluatēti vairāk kā 300 stundas gadā?</t>
  </si>
  <si>
    <t>Iekārtai (tās daļām) ir tiesības pretendēt uz izslēgšanu saskaņā ar ES ETS direktīvas 27.a pantu:</t>
  </si>
  <si>
    <t>Trīs iepriekšējo gadu ikgadējās emisijas, kas nepieciešamas, lai pārbaudītu iepriekš d) punktā minētās informācijas ticamību</t>
  </si>
  <si>
    <t>Šie dati ir automātiski pārņemti no lapas “D_Emissions”.</t>
  </si>
  <si>
    <t>Maksimums</t>
  </si>
  <si>
    <t>Ikgadējās emisijas ticamības pārbaudei:</t>
  </si>
  <si>
    <t>Vai iekārta ir vienpusēji iekļauta?</t>
  </si>
  <si>
    <t>Sniedziet informāciju, ja iekārta neveic nevienu ES ETS direktīvas I pielikuma darbību, bet dalībvalsts to ir vienpusēji iekļāvusi saskaņā ar minētās direktīvas 24. pantu.</t>
  </si>
  <si>
    <t>Informācija par šo bāzlīnijas datu ziņojumu</t>
  </si>
  <si>
    <t>Tiesības uz bezmaksas kvotu iedali:</t>
  </si>
  <si>
    <t>Vai iekārta ir elektroenerģijas ražošanas iekārta saskaņā ar direktīvas 3. panta u) punktu?</t>
  </si>
  <si>
    <t>Direktīvas 3. panta u) punktā ir definēts, ka “elektroenerģijas ražošanas iekārta” ir iekārta, kurā 2005. gada 1. janvārī vai pēc tam ražota elektroenerģija pārdošanai trešām personām un kurā no I pielikumā uzskaitītajām darbībām tiek veikta vienīgi kurināmā sadedzināšana.</t>
  </si>
  <si>
    <t>Komisija ir sagatavojusi norādījumu dokumentu, kā noteikt, vai iekārta ir elektroenerģijas ražošanas iekārta.</t>
  </si>
  <si>
    <t>Vai iekārta ir iekārta CO2 uztveršanai vai transportēšanai vai ir CO2 uzglabāšanas vieta?</t>
  </si>
  <si>
    <t>Šo iekārtu uzskata par tādu, uz kuru attiecas ES ETS direktīvas 10.a panta 3. punkts:</t>
  </si>
  <si>
    <t xml:space="preserve">Ja atbilde uz a) vai b) punkta jautājumu ir pozitīva, atbilde c) punktā automātiski ir pozitīva. </t>
  </si>
  <si>
    <t>Vai iekārta ražo siltumu, ko neizmanto elektroenerģijas ražošanai?</t>
  </si>
  <si>
    <t>Apstiprinājums, ka iekārta nav tiesīga pretendēt uz bezmaksas kvotu iedali:</t>
  </si>
  <si>
    <t>Ja atbilde uz a) vai b) punkta jautājumu ir pozitīva un atbilde uz d) punkta jautājumu ir negatīva, iekārta nekvalificējas bezmaksas kvotām saskaņā ar ES ETS direktīvas 10.a pantu. Ja tas attiecas uz jūsu iekārtu, apstipriniet to šeit:</t>
  </si>
  <si>
    <t>Svarīgas piezīmes.</t>
  </si>
  <si>
    <t>Ja iekārta nekvalificējas bezmaksas kvotām saskaņā ar ES ETS direktīvas 10.a pantu, tai nav pienākuma nākamajās datu lapās norādīt detalizētus papilddatus. Obligāti jāaizpilda tikai šī lapa ("A_InstallationData").</t>
  </si>
  <si>
    <t>Ja papilddati nav jāziņo, nav arī nepieciešams šo ziņojumu verificēt.</t>
  </si>
  <si>
    <t>Šis ziņojums un jo īpaši a) līdz f) punktā sniegtās atbildes neietekmē iespējamu bezmaksas kvotu iedali saskaņā ar ES ETS direktīvas 10.c pantu ("Iespēja piešķirt pagaidu bezmaksas kvotas enerģētikas nozares modernizācijai").</t>
  </si>
  <si>
    <t>Pieteikšanās uz bezmaksas kvotu iedali:</t>
  </si>
  <si>
    <t>Ja atbilde gan uz a), gan b) punkta jautājumu ir negatīva vai ja atbilde uz d) punkta jautājumu ir pozitīva, iekārtu var uzskatīt tādu, kas kvalificējas bezmaksas kvotām saskaņā ar ES ETS direktīvas 10.a. pantu. Ja tas attiecas uz jūsu iekārtu, apstipriniet šeit, ka piesakāties uz bezmaksas kvotām saskaņā ar 10.a pantu:</t>
  </si>
  <si>
    <t>Piekrišana izmantot šajā datnē iekļautos datus.</t>
  </si>
  <si>
    <t>Kompetentā iestāde šajā datnē iekļautos datus izmantos tam, lai noteiktu iedalāmās bezmaksas kvotas saskaņā ar ES ETS direktīvas 10.a pantu, un Eiropas Komisija — lai atjauninātu līmeņatzīmju vērtības. Turklāt šie dati daļēji vai pilnīgi tiks paziņoti Eiropas Komisijai, ja tā to pieprasa, lai būtu iespējams rūpīgi pārbaudīt valsts īstenošanas pasākumus saskaņā ar ES ETS direktīvas 11. panta 1. punktu.</t>
  </si>
  <si>
    <t>Ja operators apstiprina e) vai f) punktu, tiek automātiski pieņemts, ka tādējādi tiek apstiprināta arī piekrišana izmantot šajā datnē iekļautos datus.</t>
  </si>
  <si>
    <t>Izraudzītais bāzlīnijas periods</t>
  </si>
  <si>
    <t>Izvēlieties šā ziņojuma bāzlīnijas periodu:</t>
  </si>
  <si>
    <t>Gadi, kuros iekārta bijusi ekspluatācijā:</t>
  </si>
  <si>
    <t>Nākamajā tabulā par katru gadu norādiet, vai iekārta attiecīgajā kalendārajā gadā bijusi ekspluatācijā vismaz vienu dienu. Neatstājiet dzeltenās šūnas neaizpildītas.</t>
  </si>
  <si>
    <t>Apstipriniet:</t>
  </si>
  <si>
    <t>Iekārta šajā gadā bija ekspluatācijā:</t>
  </si>
  <si>
    <t>Kļūdas ziņojumi:</t>
  </si>
  <si>
    <t>Apakšiekārtu saraksts</t>
  </si>
  <si>
    <t>Produkta līmeņatzīmes apakšiekārtas</t>
  </si>
  <si>
    <t>Šeit norādiet iekārtai relevantās produkta līmeņatzīmes apakšiekārtas, ja tādas ir:</t>
  </si>
  <si>
    <t>Statuss “pakļautība nopietnam oglekļa emisiju pārvirzes riskam” (“OEP”) ir balstīts uz &lt;ADD REFERENCE TO CLL ACT&gt;.</t>
  </si>
  <si>
    <t>Katras apakšiekārtas nosaukumu var norādīt tikai vienu reizi. Pretējā gadījumā dažas šīs veidnes daļas nedarbosies pareizi.</t>
  </si>
  <si>
    <t>Ir ļoti svarīgi, lai šeit ievadītie dati būtu pareizi, jo tie ietekmē visu turpmāko datu ievadi attiecībā uz apakšiekārtām.</t>
  </si>
  <si>
    <t>Produktu veids</t>
  </si>
  <si>
    <t>Ekspluatācijas sākums</t>
  </si>
  <si>
    <t>Pakļauta OEP?</t>
  </si>
  <si>
    <t>Apakšiekārtas ar alternatīvām (fall-back) pieejām</t>
  </si>
  <si>
    <t>Norādiet, kādas apakšiekārtas ar alternatīvām pieejām ir relevantas jūsu iekārtas gadījumā, ja tādas ir:</t>
  </si>
  <si>
    <t>Katrai alternatīvajai pieejai var būt maksimāli divas apakšiekārtas — viena apakšiekārta, kas pakļauta ievērojamam oglekļa emisiju pārvirzes riskam, un otra, kas šādam riskam pakļauta nav.</t>
  </si>
  <si>
    <t>Šim noteikumam ir izņēmums: izmērāma siltuma gadījumā nosaka trešo apakšiekārtu centralizētajai siltumapgādei.</t>
  </si>
  <si>
    <t>Par katra veida apakšiekārtu norādiet, vai tā jūsu iekārtai ir relevanta vai ne. Neatstājiet dzeltenos laukus neaizpildītus.</t>
  </si>
  <si>
    <t>Šis atbrīvojums ir piemērojams tad, ja vismaz 95 % ielaides, izlaides un emisiju ir vai nu statuss “OEP” vai “bez OEP”.</t>
  </si>
  <si>
    <t>Apakšiekārtas veids</t>
  </si>
  <si>
    <t>Relevanta?</t>
  </si>
  <si>
    <t>Tehnisko savienojumu saraksts</t>
  </si>
  <si>
    <t>Ierakstiet informāciju, kas ļaus noteikt tehniskos savienojumus ar jūsu iekārtu:</t>
  </si>
  <si>
    <t>Šī informācija kompetentajai iestādei ir vajadzīga tāpēc, lai nodrošinātu sniegto datu konsekvenci un nepieļautu iedales datu divkāršu uzskaiti.</t>
  </si>
  <si>
    <t>Relevanti ir tikai gadījumi, kad tiek pārvadīts izmērāms siltums, atlikumgāzes, vai “pārvietotais CO2”, kas definēts Monitoringa un ziņošanas regulā.</t>
  </si>
  <si>
    <t>“Imports” nozīmē, ka kaut kas nonāk šajā ziņojumā aplūkotās iekārtas robežās, bet “eksports” — ka kaut kas šīs robežas atstāj.</t>
  </si>
  <si>
    <t>Tas neattiecas uz materiālu un/vai enerģijas plūsmām starp apakšiekārtām, izņemot siltumu, kas rodas, ražojot slāpekļskābi.</t>
  </si>
  <si>
    <t>Slejā "Vienības veids" var izvēlēties šādus variantus:</t>
  </si>
  <si>
    <t>ETS aptverta iekārta</t>
  </si>
  <si>
    <t>ETS neietilpstoša iekārta</t>
  </si>
  <si>
    <t>Iekārta, kurā tiek ražota slāpekļskābe</t>
  </si>
  <si>
    <t>Siltuma sadales tīkls</t>
  </si>
  <si>
    <t>Īpašs gadījums — slāpekļskābes ražošana:</t>
  </si>
  <si>
    <t>Lai norādītu, ka jūsu iekārta izmanto siltumu, kas rodas, ražojot slāpekļskābi, izvēlieties šo variantu.</t>
  </si>
  <si>
    <t>Norādiet to pat tad, ja slāpekļskābes ražošana notiek jūsu iekārtā, nevis tikai tad, ja jūsu iekārta ir ar šādu iekārtu savienota.</t>
  </si>
  <si>
    <t>Šī informācija ir relevanta siltuma bilances noteikšanai (lapa "E_EnergyFlows", II sadaļa).</t>
  </si>
  <si>
    <t>Savienojuma veidu varianti ir šādi:</t>
  </si>
  <si>
    <t>Izmērāmais siltums</t>
  </si>
  <si>
    <t>Atlikumgāze</t>
  </si>
  <si>
    <t>Pārvietotais CO2</t>
  </si>
  <si>
    <t>Plūsmas virziena varianti ir šādi (attiecībā pret iekārtu, uz kuru attiecas šis ziņojums):</t>
  </si>
  <si>
    <t>Imports (uz šo iekārtu)</t>
  </si>
  <si>
    <t>Eksports (no šīs iekārtas)</t>
  </si>
  <si>
    <t>Iekārtas vai vienības nosaukums</t>
  </si>
  <si>
    <t>Vienības veids</t>
  </si>
  <si>
    <t>Savienojuma veids</t>
  </si>
  <si>
    <t>Plūsmas virziens</t>
  </si>
  <si>
    <t>Attiecīgā gadījumā ievadiet papildu informāciju par šīm savienotajām iekārtām:</t>
  </si>
  <si>
    <t>Ja savienoto iekārtu aptver ES ETS un ES ETS to aptvēra jau pirms 2019. gada 30. jūnija attiecībā uz pirmo iedales periodu un pirms 2024. gada 30. jūnija attiecībā uz otro iedales periodu, obligāti jānorāda iekārtas ID.</t>
  </si>
  <si>
    <t>Attiecībā uz iekārtām, ko ES ETS neaptver, obligāti jānorāda kontaktinformācija, bet nav jānorāda reģistra ID.</t>
  </si>
  <si>
    <t>Iekārtas ID reģistrā</t>
  </si>
  <si>
    <t>Kontaktpersonas vārds</t>
  </si>
  <si>
    <t>E-pasta adrese</t>
  </si>
  <si>
    <t>Tālruņa numurs</t>
  </si>
  <si>
    <t>B+C ikgadējie emisiju dati</t>
  </si>
  <si>
    <t>Avota plūsmas (izņemot PFC)</t>
  </si>
  <si>
    <t>PFC avota plūsmas</t>
  </si>
  <si>
    <t>Emisiju avoti (CEMS)</t>
  </si>
  <si>
    <t>Alternatīvās pieejas</t>
  </si>
  <si>
    <t>Lapa “Ikgadējie emisiju dati” par šo gadu:</t>
  </si>
  <si>
    <t>Vispārīgi norādījumi par avota plūsmu datiem</t>
  </si>
  <si>
    <t>Dalībvalsts pieprasa detalizētus avota plūsmu datus, kuri parasti ziņojami obligāti:</t>
  </si>
  <si>
    <t>Ja atbilde ir “APLAMS” (“FALSE”), datus šeit var neievadīt un tikai jānorāda kopējās ikgadējās emisijas sadaļā D.I.</t>
  </si>
  <si>
    <t>Avota plūsmas un emisiju avoti</t>
  </si>
  <si>
    <t>Nākamās tabulas ir identiskas tām, kas atrodamas lapā “Accounting” Komisijas nodrošinātajā Ikgadējo emisiju datu veidnē.</t>
  </si>
  <si>
    <t>Tāpēc varat katras tabulas datus iekopēt no Ikgadējo emisiju ziņojuma veidnes, jaunus datus neievadot; sīkāki norādījumi atrodami tur.</t>
  </si>
  <si>
    <t>Ja jūsu dalībvalsts Komisijas veidni neizmanto vai dodat priekšroku datu manuālai ievadei, katras tabulas augšā ir sniegti datu paraugi (baltajos laukos).</t>
  </si>
  <si>
    <t>Šajā lapā netiek veikti nekādi aprēķini. Tāpēc kopsummas slejās no AU līdz AY jāievada pareizi, jo šie dati tiks izmantoti tālāk šajā veidnē.</t>
  </si>
  <si>
    <t>Avota plūsmas (izņemot PFC emisijas)</t>
  </si>
  <si>
    <t>Metode</t>
  </si>
  <si>
    <t>Avota plūsmas nosaukums</t>
  </si>
  <si>
    <t>Darbības dati</t>
  </si>
  <si>
    <t>DD vienība</t>
  </si>
  <si>
    <t>NCV vienība</t>
  </si>
  <si>
    <t>EF vienība</t>
  </si>
  <si>
    <t>C saturs</t>
  </si>
  <si>
    <t>C satura vienība</t>
  </si>
  <si>
    <t>Oksid. koef.</t>
  </si>
  <si>
    <t>OK vienība</t>
  </si>
  <si>
    <t>Pārrēķina koef.</t>
  </si>
  <si>
    <t>PK vienība</t>
  </si>
  <si>
    <t>Biomasas saturs</t>
  </si>
  <si>
    <t>BS vienība</t>
  </si>
  <si>
    <t>ilgtnesp. BS</t>
  </si>
  <si>
    <t>ilgtnesp. BS vienība</t>
  </si>
  <si>
    <t>SEG konc. vidējā vērtība h</t>
  </si>
  <si>
    <t>SEG konc. h vienība</t>
  </si>
  <si>
    <t>ekspluatācijas stundas</t>
  </si>
  <si>
    <t>ekspluatācijas stundu vienība</t>
  </si>
  <si>
    <t>Dūmgāzes (vidēji)</t>
  </si>
  <si>
    <t>Dūmgāzes (vidēji), vienība</t>
  </si>
  <si>
    <t>Dūmgāzes (kopā)</t>
  </si>
  <si>
    <t>Dūmgāzes (kopā), vienība</t>
  </si>
  <si>
    <t>SEG daudzums gadā</t>
  </si>
  <si>
    <t>SEG daudzums gadā, vienība</t>
  </si>
  <si>
    <t>GWP (t CO2 e/t)</t>
  </si>
  <si>
    <t>A: biežums</t>
  </si>
  <si>
    <t>A: ilgums</t>
  </si>
  <si>
    <t>A: SEF (CF4)</t>
  </si>
  <si>
    <t>F (C2F6)</t>
  </si>
  <si>
    <t>CF4 emisijas (t CF4)</t>
  </si>
  <si>
    <t>C2F6 emisijas (t C2F6)</t>
  </si>
  <si>
    <t>GWP (CF4) (t CO2 e/t)</t>
  </si>
  <si>
    <t>GWP (C2F6) (t CO2 e/t)</t>
  </si>
  <si>
    <t>CF4 emisijas (t CO2e)</t>
  </si>
  <si>
    <t>C2F6 emisijas (t CO2 e)</t>
  </si>
  <si>
    <t>Uztveršanas efektivitāte, %</t>
  </si>
  <si>
    <t>CO2 e, fosilie avoti (t)</t>
  </si>
  <si>
    <t>CO2 e bio (t)</t>
  </si>
  <si>
    <t>CO2 e, ilgtnesp. biomasa (t)</t>
  </si>
  <si>
    <t>Enerģētiskais saturs (fosilie avoti), TJ</t>
  </si>
  <si>
    <t>Enerģētiskais saturs (biomasa), TJ</t>
  </si>
  <si>
    <t>1. piem.</t>
  </si>
  <si>
    <t>Sadedzināšana</t>
  </si>
  <si>
    <t>Smagā degvieleļļa</t>
  </si>
  <si>
    <t>2. piem.</t>
  </si>
  <si>
    <t>Procesa emisijas</t>
  </si>
  <si>
    <t>Māls</t>
  </si>
  <si>
    <t>3. piem.</t>
  </si>
  <si>
    <t>Masas bilance</t>
  </si>
  <si>
    <t>Tērauds</t>
  </si>
  <si>
    <t>Nosaukums</t>
  </si>
  <si>
    <t>Piem.</t>
  </si>
  <si>
    <t>PFC emisijas</t>
  </si>
  <si>
    <t>Centriska priekšdedzināšana (CWPB); A tipa anodi</t>
  </si>
  <si>
    <t>Emisiju avoti (mērījumos balstītas pieejas)</t>
  </si>
  <si>
    <t>Slāpekļskābe, 1. līnija</t>
  </si>
  <si>
    <t>h gadā</t>
  </si>
  <si>
    <t>1000 Nm3/h</t>
  </si>
  <si>
    <t>1000 Nm3 gadā</t>
  </si>
  <si>
    <t>CO2 pārvade</t>
  </si>
  <si>
    <t>Pārvade uz ES ETS iekārtu X</t>
  </si>
  <si>
    <t>D. Emisijas</t>
  </si>
  <si>
    <t>Emisijas un enerģijas ielaide</t>
  </si>
  <si>
    <t>Emisiju attiecināšana</t>
  </si>
  <si>
    <t>Koģenerācija (1)</t>
  </si>
  <si>
    <t>Koģenerācija (2)</t>
  </si>
  <si>
    <t>Atlikumgāzes (1)</t>
  </si>
  <si>
    <t>Atlikumgāzes (2)</t>
  </si>
  <si>
    <t>Lapa “Emissions” — EMISIJU ATTIECINĀŠANA</t>
  </si>
  <si>
    <t>Kopējās tiešās siltumnīcefekta gāzu emisijas un enerģijas ielaide ar kurināmajiem</t>
  </si>
  <si>
    <t>Šajā sadaļā ir emisiju un enerģētiskā satura datu kopsavilkums no piecām lapām no “B+C_Emissions_Y1” līdz “B+C_Emissions_Y5”. Gadījumos, kad dalībvalsts atļauj ievadīt agregētus datus, nevis aizpildīt šīs piecas lapas, attiecīgie ieraksti jāizdara šeit 2. sadaļā.</t>
  </si>
  <si>
    <t>Sīkākai informācijai sk. vispārīgās piezīmes B lapas sākumā.</t>
  </si>
  <si>
    <t>Automātiski aprēķinātie dati iekārtas līmenī</t>
  </si>
  <si>
    <t>Šeit redzamie dati ir B+C lapās ievadīto datu automātisks kopsavilkums.</t>
  </si>
  <si>
    <t>Iekārtas līmeņa dati:</t>
  </si>
  <si>
    <t>Kopējās CO2 emisijas</t>
  </si>
  <si>
    <t>Emisijas no biomasas</t>
  </si>
  <si>
    <t>Kopējās N2O emisijas</t>
  </si>
  <si>
    <t>Kopējās PFC emisijas</t>
  </si>
  <si>
    <t>Tiešo emisiju summa</t>
  </si>
  <si>
    <t>Eksportētais pārvietotais CO2</t>
  </si>
  <si>
    <t>Iekārtas kopējās tiešās emisijas</t>
  </si>
  <si>
    <t>Kopējā tiešā enerģijas ielaide ar kurināmajiem</t>
  </si>
  <si>
    <t>Dati, kas ievadāmi, ja dalībvalsts atļauj ziņot iekārtas līmenī agregētus datus</t>
  </si>
  <si>
    <t>Ja saskaņā ar B.I. sadaļu ir atļauts detalizētu avota plūsmu datu vietā ievadīt kopējās emisijas, tad šī sadaļa jāaizpilda obligāti.</t>
  </si>
  <si>
    <t>Tādā gadījumā norādiet tālāk prasīto saskaņā ar Monitoringa un ziņošanas regulas principiem.</t>
  </si>
  <si>
    <t>Kopējās CO2 emisijas: verificētās CO2 emisijas no avota plūsmām un emisijas avotiem, tostarp no ilgtnespējīgi iegūtas biomasas</t>
  </si>
  <si>
    <t>Emisijas no biomasas: emisijas no biomasas, kas vai nu iegūta ilgtspējīgi, vai kurai nav piemērojami ilgtspējas kritēriji, it kā to nominālās emisijas nebūtu nulle</t>
  </si>
  <si>
    <t>Kopējās N2O emisijas no emisijas avotiem</t>
  </si>
  <si>
    <t>Kopējās PFC emisijas no primārā alumīnija ražošanas</t>
  </si>
  <si>
    <t>No iekārtas eksportētā pārvietotā CO2 daudzums, par ko ziņo negatīvās vērtībās</t>
  </si>
  <si>
    <t>Kopējā enerģijas ielaide ar kurināmajiem, arī biomasu un atlikumgāzēm</t>
  </si>
  <si>
    <t>Iekārtas līmeņa datu rezultāti izmantošanai lapās “D_Emissions” un “E_EnergyFlows”:</t>
  </si>
  <si>
    <t>Ja attēloti ir dati gan 1., gan 2. punktā, tiks izmantoti 2. punkta dati, jo nav iespējams pārbaudīt B+C lapu datu pilnīgumu.</t>
  </si>
  <si>
    <t>Jebkādas konfliktējošas vērtības nākamajā tabulā ir atzīmētas ar sarkanu.</t>
  </si>
  <si>
    <t>Par to, lai datu ieraksti nebūtu konfliktējoši, pilnībā atbild iekārtas operators.</t>
  </si>
  <si>
    <t>Emisiju attiecināšana uz apakšiekārtām</t>
  </si>
  <si>
    <t>Kopējās emisijas iekārtas līmenī (no D.I.3. sadaļas)</t>
  </si>
  <si>
    <t>Attiecināšana uz apakšiekārtām</t>
  </si>
  <si>
    <t xml:space="preserve">Emisiju attiecināšana uz katru apakšiekārtu jāveic F un G lapā. </t>
  </si>
  <si>
    <t>Attiecināto emisiju kopsavilkuma tabula ir atrodama kopsavilkuma lapā (sk. saiti tālāk).</t>
  </si>
  <si>
    <t>Koģenerācijas rīks</t>
  </si>
  <si>
    <t>Vai ir relevanti koģenerācijas (CHP) bloki?</t>
  </si>
  <si>
    <t>Šis ir rīks koģenerācijas kurināmo un emisiju attiecināšanai nolūkā atjaunināt līmeņatzīmju vērtības saskaņā ar VII pielikuma 8. nodaļu.</t>
  </si>
  <si>
    <t>Ja koģenerācija jūsu iekārtai nav relevanta, atzīmējiet “APLAMS” ("FALSE"). Tādā gadījumā viss rīks ir nerelevants un tiks iekrāsots pelēks.</t>
  </si>
  <si>
    <t>Ņemiet vērā, ka dažām apakšiekārtām relevantas var būt ar importēto siltumu saistītās emisijas. Ja šis importētais siltums ir saražots koģenerācijā citās iekārtās, šis rīks var būt relevants, ja ir pieejami relevantie dati no piegādātāja.</t>
  </si>
  <si>
    <t>Šis rīks šajā veidnē ir pieejams divreiz, un katrs rīks ir izmantojams tikai vienam koģenerācijas blokam. Ja relevanti ir vairāk nekā divi koģenerācijas bloki, relevantās informācijas sniegšanai var izmantot atsevišķu veidni.</t>
  </si>
  <si>
    <t>Periodi, kuros koģenerācijas bloks darbojas tikai siltuma vai tikai elektroenerģijas ražošanas režīmā (t. i., periodi, kuros ražo tikai vienu no šiem diviem produktiem), ir jāizslēdz, un kurināmo un emisiju attiecināšana tajos jāaprēķina atsevišķi saskaņā ar VII pielikuma 10.1.2. un 10.1.3. iedaļas noteikumiem.</t>
  </si>
  <si>
    <t>Rīks, ar ko aprēķina, kādas koģenerācijas bloku emisijas attiecināmas uz siltuma ražošanu</t>
  </si>
  <si>
    <t>Kopējā kurināmā ielaide koģenerācijas blokos</t>
  </si>
  <si>
    <t>Šeit norādiet ikgadējo kurināmā ielaidi koģenerācijas blokā.</t>
  </si>
  <si>
    <t>Kurināmā ielaide koģenerācijas blokā</t>
  </si>
  <si>
    <t>Koģenerācijas bloka siltuma izlaide</t>
  </si>
  <si>
    <t>Šis ir kopējais koģenerācijas blokā saražotais siltuma daudzums.</t>
  </si>
  <si>
    <t>Koģenerācijas bloka elektroenerģijas izlaide</t>
  </si>
  <si>
    <t>Šis ir kopējais koģenerācijas blokā saražotais elektroenerģijas (vai attiecīgā gadījumā mehāniskās enerģijas) daudzums.</t>
  </si>
  <si>
    <t>Koģenerācijas bloka kopējās emisijas</t>
  </si>
  <si>
    <t>Ievadot vērtības, jānošķir emisijas no kurināmā ielaides un no dūmgāzu attīrīšanas.</t>
  </si>
  <si>
    <t>No kurināmā ielaides koģenerācijas blokā</t>
  </si>
  <si>
    <t>No dūmgāzu attīrīšanas</t>
  </si>
  <si>
    <t>Kopējās emisijas</t>
  </si>
  <si>
    <t>Noklusējuma lietderības koeficienti:</t>
  </si>
  <si>
    <t>Siltums:</t>
  </si>
  <si>
    <t>Elektroenerģija:</t>
  </si>
  <si>
    <t>Siltuma un elektroenerģijas lietderības koeficienti</t>
  </si>
  <si>
    <t>Šīs vērtības ir bezdimensionālas un tiek automātiski aprēķinātas no a) līdz c) punktā norādītajiem datiem.</t>
  </si>
  <si>
    <t>Ja nav ievadītas nekādas vērtības, tikai kopējās emisijas d) punktā, tiks izmantoti noklusējuma lietderības koeficienti no e) punkta. Ņemiet vērā, ka tā rīkoties ir atļauts tikai tad, ja sniegti pierādījumi, ka noteikt lietderības koeficientus nav tehniski iespējams vai tas radītu pārmērīgas izmaksas, turklāt nav pieejamas arī vērtības, kuru pamatā būtu iekārtas tehniskie dokumenti (projekta vērtības).</t>
  </si>
  <si>
    <t>Siltuma ražošana</t>
  </si>
  <si>
    <t>Elektroenerģijas ražošana</t>
  </si>
  <si>
    <t>References lietderības koeficienti</t>
  </si>
  <si>
    <t xml:space="preserve">Tie ir references lietderības koeficients siltuma ražošanai atsevišķā katlā un references lietderības koeficients elektroenerģijas ražošanai bez koģenerācijas. </t>
  </si>
  <si>
    <t>References lietderībai izmanto attiecīgās konkrētam kurināmajam specifiskās vērtības no Komisijas Deleģētās regulas (ES) 2015/2402, nepiemērojot minētās regulas III pielikumā norādītos klimatisko apstākļu korekcijas koeficientus un IV pielikumā norādītos korekcijas koeficientus par novērstajiem zudumiem tīklā. Regulu var lejupielādēt šeit:</t>
  </si>
  <si>
    <t>Tālāk norādītie noklusējuma lietderības koeficienti attiecas uz dabasgāzes koģenerācijas blokiem, kuros ražo elektroenerģiju un karsto ūdeni.</t>
  </si>
  <si>
    <t>Emisijas, kas attiecināmas uz siltuma ražošanu koģenerācijas blokā</t>
  </si>
  <si>
    <t>Šis ir galīgais ar šo rīku iegūstamais rezultāts. Šeit attēlotās vērtības ir jāieraksta F vai G lapā kā uz attiecīgo apakšiekārtu attiecināmās emisijas.</t>
  </si>
  <si>
    <t>Piemēram, tas var ietvert attiecināmās emisijas, kas jāņem vērā attiecībā uz kopējām tiešajām emisijām, vai emisijas faktora izmantošanu importējamam izmērāmajam siltumam.</t>
  </si>
  <si>
    <t>Aprēķinu rezultātus var uzskatīt par pareiziem tikai tad, ja iepriekšējās sadaļās ziņotie dati ir pilnīgi un konsekventi.</t>
  </si>
  <si>
    <t>Emisijas, kas attiecināmas uz siltuma izlaidi</t>
  </si>
  <si>
    <t>Emisijas faktors, siltums</t>
  </si>
  <si>
    <t>Uz siltuma un elektroenerģijas ražošanu attiecināmā kurināmā ielaide</t>
  </si>
  <si>
    <t>Šis ir galīgais ar šo rīku iegūstamais rezultāts. Šeit attēlotās vērtības ir jāieraksta attiecīgajās E, F un G lapas sadaļās.</t>
  </si>
  <si>
    <t>Kurināmā ielaide siltuma ražošanai</t>
  </si>
  <si>
    <t>Kurināmā ielaide elektroenerģijas ražošanai</t>
  </si>
  <si>
    <t>Atlikumgāzu rīks</t>
  </si>
  <si>
    <t>Vai iekārta patērē ārpus produkta līmeņatzīmes robežām radušās atlikumgāzes?</t>
  </si>
  <si>
    <t>Tomēr attiecībā uz atlikumgāzēm no kopējām procesa emisijām ir jāatņem CO2 daudzums, kas ekvivalents emisijām no dabasgāzes, no kuras iegūts “tehniski izmantojamais enerģētiskais saturs”.</t>
  </si>
  <si>
    <t>Procesa emisiju daudzums, no kā šīs emisijas nav atņemtas, tālāk saukts par “nekoriģētajām procesa emisijām”.</t>
  </si>
  <si>
    <t>Lai noteiktu, kāds ir "tehniski izmantojamais enerģētiskais saturs", ir vajadzīga šāda informācija:</t>
  </si>
  <si>
    <t>atlikumgāzu daudzums, ko izmanto elektroenerģijas ražošanai un izmērāma vai cita siltuma ražošanai ārpus produkta līmeņatzīmes apakšiekārtām vai ko no iekārtas eksportē;</t>
  </si>
  <si>
    <t>neobligāti (lai pārbaudītu konsekvenci) — procesa emisijas, kas saistītas ar šiem atlikumgāzu daudzumiem;</t>
  </si>
  <si>
    <t>atlikumgāzes zemākā siltumspēja;</t>
  </si>
  <si>
    <t>pieņēmumi par lietderības atšķirībām atkarībā no tā, vai izmanto atlikumgāzes vai dabasgāzi. Šie pieņēmumi ir šādi: elektroenerģijas ražošanas lietderība, ja to ražo no dabasgāzes, ir 52,5 %, ja no atlikumgāzēm — 35 %;</t>
  </si>
  <si>
    <t>dabasgāzes emisijas faktors: 56,1 t CO2/TJ.</t>
  </si>
  <si>
    <t>Tā kā vienā iekārtā aktuālas var būt abas iespējamās apakšiekārtas vai atlikumgāzes var būt dažādas, šis atlikumgāzu rīks veidnē iekļauts divreiz.</t>
  </si>
  <si>
    <t>Rīks procesa emisiju aprēķināšanai, ja atlikumgāzes saražotas ārpus produktu līmeņatzīmēm</t>
  </si>
  <si>
    <t>Šī sadaļa attiecas uz šāda veida procesa emisiju apakšiekārtu:</t>
  </si>
  <si>
    <t>Šeit izvēlieties, uz kuru no divām procesa emisiju apakšiekārtām attiecas dati šajā rīkā.</t>
  </si>
  <si>
    <t>Nosakot pareizo apakšiekārtu, relevanta ir atlikumgāzu rašanās, nevis izmantošana.</t>
  </si>
  <si>
    <t>Norādiet, vai atlikumgāzes apakšiekārtai ir relevantas:</t>
  </si>
  <si>
    <t>Atlikumgāzes veids:</t>
  </si>
  <si>
    <t>Aprakstiet atlikumgāzi un procesu, kurā tā rodas. Augstāk ierakstiet gāzes plūsmas nosaukumu, bet zemāk — īsu procesa aprakstu.</t>
  </si>
  <si>
    <t>Ja jūsu iekārtai relevantas ir vairākas atšķirīgas atlikumgāzes, sīkākas ziņas norādiet atsevišķos failos, sarežģītākiem gadījumiem izmantojot šo rīku.</t>
  </si>
  <si>
    <t>Kopējais procesa emisiju daudzums, pirms tiek atņemts tehniski izmantojamā enerģētiskā satura ekvivalents:</t>
  </si>
  <si>
    <t>Šim daudzumam jāatbilst oglekļa emisiju pārvirzes statusam, kas norādīts a) punktā.</t>
  </si>
  <si>
    <t>Nekoriģētas procesa emisijas</t>
  </si>
  <si>
    <t>Atlikumgāzu emisiju aplēse</t>
  </si>
  <si>
    <t>Neobligāti (un tikai konsekvences pārbaudīšanai) sniedziet aplēsi par emisiju daudzumu, kas saistīts ar izmantoto vai eksportēto atlikumgāzi.</t>
  </si>
  <si>
    <t>Šim daudzumam jāatbilst atlikumgāzu daudzumam f) punktā.</t>
  </si>
  <si>
    <t>Emisijas no atlikumgāzēm</t>
  </si>
  <si>
    <t>ārpus produktu līmeņatzīmēm</t>
  </si>
  <si>
    <t>Ārpus produkta līmeņatzīmju apakšiekārtām saražoto atlikumgāzu daudzums, arī eksportam:</t>
  </si>
  <si>
    <t>Relevantas ir tikai atlikumgāzes, ko izmanto siltuma vai elektroenerģijas ražošanai. Ja atlikumgāzes tiek sadedzinātas lāpā, relevants ir tikai daudzums, kas lāpā sadedzināts drošības apsvērumu dēļ.</t>
  </si>
  <si>
    <t>Var izvēlēties, vai daudzumu norādīt tonnās vai 1000 Nm3 (kubikmetri standartapstākļos). Mērvienībām jāatbilst tām, kas tālāk izmantotas zemākajai siltumspējai (NCV).</t>
  </si>
  <si>
    <t>Atlikumgāzes daudzums gadā</t>
  </si>
  <si>
    <t>Atlikumgāzes zemākā siltumspēja</t>
  </si>
  <si>
    <t>Iespējams izvēlēties, vai to norādīt GJ/t vai GJ/1000 Nm3. Mērvienībām jāatbilst tām, kas izmantotas iepriekšējos punktos.</t>
  </si>
  <si>
    <t>Zemākā siltumspēja</t>
  </si>
  <si>
    <t>Nepieciešamie pieņēmumi:</t>
  </si>
  <si>
    <t>Elektroenerģijas ražošanas references lietderība:</t>
  </si>
  <si>
    <t>izmantojot dabasgāzi:</t>
  </si>
  <si>
    <t>izmantojot atlikumgāzes:</t>
  </si>
  <si>
    <t>Dabasgāzes emisijas faktors:</t>
  </si>
  <si>
    <t>Emisijas, kas atskaitāmas, lai ņemtu vērā tehniski izmantojamo enerģētisko saturu:</t>
  </si>
  <si>
    <t>Šie daudzumi tiek aprēķināti automātiski, balstoties uz iepriekš ievadītajiem skaitļiem. Formula ir aprakstīta norādījumu dokumentā Nr. 8.</t>
  </si>
  <si>
    <t>Atskaitījums par atlikumgāzēm</t>
  </si>
  <si>
    <t>Procesa emisijas, kas aprēķinātas, ņemot vērā ar atlikumgāzēm saistīto korekciju (=d-i)</t>
  </si>
  <si>
    <t>Šis ir galīgais ar šo rīku iegūstamais rezultāts. Šeit attēlotās vērtības ir jāieraksta G lapā kā uz relevanto procesa emisiju apakšiekārtu attiecināmās emisijas.</t>
  </si>
  <si>
    <t>Ja rezultāts ir negatīvs, tas tiek nomainīts uz nulli.</t>
  </si>
  <si>
    <t>Atlikumgāzu rīka rezultāts:</t>
  </si>
  <si>
    <t>E. Enerģijas plūsmas</t>
  </si>
  <si>
    <t>Kurināmo attiecināšana</t>
  </si>
  <si>
    <t>Siltums (galīgais rezultāts)</t>
  </si>
  <si>
    <t>Atlikumgāzes</t>
  </si>
  <si>
    <t>Elektroenerģija</t>
  </si>
  <si>
    <t>Lapa “EnergyFlows” — DATI PAR ENERĢIJAS IELAIDI, IZMĒRĀMO SILTUMU UN ELEKTROENERĢIJU</t>
  </si>
  <si>
    <t>Enerģijas ielaide ar kurināmajiem</t>
  </si>
  <si>
    <t>Pārskats un sadalījums pa izmantojuma kategorijām</t>
  </si>
  <si>
    <t>Enerģijas ielaide ar kurināmajiem, kopējie dati par iekārtu (no lapas “D_Emissions” I sadaļas):</t>
  </si>
  <si>
    <t>Ievadīšanas paņēmiens:</t>
  </si>
  <si>
    <t>Vērtību ievadīšanas paņēmienu var izvēlēties tabulā c) punktā. Pieejamās iespējas: absolūtās vērtības (TJ gadā) vai procenti.</t>
  </si>
  <si>
    <t>Datu ātrai ievadīšanai vienkāršos gadījumos, kad vairums ierakstu ir "100 %" vai nulle, labākā izvēle ir procenti.</t>
  </si>
  <si>
    <t>Kurināmā ielaides sadalījums pa dažādiem lietojumiem</t>
  </si>
  <si>
    <t>Tabulā ievadiet, cik enerģijas patērēts katram lietojumam vai — atkarībā no tā, kāds paņēmiens izvēlēts b) punktā, — procentuālo daļu no a) punktā norādītā daudzuma.</t>
  </si>
  <si>
    <t>Produkta līmeņatzīmes (LA) kurināmo ielaide ir tiešās kurināmo ielaides un apakšiekārtas patērētā izmērāmā siltuma kurināmo ielaides summa.</t>
  </si>
  <si>
    <t>Kurināmo ielaide tāda izmērāma siltuma ražošanai, ko neizmanto produkta LA, vai elektroenerģijas ražošanai</t>
  </si>
  <si>
    <t>Kurināmo ielaide kurināmā LA apakšiekārtās</t>
  </si>
  <si>
    <t>Kurināmo ielaide elektroenerģijas ražošanai</t>
  </si>
  <si>
    <t>Lai uz izmērāma siltuma un elektroenerģijas ražošanu attiecinātu kurināmā ielaidi koģenerācijā, jāizmanto koģenerācijas rīks D. lapas III .sadaļā.</t>
  </si>
  <si>
    <t xml:space="preserve">Īpaša uzmanība jāpievērš enerģijas ielaides attiecināšanai uz abām apakšiekārtām, kas ir relevantas kvotu iedalei, — </t>
  </si>
  <si>
    <t>kurināmā līmeņatzīmes apakšiekārtai “OEP” (pakļauta ievērojamam oglekļa emisiju pārvirzes riskam) un “bez OEP” (oglekļa emisiju pārvirzes riskam nav pakļauta).</t>
  </si>
  <si>
    <t>Kontroles vajadzībām apakšējā rindā ir norādīts atlikums (100 %, no kā atskaitīta kopējā ielaide). Tā ir enerģijas ielaide, kas nekvalificējas iedalei.</t>
  </si>
  <si>
    <t>Kurināmo ielaides izmantojuma veids</t>
  </si>
  <si>
    <t>Kurināmo ielaide produkta LA apakšiekārtās</t>
  </si>
  <si>
    <t>Kurināmo ielaide izmērāma siltuma ražošanai</t>
  </si>
  <si>
    <t>Atlikums</t>
  </si>
  <si>
    <t>Ievadītā informācija kontroles nolūkā šeit attēlota vienībās, kuras informācijas ievadei neizvēlējāties.</t>
  </si>
  <si>
    <t>Iekārtas izmērāmā siltuma pilnīga bilance</t>
  </si>
  <si>
    <t>Vai iekārtai ir siltuma līmeņatzīmes vai centralizētās siltumapgādes apakšiekārta?</t>
  </si>
  <si>
    <t>Produkta līmeņatzīmes apakšiekārtas nosaukums parādās automātiski saskaņā ar lapā "A_InstallationData" ievadītajiem datiem.</t>
  </si>
  <si>
    <t>Ja parādās “PATIESS” (“TRUE”), ieraksti šajā sadaļā vienmēr ir relevanti. Uz nākamo jautājumu jāatbild tikai tad, ja neviena no šīm apakšiekārtām nav relevanta.</t>
  </si>
  <si>
    <t>Vai šajā iekārtā tiek ražotas vai patērētas, uz to importētas vai no tās eksportētas kādas izmērāma siltuma plūsmas?</t>
  </si>
  <si>
    <t>Visiem datiem par siltumu jābūt datiem par izmērāmā siltuma neto daudzumu (t. i., lietotājam pievadītās siltuma plūsmas siltumsaturs, no kā atskaitīts atgriezes plūsmas siltumsaturs).</t>
  </si>
  <si>
    <t>Izmantotās aprēķina metodes apraksts</t>
  </si>
  <si>
    <t>Ja relevanta ir abu veidu siltuma ielaide — gan siltuma, kas kvalificējas (pašražots un/vai importēts no ETS iekārtām), gan siltuma, kas nekvalificējas (importēts no ETS neaptvertām iekārtām vai vienībām vai saražots slāpekļskābes apakšiekārtā), — UN tiek izmantots abu veidu siltums, t. i., gan tas, kas kvalificējas (iekšēji izmantots un/vai eksportēts uz ETS neaptvertām iekārtām/vienībām), gan tas, kas nekvalificējas (eksportēts uz ETS iekārtām), ir svarīgi iezīmēt, kura ielaide kvalificējas un kura ne.</t>
  </si>
  <si>
    <t>Šādai iezīmēšanai tiek piedāvāta šāda pieeju hierarhija.</t>
  </si>
  <si>
    <t>Ja siltuma daudzumus var skaidri iezīmēt (jo ir skaidri definēti siltumtīkla savienojumi vai ir zināms tvaika spiediena līmenis u. tml.), par siltuma daudzumiem, kas kvalificējas un kas nekvalificējas, ir jāziņo saskaņā ar reālo situāciju.</t>
  </si>
  <si>
    <t>Ja tas nav iespējams, izmantojumiem jāpiemēro svērumi atbilstoši ielaižu attiecībai (ETS ielaide attiecībā pret kopējo ielaidi) saskaņā ar iepriekš sniegtajām definīcijām.</t>
  </si>
  <si>
    <t>Šajā veidnē ir izmantota šāda pakāpeniska pieeja.</t>
  </si>
  <si>
    <t>Atsevišķi aprēķina tā siltuma patēriņa bilanci, kas kvalificējas, un tā, kas nekvalificējas.</t>
  </si>
  <si>
    <t>Elektroenerģijas ražošanas gadījumā siltuma patēriņu sadala atbilstoši f) punktā norādītajai attiecībai, ja vien siltuma daudzums no avotiem, kas nekvalificējas, nav manuāli ievadīts g) punkta iii. apakšpunktā.</t>
  </si>
  <si>
    <t>Attiecībā uz produktu līmeņatzīmēm izmērītā siltuma kopējais daudzums ir jānorāda g) punktā. Par tā siltuma daudzumu, kas nekvalificējas, ņem lapas "F_ProductBM” f) punkta iii) apakšpunktā par katru apakšiekārtu ievadīto ielaides daudzumu summu (sk. h) punkta xii. apakšpunktu).</t>
  </si>
  <si>
    <t>Siltuma eksports uz ETS aptvertām iekārtām (sk. i) punktu) vienmēr jāuzskata par siltumu no avotiem, kas kvalificējas, jo siltuma patērētājam informācijas par augšposmā saražotā siltuma kvalificējamību nebūs. Tāpēc, lai izvairītos no divkāršas uzskaites, siltums ir jāatskaita no daudzuma, kas šajā iekārtā kvalificējas. Šis daudzums nevar pārsniegt kopējo iekārtai pieejamo siltumu, kas kvalificējas.</t>
  </si>
  <si>
    <t>No izmērāmā siltuma atlikušā daudzuma jānosaka, cik daudz siltuma ir patērēts iekārtā (izņemot elektroenerģijas ražošanā un produkta līmeņa apakšiekārtās). Augšējā robežvērtība ir atlikums pēc iepriekšējiem soļiem no tā siltuma daudzuma, kas kvalificējas.</t>
  </si>
  <si>
    <t>Kad no pieejamā daudzuma ir atskaitīts šis siltums, aprēķina jaunu “kvalificējamības attiecību” (k) punkts).</t>
  </si>
  <si>
    <t>Atlikušo daudzumu, kas kvalificējas, tad var attiecināt uz abām siltuma līmeņatzīmes apakšiekārtām.</t>
  </si>
  <si>
    <t>Siltuma ielaide</t>
  </si>
  <si>
    <t>Iekārtā saražotā izmērāmā siltuma kopējais neto daudzums:</t>
  </si>
  <si>
    <t>Ievērojiet, ka siltums, kas saražots no slāpekļskābes apakšiekārtām, jānorāda c) punktā kā “imports no ETS neaptvertām iekārtām”.</t>
  </si>
  <si>
    <t>Saražotais izmērāmais siltums</t>
  </si>
  <si>
    <t>Izmērāmais siltums, kas importēts no ES ETS aptvertām iekārtām:</t>
  </si>
  <si>
    <t>Iekārtu nosaukumi nolaižamajā izvēlnē ir ņemti no A lapas IV sadaļas. Pārbaudiet, vai tajā ir ievadītie dati ir pilnīgi.</t>
  </si>
  <si>
    <t>Iekārtas nosaukums</t>
  </si>
  <si>
    <t>Starpsumma</t>
  </si>
  <si>
    <t>Izmērāmais siltums, kas importēts no ES ETS neaptvertām iekārtām un vienībām (kas nekvalificējas siltuma līmeņatzīmei):</t>
  </si>
  <si>
    <t xml:space="preserve">Tas ietver slāpekļskābi ražojošas apakšiekārtas (ja slāpekļskābes ražošana ir daļa no iekārtas, kā iekārtas nosaukumu izvēlieties “Iekārtā"). </t>
  </si>
  <si>
    <t>Ievērojiet, ka šeit ievadītie dati ir jāpārbauda, lai noskaidrotu, vai nerodas divkārša uzskaite ar atskaitījumiem pie produkta līmeņatzīmes apakšiekārtām (sk. lapu "F_ProductBM").</t>
  </si>
  <si>
    <t>No elektroenerģijas saražots izmērāmais siltums</t>
  </si>
  <si>
    <t>Tas ietver siltumu no elektrosūkņiem, elektrokatliem utt. Šis siltuma daudzums iekļaujams datos, kas norādīti c) punktā. Šeit tas ir ietverts tikai pilnīguma labad, bet bilancē neparādās, jo šis siltums nekvalificējas.</t>
  </si>
  <si>
    <t>Siltums no elektroenerģijas</t>
  </si>
  <si>
    <t>Iekārtā pieejamā izmērāmā siltuma summārais daudzums (=a+b+c)</t>
  </si>
  <si>
    <t>Kopējais izmērāmais siltums</t>
  </si>
  <si>
    <t>ETS siltuma attiecība pret kopējo siltumu</t>
  </si>
  <si>
    <t>ETS siltums ir iekārtā saražotais siltums, kuram pieskaitīts siltums, kas importēts no ETS iekārtām (=a+b).</t>
  </si>
  <si>
    <t xml:space="preserve">Kopējais siltums ir ETS siltums, kuram pieskaitīts siltums, kas importēts no ETS neaptvertām vienībām un iekārtām (=a+b+c). </t>
  </si>
  <si>
    <t>Siltuma ielaides attiecība (a+b) / (a+b+c):</t>
  </si>
  <si>
    <t>Siltums, kas nekvalificējas apakšiekārtām ar siltuma līmeņatzīmi</t>
  </si>
  <si>
    <t>Pirms var kvantificēt siltuma daudzumu, kas ietilpst siltuma līmeņatzīmes apakšiekārtās, jānosaka, kāds daudzums tam nekvalificējas.</t>
  </si>
  <si>
    <t>Vispirms jāaplūko daudzumi, kas nekvalificējas siltuma izmantošanai iekārtā.</t>
  </si>
  <si>
    <t xml:space="preserve">Tas ir siltuma daudzums, ko izmanto elektroenerģijas ražošanai, un siltums, kas tiek patērēts produkta līmeņatzīmes apakšiekārtās. </t>
  </si>
  <si>
    <t>Izmērāmais siltums, kas iekārtā patērēts elektroenerģijas ražošanai (nekvalificējas siltuma līmeņatzīmei):</t>
  </si>
  <si>
    <t>Pēc noklusējuma pieņem, ka visu elektroenerģijas ražošanā izmantoto siltuma daudzumu sadala ielaidē, kas kvalificējas, un ielaidē, kas nekvalificējas, izmantojot f) punktā aprēķināto attiecību.</t>
  </si>
  <si>
    <t>Tomēr, ja ir pieejama precīzāka informācija (piemēram, tāpēc, ka atšķirīgā spiediena dēļ iespējams nošķirt tvaiku no dažādiem avotiem), varat ievadīt citus tā siltuma daudzumus, kas nekvalificējas. Ja šis daudzums pārsniedz c) punkta iv. apakšpunktā norādīto daudzumu, tālākiem aprēķiniem izmanto pieejamo maksimumu.</t>
  </si>
  <si>
    <t>Elektroenerģijas ražošanai izmantotais siltums</t>
  </si>
  <si>
    <t>Siltuma daudzums no ETS neaptvertiem avotiem</t>
  </si>
  <si>
    <t>Manuāla datu ievade, kas anulē ii. apakšpunktā redzamos datus</t>
  </si>
  <si>
    <t>Izmērāmais siltums, kas iekārtā patērēts produkta līmeņatzīmes apakšiekārtām (nekvalificējas siltuma līmeņatzīmei):</t>
  </si>
  <si>
    <t>Tāpēc šeit ir iekļauta šo datu ticamības pārbaude.</t>
  </si>
  <si>
    <t>Lapā “F_ProductBM” ievadītās vērtības:</t>
  </si>
  <si>
    <t>Ticamības pārbaude:</t>
  </si>
  <si>
    <t>Pēc lapas "F_ProductBM" aizpildīšanas attiecīgā gadījumā pārbaudiet šo sadaļu vēlreiz, lai pārliecinātos, ka nav ievadīti apšaubāmi dati.</t>
  </si>
  <si>
    <t>Vislabākā pieeja šīs sadaļas aizpildīšanai ir vispirms ievadīt relevantos datus lapā "F_ProductBM" un tikai tad ievadīt datus šīs lapas i) punktā.</t>
  </si>
  <si>
    <t>ETS neaptvertais siltums, kas norādīts lapā “F_ProductBM”, salīdzinājumā ar kopējo siltuma daudzumu visām produktu līmeņatzīmēm:</t>
  </si>
  <si>
    <t>xii. apakšpunkts attiecībā pret xi. apakšpunktu:</t>
  </si>
  <si>
    <t>ETS neaptvertais siltums, kas norādīts lapā “F_ProductBM”, salīdzinājumā ar kopējo ETS neaptvertā siltuma importu, kas norādīts c) punktā:</t>
  </si>
  <si>
    <t>xii. apakšpunkts attiecībā pret c) punktu:</t>
  </si>
  <si>
    <t>Uz ETS iekārtām eksportētais siltums (nekvalificējas siltuma līmeņatzīmei):</t>
  </si>
  <si>
    <t>Iedale par šo siltuma daudzumu pienākas siltuma patērētājam.</t>
  </si>
  <si>
    <t>Kopējais uz ETS iekārtām eksportētais siltums</t>
  </si>
  <si>
    <t>Siltuma līmeņatzīmes vai centralizētās siltumapgādes apakšiekārtas:</t>
  </si>
  <si>
    <t>Starpsumma: atlikušais kopējais izmērāmais siltums, kas potenciāli pieder pie siltuma līmeņatzīmes apakšiekārtām (=e-g-h-i):</t>
  </si>
  <si>
    <t>Starpsumma:</t>
  </si>
  <si>
    <t>Šo daudzumu var sadalīt siltumā, kas kvalificējas, un siltumā, kas nekvalificējas (pēc izcelsmes, sk. šīs sadaļas ievadu).</t>
  </si>
  <si>
    <t>Tad e) punktā noteikto koeficientu koriģē, ņemot vērā atlikušo siltumu, kas kvalificējas, un siltumu, kas nekvalificējas. Šo koeficientu izmanto m) punktā.</t>
  </si>
  <si>
    <t>Pēc izcelsmes kvalificējas:</t>
  </si>
  <si>
    <t>Pēc izcelsmes nekvalificējas:</t>
  </si>
  <si>
    <t>j) punktā aprēķinātā atlikušā siltuma kvalificējamības attiecība:</t>
  </si>
  <si>
    <t>koriģētā kvalificējamības attiecība (=(j).ii / (j).i):</t>
  </si>
  <si>
    <t>Izmērāmā siltuma neto daudzums, kas patērēts iekārtā un kvalificējas siltuma līmeņatzīmei:</t>
  </si>
  <si>
    <t>Šis ir patēriņš iekārtā, izņemot g) un h) punktā uzskaitītajiem nolūkiem.</t>
  </si>
  <si>
    <t>Iekārtā patērētais siltums</t>
  </si>
  <si>
    <t>Siltums, kas eksportēts uz ES ETS neaptvertām iekārtām vai vienībām (piemēram, centralizētās siltumapgādes tīkliem):</t>
  </si>
  <si>
    <t>Saņēmējas vienības vai iekārtas nosaukums</t>
  </si>
  <si>
    <t>Kopējais uz ES ETS neaptvertām iekārtām vai vienībām eksportētais siltums:</t>
  </si>
  <si>
    <t>Siltuma zudumi (=j-l-m)</t>
  </si>
  <si>
    <t>Lai nodrošinātu, ka siltuma bilance ir pilnīga, šajā tabulā parādīti aprēķinātie siltuma zudumi (t. i., siltuma daudzums, ko neaptver g), h), k), l) un m) punkts).</t>
  </si>
  <si>
    <t>Ja redzamas negatīvas vērtības, tas nozīmē, ka iepriekš ievadītie siltuma patēriņa līmeņi pārsniedz siltuma daudzumu, kas pieejams no ražošanas un importa.</t>
  </si>
  <si>
    <t>Siltuma zudumi (aprēķinātie)</t>
  </si>
  <si>
    <t>Siltuma zudumi (daļa no pieejamā siltuma = e)</t>
  </si>
  <si>
    <t>Kopējais siltuma daudzums, kas potenciāli ir daļa no siltuma līmeņatzīmes vai centralizētās siltumapgādes apakšiekārtām (=l+m):</t>
  </si>
  <si>
    <t>Siltuma līmeņatzīmes apakšiekārtās kopā:</t>
  </si>
  <si>
    <t>Galīgais rezultāts: siltuma daudzums, kas attiecināms uz siltuma līmeņatzīmes vai centralizētās siltumapgādes apakšiekārtām</t>
  </si>
  <si>
    <t>Šis rezultāts ir aprēķināts, o) punkta rādītāju reizinot ar k) punktā noteikto koriģēto kvalificējamības attiecību.</t>
  </si>
  <si>
    <t>Maksimālā pieļaujamā vērtība ir j) punkta ii. apakšpunktā noteiktais daudzums, kas kvalificējas.</t>
  </si>
  <si>
    <t>Siltums, kas kvalificējas siltuma līmeņatzīmes apakšiekārtām</t>
  </si>
  <si>
    <t>Sadalījums pa apakšiekārtām. Datu ievades metode</t>
  </si>
  <si>
    <t>Vērtību ievadīšanas paņēmienu var izvēlēties tabulā r) punktā. Pieejamās iespējas: absolūtās vērtības (TJ gadā) vai procenti.</t>
  </si>
  <si>
    <t>Siltuma apakšiekārtu attiecināšana uz oglekļa emisiju pārvirzes riska pakāpi:</t>
  </si>
  <si>
    <t>Šeit norādiet, kāds izmērāmā siltuma daudzums patērēts katrā apakšiekārtā, kur 100 % ir iepriekš p) punktā aprēķinātā summa.</t>
  </si>
  <si>
    <t>Siltuma līmeņatzīmes apakšiekārta “OEP” (pakļauta ievērojamam oglekļa emisiju pārvirzes riskam), “bez OEP” (oglekļa emisiju pārvirzes riskam nav pakļauta; te ietilpst arī siltums, kas eksportēts uz ETS neaptvertām iekārtām un vienībām, bet ne centralizētajai siltumapgādei) un centralizētās siltumapgādes apakšiekārta “bez OEP”.</t>
  </si>
  <si>
    <t>Šie dati tiek automātiski atkalizmantoti lapā “G_Fall-back”. Tāpēc, ja izmanto šo rīku, dati šeit jāievada obligāti.</t>
  </si>
  <si>
    <t>Kontrolskaitļi:</t>
  </si>
  <si>
    <t>Atlikumgāzu bilance</t>
  </si>
  <si>
    <t>Pilnīga iekārtas atlikumgāzu bilance</t>
  </si>
  <si>
    <t>Šo bilanci galvenokārt izmanto tam, lai pārbaudītu, vai ir konsekvence starp saistītajiem ierakstiem D lapas IV sadaļas atlikumgāzu rīkā un apakšiekārtu līmeņa atlikumgāzu bilancēm F un G lapā.</t>
  </si>
  <si>
    <t>Kad vien iespējams, tālākās sadaļas tiks automātiski aizpildītas ar minētajās sadaļās ievadītajiem datiem.</t>
  </si>
  <si>
    <t>Vai šajā iekārtā rodas vai tiek patērētas, uz to tiek importētas vai no tās tiek eksportētas kādas atlikumgāzes?</t>
  </si>
  <si>
    <t>Ja atbilde ir “APLAMS” (“FALSE”), datus šeit var neievadīt un var pāriet pie nākamā punkta.</t>
  </si>
  <si>
    <t>Produkta līmeņatzīmes apakšiekārtas sistēmas robežās radušās atlikumgāzes</t>
  </si>
  <si>
    <t>Informācija ir ņemta no F lapas l) sadaļas v. punkta. Attiecīgā gadījumā pārbaudiet, vai tajā ir ievadītie dati ir pilnīgi.</t>
  </si>
  <si>
    <t>Apakšiekārta</t>
  </si>
  <si>
    <t>Ārpus produkta līmeņatzīmes apakšiekārtas sistēmas robežām radušās atlikumgāzes</t>
  </si>
  <si>
    <t>Informācija ir ņemta no D lapas IV sadaļas. Attiecīgā gadījumā pārbaudiet, vai tajā ir ievadītie dati ir pilnīgi.</t>
  </si>
  <si>
    <t>Ņemiet vērā, ka tur veiktie ieraksti var attiekties uz atlikumgāzēm, kas radušās citās iekārtās, no kurām tās importētas.</t>
  </si>
  <si>
    <t>no D lapas IV sadaļas</t>
  </si>
  <si>
    <t>Atlikumgāze 1</t>
  </si>
  <si>
    <t>Atlikumgāze 2</t>
  </si>
  <si>
    <t>Atlikumgāzu summa (=a+b)</t>
  </si>
  <si>
    <t>Radušās atlikumgāzes</t>
  </si>
  <si>
    <t>No citām iekārtām vai vienībām importētas atlikumgāzes</t>
  </si>
  <si>
    <t>Ja importētie daudzumi ir iekļauti arī b) punktā, pārliecinieties, ka nenotiek divkārša uzskaite.</t>
  </si>
  <si>
    <t>Uz citām iekārtām vai vienībām eksportētas atlikumgāzes</t>
  </si>
  <si>
    <t>Iekārtā pieejamo atlikumgāzu summa (=c+d-e)</t>
  </si>
  <si>
    <t>Pieejamās atlikumgāzes</t>
  </si>
  <si>
    <t>Produkta līmeņatzīmes apakšiekārtās patērētās atlikumgāzes</t>
  </si>
  <si>
    <t>Informācija ir ņemta no F lapas l) sadaļas viii. punkta. Attiecīgā gadījumā pārbaudiet, vai tajā ir ievadītie dati ir pilnīgi.</t>
  </si>
  <si>
    <t>Produkta LA apakšiekārtas veids</t>
  </si>
  <si>
    <t>Alternatīvajās apakšiekārtās patērētās atlikumgāzes</t>
  </si>
  <si>
    <t>Informācija ir ņemta no attiecīgajiem ierakstiem lapā “G_Fall-back”. Attiecīgā gadījumā pārbaudiet, vai tajā ir ievadītie dati ir pilnīgi.</t>
  </si>
  <si>
    <t>Alternatīvās apakšiekārtas veids</t>
  </si>
  <si>
    <t>Centralizētās siltumapgādes apakšiekārta, bez OEP</t>
  </si>
  <si>
    <t>Elektroenerģijas ražošanai patērēto atlikumgāzu daudzums</t>
  </si>
  <si>
    <t>Elektroenerģijai patērētās atlikumgāzes</t>
  </si>
  <si>
    <t>Lāpā sadedzināto atlikumgāzu daudzums (izņemot to, kas sadedzināts drošības apsvērumu dēļ)</t>
  </si>
  <si>
    <t>Attiecībā uz produkta LA apakšiekārtām informācija ir automātiski ņemta no ierakstiem lapā “F_ProductBM”.</t>
  </si>
  <si>
    <t>Šeit jāieraksta ziņas par atlikumgāzēm, kas radušās ārpus produkta LA apakšiekārtām un nav sadedzinātas drošības apsvērumu dēļ.</t>
  </si>
  <si>
    <t>radušās ārpus produkta LA apakšiekārtām</t>
  </si>
  <si>
    <t>Ticamības pārbaude</t>
  </si>
  <si>
    <t>Pārbaudes mērķis ir pārliecināties par atlikumgāzu bilances pilnīgumu. Ja tā nav nulle, pārbaudiet, vai iepriekš norādītās vērtības nav pretrunīgas.</t>
  </si>
  <si>
    <t>Starpība (aprēķinātā)</t>
  </si>
  <si>
    <t>Starpība (kā f) daļa)</t>
  </si>
  <si>
    <t>Pilnīga iekārtas elektroenerģijas bilance</t>
  </si>
  <si>
    <t>Vai iekārta ražo elektroenerģiju?</t>
  </si>
  <si>
    <t>Ņemiet vērā, ka šis jautājums attiecas uz visām iekārtām un nav tieši saistīts ar to, vai iekārta ir elektroenerģijas ražošanas iekārta ES ETS direktīvas 3. panta u) punkta nozīmē. Ja atbilde ir “APLAMS” (“FALSE”), tālākie ieraksti nav obligāti.</t>
  </si>
  <si>
    <t>Iekārtā saražotās elektroenerģijas kopējais neto daudzums</t>
  </si>
  <si>
    <t>Pārējā saražotā elektroenerģija ietver, piem., hidroenerģiju, vēja un saules enerģiju, enerģiju no turbodetanderiem un enerģiju no citiem ETS neaptvertiem procesiem.</t>
  </si>
  <si>
    <t>Neto elektroenerģija, kas saražota no kurināmā</t>
  </si>
  <si>
    <t>Pārējā saražotā elektroenerģija</t>
  </si>
  <si>
    <t>Kopējā elektroenerģija, kas importēta no elektrotīkla vai citām iekārtām</t>
  </si>
  <si>
    <t>Importētā elektroenerģija</t>
  </si>
  <si>
    <t>Kopējā elektroenerģija, kas eksportēta uz elektrotīklu vai citām iekārtām</t>
  </si>
  <si>
    <t>Eksportētā elektroenerģija</t>
  </si>
  <si>
    <t>Kopējā elektroenerģija, kas pieejama izmantošanai iekārtā (= b+c-d)</t>
  </si>
  <si>
    <t>Izmantojamā elektroenerģija</t>
  </si>
  <si>
    <t>Kopējā iekārtā patērētā elektroenerģija</t>
  </si>
  <si>
    <t>Iekārtā patērētā elektroenerģija</t>
  </si>
  <si>
    <t>Ticamības pārbaude: lapā "F_ProductBM" ievadītā kopējā elektroenerģijas ielaide elektroenerģijas apmaināmībai</t>
  </si>
  <si>
    <t>Elektroenerģija, kas ievadīta kā apmaināma</t>
  </si>
  <si>
    <t>Salīdzinājumā ar f) punktu</t>
  </si>
  <si>
    <t>F. Produkta LA</t>
  </si>
  <si>
    <t>Lapa “ProductBM” — APAKŠIEKĀRTU DATI, KAS SAISTĪTI AR PRODUKTU LĪMEŅATZĪMĒM</t>
  </si>
  <si>
    <t>Navigācijas joslā lapas augšā ir tikai saites uz relevantajām apakšiekārtām, kas uzskaitītas A lapas III sadaļas 1. punktā.</t>
  </si>
  <si>
    <t>Vēsturiskie darbības līmeņi un dezagregēti ražošanas dati</t>
  </si>
  <si>
    <t>Šīs lapas mērķis ir nodrošināt</t>
  </si>
  <si>
    <t>datus, kas vajadzīgi, lai noteiktu bezmaksas kvotu iedales apjomu produkta līmeņatzīmes apakšiekārtām;</t>
  </si>
  <si>
    <t>datus, kas vajadzīgi, lai noteiktu produkta līmeņatzīmju vērtību uzlabošanas rādītājus.</t>
  </si>
  <si>
    <t>Vēsturiskie darbības līmeņi</t>
  </si>
  <si>
    <t>Šajā punktā jāziņo par "galvenajiem darbības līmeņiem", t. i., dati, kas tieši attiecas uz iedales apjoma aprēķinu.</t>
  </si>
  <si>
    <t>Tomēr, ja b) punktā parādās ziņojums, jāizmanto attiecīgais aprēķinu rīks un tā rezultāti automātiski jāiekopē šīs tabulas ii) apakšpunktā.</t>
  </si>
  <si>
    <t>Balstoties uz A lapas III sadaļā ievadīto normālās ekspluatācijas sākumu, tiks automātiski noteikts, vai šī iekārta bāzlīnijas periodā darbojusies mazāk par vienu gadu. Tādā gadījumā vēsturiskais darbības līmenis tiks noteikts, balstoties uz pirmo kalendāro gadu pēc normālas ekspluatācijas sākuma saskaņā ar 15. panta 7. punkta trešo daļu.</t>
  </si>
  <si>
    <t>Slejā N ir jāizdara attiecīgi ieraksti par šo gadu, kas būs vai nu 2019., vai 2020. Tomēr, tā kā VĪP iesniegšanas laikā attiecīgā gada ikgadējais ražošanas apjoms nebūs zināms, to var izdarīt tikai vēlāk.</t>
  </si>
  <si>
    <t>Gada darbības līmeņi:</t>
  </si>
  <si>
    <t>No lapas “H_SpecialBM”:</t>
  </si>
  <si>
    <t>Aprēķinā izmantotās vērtības:</t>
  </si>
  <si>
    <t>Īpašas ziņošanas prasības:</t>
  </si>
  <si>
    <t>Attiecībā uz dažām produktu līmeņatzīmēm ir jāziņo specifiska informācija (piem., CWT vērtības). Attiecīgā gadījumā šeit parādīsies automātisks ziņojums.</t>
  </si>
  <si>
    <t>Citi korekcijas koeficienti</t>
  </si>
  <si>
    <t>Kurināmā un elektroenerģijas apmaināmība:</t>
  </si>
  <si>
    <t>Attiecīgā gadījumā šeit parādīsies automātisks ziņojums, ka jāievada dati, lai ņemtu vērā kurināmā un elektroenerģijas apmaināmību.</t>
  </si>
  <si>
    <t>Kopējās tiešās emisijas parasti ir vienādas ar vērtībām, kas norādītas tālāk g) punktā. Tomēr (it sevišķi tad, ja izmantotas atlikumgāzes) var būt vajadzīgas papildu korekcijas, tāpēc ņemiet vērā g) punktā sniegtos norādījumus. Neto importētais siltums ir automātiski ņemts no k) punkta i. apakšpunkta.</t>
  </si>
  <si>
    <t>Parametrs</t>
  </si>
  <si>
    <t>Tiešās emisijas</t>
  </si>
  <si>
    <t>Neto importētais siltums</t>
  </si>
  <si>
    <t>Relevantais elektroenerģijas patēriņš</t>
  </si>
  <si>
    <t>Kopējās tiešās emisijas</t>
  </si>
  <si>
    <t>Netiešās emisijas</t>
  </si>
  <si>
    <t>No ETS neaptvertām iekārtām vai vienībām importētais siltums:</t>
  </si>
  <si>
    <t>Šis daudzums ir izmērāmā siltuma daudzums, kas importēts no ETS neaptvertām iekārtām (arī siltums no slāpekļskābes apakšiekārtām) vai vienībām, reizināts ar siltuma līmeņatzīmi.</t>
  </si>
  <si>
    <t>Šeit norādiet attiecīgās vērtības. Ievērojiet, ka šīm vērtībām jāsaskan ar starpsummām, kas par importu no ETS neaptvertām iekārtām/vienībām norādītas lapas "E_Energy flows" II sadaļas c) punktā.</t>
  </si>
  <si>
    <t>Datiem jāsaskan arī ar neto kopējo importēto izmērāmo siltumu, kas ievadīts k) punkta i. apakšpunktā.</t>
  </si>
  <si>
    <t>No ETS neaptvertām iekārtām/vienībām importēts izmērāmais siltums</t>
  </si>
  <si>
    <t>Konsekvences pārbaude — saskanība ar lapu “E_Energy flows”:</t>
  </si>
  <si>
    <t>Konsekvences pārbaude — saskanība ar k) punkta i. apakšpunktu.</t>
  </si>
  <si>
    <t>Ražošanas dati</t>
  </si>
  <si>
    <t>Šajā produkta līmeņatzīmes apakšiekārtā ietverto produktu identificēšana</t>
  </si>
  <si>
    <t>Produkta līmeņatzīme var ietvert vairākus līdzīgus produktus (vai produktu grupas). Dažos gadījumos iedales vajadzībām relevanti var būt arī starpprodukti. Relevantie produkti jānorāda šeit, lai kompetentā iestāde varētu pārbaudīt, vai ir ievērotas produkta līmeņatzīmei noteiktās robežas.</t>
  </si>
  <si>
    <t>PRODCOM kodi jāievada formā “nnnnnnnn”, t. i., bez punktiem vai citām atdalītājzīmēm. Tikai tad, ja PRODCOM kods nav pieejams, “nnnn” veidā jānorāda vismaz 4 ciparu līmeņa NACE kods.</t>
  </si>
  <si>
    <t>PRODCOM 2010 kodu saraksts pieejams šeit:</t>
  </si>
  <si>
    <t>Šajā produkta līmeņatzīmes apakšiekārtā ietverto produktu atsevišķie ražošanas līmeņi</t>
  </si>
  <si>
    <t>Produkta vai produktu grupas nosaukums</t>
  </si>
  <si>
    <t>Ražošanas līmeņu summa</t>
  </si>
  <si>
    <t>Dati, kas vajadzīgi, lai noteiktu līmeņatzīmju uzlabošanas rādītāju saskaņā ar ES ETS direktīvas 10.a panta 2. punktu.</t>
  </si>
  <si>
    <t xml:space="preserve">Šos norādījumus var lejupielādēt šeit: </t>
  </si>
  <si>
    <t>Balstoties uz tālāk izdarītajiem ierakstiem, attiecināmās emisijas tiek aprēķinātas kopsavilkuma lapas K III sadaļas 2. punktā.</t>
  </si>
  <si>
    <t>Uz šo apakšiekārtu tieši attiecināmas emisijas (DirEm* (MP avota plūsmas))</t>
  </si>
  <si>
    <t>Šeit ievadiet uz šo apakšiekārtu tieši attiecināmās emisijas (DirEm* (MP avota plūsmas)), ņemot vērā šādus noteikumus.</t>
  </si>
  <si>
    <t>Tieši attiecināmās emisijas monitorē saskaņā ar monitoringa plānu, kas apstiprināts saskaņā ar MZR, t. i., ņemot vērā emisijas, kas iegūtas ar aprēķinos balstītām metodikām (izmantojot avota plūsmas), mērījumos balstītām metodikām (CEMS), kā arī bezpakāpju pieejām (“rezerves pieejas”).</t>
  </si>
  <si>
    <t>Tomēr vairākos gadījumos "tieši attiecināmās emisijas" šajā sadaļā nav identiskas tām, ko ziņo saskaņā ar MZR. Tā ir, piemēram, ja izmērāma siltuma, atlikumgāzu utt. ieguvei izmanto noteiktas avota plūsmas. Citiem vārdiem sakot, lai izvairītos no divkāršas uzskaites vai izlaidumiem, aizpildot tālākās sadaļas, rūpīgi jāievēro norādījumi.</t>
  </si>
  <si>
    <t xml:space="preserve">Izmērāmais siltums: ja siltums tiek ražots tikai vienai apakšiekārtai, emisijas šeit var attiecināt tieši, izmantojot kurināmā emisijas. </t>
  </si>
  <si>
    <t>Ja kurināmo izmanto, lai saražotu izmērāmu siltumu, ko par ielaidi izmanto vairāk nekā vienā apakšiekārtā, kurā siltums tiek patērēts (tas attiecas arī uz situācijām, kad siltumu importē no citām iekārtām un eksportē uz citām iekārtām), kurināmais jāiekļauj nevis apakšiekārtas tieši attiecināmajās emisijās, bet gan tālāk k) punktā.</t>
  </si>
  <si>
    <t>Ielaide ietver izmērāmu siltumu no lokāla bloka (piem., iekārtas elektrocentrāles vai sarežģītāka tvaika tīkla ar vairākiem siltumblokiem), kas nodrošina siltumu vairāk nekā vienai apakšiekārtai. Arī tādā gadījumā emisijas ir attiecināmas nevis šeit, bet k) punkta i. apakšpunktā.</t>
  </si>
  <si>
    <t>Eksportētais izmērāmais siltums: ja šādu siltumu atgūst no procesa un eksportē, korekcijas šeit neveic. Atskaitījumu par saistītajām emisijām izdara, balstoties uz ierakstiem k) punkta v. apakšpunktā.</t>
  </si>
  <si>
    <t>Atlikumgāzes: emisijas no atlikumgāzēm, kas IMPORTĒTAS no citām iekārtām vai apakšiekārtām un patērētas šajā apakšiekārtā, norāda nevis šeit, bet gan l) punktā.</t>
  </si>
  <si>
    <t>Tieši attiecināmās emisijas (DirEm*)</t>
  </si>
  <si>
    <t>Kurināmo ielaide šajā apakšiekārtā un relevantais emisijas faktors</t>
  </si>
  <si>
    <t>Jēdziens “kurināmais” apzīmē jebkuru avota plūsmu saskaņā ar MZR, kas ir sadedzināma un kam var noteikt zemāko siltumspēju. Svērto emisijas faktoru nosaka, kurināmo kumulatīvās emisijas dalot ar kopējo enerģētisko saturu.</t>
  </si>
  <si>
    <t>Turklāt svērtajam emisijas faktoram attiecīgā gadījumā būtu jāietver arī emisijas no attiecīgo dūmgāzu attīrīšanas.</t>
  </si>
  <si>
    <t>Šeit sniegtie dati tiek izmantoti tikai konsekvences pārbaudei, un tiem nav tiešas ietekmes ne uz attiecināmajām emisijām, ne iedales apjomu.</t>
  </si>
  <si>
    <t>Kurināmā ielaide</t>
  </si>
  <si>
    <t>Svērtais emisijas faktors</t>
  </si>
  <si>
    <t>Citas iekšējās avota plūsmas, kas importētas uz šo apakšiekārtu vai eksportētas no tās</t>
  </si>
  <si>
    <t>Ņemiet vērā, ka, lai izvairītos no datu iztrūkumiem vai divkāršas uzskaites, avota plūsmas šeit jānorāda tikai tad, ja tās jau nav ietvertas tiešajās emisijās g) punktā. Ar atlikumgāzēm saistītās emisijas jānorāda nevis šeit, bet gan l) punktā.</t>
  </si>
  <si>
    <t>Šeit norādiet informāciju par tā dēvētajām iekšējām avota plūsmām, kas tiek pārvadītas starp apakšiekārtām, t. i., kas importētas šajā apakšiekārtā vai no tās eksportētas.</t>
  </si>
  <si>
    <t>Piemēram, ja šī ir integrētas dzelzs un tērauda stacijas koksa apakšiekārta, ar koksa patēriņu saistītās emisijas rodas domnā un nav ieskaitāmas šajā (proti, koksa) apakšiekārtā. Tomēr daļa no emisijām iekļaujama g) punktā, jo koksa krāsnī padotās ogles ir viena no avota plūsmām, kas uz to attiecināma pirmajā solī.</t>
  </si>
  <si>
    <t>Lai izvairīto no divkāršas uzskaites, jāizdara korekcija attiecībā uz koksu, kas atstāj koksa apakšiekārtu, kā ārupēju “iekšējo avota plūsmu”. To dara, “eksporta” gadījumā norādot negatīvu koksa daudzuma vērtību. Lai iegūtu pilnīgu to ogļu emisiju bilanci, kas tiek padotas koksa apakšiekārtā, ar koksa gāzes (=atlikumgāzes) izmantošanu saistītās emisijas jau ir iekļautas g) punktā (iekļautas ogļu emisijās) tādā mērā, kādā gāze tiek izmantota šajā apakšiekārtā. Korekcijas, ar kurām ņem vērā eksportētos atlikumgāzes daudzumus, izdara nevis šeit, bet gan l) punkta xx. apakšpunktā.</t>
  </si>
  <si>
    <t>Savukārt, ja tā ir integrētas dzelzs un tērauda stacijas karstā metāla līmeņatzīmes apakšiekārta, kokss te jānorāda kā ienākoša/importēta “iekšēja” avota plūsma un daudzumi jānorāda pozitīvi.</t>
  </si>
  <si>
    <t>Vai šai apakšiekārtai ir relevantas vēl citas importētas vai eksportētas iekšējās avota plūsmas?</t>
  </si>
  <si>
    <t>Ja importētas vai eksportētas tiek vairāk nekā divas avota plūsmas, vairākas avota plūsmas būtu jāsagrupē kopā un jānorāda to attiecīgie nosaukumi.</t>
  </si>
  <si>
    <t>Citu avota plūsmu nosaukums, 1:</t>
  </si>
  <si>
    <t>Citas avota plūsmas, 1:</t>
  </si>
  <si>
    <t>Importētais vai eksportētais daudzums</t>
  </si>
  <si>
    <t>Zemākā siltumspēja (attiecīgā gadījumā)</t>
  </si>
  <si>
    <t>Oglekļa saturs (masas %)</t>
  </si>
  <si>
    <t>Biomasas saturs (kā oglekļa frakcija)</t>
  </si>
  <si>
    <t>Emisijas (no fosilajiem avotiem, aprēķinātās)</t>
  </si>
  <si>
    <t>Ārpusbilances postenis: emisijas no biomasas</t>
  </si>
  <si>
    <t>Enerģētiskais saturs (aprēķinātais)</t>
  </si>
  <si>
    <t>Kļūdas ziņojumi (emisijas)</t>
  </si>
  <si>
    <t>Citu avota plūsmu nosaukums, 2:</t>
  </si>
  <si>
    <t>Citas avota plūsmas, 2:</t>
  </si>
  <si>
    <t>To SEG daudzums, kas importētas vai eksportētas kā ievadmateriāli</t>
  </si>
  <si>
    <t>Eksportētie daudzumi jānorāda kā negatīvas vērtības, un tiem jāatbilst CO2 daudzumiem, kas no šīs apakšiekārtas eksportēti, nevis izvadīti atmosfērā.</t>
  </si>
  <si>
    <t>Importētās vai eksportētās SEG</t>
  </si>
  <si>
    <t>Šajā apakšiekārtā importētais un no tās eksportētais izmērāmais siltums</t>
  </si>
  <si>
    <t>Arī emisijas, kas saistītas ar izmērāmu siltumu, kas lokāli saražots blokos, kuri apkalpo vairāk nekā vienu apakšiekārtu, ievadāmas šeit pie importa, nevis tieši attiecināmas g) punktā, izmantojot kurināmā emisijas faktoru. Tas pats attiecas uz visu siltumu, kas importēts no citām apakšiekārtām.</t>
  </si>
  <si>
    <t xml:space="preserve">Ja siltums tiek ražots tikai vienai apakšiekārtai un attiecīgās emisijas tāpēc ievadītas g) punktā, tad, lai izvairītos no divkāršas uzskaites, attiecīgos daudzumus te neziņo. </t>
  </si>
  <si>
    <t>Lai uz siltuma ražošanu attiecinātu emisijas no koģenerācijas, jāizmanto koģenerācijas rīks šīs veidnes D. lapas III .sadaļā.</t>
  </si>
  <si>
    <t>Kopējais importētais siltums</t>
  </si>
  <si>
    <t>Īpatnējais EF (importētais siltums)</t>
  </si>
  <si>
    <t>Īpašs importētais siltums</t>
  </si>
  <si>
    <t>No pulpas apakšiekārtām importētais neto siltums</t>
  </si>
  <si>
    <t>No slāpekļskābes apakšiekārtas importētais neto siltums</t>
  </si>
  <si>
    <t>Kopējais eksportētais siltums</t>
  </si>
  <si>
    <t>Neto eksportētais siltums</t>
  </si>
  <si>
    <t>Īpatnējais EF (eksportētais siltums)</t>
  </si>
  <si>
    <t>Šīs apakšiekārtas atlikumgāzu bilance</t>
  </si>
  <si>
    <t>Vai atlikumgāzes ir šai apakšiekārtai relevantas?</t>
  </si>
  <si>
    <t>Ja atbilde ir “APLAMS” (“FALSE”), visa sadaļa tiks iezīmēta pelēka un varat pāriet pie nākamajiem punktiem.</t>
  </si>
  <si>
    <t>Radušos atlikumgāzu veidi:</t>
  </si>
  <si>
    <t>Varat izvēlēties, vai tās norādīt tonnās vai 1000 Nm3. Mērvienībām jāatbilst tām, kas zemāk izmantotas NCV un EF.</t>
  </si>
  <si>
    <t>Radušies daudzumi</t>
  </si>
  <si>
    <t>Radusies atlikumgāze</t>
  </si>
  <si>
    <t>Īpatnējais EF (radusies atlikumgāze)</t>
  </si>
  <si>
    <t>Patērēto atlikumgāzu veidi:</t>
  </si>
  <si>
    <t>Te ietilpst visu veidu atlikumgāzes, kas šajā apakšiekārtā tiek patērētas izmērāma siltuma ieguvei, neizmērāma siltuma ieguvei (arī sadedzināšana lāpā drošības apsvērumu dēļ) vai mehāniskās enerģijas ieguvei (izņemot nolūkā saražot elektroenerģiju). Daudzumi, kas tiek sadedzināti lāpā, bet ne drošības apsvērumu dēļ, jānorāda nākamajā punktā.</t>
  </si>
  <si>
    <t>Patērētie daudzumi</t>
  </si>
  <si>
    <t>Patērētā atlikumgāze</t>
  </si>
  <si>
    <t>Īpatnējais EF (patērētā atlikumgāze)</t>
  </si>
  <si>
    <t>Lāpā sadedzināto atlikumgāzu veidi:</t>
  </si>
  <si>
    <t>Te ietilpst visu veidu atlikumgāzes, ko galu galā sadedzina lāpā (bet ne drošības apsvērumu dēļ) vai nu šajā apakšiekārtā, vai ārpus tās.</t>
  </si>
  <si>
    <t>Šeit sniegtie dati tiek izmantoti tikai konsekvences pārbaudei, un tiem nav tiešas ietekmes uz attiecināmajām emisijām.</t>
  </si>
  <si>
    <t>Tomēr no 2026. gada tiks samazināts iedales apjoms attiecībā uz atlikumgāzu sadedzināšanu lāpā (izņemot sadedzināšanu drošības apsvērumu dēļ).</t>
  </si>
  <si>
    <t>Lāpā sadedzinātie daudzumi</t>
  </si>
  <si>
    <t>Lāpā sadedzinātā atlikumgāze</t>
  </si>
  <si>
    <t>Īpatnējais EF (lāpā sadedzinātā atlikumgāze)</t>
  </si>
  <si>
    <t>Importēto atlikumgāzu veidi:</t>
  </si>
  <si>
    <t>Te ietilpst visu veidu atlikumgāzes, kas rodas ārpus šīs apakšiekārtas sistēmas robežām, bet tiek šajā apakšiekārtā importētas un izmantotas izmērāma siltuma ieguvei, neizmērāma siltuma ieguvei (arī sadedzināšana lāpā drošības apsvērumu dēļ) vai mehāniskās enerģijas ieguvei (izņemot nolūkā saražot elektroenerģiju).</t>
  </si>
  <si>
    <t>Importētie daudzumi</t>
  </si>
  <si>
    <t>Importētā atlikumgāze</t>
  </si>
  <si>
    <t>Īpatnējais EF (importētā atlikumgāze)</t>
  </si>
  <si>
    <t>Eksportēto atlikumgāzu veidi:</t>
  </si>
  <si>
    <t>Te ietilpst visu veidu atlikumgāzes, kas rodas šīs apakšiekārtas sistēmas robežās un no šīs apakšiekārtas tiek eksportētas uz kādu citu apakšiekārtu vai kādu citu iekārtu vai vienību.</t>
  </si>
  <si>
    <t>Eksportētie daudzumi</t>
  </si>
  <si>
    <t>Eksportētā atlikumgāze</t>
  </si>
  <si>
    <t>Īpatnējais EF (eksportētā atlikumgāze)</t>
  </si>
  <si>
    <t>Saražotā elektroenerģija</t>
  </si>
  <si>
    <t>Kopējais saražotās pulpas daudzums</t>
  </si>
  <si>
    <t>Saskaņā ar IV pielikuma 2.7. iedaļas k) punktu jāuzrāda kopējais pulpas daudzums, kas saražots īsšķiedras kraftpulpas, garšķiedras kraftpulpas, termomehāniskās pulpas un mehāniskās pulpas, sulfītpulpas produkta līmeņatzīmes apakšiekārtām.</t>
  </si>
  <si>
    <t>Ja šī iekārta nav šāda pulpu ražojoša apakšiekārta, šī sadaļa tiks iezīmēta pelēka. Tādā gadījumā pārejiet pie nākamajiem punktiem.</t>
  </si>
  <si>
    <t>Šeit sniegtie dati būs relevanti konkrētās pulpas līmeņatzīmes atjaunināšanai.</t>
  </si>
  <si>
    <t>Produktu līmeņatzīmju aptverto starpproduktu imports vai eksports</t>
  </si>
  <si>
    <t>Šeit sniegtie dati var ietekmēt konkrētās līmeņatzīmes atjaunināšanu.</t>
  </si>
  <si>
    <t>Vai notiek produktu līmeņatzīmju aptverto starpproduktu imports vai eksports?</t>
  </si>
  <si>
    <t>Importētie daudzumi:</t>
  </si>
  <si>
    <t>Eksportētie daudzumi:</t>
  </si>
  <si>
    <t>Importēto vai eksportēto starpproduktu apraksts</t>
  </si>
  <si>
    <t>Īsi aprakstiet ražošanas procesu attiecībā uz importētajiem vai eksportētajiem starpproduktiem.</t>
  </si>
  <si>
    <t>Konsekvences pārbaude — saskanība ar n) punktu:</t>
  </si>
  <si>
    <t>Lai uz siltuma ražošanu attiecinātu emisijas no koģenerācijas, jāizmanto koģenerācijas rīks D. lapas III .sadaļā.</t>
  </si>
  <si>
    <t>G. Alternatīvās pieejas</t>
  </si>
  <si>
    <t>Lapa “Fall-back” — AR ALTERNATĪVAJĀM (FALL-BACK) APAKŠIEKĀRTĀM SAISTĪTIE APAKŠIEKĀRTU DATI</t>
  </si>
  <si>
    <t>Navigācijas joslā ir tikai saites uz apakšiekārtām, kas atzīmētas kā relevantas A lapas III sadaļas 2. punktā.</t>
  </si>
  <si>
    <t>Alternatīvās apakšiekārtas nosaukums parādās automātiski, balstoties uz iespējamo alternatīvo apakšiekārtu kopējo sarakstu.</t>
  </si>
  <si>
    <t>datus, kas vajadzīgi, lai noteiktu bezmaksas kvotu iedales apjomu altern. līmeņatzīmes apakšiekārtām;</t>
  </si>
  <si>
    <t>datus, kas vajadzīgi, lai noteiktu altern. līmeņatzīmju vērtību uzlabošanas rādītājus.</t>
  </si>
  <si>
    <t>Šie dati tiek automātiski ņemti no lapas "E_EnergyFlows" II sadaļas r) punkta. Tāpēc minētajā sadaļā dati jāievada obligāti.</t>
  </si>
  <si>
    <t>Galvenais darbības līmenis:</t>
  </si>
  <si>
    <t>Ar šo apakšiekārtu saistīto relevanto produktu vai pakalpojumu identificēšana</t>
  </si>
  <si>
    <t>Šeit norādiet, ar kādiem ražošanas procesiem vai pakalpojumiem ir saistīta šī apakšiekārta. Tie var būt, piemēram:</t>
  </si>
  <si>
    <t>produktu līmeņatzīmju neaptvertu produktu ražošana iekārtā (norādiet produktu veidus);</t>
  </si>
  <si>
    <t>mehāniskās enerģijas ražošana, siltumapgāde vai aukstumapgāde (visi izmantojumi, izņemot elektroenerģijas ražošanu);</t>
  </si>
  <si>
    <t>siltuma eksports uz iekārtām vai citām vienībām (izņemot centralizētās siltumapgādes vajadzībām). Tādā gadījumā norādiet siltuma izmantojumu attiecīgajā iekārtā vai vienībā, ja tas ir zināms.</t>
  </si>
  <si>
    <t>Ja tiek aptverti vairāki līdzīgi produkti, kas ietilpst tajā pašā NACE grupā, PRODCOM vietā var izmantot NACE kodus.</t>
  </si>
  <si>
    <t>Ja siltums tiek eksportēts, var izvēlēties savienoto iekārtu vai vienību, kāda ievadīta lapas “A_InstallationData” IV sadaļā.</t>
  </si>
  <si>
    <t>Izmantojuma veids</t>
  </si>
  <si>
    <t>Iekārtā vai eksports?</t>
  </si>
  <si>
    <t>Produkta nosaukums vai siltuma eksports, bet ne centralizētās siltumapgādes vajadzībām</t>
  </si>
  <si>
    <t>Ražošanas līmeņi</t>
  </si>
  <si>
    <t>Uz šo apakšiekārtu tieši attiecināmas emisijas (DirEm*)</t>
  </si>
  <si>
    <t>Norādiet tiešās emisijas, ņemot vērā šādus noteikumus.</t>
  </si>
  <si>
    <t>Tiešās emisijas monitorē saskaņā ar monitoringa plānu, kas apstiprināts saskaņā ar MZR, t. i., ņemot vērā emisijas, kas iegūtas ar aprēķinos balstītām metodikām (izmantojot avota plūsmas), mērījumos balstītām metodikām (CEMS), kā arī bezpakāpju pieejas (“rezerves pieejas”).</t>
  </si>
  <si>
    <t>Tomēr vairākos gadījumos “tiešās emisijas” šajā sadaļā nav identiskas tām, ko ziņo saskaņā ar MZR. Tā ir, piemēram, ja izmērāma siltuma, atlikumgāzu utt. ieguvei izmanto noteiktas avota plūsmas. Citiem vārdiem sakot, lai izvairītos no divkāršas uzskaites vai izlaidumiem, aizpildot tālākās sadaļas, rūpīgi ievērojiet norādījumus.</t>
  </si>
  <si>
    <t xml:space="preserve">Izmērāmais siltums: ja siltums tiek ražots tikai šai apakšiekārtai, emisijas šeit var attiecināt tieši, izmantojot kurināmā emisijas. </t>
  </si>
  <si>
    <t>Ja ar kurināmajiem ražo izmērāmu siltumu, kas tiek patērēts vairāk nekā vienā apakšiekārtā (piem., iekārtas elektrocentrāle vai sarežģītāks tvaika tīkls ar vairākiem siltumblokiem), kurināmos iekļauj nevis apakšiekārtas tiešajās emisijās, bet gan f) punkta i. apakšpunktā.</t>
  </si>
  <si>
    <t>Atlikumgāzes: emisijas, kas saistītas ar izmērāmo siltumu, kurš saražots no atlikumgāzēm, kas importētas no citām iekārtām vai apakšiekārtām un izmantotas šajā apakšiekārtā, norāda nevis šeit, bet gan f) punkta xiii. apakšpunktā.</t>
  </si>
  <si>
    <t>Jēdziens “kurināmais” apzīmē jebkuru avota plūsmu saskaņā ar MZR, kas ir sadedzināma un kam var noteikt zemāko siltumspēju. Svērto emisijas faktoru nosaka, kumulatīvās emisijas no kurināmajiem (arī tiem, ko izmanto izmērāma siltuma ražošanai) dalot ar kopējo enerģētisko saturu.</t>
  </si>
  <si>
    <t>Atlikumgāzu kurināmā ielaide ietver attiecīgo enerģijas ielaidi šajā apakšiekārtā izmantotā izmērāmā siltuma ražošanai.</t>
  </si>
  <si>
    <t>Šeit ievadītās vērtības tiek izmantotas atlikumgāzu bilancei E lapas III sadaļas h) punktā.</t>
  </si>
  <si>
    <t>Kopējā kurināmo ielaide</t>
  </si>
  <si>
    <t>Atlikumgāzu kurināmā ielaide</t>
  </si>
  <si>
    <t>Īpatnējais EF (atlikumgāze)</t>
  </si>
  <si>
    <t>Šī vērtība parasti atšķiras no apakšiekārtas darbības līmeņa, kas norādīts a) apakšpunktā, jo tajā papildus izmērāmā siltuma neto daudzumam, kas patērēts vai eksportēts uz ES ETS neietilpstošām vienībām, ņem vērā siltuma zudumus, bet neņem vērā siltuma importu, kas jāieraksta f) punktā.</t>
  </si>
  <si>
    <t>Importētais izmērāmais siltums</t>
  </si>
  <si>
    <t>Norādiet izmērāmā siltuma daudzumu, kas importēts no katra turpmāk minētā avota.</t>
  </si>
  <si>
    <t>Neto importētais siltums (citi avoti): te ietilpst siltums, kas importēts no citām iekārtām, vai, ja izmērāmu siltumu patērē vairāk nekā viena apakšiekārta, siltums, kas saražots lokāli un patērēts šajā apakšiekārtā. Izmērāmais siltums, kas importēts no kādas produkta LA apakšiekārtas, pulpas ražošanas, izmērāmais siltums, kas atgūts no kurināmā LA apakšiekārtām vai no atlikumgāzēm, šeit jāiekļauj nebūtu, jo šiem datiem ir paredzēti atsevišķi lauki.</t>
  </si>
  <si>
    <t>Siltums no produkta LA: te ietilpst izmērāms siltums, kas eksportēts no produkta LA apakšiekārtām, izņemot izmērāmu siltumu no apakšiekārtām, kurās ražo pulpu vai slāpekļskābi.</t>
  </si>
  <si>
    <t>Siltums no pulpas: te ietilpst siltums, kas importēts no apakšiekārtām, kurās tiek ražota pulpa.</t>
  </si>
  <si>
    <t>Siltums no kurināmā LA: te ietilpst izmērāmais siltums, kas atgūts no kurināmā LA apakšiekārtu atlikumsiltuma.</t>
  </si>
  <si>
    <t>Siltums no atlikumgāzēm: te ietilpst izmērāmais siltums, kas iegūts no atlikumgāzēm.</t>
  </si>
  <si>
    <t>Te neietilpst siltuma imports no avotiem, kas nekvalificējas, t. i., ES ETS neaptvertām iekārtām, vai siltums no slāpekļskābes apakšiekārtām.</t>
  </si>
  <si>
    <t>Neto importētais siltums (citi avoti)</t>
  </si>
  <si>
    <t>Siltums no produkta LA</t>
  </si>
  <si>
    <t>Īpatnējais EF (siltums no produkta LA)</t>
  </si>
  <si>
    <t>Siltums no pulpas</t>
  </si>
  <si>
    <t>Īpatnējais EF (siltums no pulpas)</t>
  </si>
  <si>
    <t>Siltums no kurināmā LA</t>
  </si>
  <si>
    <t>Īpatnējais EF (no kurināmā LA)</t>
  </si>
  <si>
    <t>Siltums no atlikumgāzēm</t>
  </si>
  <si>
    <t>Īpatnējais EF (no atlikumgāzēm)</t>
  </si>
  <si>
    <t>Kopējais neto importētais siltums</t>
  </si>
  <si>
    <t>Sīki norādījumi par to, kā šeit ievadīt datus, atrodami augstāk 1. sadaļas c) punktā.</t>
  </si>
  <si>
    <t>Sīki norādījumi par to, kā šeit ievadīt datus, atrodami augstāk 1. sadaļas d) punktā.</t>
  </si>
  <si>
    <t>Sīki norādījumi par to, kā šeit ievadīt datus, atrodami augstāk 1. sadaļas e) punktā.</t>
  </si>
  <si>
    <t>Sīki norādījumi par to, kā šeit ievadīt datus, atrodami augstāk 1. sadaļas f) punktā.</t>
  </si>
  <si>
    <t>Centralizētās siltumapgādes tīkls</t>
  </si>
  <si>
    <t>Centralizētā siltumapgāde</t>
  </si>
  <si>
    <t>Patērētās atlikumgāzes</t>
  </si>
  <si>
    <t>Šie dati tiek automātiski ņemti no lapas "E_EnergyFlows" I sadaļas c) punkta. Tāpēc minētajā sadaļā dati jāievada obligāti.</t>
  </si>
  <si>
    <t>mehāniskās enerģijas ražošana, siltumapgāde vai aukstumapgāde (visi izmantojumi, izņemot elektroenerģijas ražošanu).</t>
  </si>
  <si>
    <t>Produkta nosaukums vai pakalpojuma veids</t>
  </si>
  <si>
    <t>Šeit ievadiet tiešās emisijas, kuras monitorētas saskaņā ar monitoringa plānu, kas apstiprināts saskaņā ar MZR, t. i., ņemot vērā emisijas, kas iegūtas ar aprēķinos balstītām metodikām (izmantojot avota plūsmas), mērījumos balstītām metodikām (CEMS), kā arī bezpakāpju pieejas (“rezerves pieejas”).</t>
  </si>
  <si>
    <t>Savukārt emisijas no atlikumgāzu sadedzināšanas iekļauj nevis šeit, bet d) punkta iii. apakšpunktā.</t>
  </si>
  <si>
    <t>i. un ii. apakšpunkta vērtības tiek ģenerētas automātiski, balstoties uz ierakstiem a) un c) punktā.</t>
  </si>
  <si>
    <t>iii. un iv. apakšpunktā jāievada attiecīgi atlikumgāzu kurināmā ielaide un attiecīgais emisijas faktors.</t>
  </si>
  <si>
    <t>a) punktā norādītā kurināmo ielaide</t>
  </si>
  <si>
    <t>Svērtais emisijas faktors (=c./d.)</t>
  </si>
  <si>
    <t>Īpatnējais EF (siltuma eksports)</t>
  </si>
  <si>
    <t>Tas attiecas uz visu atlikumsiltumu, kas atgūts un kvalificējas siltuma LA vai centralizētās siltumapgādes apakšiekārtai.</t>
  </si>
  <si>
    <t>Sīki norādījumi par to, kā šeit ievadīt datus, atrodami augstāk 4. sadaļas c) punktā.</t>
  </si>
  <si>
    <t>Sīki norādījumi par to, kā šeit ievadīt datus, atrodami augstāk 4. sadaļas d) punktā.</t>
  </si>
  <si>
    <t>Šeit ievadītajām vērtībām jāietver kvalificējošās emisijas no visām atlikumgāzēm (noteiktas D lapas IV sadaļā).</t>
  </si>
  <si>
    <t>Šāda veida apakšiekārtas vienmēr attiecas uz tādu preču ražošanu iekārtā, uz kurām neattiecas produktu līmeņatzīmes.</t>
  </si>
  <si>
    <t>Procesa emisiju veids</t>
  </si>
  <si>
    <t>Ražošanas līmeņu dezagregācijas pakāpe:</t>
  </si>
  <si>
    <t>H. Speciāli LA dati</t>
  </si>
  <si>
    <t>Lapa “SpecialBM” — SPECIĀLI DATI PAR DAŽĀM PRODUKTU LĪMEŅATZĪMĒM</t>
  </si>
  <si>
    <t>CWT (rafinētavu produkti)</t>
  </si>
  <si>
    <t>Rīks rafinētavu apakšiekārtu vēsturisko darbības līmeņu aprēķināšanai</t>
  </si>
  <si>
    <t>Attiecībā uz aromātiskajiem savienojumiem (jo arī to gadījumā izmanto CWT) izmantojiet specifisko CWT rīku aromātiskajiem savienojumiem (šīs lapas V sadaļa).</t>
  </si>
  <si>
    <t>Ar šo rīku iegūtais rezultāts tiek automātiski iekopēts lapas “F_ProductBM” rindā a) punkta ii. apakšpunktā par attiecīgo apakšiekārtu.</t>
  </si>
  <si>
    <t>Šā rīka relevantums jūsu iekārtai:</t>
  </si>
  <si>
    <t>Šis ziņojums tiek automātiski ģenerēts, balstoties uz datiem, ko ievadījāt lapas “A_InstallationData” III sadaļas 1. punktā.</t>
  </si>
  <si>
    <t>CWT caurlaiduma dati</t>
  </si>
  <si>
    <t>Šeit ievadiet katras CWT funkcijas ikgadējā caurlaiduma datus.</t>
  </si>
  <si>
    <t>Bāzei izmanto šādus saīsinājumus:</t>
  </si>
  <si>
    <t>neto svaigais ievadmateriāls</t>
  </si>
  <si>
    <t>reaktora ievadmateriāls (arī reciklēts)</t>
  </si>
  <si>
    <t>produkta ievadmateriāls</t>
  </si>
  <si>
    <t>sintēzes gāzes ražošana POX blokiem</t>
  </si>
  <si>
    <t>CWT funkcija</t>
  </si>
  <si>
    <t>Bāze (kt/a)</t>
  </si>
  <si>
    <t>CWT koeficients</t>
  </si>
  <si>
    <t>Jēlnaftas atmosfēriskā destilācija (destilācija pie atmosfēras spiediena)</t>
  </si>
  <si>
    <t xml:space="preserve">Vakuumdestilācija </t>
  </si>
  <si>
    <t xml:space="preserve">Šķīdinātāja atasfaltēšana </t>
  </si>
  <si>
    <t xml:space="preserve">Viskozitātes samazināšana </t>
  </si>
  <si>
    <t>Termiskais krekings</t>
  </si>
  <si>
    <t xml:space="preserve">Aizkavētā koksēšana </t>
  </si>
  <si>
    <t xml:space="preserve">Fluīdkoksēšana (koksēšana plūstošā slānī) </t>
  </si>
  <si>
    <t xml:space="preserve">Fleksikoksēšana </t>
  </si>
  <si>
    <t xml:space="preserve">Koksa kalcinēšana </t>
  </si>
  <si>
    <t>Plūstošais katalītiskais krekings (katalītiskais krekings plūstošā slānī)</t>
  </si>
  <si>
    <t xml:space="preserve">Cits katalītiskais krekings </t>
  </si>
  <si>
    <t xml:space="preserve">Destilāta/gāzeļļas hidrokrekings </t>
  </si>
  <si>
    <t xml:space="preserve">Atlieku hidrokrekings </t>
  </si>
  <si>
    <t>Jēlbenzīna/benzīna hidroattīrīšana</t>
  </si>
  <si>
    <t xml:space="preserve">Petrolejas/dīzeļdegvielas hidroattīrīšana </t>
  </si>
  <si>
    <t xml:space="preserve">Atlieku hidroattīrīšana </t>
  </si>
  <si>
    <t>VGO hidroattīrīšana</t>
  </si>
  <si>
    <t xml:space="preserve">Ūdeņraža ražošana </t>
  </si>
  <si>
    <t>Katalītiskais riformings</t>
  </si>
  <si>
    <t xml:space="preserve">Alkilēšana </t>
  </si>
  <si>
    <t>C4 izomerizācija</t>
  </si>
  <si>
    <t>C5/C6 izomerizācija</t>
  </si>
  <si>
    <t xml:space="preserve">Oksigenātu ražošana </t>
  </si>
  <si>
    <t xml:space="preserve">Propilēna ražošana </t>
  </si>
  <si>
    <t>Asfalta ražošana</t>
  </si>
  <si>
    <t>Ar polimēriem modificēta asfalta maisīšana</t>
  </si>
  <si>
    <t>Sēra atgūšana</t>
  </si>
  <si>
    <t>Aromātisko savienojumu ekstrahēšana ar šķīdinātājiem</t>
  </si>
  <si>
    <t>Hidrodealkilēšana</t>
  </si>
  <si>
    <t>TDP/TDA</t>
  </si>
  <si>
    <t>Cikloheksāna ražošana</t>
  </si>
  <si>
    <t>Ksilola izomerizācija</t>
  </si>
  <si>
    <t>Paraksilola ražošana</t>
  </si>
  <si>
    <t>Metaksilola ražošana</t>
  </si>
  <si>
    <t>Ftalskābes anhidrīda ražošana</t>
  </si>
  <si>
    <t>Maleīnskābes anhidrīda ražošana</t>
  </si>
  <si>
    <t>Etilbenzola ražošana</t>
  </si>
  <si>
    <t>Kumola ražošana</t>
  </si>
  <si>
    <t>Fenola ražošana</t>
  </si>
  <si>
    <t>Ziežvielu ekstrakcija ar šķīdinātājiem</t>
  </si>
  <si>
    <t>Ziežvielu atvaskošana ar šķīdinātājiem</t>
  </si>
  <si>
    <t>Katalītiskā vaska izomerizācija</t>
  </si>
  <si>
    <t xml:space="preserve">Ziežvielu hidrokrekings </t>
  </si>
  <si>
    <t xml:space="preserve">Vaska ateļļošana </t>
  </si>
  <si>
    <t xml:space="preserve">Ziežvielu/vaska hidroattīrīšana </t>
  </si>
  <si>
    <t>Šķīdinātāju hidroattīrīšana</t>
  </si>
  <si>
    <t>Šķīdinātāju frakcionēšana</t>
  </si>
  <si>
    <t>Molekulārais siets C10+ parafīniem</t>
  </si>
  <si>
    <t>Atlikušo ievadmateriālu daļēja oksidācija (POX) kurināmā ieguvei</t>
  </si>
  <si>
    <t>Atlikušo ievadmateriālu daļēja oksidācija (POX) ūdeņraža vai metanola ieguvei</t>
  </si>
  <si>
    <t>Metanols no singāzes</t>
  </si>
  <si>
    <t>Gaisa separēšana</t>
  </si>
  <si>
    <t>Iegādātā dabasgāzes kondensāta frakcionēšana</t>
  </si>
  <si>
    <t>Dūmgāzu attīrīšana</t>
  </si>
  <si>
    <t>Gāzveida kurināmā apstrāde un kompresija tirdzniecībai</t>
  </si>
  <si>
    <t>Jūras ūdens atsāļošana</t>
  </si>
  <si>
    <t>Rezultāts: rafinētavas līmeņatzīmes darbības līmeņi, izteikti CWT</t>
  </si>
  <si>
    <t>Svarīga piezīme. Šos datus paziņo, izteiktus kilotonnās, bet līmeņatzīmi izsaka t CO2/CWT, kur CWT ir izteikta tonnās.</t>
  </si>
  <si>
    <t>Šā rīka rezultāts tiek izmantots lapas “F_ProductBM” rindā a) punkta ii. apakšpunktā par attiecīgo apakšiekārtu, un no tā aprēķina vidējo vērtību.</t>
  </si>
  <si>
    <t>Rafinētavas darbības līmenis</t>
  </si>
  <si>
    <t>Kaļķi</t>
  </si>
  <si>
    <t>Rīks kaļķu apakšiekārtu vēsturisko darbības līmeņu aprēķināšanai</t>
  </si>
  <si>
    <t>Nekoriģēti dati par kaļķu ražošanu:</t>
  </si>
  <si>
    <t>Šeit ievadiet ikgadējos ražošanas datus, kas izteikti kaļķu tonnās, bez datu korekcijas pēc sastāva:</t>
  </si>
  <si>
    <t>nekoriģēti dati par kaļķu ražošanu</t>
  </si>
  <si>
    <t>Dati par sastāvu:</t>
  </si>
  <si>
    <t>brīvā CaO saturs saražotajos kaļķos katrā bāzlīnijas perioda gadā, izteikts masas %</t>
  </si>
  <si>
    <t>Ja dati par brīvā CaO saturu nav pieejami, izmanto konservatīvu aplēsi, kas nav augstāka par 85 %.</t>
  </si>
  <si>
    <t>brīvā MgO saturs saražotajos kaļķos katrā bāzlīnijas perioda gadā, izteikts masas %</t>
  </si>
  <si>
    <t>Ja dati par brīvā MgO saturu nav pieejami, izmanto konservatīvu aplēsi, kas nav augstāka par 0,5 %.</t>
  </si>
  <si>
    <t>CaO saturs</t>
  </si>
  <si>
    <t>MgO saturs</t>
  </si>
  <si>
    <t>Rezultāts: kaļķu apakšiekārtu darbības līmeņi, izteikti kā standarta tīrības kaļķi</t>
  </si>
  <si>
    <t>standarta tīrības kaļķu ražošana</t>
  </si>
  <si>
    <t>Dolomītkaļķi</t>
  </si>
  <si>
    <t>Rīks dolomītkaļķu apakšiekārtu vēsturisko darbības līmeņu aprēķināšanai</t>
  </si>
  <si>
    <t>Nekoriģēti dati par dolomītkaļķu ražošanu:</t>
  </si>
  <si>
    <t>Šeit ievadiet ikgadējos ražošanas datus, kas izteikti dolomītkaļķu tonnās, bez datu korekcijas pēc sastāva:</t>
  </si>
  <si>
    <t>nekoriģēti dati par dolomītkaļķu ražošanu</t>
  </si>
  <si>
    <t>brīvā CaO saturs saražotajos dolomītkaļķos katrā bāzlīnijas perioda gadā, izteikts masas %</t>
  </si>
  <si>
    <t>Ja dati par brīvā CaO saturu nav pieejami, izmanto konservatīvu aplēsi, kas nav augstāka par 52 %.</t>
  </si>
  <si>
    <t>brīvā MgO saturs saražotajos dolomītkaļķos katrā bāzlīnijas perioda gadā, izteikts masas %</t>
  </si>
  <si>
    <t>Ja dati par brīvā MgO saturu nav pieejami, izmanto konservatīvu aplēsi, kas nav augstāka par 33 %.</t>
  </si>
  <si>
    <t>Rezultāts: dolomītkaļķu apakšiekārtu darbības līmeņi, izteikti kā standarta tīrības dolomītkaļķi</t>
  </si>
  <si>
    <t>standarta tīrības dolomītkaļķu ražošana</t>
  </si>
  <si>
    <t>Tvaika krekings</t>
  </si>
  <si>
    <t>Rīks tvaika krekinga apakšiekārtu vēsturisko darbības līmeņu aprēķināšanai</t>
  </si>
  <si>
    <t>Kopējais vērtīgu ķimikāliju ražošanas apjoms (HVC kopā)</t>
  </si>
  <si>
    <t>Šeit ievadiet ikgadējos ražošanas datus, kas izteikti HVC tonnās (bez korekcijām)</t>
  </si>
  <si>
    <t>HVC kopā</t>
  </si>
  <si>
    <t>Dati par papildu ievadmateriāliem:</t>
  </si>
  <si>
    <t>vēsturiskais papildus ievadītais ūdeņradis katrā bāzlīnijas perioda gadā, izteikts ūdeņraža tonnās</t>
  </si>
  <si>
    <t>vēsturiskais papildus ievadītais etilēns katrā bāzlīnijas perioda gadā, izteikts etilēna tonnās</t>
  </si>
  <si>
    <t>citas vēsturiski ievadītās vērtīgās ķimikālijas, izņemot ūdeņradi un etilēnu, katrā bāzlīnijas perioda gadā, izteiktas HVC tonnās</t>
  </si>
  <si>
    <t>Papildu ievadmateriāli</t>
  </si>
  <si>
    <t>Ūdeņradis</t>
  </si>
  <si>
    <t>Etilēns</t>
  </si>
  <si>
    <t>Citas HVC</t>
  </si>
  <si>
    <t>Rezultāts: neto HVC apakšiekārtu darbības līmeņi</t>
  </si>
  <si>
    <t>Neto HVC ražošanas līmenis</t>
  </si>
  <si>
    <t>Ar to nosaka, kāds daudzums ir jāpieskaita ikgadējam provizoriskajam iedales apjomam, kad ir izdarītas korekcijas, lai ņemtu vērā elektroenerģijas apmaināmību.</t>
  </si>
  <si>
    <t>Nepieciešamie dati par ūdeņraža, etilēna un citu HVC vēsturisko ražošanu no papildu ievadmateriāliem, izteikti tonnās, ņemti no IV sadaļas 1. punkta c) apakšpunkta.</t>
  </si>
  <si>
    <t>Ražošana no papildu ievadmateriāliem:</t>
  </si>
  <si>
    <t>Ražošana no papildu ievadmateriāliem</t>
  </si>
  <si>
    <t>Reizinātājs
(t CO2/t)</t>
  </si>
  <si>
    <t>Rezultāts: daudzums, kas jāpieskaita tvaika krekinga apakšiekārtas provizoriskajam kopējam iedales apjomam</t>
  </si>
  <si>
    <t>Iedales apjoma korekcijas daudzums:</t>
  </si>
  <si>
    <t>CWT (aromātiskie savienojumi)</t>
  </si>
  <si>
    <t>Rīks aromātisko savienojumu apakšiekārtu vēsturisko darbības līmeņu aprēķināšanai</t>
  </si>
  <si>
    <t>Attiecībā uz rafinētavas līmeņatzīmi (arī tās gadījumā izmanto CWT) izmantojiet specifisko CWT rīku rafinētavām (šīs lapas I sadaļa).</t>
  </si>
  <si>
    <t>Jēlbenzīna/benzīna hidrotīrītājs</t>
  </si>
  <si>
    <t>Rezultāts: aromātisko savienojumu līmeņatzīmes darbības līmeņi, izteikti CWT</t>
  </si>
  <si>
    <t>Aromātisko savienojumu līmeņatzīmes darbības līmenis</t>
  </si>
  <si>
    <t>Rīks ūdeņraža apakšiekārtu vēsturisko darbības līmeņu aprēķināšanai</t>
  </si>
  <si>
    <t>Ievērojiet, ka ūdeņraža procentuālais saturs ir jāizsaka tilpuma %.</t>
  </si>
  <si>
    <t>Saražotā ūdeņraža kopapjoms (nekoriģēts)</t>
  </si>
  <si>
    <t>Šeit ievadiet ūdeņraža ikgadējos ražošanas datus, pārrēķinātus uz vēsturisko ūdeņraža saturu, katrā bāzlīnijas perioda gadā.</t>
  </si>
  <si>
    <t>Tā kā, apjomu izsakot m3, skaitļi ir ļoti lieli, apjomi ir jānorāda 1000 Nm3 (normālkubikmetri, kas nozīmē 0 °C un 101,325 kPa).</t>
  </si>
  <si>
    <t>Saražotā ūdeņraža kopapjoms</t>
  </si>
  <si>
    <t>Ūdeņraža tilpumfrakcija VF(H2)</t>
  </si>
  <si>
    <t>Šeit norādiet vēsturisko tīra ūdeņraža tilpumfrakciju ražošanas apjomā katrā bāzlīnijas perioda gadā. Tas ir bezdimensionāls lielums.</t>
  </si>
  <si>
    <t xml:space="preserve">Rādītāju 95 % var ievadīt vai nu kā "0,95", vai kā "95 %". </t>
  </si>
  <si>
    <t>Ūdeņraža tilpumfrakcija</t>
  </si>
  <si>
    <t>Rezultāts: ūdeņraža apakšiekārtu darbības līmeņi, izteikti tonnās 100 % H2</t>
  </si>
  <si>
    <t>Ja rezultāts ir negatīva vērtība, to aizstāj ar nulli.</t>
  </si>
  <si>
    <t>Ūdeņradis (kā 100 % tīrs H2)</t>
  </si>
  <si>
    <t>Sintēzes gāze</t>
  </si>
  <si>
    <t>Rīks sintēzes gāzes apakšiekārtu vēsturisko darbības līmeņu aprēķināšanai</t>
  </si>
  <si>
    <t>Saražotās sintēzes gāzes kopapjoms (nekoriģēts)</t>
  </si>
  <si>
    <t>Šeit ievadiet sintēzes gāzes ikgadējos ražošanas datus, pārrēķinātus uz vēsturisko ūdeņraža saturu, katrā bāzlīnijas perioda gadā.</t>
  </si>
  <si>
    <t>Saražotās sintēzes gāzes kopapjoms</t>
  </si>
  <si>
    <t xml:space="preserve">Rādītāju 50 % var ievadīt vai nu kā "0,50", vai kā "50 %". </t>
  </si>
  <si>
    <t>Rezultāts: sintēzes gāzes apakšiekārtu darbības līmeņi, izteikti kā tonnas ar 47 % ūdeņraža saturu</t>
  </si>
  <si>
    <t>Sintēzes gāze (47 % H2 saturs)</t>
  </si>
  <si>
    <t>Etilēnoksīds/etilēnglikoli</t>
  </si>
  <si>
    <t>Rīks etilēnoksīda/etilēnglikolu apakšiekārtu vēsturisko darbības līmeņu aprēķināšanai</t>
  </si>
  <si>
    <t>Etilēnoksīda un etilēnglikolu ražošanas dati:</t>
  </si>
  <si>
    <t>Šeit ievadiet ikgadējos ražošanas datus par dažādiem produktiem, uz ko attiecas šī līmeņatzīme, katrā bāzlīnijas perioda gadā.</t>
  </si>
  <si>
    <t>Šajā tabulā attēlotas arī aprēķinā izmantotās CF(EOE) vērtības. CF(EOE) ir katras vielas pārrēķina koeficients attiecībā uz etilēnoksīdu.</t>
  </si>
  <si>
    <t>Etilēnoksīds</t>
  </si>
  <si>
    <t>Monoetilēnglikols</t>
  </si>
  <si>
    <t>Dietilēnglikols</t>
  </si>
  <si>
    <t>Trietilēnglikols</t>
  </si>
  <si>
    <t>Produktu summa</t>
  </si>
  <si>
    <t>Rezultāts: etilēnoksīda/etilēnglikolu produkta līmeņatzīmes apakšiekārtu darbības līmeņi:</t>
  </si>
  <si>
    <t>Kopapjoms, izteikts kā etilēnoksīda ekvivalents</t>
  </si>
  <si>
    <t>Vinilhlorīda monomērs (VCM)</t>
  </si>
  <si>
    <t>Jānorāda šādi dati:</t>
  </si>
  <si>
    <t>darbības līmeņi, kas ievadīti lapas “ProductBM” a) sadaļā par attiecīgo apakšiekārtu;</t>
  </si>
  <si>
    <t>kopējās tiešās emisijas, kas attiecinātas uz šo apakšiekārtu;</t>
  </si>
  <si>
    <t>neto izmērāmais siltums, ko šī apakšiekārta importējusi no citām ETS iekārtām;</t>
  </si>
  <si>
    <t>ar ūdeņradi saistītas emisijas, t. i., vēsturiskais siltuma patēriņš no ūdeņraža sadedzināšanas, reizināts ar siltuma līmeņatzīmi.</t>
  </si>
  <si>
    <t>Ar emisijām saistītie dati:</t>
  </si>
  <si>
    <t>Šeit ievadiet prasītos lielumus, kas paskaidroti iepriekš.</t>
  </si>
  <si>
    <t>Neto importētais izmērāmais siltums</t>
  </si>
  <si>
    <t>Siltuma patēriņš no H2 sadedzināšanas</t>
  </si>
  <si>
    <t>Ar ūdeņradi saistītās emisijas</t>
  </si>
  <si>
    <t>I. Dalībvalsts lapa</t>
  </si>
  <si>
    <t>Lapa “MSspecific” — DALĪBVALSTS PAPILDU DATU PRASĪBAS</t>
  </si>
  <si>
    <t>Nosaka dalībvalsts</t>
  </si>
  <si>
    <t>J. Piezīmes</t>
  </si>
  <si>
    <t>Lapa “Comments” — KOMENTĀRI UN SĪKĀKA INFORMĀCIJA</t>
  </si>
  <si>
    <t>Ziņojumam pievienotie apliecinošie dokumenti</t>
  </si>
  <si>
    <t>Šeit norādiet visus relevantos dokumentus, kas iesniegti kopā ar šo ziņojumu</t>
  </si>
  <si>
    <t>Lai pamatotu šajā ziņojumā sniegtos datus, ir vajadzīgi papildu dokumenti. Ja vien iespējams, sniedziet šo informāciju elektroniskā formātā.</t>
  </si>
  <si>
    <t>Informāciju var iesniegt Microsoft Word, Excel, vai Adobe Acrobat formātā.</t>
  </si>
  <si>
    <t>Vajadzības gadījumā kompetentajā iestādē noskaidrojiet, vai bez iepriekš minētajiem formātiem ir pieņemami arī citi formāti.</t>
  </si>
  <si>
    <t xml:space="preserve">Sniegtajiem papildu dokumentiem jābūt ar skaidrām atsaucēm, un zemāk jānorāda datnes nosaukums / atsauces numurs. </t>
  </si>
  <si>
    <t xml:space="preserve">Ieteicams nerelevantu informāciju nesniegt, jo tas var kavēt ziņojuma apstiprināšanu. </t>
  </si>
  <si>
    <t>Šeit norādiet datnes vai datņu nosaukumu (ja datne ir elektroniskā formātā) vai dokumenta(-u) atsauces numuru(-us) (ja dokuments ir papīrformā):</t>
  </si>
  <si>
    <t>Datnes nosaukums /atsauces numurs</t>
  </si>
  <si>
    <t>Dokumenta apraksts</t>
  </si>
  <si>
    <t>Datu iztrūkumu pamatojums</t>
  </si>
  <si>
    <t>Skartā datu kopa (DD, EF, siltums, elektroenerģija, ...)</t>
  </si>
  <si>
    <t>Datu iztrūkuma apraksts</t>
  </si>
  <si>
    <t>Pamatojums</t>
  </si>
  <si>
    <t>Citi dokumenti:</t>
  </si>
  <si>
    <t>Brīva vieta papildu informācijai</t>
  </si>
  <si>
    <t>Šeit jūs varat sniegt visu informāciju, ko nebija iespējams ievadīt pārējās lapās un ko, jūsuprāt, kompetentajai iestādei būtu svarīgi zināt.</t>
  </si>
  <si>
    <t>K. Kopsavilkums</t>
  </si>
  <si>
    <t>Dati par iekārtu</t>
  </si>
  <si>
    <t>Bāzlīnijas periods un tiesības uz bezmaksas kvotu iedali</t>
  </si>
  <si>
    <t>Emisijas un enerģijas plūsmas</t>
  </si>
  <si>
    <t>Dati par apakšiekārtu</t>
  </si>
  <si>
    <t>Provizoriskais iedales apjoms</t>
  </si>
  <si>
    <t>Lapa “Summary” — PĀRSKATS PAR SVARĪGĀKAJIEM DATIEM</t>
  </si>
  <si>
    <t>Vispārīga informācija (A lapas I sadaļa):</t>
  </si>
  <si>
    <t>Iekārtas identifikators:</t>
  </si>
  <si>
    <t>Dalībvalsts:</t>
  </si>
  <si>
    <t>Verificētājs (uzņēmums):</t>
  </si>
  <si>
    <t>Iepriekš bijusi iekļauta ETS:</t>
  </si>
  <si>
    <t>Mazs emitētājs (27. pants):</t>
  </si>
  <si>
    <t>Pastāvoša iekārta:</t>
  </si>
  <si>
    <t>Slimnīca:</t>
  </si>
  <si>
    <t>Sākuma datums:</t>
  </si>
  <si>
    <t>Mazs emitētājs (27.a pants):</t>
  </si>
  <si>
    <t>Bloki, &lt; 300 h:</t>
  </si>
  <si>
    <t>NACE kods 2010. g. (NACE 2. red.):</t>
  </si>
  <si>
    <t>Tehniskie savienojumi (A lapas IV sadaļa):</t>
  </si>
  <si>
    <t>Savienojuma nosaukums</t>
  </si>
  <si>
    <t>EUTL identifikators (attiecīgā gadījumā)</t>
  </si>
  <si>
    <t>Tiesības uz bezmaksas kvotu iedali (A lapas II sadaļas 1. punkts):</t>
  </si>
  <si>
    <t>Elektroenerģijas ražošanas iekārta:</t>
  </si>
  <si>
    <t>Oglekļa uztveršanas un uzglabāšanas iekārta:</t>
  </si>
  <si>
    <t>Iekārta, uz kuru attiecas ETS direktīvas 10.a panta 3. punkts:</t>
  </si>
  <si>
    <t>Iekārta ražo siltumu:</t>
  </si>
  <si>
    <t>Iekārta ir tiesīga pretendēt uz bezmaksas kvotu iedali saskaņā ar ES ETS direktīvas 10.a pantu</t>
  </si>
  <si>
    <t>Bāzlīnijas gadi (A lapas II sadaļas 2. punkts)</t>
  </si>
  <si>
    <t>Gads, kas jāņem vērā:</t>
  </si>
  <si>
    <t>Dati, kuru pamatā ir sadaļā “Avota plūsmas” (B+C lapas) vai emisiju kopsavilkuma sadaļā (D lapas I sadaļa) ievadītie dati</t>
  </si>
  <si>
    <t>Emisiju attiecināšana uz apakšiekārtām (D lapas II sadaļa)</t>
  </si>
  <si>
    <t>Dati ir automātiski ņemti no attiecīgajiem ierakstiem gaiši zilajās šūnās pie katras apakšiekārtas F un G lapā.</t>
  </si>
  <si>
    <t>Attiecināmās emisijas ir noteiktas šādi.</t>
  </si>
  <si>
    <t>Emisijas, kas saistītas ar citām iekšējām avota plūsmām</t>
  </si>
  <si>
    <t>To SEG daudzums, kas importētas un eksportētas kā ievadmateriāli</t>
  </si>
  <si>
    <t>Emisijas, kas saistītas ar relevanto elektroenerģijas patēriņu tādās apakšiekārtās, kurām ir relevanta kurināmo un elektroenerģijas apmaināmība.</t>
  </si>
  <si>
    <t>Emisijas, kas saistītas ar elektroenerģiju, kura nav saražota ar izmērāma siltuma starpniecību.</t>
  </si>
  <si>
    <t>Ir gadījumi, kad attiecināmās emisijas sākotnējam provizoriskajam iedales apjomam nav iespējams aprēķināt tāpēc, ka aprēķinam vajadzīgas siltuma LA vai kurināmā LA vērtības. Tādā gadījumā attiecināmo emisiju vērtības netiks norādītas (atzīme “neattiecas (NA)”). Minētie gadījumi ir šādi:</t>
  </si>
  <si>
    <t>ja nav piemērojams vai zināms importētā vai eksportētā siltuma emisijas faktors, t. i., ja šāda vērtība nav ievadīta. Šādos gadījumos attiecināmo emisiju aprēķināšanai tiks izmantotas noklusējuma vērtības, kuru pamatā būs siltuma LA, kad tā būs zināma;</t>
  </si>
  <si>
    <t>ja atlikumgāzes ir importētas. Tādā gadījumā tiks izmantota kurināmā LA, kad tā būs zināma.</t>
  </si>
  <si>
    <t>Vērtība “citas emisijas” ir attēlota kontroles vajadzībām. Tā ietver emisijas, kas saistītas ar elektroenerģijas ražošanu, sadedzināšanu lāpā, izņemot sadedzināšanu lāpā drošības apsvērumu dēļ, un citas emisijas, par kurām bezmaksas kvotas neiedala.</t>
  </si>
  <si>
    <t>Ja attiecībā uz vismaz vienu apakšiekārtu par kādu gadu ir norādīta atzīme "neattiecas (NA)", tad, lai izvairītos no pārpratumiem, netiks parādītas arī vērtības “citas emisijas”.</t>
  </si>
  <si>
    <t>Apakšiekārtas līmeņa dati:</t>
  </si>
  <si>
    <t>Kontrolei: citas emisijas</t>
  </si>
  <si>
    <t>Koģenerācijas rīks — D lapas III sadaļa</t>
  </si>
  <si>
    <t>Koģenerācijas rīks 1</t>
  </si>
  <si>
    <t>Enerģijas bilance</t>
  </si>
  <si>
    <t>Emisijas</t>
  </si>
  <si>
    <t>Lietderība</t>
  </si>
  <si>
    <t>Siltuma ražošana (references)</t>
  </si>
  <si>
    <t>Elektroenerģijas ražošana (references)</t>
  </si>
  <si>
    <t>Rezultāti</t>
  </si>
  <si>
    <t>Koģenerācijas rīks 2</t>
  </si>
  <si>
    <t>Atlikumgāzu rīks (atlikumgāzes, uz ko neattiecas produktu līmeņatzīmes) — D lapas IV sadaļa</t>
  </si>
  <si>
    <t>Vienība</t>
  </si>
  <si>
    <t>Enerģijas ielaide ar kurināmajiem — sadalījumā pa izmantojuma kategorijām (E lapas I sadaļa).</t>
  </si>
  <si>
    <t>Kurināmā ielaide katrā apakšiekārtā no F un G lapas:</t>
  </si>
  <si>
    <t>Izmērāmā siltuma aprēķins (E lapas II sadaļa)</t>
  </si>
  <si>
    <t>Kopsavilkums par siltuma un centralizētās siltumapgādes apakšiekārtām</t>
  </si>
  <si>
    <t>Apakšiekārtu dati, kas ir relevanti iedales un līmeņatzīmju atjaunināšanas vajadzībām</t>
  </si>
  <si>
    <t>Orientējošā kvotu skaita aprēķināšana</t>
  </si>
  <si>
    <t>Nākamajās tabulās ir lietoti šādi saīsinājumi:</t>
  </si>
  <si>
    <t>Pakļauta OEP</t>
  </si>
  <si>
    <t>Pakļautība oglekļa emisiju pārvirzes riskam. “Patiess” (“True”), ja apakšiekārta tiek izmantota nozarē, kas ir pakļauta nopietnam oglekļa emisiju pārvirzes riskam.</t>
  </si>
  <si>
    <t>LA Nr.</t>
  </si>
  <si>
    <t>Līmeņatzīmes numurs</t>
  </si>
  <si>
    <t>Ekspl. sākta</t>
  </si>
  <si>
    <t>Apakšiekārtas ekspluatācijas sākums</t>
  </si>
  <si>
    <t>LA vērtība</t>
  </si>
  <si>
    <t>15(7)3?</t>
  </si>
  <si>
    <t>Vēsturiskais darbības līmenis, ja ir piemērojama 15. panta 7. punkta trešā daļa. Ņemiet vērā, ka šī vērtība būs zināma tikai pēc pirmā darbības līmeņa ziņojuma iesniegšanas.</t>
  </si>
  <si>
    <t>Vai šai apakšiekārtai ir relevanta elektroenerģijas un kurināmā apmaināmība?</t>
  </si>
  <si>
    <t>ETS neaptverts siltums</t>
  </si>
  <si>
    <t>AGlāpā</t>
  </si>
  <si>
    <t>Vidējā vērtība</t>
  </si>
  <si>
    <t>Bāzlīnijas perioda vēsturisko darbības līmeņu vidējā vērtība</t>
  </si>
  <si>
    <t>1. gada prov. ied. apj. (min.)</t>
  </si>
  <si>
    <t>Šis skaitlis ir tikai orientējoša aplēse par “minimālo” provizorisko iedales apjomu, par pamatu ņemot mazāko iespējamo līmeņatzīmes vērtību šai apakšiekārtai. Tāpēc šis skaitlis ir tikai orientējošs un nebūtu jāsaprot kā faktiskā bezmaksas kvotu iedales apjoma priekšnovērtējums; faktisko iedales apjomu noteiks kompetentā iestāde, kad būs pieejamas atjauninātās līmeņatzīmes.</t>
  </si>
  <si>
    <t>1. gada prov. ied. apj. (maks.)</t>
  </si>
  <si>
    <t>(Sākotnējais) provizoriskais ikgadējais emisijas kvotu skaits, par pamatu ņemot šīs apakšiekārtas lielāko iespējamo līmeņatzīmes vērtību. Uz to attiecas tā pati atruna, kas uz minimālo vērtību.</t>
  </si>
  <si>
    <t>1. gada prov. ied. apj. (fakt.)</t>
  </si>
  <si>
    <t>Faktiskais provizoriskais ikgadējais emisijas kvotu skaits, par pamatu ņemot šīs apakšiekārtas faktisko līmeņatzīmes vērtību. Sākotnējo VĪP gadījumā šo vērtību nevar noteikt, to var noteikt tikai vēlākā posmā, kad ir publicētas līmeņatzīmju vērtības par katru iedales periodu.</t>
  </si>
  <si>
    <t>Atruna. Ņemiet vērā, ka provizoriskā iedales apjoma vērtības ir tikai orientējošas un tām, kā paskaidrots iepriekš, par pamatu ņemtas minimālās vai maksimālās līmeņatzīmju vērtības. Tomēr, ja provizoriskais iedales apjoms ir atkarīgs arī no siltuma vai kurināmā līmeņatzīmes vērtības (piem., ElEx-F vai ETS neaptvertais siltums) un arī tās var mainīties atkarībā no savāktajiem datiem, orientējošā vērtība var nebūt pat minimālais vai maksimālais provizoriskais kvotu skaits, bet būt pakļauta vēl tālākām korekcijām.</t>
  </si>
  <si>
    <t>LA vērtība (min./maks./fakt.)</t>
  </si>
  <si>
    <t>Īpaši koeficienti/faktori:</t>
  </si>
  <si>
    <t>Kopējās attiecinātās emisijas</t>
  </si>
  <si>
    <t>Starpproduktu imports:</t>
  </si>
  <si>
    <t>Starpproduktu eksports:</t>
  </si>
  <si>
    <t>Neto importētais siltums (citi)</t>
  </si>
  <si>
    <t>Neto importētais siltums (produkta LA)</t>
  </si>
  <si>
    <t>Neto importētais siltums (pulpa)</t>
  </si>
  <si>
    <t>Neto importētais siltums (kurināmā LA)</t>
  </si>
  <si>
    <t>Neto importētais siltums (atlikumgāze)</t>
  </si>
  <si>
    <t>Aprēķins par provizorisko ikgadējo kvotu daudzumu, ko iedala bez maksas</t>
  </si>
  <si>
    <t>Šajā sadaļā sniegts kopsavilkums par provizorisko iedales apjomu vērtībām par attiecīgi 2021. līdz 2025. gadu vai 2026. līdz 2030. gadu, kuras attiecas uz šo iekārtu un kuru pamatā ir iepriekšējās sadaļās uzrādītie un uz jūsu ievadītajiem datiem balstītie dati. Attēlotā informācija neietver pilnīguma pārbaudes. Tāpēc datus var uzskatīt par pareiziem tikai tad, ja ir izpildīti šādi nosacījumi:</t>
  </si>
  <si>
    <t>lapa "A_InstallationData" ir aizpildīta pilnībā, jo īpaši A lapas II sadaļa (tiesības uz iedali un bāzlīnijas periods) un A lapas III sadaļa (apakšiekārtu saraksts);</t>
  </si>
  <si>
    <t>ir ievadīti dati par visiem attiecīgajiem bāzlīnijas gadiem un ir aizpildītas relevantās sadaļas F un G lapā;</t>
  </si>
  <si>
    <t>nevienā relevantā šo lapu sadaļā neparādās nekādi kļūdas ziņojumi.</t>
  </si>
  <si>
    <t>Lai izprastu šīs informācijas provizorisko raksturu, ir jāsaprot, kas ņemts vērā aprēķinā.</t>
  </si>
  <si>
    <t>Tā kā laikā, kad dati tiek iesniegti kompetentajai iestādei, atjauninātās līmeņatzīmju vērtības vēl nav pieejamas, orientējošu priekšstatu par gaidāmā iedales apjoma apmēru var iegūt, izvēloties vai nu “minimālās”, vai “maksimālās” līmeņatzīmju vērtības 1. punkta a) apakšpunktā.</t>
  </si>
  <si>
    <t>Aprēķinā attiecībā uz katru apakšiekārtu ņemts vērā, vai tā ir pakļauta nopietnam oglekļa emisiju pārvirzes riskam.</t>
  </si>
  <si>
    <t>Lai operatori varētu labāk izprast, kā iedales apjoms tiek aprēķināts, zemāk ir redzams PROVIZORISKAIS iedales apjoms (t. i., iedales apjoms pirms starpnozaru korekcijas koeficienta vai lineārā koeficienta piemērošanas). Datus iesniedzot kompetentajai iestādei, starpnozaru korekcijas koeficients nav jāievada.</t>
  </si>
  <si>
    <t>Tomēr šajā veidnē ir iespējams ievadīt starpnozaru korekcijas koeficienta vērtību. Operators šo iespēju var izmantot tikai savai zināšanai. Ar to iegūtie rezultāti nekādā gadījumā nav juridiski saistoši.</t>
  </si>
  <si>
    <t>Kopējais provizoriskais ikgadējais kvotu daudzums, ko iedala bez maksas:</t>
  </si>
  <si>
    <t>Ja attiecībā uz apakšiekārtu aprēķinātā provizoriskā ikgadējā bez maksas iedalāmo emisijas kvotu daudzuma vērtība ir negatīva, tās vietā tiek ierakstīta nulle.</t>
  </si>
  <si>
    <t>Minimālā, maksimālā vai faktiskā provizoriskā iedales apjoma aprēķināšana?</t>
  </si>
  <si>
    <t>Balstoties uz šo izvēli, tiks uzrādīts orientējošais minimālais, maksimālais vai faktiskais provizoriskais iedales apjoms saskaņā ar IV sadaļu.</t>
  </si>
  <si>
    <t>Ņemiet vērā, ka faktisko iedales apjomu būs iespējams aprēķināt tikai tad, kad būs publicētas jaunās līmeņatzīmju vērtības. Pirms tam, ja izvēlēsities variantu “faktiskais”, aprēķini netiks veikti.</t>
  </si>
  <si>
    <t>Ja šis lauks būs atstāts tukšs, visos tālākajos aprēķinos pēc noklusējuma par pamatu tiks ņemts minimālais provizoriskais iedales apjoms.</t>
  </si>
  <si>
    <t>Aprēķina faktori:</t>
  </si>
  <si>
    <t>Oglekļa emisiju pārvirzes faktors nozarēm bez OEP</t>
  </si>
  <si>
    <t>Oglekļa emisiju pārvirzes faktors centralizētajai siltumapgādei</t>
  </si>
  <si>
    <t>Piezīme. attiecībā uz OEP pakļautām nozarēm OEP faktors visiem gadiem ir 1,0000.</t>
  </si>
  <si>
    <t>Kopējais provizoriskais bezmaksas kvotu iedales apjoms</t>
  </si>
  <si>
    <t>Orientējošs paredzamais galīgais bezmaksas kvotu daudzums:</t>
  </si>
  <si>
    <t>ES ETS direktīvas 10.a panta 4. punktā minētais lineārais koeficients:</t>
  </si>
  <si>
    <t>Lineārais koeficients</t>
  </si>
  <si>
    <t>Kad šo ziņojumu iesniedzat kompetentajai iestādei, lai tā varētu noteikt valsts īstenošanas pasākumus, šeit nedrīkst būt ievadīti nekādi dati.</t>
  </si>
  <si>
    <t>Starpnozaru korekcijas koeficients (SKK)</t>
  </si>
  <si>
    <t>Aprēķinā izmantotā vērtība</t>
  </si>
  <si>
    <t>Aprēķinā izmantojamais koeficients:</t>
  </si>
  <si>
    <t>Attiecībā uz iekārtām, uz kurām attiecas direktīvas 10.a panta 3. punkts, katra gada aprēķinam jāizmanto a) punktā redzamais lineārais koeficients, izņemot gadījumu, kad b) punktā norādītais SKK ir mazāks par 1: tādā gadījumā katra tāda gada aprēķinam jāizmanto SKK.</t>
  </si>
  <si>
    <t>Attiecībā uz iekārtām, uz kurām direktīvas 10.a panta 3. punkts neattiecas, katra gada aprēķinam jāizmanto b) punktā redzamais SKK.</t>
  </si>
  <si>
    <t>Šeit attēlotie rezultāti nekādā gadījumā nav juridiski saistoši. Sk. atrunu sadaļas sākumā.</t>
  </si>
  <si>
    <t>Konstante</t>
  </si>
  <si>
    <t>Citas konstantes</t>
  </si>
  <si>
    <t>Absolūtās vērtības</t>
  </si>
  <si>
    <t>Procenti</t>
  </si>
  <si>
    <t>NA</t>
  </si>
  <si>
    <t>ESK</t>
  </si>
  <si>
    <t>Mēnesis</t>
  </si>
  <si>
    <t>Kurināmais</t>
  </si>
  <si>
    <t>Līmeņatzīme</t>
  </si>
  <si>
    <t>Apakšiekārta ar produkta līmeņatzīmi</t>
  </si>
  <si>
    <t>Alternatīva apakšiekārta</t>
  </si>
  <si>
    <t>gads</t>
  </si>
  <si>
    <t>tonnas</t>
  </si>
  <si>
    <t>vai</t>
  </si>
  <si>
    <t>pārvietotais CO2</t>
  </si>
  <si>
    <t>Starpprodukti</t>
  </si>
  <si>
    <t>Siltums</t>
  </si>
  <si>
    <t>Imports</t>
  </si>
  <si>
    <t>Eksports</t>
  </si>
  <si>
    <t>Iekārtā</t>
  </si>
  <si>
    <t>Preču ražošana</t>
  </si>
  <si>
    <t>mehāniskā enerģija</t>
  </si>
  <si>
    <t>siltumapgāde</t>
  </si>
  <si>
    <t>aukstumapgāde</t>
  </si>
  <si>
    <t>nav zināms</t>
  </si>
  <si>
    <t>PFC</t>
  </si>
  <si>
    <t>CO2 (atlikumgāze pēc korekcijas)</t>
  </si>
  <si>
    <t>metāla savienojumu reducēšana</t>
  </si>
  <si>
    <t>piemaisījumu atdalīšana</t>
  </si>
  <si>
    <t>karbonātu sadalīšana</t>
  </si>
  <si>
    <t>ķīmiskā sintēze</t>
  </si>
  <si>
    <t>oglekli saturoši materiāli</t>
  </si>
  <si>
    <t>pusmetālu oksīdu un nemetālu oksīdu reducēšana</t>
  </si>
  <si>
    <t>relev.</t>
  </si>
  <si>
    <t>nav relev.</t>
  </si>
  <si>
    <t>Oglekļa emisiju pārvirze</t>
  </si>
  <si>
    <t>oglekļa emisiju pārvirzes riskam nav pakļauts</t>
  </si>
  <si>
    <t>GJ/1000 Nm3</t>
  </si>
  <si>
    <t>kvotas</t>
  </si>
  <si>
    <t>Šīs iekārtas operators apstiprina, ka iekārta nevar pretendēt uz bezmaksas kvotu iedali saskaņā ES ETS direktīvas 10.a pantu kā pastāvoša iekārta.</t>
  </si>
  <si>
    <t>Šīs iekārtas operators apstiprina, ka ar šo tiek iesniegts pieteikums uz bezmaksas kvotu iedali saskaņā ES ETS direktīvas 10.a pantu.</t>
  </si>
  <si>
    <t>Šīs iekārtas operators apstiprina, ka kompetentā iestāde un Eiropas Komisija drīkst šo ziņojumu izmantot.</t>
  </si>
  <si>
    <t>nepilnīgi!</t>
  </si>
  <si>
    <t>negatīva!</t>
  </si>
  <si>
    <t>nesaskanīgas!</t>
  </si>
  <si>
    <t>Trūkst datuma!</t>
  </si>
  <si>
    <t>ETS neaptverts izmērāmais siltums</t>
  </si>
  <si>
    <t>Austrija</t>
  </si>
  <si>
    <t>Beļģija</t>
  </si>
  <si>
    <t>Bulgārija</t>
  </si>
  <si>
    <t>Kipra</t>
  </si>
  <si>
    <t>Horvātija</t>
  </si>
  <si>
    <t>Čehijas Republika</t>
  </si>
  <si>
    <t>Dānija</t>
  </si>
  <si>
    <t>Igaunija</t>
  </si>
  <si>
    <t>Somija</t>
  </si>
  <si>
    <t>Francija</t>
  </si>
  <si>
    <t>Vācija</t>
  </si>
  <si>
    <t>Grieķija</t>
  </si>
  <si>
    <t>Ungārija</t>
  </si>
  <si>
    <t>Islande</t>
  </si>
  <si>
    <t>Īrija</t>
  </si>
  <si>
    <t>Itālija</t>
  </si>
  <si>
    <t>Latvija</t>
  </si>
  <si>
    <t>Lihtenšteina</t>
  </si>
  <si>
    <t>Lietuva</t>
  </si>
  <si>
    <t>Luksemburga</t>
  </si>
  <si>
    <t>Nīderlande</t>
  </si>
  <si>
    <t>Norvēģija</t>
  </si>
  <si>
    <t>Polija</t>
  </si>
  <si>
    <t>Portugāle</t>
  </si>
  <si>
    <t>Rumānija</t>
  </si>
  <si>
    <t>Slovākija</t>
  </si>
  <si>
    <t>Slovēnija</t>
  </si>
  <si>
    <t>Spānija</t>
  </si>
  <si>
    <t>Zviedrija</t>
  </si>
  <si>
    <t>Apvienotā Karaliste</t>
  </si>
  <si>
    <t>Uz a), b) un d) jautājumu jāatbild obligāti!</t>
  </si>
  <si>
    <t>A lapas II sadaļas 1. punktā obligāti jāatbild uz e) vai f) jautājumu!</t>
  </si>
  <si>
    <t>Obligāti jāatbild uz jautājumu A lapas II sadaļas 1. punkta g) apakšpunktā!</t>
  </si>
  <si>
    <t>Vismaz vienas apakšiekārtas nosaukums ir ievadīts vairāk nekā vienu reizi. Izlabojiet!</t>
  </si>
  <si>
    <t>III sadaļas 1. vai 2. punktā jāizvēlas vismaz viena apakšiekārta!</t>
  </si>
  <si>
    <t>Par katru apakšiekārtu norādiet, vai tā ir vai nav relevanta!</t>
  </si>
  <si>
    <t>Ievadiet informāciju b) un c) punktā!</t>
  </si>
  <si>
    <t>Ievadiet detalizētus avota plūsmas datus, sākot ar II sadaļu!</t>
  </si>
  <si>
    <t>Turpiniet ievadīt emisiju kopapjomus lapas “D_Emissions” I sadaļas 2. punktā!</t>
  </si>
  <si>
    <t>Ievadiet datus arī E lapas II sadaļas 4. punktā!</t>
  </si>
  <si>
    <t>Ievadiet datus arī D lapas II sadaļas 3. punkta a) apakšpunktā!</t>
  </si>
  <si>
    <t>ERR_AttrEmBM_ </t>
  </si>
  <si>
    <t xml:space="preserve">Sīki norādījumi par datu ievadi šajā rīkā ir pieejami pirmajā vietā, kur parādās šis rīks. </t>
  </si>
  <si>
    <t>Emisiju attiecinājums uz apakšiekārtām ir atrodams kopsavilkuma lapā.</t>
  </si>
  <si>
    <t>Pārejiet pie lapas “F_ProductBM”!</t>
  </si>
  <si>
    <t>Pārejiet pie E lapas II sadaļas 2. punkta.</t>
  </si>
  <si>
    <t>Pārejiet pie nākamajiem punktiem.</t>
  </si>
  <si>
    <t>Izmantojiet elektroenerģijas apmaināmības rīku (zemāk).</t>
  </si>
  <si>
    <t>Pārejiet pie d) punkta.</t>
  </si>
  <si>
    <t>Ja jūsu iekārtai tas nav relevanti, pārejiet pie nākamajiem punktiem.</t>
  </si>
  <si>
    <t>Datumiem jābūt pieaugošā secībā!</t>
  </si>
  <si>
    <t>Trūkst darbības (A lapas I sadaļas 4. punkta a) apakšpunkts)!</t>
  </si>
  <si>
    <t>Ievadiet datus šajā sadaļā!</t>
  </si>
  <si>
    <t>Turpiniet ar nākamo apakšiekārtu!</t>
  </si>
  <si>
    <t>Lai atgrieztos lapā “F_ProductBM”, noklikšķiniet šeit.</t>
  </si>
  <si>
    <t>Turpiniet ievadīt datus c) un d) punktā!</t>
  </si>
  <si>
    <t>Turpiniet ar e) punktu!</t>
  </si>
  <si>
    <t>Minimums</t>
  </si>
  <si>
    <t>Faktiski</t>
  </si>
  <si>
    <t>Darbību saraksts</t>
  </si>
  <si>
    <t>Darbības numurs</t>
  </si>
  <si>
    <t>Darbība (ETS direktīvas I pielikums)</t>
  </si>
  <si>
    <t>Kurināmā sadedzināšana iekārtās ar kopējo nominālo siltumspēju [nominālo ievadīto siltumjaudu], kas pārsniedz 20 MW (izņemot iekārtas bīstamo atkritumu vai sadzīves atkritumu sadedzināšanai [incinerēšanai])</t>
  </si>
  <si>
    <t xml:space="preserve">Minerāleļļu rafinēšana </t>
  </si>
  <si>
    <t xml:space="preserve">Koksa ražošana </t>
  </si>
  <si>
    <t xml:space="preserve">Metāla rūdas (tostarp sēra rūdas [sulfīdrūdas]) apdedzināšana vai saķepināšana [aglomerēšana], tostarp granulēšana </t>
  </si>
  <si>
    <t xml:space="preserve">Čuguna [pārstrādājamā čuguna] vai tērauda ražošana (primārā vai sekundārā [pirmējā vai otrējā kausēšana]), tostarp izmantojot nepārtraukto liešanu, kopējai jaudai pārsniedzot 2,5 tonnas stundā </t>
  </si>
  <si>
    <t>Melno metālu (tostarp ferosakausējumu) ražošana vai pārstrāde, kurā tiek izmantotas sadedzināšanas vienības [sadedzināšanas bloki], kuru kopējā nominālā siltumspēja [nominālā ievadītā siltumjauda] ir lielāka par 20 MW. Pārstrādē cita starpā tiek izmantoti velmēšanas stāvi, tvaika pārkarsētāji [starppārkarsētāji], atlaidināšanas krāsnis, kaltuvju, lietuvju, pārklājumu un kodināšanas iekārtas</t>
  </si>
  <si>
    <t xml:space="preserve">Primārā alumīnija ražošana </t>
  </si>
  <si>
    <t>Sekundārā alumīnija ražošana, kurā tiek izmantotas sadedzināšanas vienības [sadedzināšanas bloki], kuru kopējā nominālā siltumspēja [nominālā ievadītā siltumjauda] ir lielāka par 20 MW</t>
  </si>
  <si>
    <t>Krāsaino metālu ražošana vai pārstrāde, tostarp sakausējumu ražošana, rafinēšana, liešana u. c., kurā izmantojamo sadedzināšanas vienību [sadedzināšanas bloku] kopējā nominālā siltumspēja [nominālā ievadītā siltumjauda] (tostarp kurināmo siltumspēja, kurus izmanto kā reducējošus aģentus [ieskaitot kurināmos, kurus izmanto par reducētājiem]) ir lielāka par 20 MW</t>
  </si>
  <si>
    <t xml:space="preserve">Cementa klinkera ražošana rotācijas krāsnīs ar ražošanas jaudu, kura lielāka par 500 tonnām dienā, vai citu veidu krāsnīs, kuru jauda ir lielāka par 50 tonnām dienā </t>
  </si>
  <si>
    <t xml:space="preserve">Kaļķu ražošana, kā arī dolomīta vai magnezīta apdedzināšana [kalcinēšana] rotācijas krāsnīs vai citu veidu krāsnīs, kuru jauda ir lielāka par 50 tonnām dienā </t>
  </si>
  <si>
    <t xml:space="preserve">Stikla, tostarp stikla šķiedras, ražošana iekārtās ar kausēšanas jaudu, kas pārsniedz 20 tonnas dienā </t>
  </si>
  <si>
    <t xml:space="preserve">Apdedzinātu keramikas izstrādājumu ražošana, jo īpaši kārniņu, ķieģeļu, ugunsizturīgo [karstumizturīgo] ķieģeļu, flīžu, keramikas vai porcelāna ražošana ar jaudu virs 75 tonnām dienā </t>
  </si>
  <si>
    <t xml:space="preserve">Minerālvates izolācijas materiālu ražošana, izmantojot stiklu, akmeni vai izdedžus [sārņus], ar kausēšanas jaudu virs 20 tonnām dienā </t>
  </si>
  <si>
    <t xml:space="preserve">Ģipša žāvēšana vai apdedzināšana [kalcinēšana] vai ģipškartona sausā apmetuma plātņu un citu ģipša izstrādājumu ražošana, kur izmantojamo sadedzināšanas vienību [sadedzināšanas bloku] kopējā nominālā siltumspēja [nominālā ievadītā siltumjauda] ir lielāka par 20 MW </t>
  </si>
  <si>
    <t xml:space="preserve">Celulozes [pulpas] ražošana no koksnes vai citiem šķiedrainiem materiāliem </t>
  </si>
  <si>
    <t xml:space="preserve">Papīra vai kartona ražošana, ražošanas jaudai pārsniedzot 20 tonnas dienā </t>
  </si>
  <si>
    <t xml:space="preserve">Kvēpu [tehniskā oglekļa] ražošana, karbonizējot tādus organiskās vielas saturošus materiālus kā nafta, gudrons [darva], krekinga un pārtvaices atlikumus, kurā izmantojamo sadedzināšanas vienību [sadedzināšanas bloku] kopējā nominālā siltumspēja [nominālā ievadītā siltumjauda] ir lielāka par 20 MW </t>
  </si>
  <si>
    <t xml:space="preserve">Slāpekļskābes ražošana </t>
  </si>
  <si>
    <t xml:space="preserve">Adipīnskābes ražošana </t>
  </si>
  <si>
    <t>Glioksāla un glioksālskābes ražošana</t>
  </si>
  <si>
    <t xml:space="preserve">Amonjaka ražošana </t>
  </si>
  <si>
    <t xml:space="preserve">Organisko ķīmisko vielu [ķimikāliju] lielapjoma ražošana krekinga, reforminga [riforminga], daļējas vai pilnīgas oksidēšanas vai līdzīgos procesos ar ražošanas jaudu, kas pārsniedz 100 tonnas dienā </t>
  </si>
  <si>
    <t xml:space="preserve">Ūdeņraža (H2) un sintēzes gāzes ražošana reforminga [riforminga] vai daļējas oksidēšanas procesā ar ražošanas jaudu, kas pārsniedz 25 tonnas dienā </t>
  </si>
  <si>
    <t xml:space="preserve">Nātrija karbonāta (Na2CO3) un nātrija bikarbonāta (NaHCO3) ražošana </t>
  </si>
  <si>
    <t>Siltumnīcas efektu izraisošo gāzu [siltumnīcefekta gāzu] uztveršana no iekārtām, uz kurām attiecas šī direktīva, lai tās transportētu un uzglabātu ģeoloģiskās uzglabāšanas krātuvēs, kas atļautas saskaņā ar Direktīvu 2009/31/EK</t>
  </si>
  <si>
    <t>Siltumnīcas efektu izraisošo gāzu [siltumnīcefekta gāzu] transportēšana pa cauruļvadiem uz ģeoloģiskas uzglabāšanas krātuvēm, kas atļautas saskaņā ar Direktīvu 2009/31/EK</t>
  </si>
  <si>
    <t>Siltumnīcas efektu izraisošo gāzu [siltumnīcefekta gāzu] ģeoloģiska uzglabāšana krātuvēs, kas atļautas saskaņā ar Direktīvu 2009/31/EK</t>
  </si>
  <si>
    <t>Līmeņatzīmju saraksts</t>
  </si>
  <si>
    <t>altern. LA Nr.</t>
  </si>
  <si>
    <t>Produkta līmeņatzīme</t>
  </si>
  <si>
    <t>Oglekļa emisiju pārvirze?</t>
  </si>
  <si>
    <t>Elektroenerģijas apmaināmība</t>
  </si>
  <si>
    <t>Izņemot CWT?</t>
  </si>
  <si>
    <t>Pulpa</t>
  </si>
  <si>
    <t>LA vērtība (2013–2020)</t>
  </si>
  <si>
    <t>Līmeņatzīmes vērtība (ESK/t, maks.)</t>
  </si>
  <si>
    <t>Līmeņatzīmes vērtība (ESK/t, min.)</t>
  </si>
  <si>
    <t>Līmeņatzīmes vērtība (ESK/t, fakt.)</t>
  </si>
  <si>
    <t>Rafinētavu produkti</t>
  </si>
  <si>
    <t>Lai aprēķinātu vēsturiskos darbības līmeņus, izmantojiet CWT rīku lapā “SpecialBM”.</t>
  </si>
  <si>
    <t>Kokss</t>
  </si>
  <si>
    <t>Aglomerēta rūda</t>
  </si>
  <si>
    <t>Karstais metāls</t>
  </si>
  <si>
    <t>Elektriskā loka krāšņu oglekļa tērauds</t>
  </si>
  <si>
    <t>Elektriskā loka krāšņu augstleģētais tērauds</t>
  </si>
  <si>
    <t>Dzelzs liešana</t>
  </si>
  <si>
    <t>Priekšdedzināti anodi</t>
  </si>
  <si>
    <t>[Primārais] alumīnijs</t>
  </si>
  <si>
    <t>Pelēkā cementa klinkers</t>
  </si>
  <si>
    <t>Baltā cementa klinkers</t>
  </si>
  <si>
    <t>Lai aprēķinātu vēsturiskos darbības līmeņus, izmantojiet kaļķiem domāto rīku lapā “SpecialBM”.</t>
  </si>
  <si>
    <t>Lai aprēķinātu vēsturiskos darbības līmeņus, izmantojiet dolomītkaļķiem domāto rīku lapā “SpecialBM”.</t>
  </si>
  <si>
    <t>Pārdedzināti dolomītkaļķi</t>
  </si>
  <si>
    <t>Pludinātais stikls</t>
  </si>
  <si>
    <t>Bezkrāsaina stikla pudeles un burkas</t>
  </si>
  <si>
    <t>Krāsaina stikla pudeles un burkas</t>
  </si>
  <si>
    <t>Nepārtrauktā pavediena stiklšķiedras produkti</t>
  </si>
  <si>
    <t>Apšuvuma ķieģeļi</t>
  </si>
  <si>
    <t>Seguma ķieģeļi</t>
  </si>
  <si>
    <t>Jumta kārniņi</t>
  </si>
  <si>
    <t>Izsmidzinot izžāvējams pulveris</t>
  </si>
  <si>
    <t>Minerālvate</t>
  </si>
  <si>
    <t>Ģipšmateriāls</t>
  </si>
  <si>
    <t>Žāvēts sekundārais ģipsis</t>
  </si>
  <si>
    <t>Ģipškartons</t>
  </si>
  <si>
    <t>Īsšķiedras kraftpulpa</t>
  </si>
  <si>
    <t>GSt</t>
  </si>
  <si>
    <t>Garšķiedras kraftpulpa</t>
  </si>
  <si>
    <t>Sulfītpulpa, termomehāniskā un mehāniskā pulpa</t>
  </si>
  <si>
    <t>Atgūta papīra pulpa</t>
  </si>
  <si>
    <t>Avīžpapīrs</t>
  </si>
  <si>
    <t>Augstvērtīgs nekrītots papīrs</t>
  </si>
  <si>
    <t>Augstvērtīgs krītpapīrs</t>
  </si>
  <si>
    <t>Salvešpapīrs</t>
  </si>
  <si>
    <t>Testlainers un gofrētais slāņpapīrs</t>
  </si>
  <si>
    <t>Nekrītots kartons</t>
  </si>
  <si>
    <t>Krītots kartons</t>
  </si>
  <si>
    <t>Tehniskais ogleklis</t>
  </si>
  <si>
    <t>Slāpekļskābe</t>
  </si>
  <si>
    <t>Izmērāms siltums, kas piegādāts citām apakšiekārtām, uzskatāms par siltumu no ETS neaptvertiem avotiem.</t>
  </si>
  <si>
    <t>Adipīnskābe</t>
  </si>
  <si>
    <t>Amonjaks</t>
  </si>
  <si>
    <t>Lai aprēķinātu vēsturiskos darbības līmeņus un provizorisko iedales apjomu, izmantojiet tvaika krekingam domāto rīku lapā “SpecialBM”.</t>
  </si>
  <si>
    <t>Aromātiskie savienojumi</t>
  </si>
  <si>
    <t>Stirols</t>
  </si>
  <si>
    <t>Fenols/acetons</t>
  </si>
  <si>
    <t>Lai aprēķinātu vēsturiskos darbības līmeņus, izmantojiet etilēnoksīdam/etilēnglikoliem domāto rīku lapā “SpecialBM”.</t>
  </si>
  <si>
    <t>Vinilhlorīda monomērs</t>
  </si>
  <si>
    <t>Lai aprēķinātu provizorisko iedales apjomu, izmantojiet VCM domāto rīku lapā “SpecialBM”.</t>
  </si>
  <si>
    <t>Lai aprēķinātu vēsturiskos darbības līmeņus, izmantojiet ūdeņradim domāto rīku lapā “SpecialBM”.</t>
  </si>
  <si>
    <t>Lai aprēķinātu vēsturiskos darbības līmeņus, izmantojiet singāzei domāto rīku lapā “SpecialBM”.</t>
  </si>
  <si>
    <t>Kalcinētā soda</t>
  </si>
  <si>
    <t>Alternatīvo apakšiekārtu saraksts</t>
  </si>
  <si>
    <t>Kļūdas ziņojums</t>
  </si>
  <si>
    <t>Siltuma līmeņatzīmes apakšiekārta, OEP</t>
  </si>
  <si>
    <t>Siltuma līmeņatzīmes apakšiekārta, bez OEP</t>
  </si>
  <si>
    <t>Centralizētās siltumapgādes apakšiekārta</t>
  </si>
  <si>
    <t>Kurināmā līmeņatzīmes apakšiekārta, OEP</t>
  </si>
  <si>
    <t>Kurināmā līmeņatzīmes apakšiekārta, bez OEP</t>
  </si>
  <si>
    <t>Procesa emisiju apakšiekārta, OEP</t>
  </si>
  <si>
    <t>Procesa emisiju apakšiekārta, bez OEP</t>
  </si>
  <si>
    <t>Laikposms</t>
  </si>
  <si>
    <t>Laika posms 2026-2030 sekojoši</t>
  </si>
  <si>
    <t>Direktīva 2003/87/EK, kurā jaunākie grozījumi izdarīti ar Direktīvu (ES) 2023/959 (turpmāk “ES ETS direktīva”), nosaka, ka dalībvalstīm ir iekārtām jāiedala bezmaksas kvotas, balstoties uz pilnīgi saskaņotiem Kopienas mēroga noteikumiem (10.a panta 1. punkts). Direktīvu var lejupielādēt no šīs vietnes:</t>
  </si>
  <si>
    <t>&lt;resurss tiks pievienots vēlāk&gt;</t>
  </si>
  <si>
    <t>Būtisks FAR regulas elements ir datu vākšana, kas dalībvalstīm jāveic, lai no iekārtu operatoriem iegūtu visu relevanto informāciju, kura vajadzīga a) dalībvalstīm provizoriskā bezmaksas kvotu iedales apjoma aprēķināšanai un b) Komisijai līmeņatzīmju vērtību atjaunināšanai. Jāņem vērā, ka šajā datu vākšanā par 2026.–2030. gada iedali daudzi bezmaksas iedales elementi ir mainījušies.</t>
  </si>
  <si>
    <t>Šī ir 2026.–2030. gada atjauninātās bāzlīnijas datu vākšanas veidnes pirmā publicētā redakcija. 2024. gada 27. februāra redakcija.</t>
  </si>
  <si>
    <t>Piemērošana un nosacījumi</t>
  </si>
  <si>
    <t>Šajā ziņojumā izmantotā monitoringa metodikas plāna jaunākā versija:</t>
  </si>
  <si>
    <t>Monitoringa metodikas plāna versija:</t>
  </si>
  <si>
    <t>Dati ievadāmi tikai tad, ja visas iekārtas ekspluatācija sākta pēc 2019. gada 1. janvāra.</t>
  </si>
  <si>
    <t>Iekārta ir pastāvoša iekārta, ja tai siltumnīcefekta gāzu emisijas atļauja 2026.–2030. gada periodam pirmo reizi piešķirta 2024. gada 30. jūnijā vai agrāk.</t>
  </si>
  <si>
    <t>Kopējā nominālā ievadītā siltumjauda (MW)</t>
  </si>
  <si>
    <r>
      <t xml:space="preserve">Kuru </t>
    </r>
    <r>
      <rPr>
        <b/>
        <i/>
        <sz val="10"/>
        <color rgb="FF000000"/>
        <rFont val="Arial"/>
        <family val="2"/>
        <charset val="186"/>
      </rPr>
      <t>NACE</t>
    </r>
    <r>
      <rPr>
        <b/>
        <sz val="10"/>
        <color rgb="FF000000"/>
        <rFont val="Arial"/>
        <family val="2"/>
        <charset val="186"/>
      </rPr>
      <t xml:space="preserve"> kodu jūsu uzņēmums vai attiecīgā gadījumā jūsu iekārta ir izmantojusi, lai paziņotu pievienoto vērtību uzņēmējdarbības strukturālās statistikas vajadzībām?</t>
    </r>
  </si>
  <si>
    <t>Nulles faktora biomasas emisiju īpatsvars</t>
  </si>
  <si>
    <t>Saskaņā ar ES ETS direktīvas I pielikuma 1. punktu iekārtas ES ETS darbības jomā neietilpst, ja emisijas no tādas biomasas sadedzināšanas, kas atbilst RED II kritērijiem, pārsniedz 95 % no kopējām vidējām siltumnīcefekta gāzu emisijām bāzlīnijas periodā.</t>
  </si>
  <si>
    <t>Nulles faktora biomasas īpatsvars</t>
  </si>
  <si>
    <t>Informācija par šo bāzlīnijas datu ziņojumu un bezmaksas kvotu iedales nosacījumiem</t>
  </si>
  <si>
    <t>Šeit apstipriniet, ka ar šo piesakāties uz bezmaksas kvotu iedali saskaņā ar direktīvas 10.a pantu:</t>
  </si>
  <si>
    <t>Ja operators apstiprina a) punktu, tiek automātiski pieņemts, ka tādējādi tiek apstiprināta arī piekrišana izmantot šajā datnē iekļautos datus.</t>
  </si>
  <si>
    <t>Nosacījumi Nr. 1. Neizpildītie energoefektivitātes uzlabošanas pasākumu ieteikumi</t>
  </si>
  <si>
    <t>Saskaņā ar FAR 22.a panta 1. punktu bezmaksas kvotu iedales apjomu samazina par 20 %, ja nav īstenoti visi relevantie ieteikumi, kas iekļauti energoaudita ziņojumā vai sertificētajā energovadības sistēmā saskaņā ar Direktīvas 2012/27/ES (Energoefektivitātes direktīva) 8. pantu.</t>
  </si>
  <si>
    <t>Šie bezmaksas iedales noteikumi ir ietverti Komisijas 2018. gada 19. decembra Deleģētajā regulā (ES) 2019/331, ar ko nosaka Savienības mēroga pārejas noteikumus saskaņotai bezmaksas emisijas kvotu iedalei saskaņā ar Eiropas Parlamenta un Padomes Direktīvas 2003/87/EK 10.a pantu (Bezmaksas kvotu iedales regula, turpmāk “FAR”). Regulu var lejupielādēt no šīs vietnes:</t>
  </si>
  <si>
    <t>Būtisks FAR elements ir datu vākšana, kas dalībvalstīm jāveic, lai no iekārtu operatoriem iegūtu visu relevanto informāciju, kura vajadzīga a) dalībvalstīm provizoriskā bezmaksas kvotu iedales apjoma aprēķināšanai un b) Komisijai līmeņatzīmju vērtību atjaunināšanai.</t>
  </si>
  <si>
    <t>Ir ieteicams datni izskatīt no sākuma līdz beigām. Ir dažas funkcijas, kas jums palīdzēs aizpildīt veidlapu atkarībā no iepriekš ievadītās informācijas, piemēram, citas krāsas šūnas, ja informāciju ievadīt nav nepieciešams (sk. krāsu kodus tālāk). Tomēr dažkārt ir lietderīgi datus vispirms ievadīt citā lapā (piemēram, gadījumos, kad jāpiemēro FAR III pielikums, pirms “F_ProductBM” pabeigšanas vispirms jāaizpilda “H_specialBM”).</t>
  </si>
  <si>
    <t>Lineāro koeficientu, kas minēts direktīvas 10.a panta 4. punktā, piemēro iedales apjomiem tādām iekārtām, uz kurām attiecas direktīvas 10.a panta 3. punkts, izņemot gadus, par kuriem šie iedales apjomi tiek pielāgoti vienotā veidā saskaņā ar direktīvas 10.a panta 5. punktu (sk. arī FAR 16. panta 8. punktu).</t>
  </si>
  <si>
    <t>Šis ir bāzlīnijas periods saskaņā ar FAR 2. panta 14. punktu.</t>
  </si>
  <si>
    <t>Kā nosaka FAR 15. panta 7. punkta pirmā daļa, lai noteiktu vēsturisko darbības līmeņu vidējās vērtības, ņem vērā tikai tos kalendāros gadus, kuros iekārta bijusi ekspluatācijā vismaz vienu dienu.</t>
  </si>
  <si>
    <t>Katram produktu veidam var izvēlēties tikai vienu apakšiekārtu. Līdzīgus produktus, kuri ietilpst vienā un tajā pašā FAR I pielikuma produkta līmeņatzīmē, agregē.</t>
  </si>
  <si>
    <t>Otrajā dzeltenajā slejā jānorāda katras apakšiekārtas normālās ekspluatācijas sākums saskaņā ar FAR 2. panta 12. punktu. Šī informācija ir svarīga tāpēc, lai noskaidrotu, kuri gadi jāņem vērā, nosakot vēsturisko darbības līmeni F un G lapā saskaņā ar 15. panta 7. punktu. Šie ievaddati ir relevanti tikai tad, ja apakšiekārtas ekspluatācija sākta pēc 2014. gada 1. janvāra.</t>
  </si>
  <si>
    <t xml:space="preserve">Saskaņā ar FAR 10. panta 3. punktu ziņošanas vajadzībām var būt piešķirts atbrīvojums no pienākuma izšķirt pakļautību oglekļa emisiju pārvirzes riskam. </t>
  </si>
  <si>
    <t>Starpprodukti, uz kuriem attiecas produktu līmeņatzīmes (FAR IV pielikuma 1.6. iedaļa un 3.1. iedaļas l punkts)</t>
  </si>
  <si>
    <t>Saskaņā ar FAR 2. panta 10. un 11. punktā dotajām definīcijām (sadedzināmas) atlikumgāzes, kas radušās ārpus produktu līmeņatzīmju robežām, uzskata par procesa emisijām.</t>
  </si>
  <si>
    <t>Saskaņā ar FAR 21. pantu no provizoriskā kvotu iedales apjoma par produktu līmeņatzīmēm atskaita CO2 ekvivalentu par ETS neaptverta siltuma importu. Šai korekcijai nepieciešamos datus ievada lapas "F_ProductBM" d) sadaļā par katru apakšiekārtu.</t>
  </si>
  <si>
    <t xml:space="preserve">Parasti tie ir produkta ražošanas dati, piemēram, pelēkā cementa klinkera tonnas vai stikla pudeļu tonnas, kā noteikts FAR I pielikumā. </t>
  </si>
  <si>
    <t>Saskaņā ar FAR 22. pantu ir vajadzīgas tiešās emisijas, importētā siltuma neto daudzums un relevantais elektroenerģijas patēriņš.</t>
  </si>
  <si>
    <t>Saskaņā ar FAR 21. pantu no produkta līmeņatzīmes apakšiekārtu provizoriskā ikgadējā iedales apjoma jāatskaita noteikts emisiju daudzums.</t>
  </si>
  <si>
    <t>Šī apakšsadaļa attiecas uz tādu emisiju attiecināšanu, kas saistītas ar avota plūsmām, emisiju avotiem, izmērāma siltuma un atlikumgāzu importu un eksportu, arī siltuma zudumiem saskaņā ar FAR VII pielikuma 10. iedaļu.</t>
  </si>
  <si>
    <t xml:space="preserve">Ņemiet vērā, ka, lai gan ir sniegti daži norādījumi par katru no nākamajiem punktiem, papildu informācija būtu jāmeklē Norādījumu dokumentā Nr. 5 (“Monitoring and Reporting in relation to the FAR” — “Ar FAR saistītais monitorings un ziņošana”), kurā ietverti arī piemēri. </t>
  </si>
  <si>
    <t>Šeit sniegtie dati ietekmēs attiecināmās emisijas saskaņā ar FAR VII pielikuma 10.1.1. iedaļu.</t>
  </si>
  <si>
    <t>Kā nosaka FAR IV pielikuma 2.4. iedaļas a) punkts, norādiet apakšiekārtas kopējo kurināmo ielaides daudzumu šajā apakšiekārtā un attiecīgo svērto emisijas faktoru, ņemot vērā katra tāda kurināmā enerģētisko saturu, kas ir iekļauts g) punkta rādītājā, un piemērojot tās pašas sistēmas robežas, ko g) punktā.</t>
  </si>
  <si>
    <t>Kā prasa FAR IV pielikuma 3.1. iedaļas k) un l) punkts, šeit norādiet pārvietotā CO2 daudzumu, kas importēts no citām apakšiekārtām, iekārtām vai citām vienībām vai uz tām eksportēts, saskaņā ar MZR noteikumiem.</t>
  </si>
  <si>
    <t>Šeit sniegtie dati ietekmēs attiecināmās emisijas saskaņā ar FAR VII pielikuma 10.1.2. un 10.1.3. iedaļu.</t>
  </si>
  <si>
    <t>Te ietilpst kopējais siltuma daudzums, kas saražots ES ETS aptvertās (apakš)iekārtās vai ES ETS neaptvertās iekārtās vai vienībās, no tām importēts vai uz tām eksportēts. Ar siltumu saistītajos īpatnējos emisijas faktoros (EF) jāņem vērā FAR VII pielikuma 8. un 10. iedaļas, it sevišķi 10.1.2. un 10.1.3. iedaļas, noteikumi.</t>
  </si>
  <si>
    <t>Šeit sniegtie dati ietekmēs attiecināmās emisijas saskaņā ar FAR VII pielikuma 10.1.5. iedaļu.</t>
  </si>
  <si>
    <t>Šeit sniegtie dati ietekmēs attiecināmās emisijas saskaņā ar FAR VII pielikuma 10. nodaļu.</t>
  </si>
  <si>
    <t>Te ietilpst elektroenerģija, kas saražota tieši šajā apakšiekārtā, kā prasa FAR IV pielikuma 3.1. iedaļas i) punkts. Visa elektroenerģija, kas saražota, par starpproduktu izmantojot izmērāmu siltumu, uzskaitāma nevis šeit, bet pie izmērāmā siltuma eksporta k) punkta v. apakšpunktā.</t>
  </si>
  <si>
    <t>Lai izvairītos no attiecināto emisiju divkāršas uzskaites vai izlaidumiem, nosakot atjauninātās līmeņatzīmes, FAR IV pielikuma 2.7. iedaļas d) punkts prasa ziņot par FAR I pielikumā norādīto produktu līmeņatzīmju aptverto starpproduktu importu vai eksportu.</t>
  </si>
  <si>
    <t>Balstoties uz A lapas III sadaļā ievadīto normālās ekspluatācijas sākumu, tiks automātiski noteikts, vai šī iekārta bāzlīnijas periodā darbojusies mazāk par vienu gadu. Tādā gadījumā vēsturiskais darbības līmenis tiks noteikts, balstoties uz pirmo kalendāro gadu pēc normālas ekspluatācijas sākuma saskaņā ar FAR 15. panta 7. punkta trešo daļu.</t>
  </si>
  <si>
    <t>Kā prasa FAR IV pielikuma 2.4. iedaļas a) punkts, norādiet kopējo kurināmo ielaidi un attiecīgo svērto emisijas faktoru, ņemot vērā katra kurināmā enerģētisko saturu.</t>
  </si>
  <si>
    <t xml:space="preserve">Saražotā izmērāmā siltuma daudzumu saskaņā ar FAR IV pielikuma 3.2. iedaļas a) punktu ievadiet šeit. </t>
  </si>
  <si>
    <t>Ar siltumu saistītajos īpatnējos emisijas faktoros (EF) jāņem vērā FAR VII pielikuma 8. un 10. iedaļas, it sevišķi 10.1.2. un 10.1.3. iedaļas, noteikumi.</t>
  </si>
  <si>
    <t>Katras CWT funkcijas definīcija un robežas ir atrodamas FAR II pielikuma 1. punktā.</t>
  </si>
  <si>
    <t>Svarīga piezīme.  Saskaņā ar FAR II pielikumu caurlaidums jāizsaka kilotonnās.</t>
  </si>
  <si>
    <t>Šeit tiek aprēķināts rafinētavas darbības līmenis, izmantojot formulu, kas dota FAR III pielikuma 1. punktā (pirms vidējās vērtības noteikšanas).</t>
  </si>
  <si>
    <t>Tāpēc zemāk redzamais rezultāts ir reizināts ar koeficientu 1000, kas nav skaidri minēts FAR III pielikuma 1. punktā.</t>
  </si>
  <si>
    <t>Saskaņā ar FAR III pielikuma 2. punktu ir vajadzīgi šādi dati:</t>
  </si>
  <si>
    <t>Šeit tiek aprēķināts koriģētais darbības līmenis attiecībā uz kaļķiem, izmantojot formulu, kas dota FAR III pielikuma 2. punktā (pirms vidējās vērtības noteikšanas).</t>
  </si>
  <si>
    <t>Saskaņā ar FAR III pielikuma 3. punktu ir vajadzīgi šādi dati:</t>
  </si>
  <si>
    <t>Šeit tiek aprēķināts koriģētais darbības līmenis attiecībā uz dolomītkaļķiem, izmantojot formulu, kas dota FAR III pielikuma 3. punktā (pirms vidējās vērtības noteikšanas).</t>
  </si>
  <si>
    <t>Saskaņā ar FAR III pielikuma 4. punktu ir vajadzīgi šādi dati:</t>
  </si>
  <si>
    <t>Šeit tiek aprēķināts koriģētais darbības līmenis (HVC neto daudzums), izmantojot formulu, kas dota FAR III  pielikuma 4. punktā (pirms vidējās vērtības noteikšanas).</t>
  </si>
  <si>
    <t>Tvaika krekinga rīks, 2. daļa: provizoriskais iedales apjoms (FAR 19. pants)</t>
  </si>
  <si>
    <t>Šis rīks palīdz noteikt provizorisko iedales apjomu tvaika krekinga apakšiekārtām (FAR 19. pants).</t>
  </si>
  <si>
    <t>Dati ir automātiski ņemti no IV sadaļas 1. punkta c) apakšpunkta. Reizinātāji ņemti no FAR 19. panta.</t>
  </si>
  <si>
    <t>Aprēķina pamatā ir FAR 19. pantā dotā formula.</t>
  </si>
  <si>
    <t>Katras CWT funkcijas definīcija un robežas ir atrodamas FAR II pielikuma 2. punktā.</t>
  </si>
  <si>
    <t>Šeit tiek aprēķināts aromātisko savienojumu līmeņatzīmes darbības līmenis, izmantojot formulu, kas dota FAR III pielikuma 5. punktā (pirms vidējās vērtības noteikšanas).</t>
  </si>
  <si>
    <t>Tāpēc zemāk redzamais rezultāts ir reizināts ar koeficientu 1000, kas nav skaidri minēts FAR III pielikuma 5. punktā.</t>
  </si>
  <si>
    <t>Šeit tiek aprēķināts koriģētais darbības līmenis (100 % ūdeņradis), izmantojot formulu, kas dota FAR III pielikuma 6. punktā (pirms vidējās vērtības noteikšanas).</t>
  </si>
  <si>
    <t>Šeit tiek aprēķināts koriģētais darbības līmenis (pārrēķināts uz 47 % H2), izmantojot formulu, kas dota FAR III pielikuma 7. punktā (pirms vidējās vērtības noteikšanas).</t>
  </si>
  <si>
    <t>Vēsturisko darbības līmeni, kas izteikts etilēnoksīda ekvivalenta tonnās, aprēķina, izmantojot formulu, kas dota FAR III pielikuma 8. punktā.</t>
  </si>
  <si>
    <t>Vinilhlorīda monomēra rīks: provizoriskais iedales apjoms (FAR 20. pants)</t>
  </si>
  <si>
    <t>Šis rīks palīdz noteikt provizorisko iedales apjomu vinilhlorīda monomēra (VCM) apakšiekārtām (FAR 20. pants).</t>
  </si>
  <si>
    <t>FAR 4. panta 2. punkta b) apakšpunktā prasītais monitoringa metodikas plāns (obligāts):</t>
  </si>
  <si>
    <t>FAR 4. panta 2. punkta c) apakšpunktā prasītais verifikācijas ziņojums (obligāts):</t>
  </si>
  <si>
    <t>FAR 12. panta 2. punkts prasa, lai tiktu norādīts datu iztrūkumu pamatojums un to novēršanai izmantotās metodes apraksts.</t>
  </si>
  <si>
    <t>Ar importēto siltumu saistītas emisijas saskaņā ar FAR VII pielikuma 10.1.2. un 10.1.3. iedaļu.</t>
  </si>
  <si>
    <t>Ar eksportēto siltumu saistītas emisijas saskaņā ar FAR VII pielikuma 10.1.2. un 10.1.3. iedaļu.</t>
  </si>
  <si>
    <t>Ar importētajām atlikumgāzēm saistītas emisijas saskaņā ar FAR VII pielikuma 10.1.5. iedaļu.</t>
  </si>
  <si>
    <t>Ar eksportētajām atlikumgāzēm saistītas emisijas saskaņā ar FAR VII pielikuma 10.1.5. iedaļu (tās aprēķina, atņemot enerģētisko saturu, kas reizināts ar dabasgāzes emisijas faktoru un noklusējuma korekcijas koeficientu 0,667).</t>
  </si>
  <si>
    <t>Līmeņatzīmes vērtība saskaņā ar FAR I pielikumu. Sākotnējā provizoriskā iedales apjoma vajadzībām izmantotās vērtības ir vai nu orientējošās minimālās, vai maksimālās vērtības, kas zemāk ietvertas katras apakšiekārtas pārskata tabulā.</t>
  </si>
  <si>
    <t>Vai ir relevanta FAR 15. panta 7. punkta trešā daļa (t. i., vai apakšiekārta bāzlīnijas periodā ir bijusi ekspluatācijā mazāk nekā vienu gadu)?</t>
  </si>
  <si>
    <t>Aprēķina koeficients, ar kuru ņem vērā elektroenerģijas un kurināmā apmaināmību saskaņā ar FAR 22. pantu</t>
  </si>
  <si>
    <t>Daudzums, kas atskaitāms no provizoriskā ikgadējā kvotu daudzuma saskaņā ar FAR 21. pantu.</t>
  </si>
  <si>
    <t>Daudzums, kas saskaņā ar FAR 16. panta 5. punkta otro daļu no 2026. gada atskaitāms no provizoriskā ikgadējā kvotu daudzuma par lāpā sadedzinātām atlikumgāzēm.</t>
  </si>
  <si>
    <t>Daudzums, kas saskaņā ar FAR 19. pantu pieskaitāms provizoriskajam ikgadējam kvotu daudzumam par tvaika krekinga apakšiekārtām.</t>
  </si>
  <si>
    <t>Aprēķina koeficients, ar kuru ņem vērā ar ūdeņradi saistītās emisijas vinilhlorīda monomēra apakšiekārtās saskaņā ar FAR 20. pantu.</t>
  </si>
  <si>
    <t>(Sākotnējais) provizoriskais ikgadējais bez maksas iedalāmo emisijas kvotu skaits par perioda pirmo gadu saskaņā ar FAR 16. panta 6. punktu, t. i., pēc OEP pakļautības faktora piemērošanas, bet pirms lineārā koeficienta vai starpnozaru korekcijas koeficienta piemērošanas.</t>
  </si>
  <si>
    <t>Aprēķinā ir ņemts vērā, vai uz iekārtu attiecas ES ETS direktīvas 10.a panta 3. punkts, t. i., vai tā ir elektroenerģijas ražošanas iekārta vai iekārta CO2 uztveršanai, transportēšanai vai ģeoloģiskai uzglabāšanai. Saskaņā ar FAR 16. panta 8. punktu šādu iekārtu iedales apjoms ir jākoriģē ar lineāro koeficientu, kas minēts ES ETS direktīvas 10.a panta 4. punktā. Šeit šis lineārais faktors ir ņemts vērā.</t>
  </si>
  <si>
    <t>Provizoriskais iedales apjoms visām pārējām iekārtām (uz kurām neattiecas ES ETS direktīvas 10.a panta 3. punkts) ir jāreizina ar starpnozaru korekcijas koeficientu, kas noteikts saskaņā ar FAR 14. panta 6. punktu. Tiklīdz visas dalībvalstis būs paziņojušas par saviem valsts īstenošanas pasākumiem (VĪP), Eiropas Komisija šo koeficientu aprēķinās un tiks publicētas jaunās līmeņatzīmju vērtības.</t>
  </si>
  <si>
    <t>Atruna. Saskaņā ar FAR 16. panta 1. punktu dalībvalstīm ir no 2021. gada jāaprēķina un jānosaka bez maksas iedalāmo emisijas kvotu skaits katrai iekārtai, kas piesakās uz bezmaksas kvotu iedali. Tas nozīmē, ka šeit redzamie rezultāti ir tikai orientējoši. Netiek sniegtas nekādas tiešas vai netiešas garantijas attiecībā uz rezultāta pareizību, pilnīgumu vai uzticamību. Pamatojoties uz šajā veidnē redzamajiem rezultātiem, nerodas nekādas tiesības ne uz kādu konkrētu kvotu daudzumu. Attiecībā uz aprēķinu pareizību sk. arī atrunu lapā "Vadlīnijas un nosacījumi".</t>
  </si>
  <si>
    <t>Šeit redzamie daudzumi atspoguļo aprēķinu par provizorisko ikgadējo emisijas kvotu skaitu, ko iedala bez maksas saskaņā ar FAR 16. panta 1. līdz 7. punktu, t. i., kad jau ir piemēroti FAR V pielikumā minētie koeficienti (turpmāk "oglekļa emisiju pārvirzes faktors”). Saskaņā ar FAR 16. panta 3. punktu centralizētās siltumapgādes apakšiekārtai šis faktors visiem gadiem ir 0,3.</t>
  </si>
  <si>
    <t>Aprēķins saskaņā ar FAR 16. panta 1. līdz 7. punktu:</t>
  </si>
  <si>
    <t>Starpnozaru korekcijas koeficients (SKK) saskaņā ar FAR 14. panta 6. punktu:</t>
  </si>
  <si>
    <t>Kā paskaidrots iepriekš, savai zināšanai šeit varat ievadīt vienotā starpnozaru korekcijas koeficienta vērtības saskaņā ar ETS direktīvas 10.a panta 5. punktu. Iekams Komisija nav publicējusi galīgo vērtību saskaņā ar FAR 14. panta 6. punktu, noklusējuma vērtība ir 1.</t>
  </si>
  <si>
    <t>Aprēķins saskaņā ar FAR 16. panta 8. punktu:</t>
  </si>
  <si>
    <t>Šeit redzamie daudzumi atspoguļo aprēķinu par galīgo kopējo bez maksas iedalāmo kvotu skaitu saskaņā ar FAR 16. panta 8. punktu, t. i., iedales apjoma vērtības pēc attiecīgi (t. i. saskaņā ar c) punktu) lineārā koeficienta vai starpnozaru korekcijas koeficienta piemērošanas. Tomēr šīs vērtības nevar uzskatīt par galīgajām vērtībām, jo šīs datu vākšanas laikā vēl nav zināms starpnozaru korekcijas koeficients.</t>
  </si>
  <si>
    <t>Ievērojiet, ka uz integrētu pulpas un papīra ražošanu attiecas īpaši iedales noteikumi (FAR 16. panta 6. punkts).</t>
  </si>
  <si>
    <t>Slimnīcas operatoram var būt kompetentajai iestādei jāiesniedz pierādījumi, ka slimnīcas darbību veikšana ir attiecīgās iekārtas galvenais mērķis. Tas var ietvert statistikas FARoja apliecinājumu, ka iekārta b) punkta vajadzībām ir klasificēta ar kodu 8610.</t>
  </si>
  <si>
    <t>Vai ieteikumi par energoefektivitātes pasākumiem ir šai iekārtai relevanti?</t>
  </si>
  <si>
    <t>Ja uzņēmumam, kam jūsu iekārta pieder, ir attiecīgi pienākumi saskaņā ar Direktīvas 2012/27/ES 8. pantu, atzīmējiet “TRUE”/”PATIESS”.</t>
  </si>
  <si>
    <t>Vai ir vēl kādi 2019.–2022. gada ieteikumi, kas vēl nav īstenoti?</t>
  </si>
  <si>
    <t>Ja a) punktā minētajos energoefektivitātes auditos vai sertificētajā energovadības sistēmā laikā no 2019. līdz 2022. (!) gadam bijuši energoefektivitātes uzlabošanas  ieteikumi UN ir palikuši ieteikumi, attiecībā uz kuriem pasākumi līdz šā ziņojuma iesniegšanas brīdim nav īstenoti, šeit atzīmējiet “TRUE”/”PATIESS”.</t>
  </si>
  <si>
    <t>Iemesli, kāpēc b) punktā minētie ieteikumi var nebūt relevanti bezmaksas kvotu iedales nosacījumiem</t>
  </si>
  <si>
    <t>Ja kādu no b) punktā norādītajiem ieteiktajiem pasākumiem var neņemt vērā 22.a panta 1. punktā minēto iemeslu dēļ, šeit atzīmējiet “TRUE”/”PATIESS”. Minētie iemesli ir šādi:</t>
  </si>
  <si>
    <t>22.a panta 1. punkta d) apakšpunkts: viens vai vairāki ieteikumi nerada enerģijas ietaupījumus rūpnieciskā procesa sistēmas robežās;</t>
  </si>
  <si>
    <t>22.a panta 1. punkta a) apakšpunkts: viena vai vairāku ieteikumu atmaksāšanās laiks pārsniedz 3 gadus;</t>
  </si>
  <si>
    <t>22.a panta 1. punkta b) apakšpunkta i) punkts: investīciju izmaksas pārsniedz vai nu 5 % no iekārtas gada apgrozījuma, VAI 25 % no iekārtas peļņas;</t>
  </si>
  <si>
    <t>22.a panta 1. punkta b) apakšpunkta ii) punkts: investīciju izmaksas pārsniedz 50 % no tā galīgā iedales apjoma gada vidējā ekonomiskā ekvivalenta, kas tiktu samazināts;</t>
  </si>
  <si>
    <t>22.a panta 1. punkta e) apakšpunkts: iekārtai specifiskie ekspluatācijas apstākļi, arī plānotie vai neplānotie tehniskās apkopes periodi, vēl nav iestājušies.</t>
  </si>
  <si>
    <t>Sīkākus norādījumus par iepriekš minētajiem punktiem sk. 12. norādījumu dokumentā.</t>
  </si>
  <si>
    <t>Nav saistīts ar rūpniecisko procesu?</t>
  </si>
  <si>
    <t>Atmaksāšanās laiks &gt; 3 gadi?</t>
  </si>
  <si>
    <t>Investīciju izmaksas &gt; 5 % apgrozījuma vai &gt; 25 % peļņas?</t>
  </si>
  <si>
    <t>Investīciju izmaksas &gt; 50 % iedales apjoma ekvivalenta?</t>
  </si>
  <si>
    <t>Apstākļi vēl nav iestājušies?</t>
  </si>
  <si>
    <t>Kādi ieteikumi, kas palikuši pēc c) punkta?</t>
  </si>
  <si>
    <t>Ja pēc b) un c) punkta joprojām ir kādi ieteiktie pasākumi, kas nav īstenoti, šeit atzīmējiet “TRUE”/”PATIESS”.</t>
  </si>
  <si>
    <t>Ja pēc d) punkta vēl palikuši pasākumi, vai attiecībā uz VISIEM ir tikuši piemēroti pielīdzināmi pasākumi?</t>
  </si>
  <si>
    <t>Ja attiecībā uz VISIEM atlikušajiem ieteiktajiem pasākumiem ir īstenoti pielīdzināmi pasākumi, t. i., neizpildītu pasākumu ieteikumu nav, šeit atzīmējiet “TRUE”/”PATIESS”.</t>
  </si>
  <si>
    <t>Ja pēc d) punkta vēl palikuši pasākumi, saskaņā ar FAR 22. panta 1. punkta c) apakšpunktu bezmaksas kvotu iedales apjomu nesamazina, ja ir īstenoti citi pasākumi, ar kuriem iekārtā tiek panākti siltumnīcefekta gāzu emisiju samazinājumi, kas ir pielīdzināmi tiem, kas ieteikti energoaudita ziņojumā vai sertificētajā energovadības sistēmā saskaņā ar a) punktu.</t>
  </si>
  <si>
    <t>Tas ir automātisks rezultāts, kura pamatā ir iepriekš minētie ieraksti.</t>
  </si>
  <si>
    <t>viena vai vairākas produkta LA apakšiekārtas sniegums 2016./2017. gadā pārsniedza 80. procentili šīs nozares SEG intensitātes ziņā UN</t>
  </si>
  <si>
    <t>attiecīgā apakšiekārta nodrošināja vismaz 20 % no iekārtas provizoriskā bezmaksas kvotu iedales apjoma 2021.–2025. gadā (t. i., balstoties uz VĪP iedales apjomu, kas noteikts 2022. gadā pirms jebkādām kvotu iedales apjoma izmaiņām saskaņā ar Regulu (ES) 2019/1842 jeb DLI regulu), UN</t>
  </si>
  <si>
    <t>iekārta nav ieviesusi klimatneitralitātes plānu, kas atbilstu Īstenošanas regulas (ES) 2023/2441 prasībām.</t>
  </si>
  <si>
    <t>Nosacījumi Nr. 2. Sniegums &gt; 80 procentiles</t>
  </si>
  <si>
    <t>Ja a) punkts ir relevants, vai kā daļu no šā pieteikuma iesniedzat klimatneitralitātes plānu (KNP)?</t>
  </si>
  <si>
    <t>Apstipriniet, vai līdz ar pieteikumu uz bezmaksas kvotu iedali iesniedzat klimatneitralitātes plānu, kas atbilst Īstenošanas regulai (ES) 2023/2441?</t>
  </si>
  <si>
    <t>Vai kādas produkta LA apakšiekārtas SEG intensitāte pārsniedza 80 procentiles?</t>
  </si>
  <si>
    <t>Ja kāda no produkta LA apakšiekārtām 2016./2017. gadā pārsniedza 80 procentiles un 2021.–2025. gadā nodrošināja vismaz 20 % no provizoriskā iedales apjoma, šeit atzīmējiet “TRUE”/”PATIESS”. Tā kā šis rezultāts ir saistīts ar iepriekšējo datu vākšanu, sazinieties ar savu kompetento iestādi un atbildiet uz šo jautājumu atbilstoši tās norādījumiem.</t>
  </si>
  <si>
    <t>Vai kompetentā iestāde apstiprina klimatneitralitātes plāna atbilstību?</t>
  </si>
  <si>
    <t>Šo sadaļu aizpilda kompetentā iestāde, bet jūs tikai tad, ja kompetentā iestāde jums to ir uzdevusi.</t>
  </si>
  <si>
    <t>Tas ir automātisks rezultāts, kura pamatā ir a) un b) punktā sniegtās atbildes.</t>
  </si>
  <si>
    <t>Pieteikums uz + 30 % iedales apjomu centralizētajai siltumapgādei?</t>
  </si>
  <si>
    <t>Ja plānojat pieteikties uz papildu 30 % bezmaksas kvotu saņemšanu centralizētajai siltumapgādei, šeit atzīmējiet “TRUE”/”PATIESS”.</t>
  </si>
  <si>
    <t>Ievērojiet, ka papildu bezmaksas kvotas var piešķirt tikai vēlāk tad, ja faktiski izpildīti visi 22.b panta 3. punkta a) līdz f) apakšpunkta nosacījumi. Tāpēc šeit atzīme “TRUE”/”PATIESS” ir tikai orientējoša un informatīviem mērķiem. Tas nav juridiski saistošs pieteikums uz papildu kvotām.</t>
  </si>
  <si>
    <t>Rezultāts: piemērojams bezmaksas kvotu iedales apjoma samazinājums par 20 % (2. nosacījums)</t>
  </si>
  <si>
    <t>Nosacījums Nr. 3. + 30 % centralizētajai siltumapgādei</t>
  </si>
  <si>
    <t>Rezultāts: piemērojams bezmaksas kvotu iedales apjoma samazinājums par 20 % (nosacījums Nr. 1)</t>
  </si>
  <si>
    <t>Statuss “pakļautība nopietnam oglekļa emisiju pārvirzes riskam” (“OEP”) ir balstīts uz Lēmumu (ES) 2019/708.</t>
  </si>
  <si>
    <t>I ailē norādiet, vai attiecīgās apakšiekārtas siltumnīcefekta gāzu emisiju līmenis 2021./2022. gadā bija zemāks par 10 % efektīvāko attiecīgās līmeņatzīmes apakšiekārtu vidējo rādītāju. Ievērojiet, ka uz šo jautājumu var atbildēt tikai pēc tam, kad būs noteiktas atjauninātās līmeņatzīmju vērtības. Līdz tam šī aile ir atspējota. Tāpēc pēc šā bāzlīnijas datu ziņojuma sākotnējās iesniegšanas ievērojiet savas kompetentās iestādes norādījumus.</t>
  </si>
  <si>
    <t>Kā nosaka FAR 15. panta 7. punkta pirmā daļa, lai noteiktu vēsturisko darbības līmeņu medianālās vērtības, ņem vērā tikai tos kalendāros gadus, kuros iekārta bijusi ekspluatācijā vismaz vienu dienu.</t>
  </si>
  <si>
    <t>J ailē norādiet, vai attiecīgās produkta līmeņatzīmes apakšiekārtas siltumnīcefekta gāzu emisiju līmeņi 2016./2017. gadā pārsniedza 80 procentiles, ievērojot attiecīgo norādi sadaļā A.II.3.a.</t>
  </si>
  <si>
    <t>K ailē jānorāda katras apakšiekārtas normālās ekspluatācijas sākums saskaņā ar FAR 2. panta 12. punktu. Šī informācija ir svarīga tāpēc, lai noskaidrotu, kuri gadi jāņem vērā, nosakot vēsturisko darbības līmeni F un G lapā saskaņā ar 15. panta 7. punktu. Šie ievaddati ir relevanti tikai tad, ja apakšiekārtas ekspluatācija sākta 2019. gada 1. janvārī vai pēc tam.</t>
  </si>
  <si>
    <t>&lt; par 10 % labāko vidējo?</t>
  </si>
  <si>
    <t>&gt; 80 % sniegums?</t>
  </si>
  <si>
    <t>OIM?</t>
  </si>
  <si>
    <t>Katrai alternatīvajai pieejai var būt maksimāli trīs apakšiekārtas atkarībā no oglekļa emisiju pārvirzes riska un OIM statusa.</t>
  </si>
  <si>
    <t>Šim noteikumam ir izņēmums: izmērāma siltuma gadījumā nosaka ceturto apakšiekārtu centralizētajai siltumapgādei.</t>
  </si>
  <si>
    <t>Apakšiekārtas OIM statuss ir atkarīgs no tā, vai saražoto preču KN kodi ir norādīti Regulas (ES) 2023/956 I pielikumā.</t>
  </si>
  <si>
    <t>Sadzīves atkritumu sadedzināšanas iekārta (t. i., tai ir tikai monitoringa pienākums)</t>
  </si>
  <si>
    <t>Nulles faktora biomasas emisijas</t>
  </si>
  <si>
    <t>Biomasas kopējā īpatsvara pārbaude:</t>
  </si>
  <si>
    <t>Ja ir vairāk nekā divi koģenerācijas bloki, operatori var šos rīkus vienkārši izmantot atsevišķās veidnēs, ko iesniedz KI kā apliecinošus dokumentus derīguma apstiprināšanai. Minētos apliecinošos dokumentus ar galveno veidni var sasaistīt, norādot atsauci uz attiecīgo dokumentu J lapas I sadaļas d) punktā. Tādējādi tas kļūst par pieteikuma daļu kā ārēja datne. Galvenajā pieteikuma dokumentācijā tas nav jāiekļauj. Alternatīvi operators var divus vai vairākus koģenerācijas blokus kombinēt un atsauces efektivitātes vajadzībām izmantot vidējās svērtās vērtības, kas dotu iespēju iegūt līdzīgus rezultātus kā iepriekš minētā pieeja. Šādā gadījumā visu informāciju pārnes uz K lapu.</t>
  </si>
  <si>
    <t>Šis ir kopējais koģenerācijas blokā saražotais neto siltuma daudzums.</t>
  </si>
  <si>
    <t>Šis ir kopējais koģenerācijas blokā saražotais neto elektroenerģijas (vai attiecīgā gadījumā mehāniskās enerģijas) daudzums.</t>
  </si>
  <si>
    <t>Enerģijas attiecināšana</t>
  </si>
  <si>
    <t>Kopējā enerģijas ielaide</t>
  </si>
  <si>
    <t>Enerģijas ielaide iekārtā kopā:</t>
  </si>
  <si>
    <t>Tabulā ievadiet siltuma ražošanai pievadītās enerģijas daudzumu, nodrošinot, ka posteņi netiek uzskaitīti divkārši:</t>
  </si>
  <si>
    <t>i. Kopējo no kurināmā pievadīto enerģiju iegūst automātiski no D.I. sadaļā parādītajiem rezultātiem.</t>
  </si>
  <si>
    <t>ii. Kopējā elektroenerģijas ielaide PRIMĀRI siltuma ražošanai (piemēram, siltumsūkņu, elektrokatlu, elektrisko krāšņu u. c. patērētā elektroenerģija), izņemot gadījumus, kad kurināmais, no kura tiek ražota elektroenerģija, jau ir iekļauts iepriekš i punktā. Jāņem vērā, ka šeit NAV iekļauts jebkāds cits elektroenerģijas patēriņš citiem mērķiem, kas nav siltuma ražošana (sūkņi, piedziņa u. c.).</t>
  </si>
  <si>
    <t>iii. Kopējā pārējā enerģija, arī no eksotermiskā siltuma (t. i., no jebkādas eksotermiskas ķīmiskas reakcijas, piemēram, daļējas oksidēšanas vai karbotermiskas reducēšanas) vai cita veida siltuma, piemēram, siltumsūkņu gadījumā no apkārtējās vides siltuma, ja vien šis siltums nav iegūts no kurināmā, kas jau iekļauts i punktā. Piemēram, ja ķīmiskā reakcijā tiek atgūts tvaiks, starpību starp enerģijas ielaidi un izlaidi procesā, kurā atgūst tvaiku, šeit ieraksta kā eksotermisku siltumu.</t>
  </si>
  <si>
    <t>iv. Rezultāts: kopējā enerģijas ielaide, t. i., iepriekš minēto elementu summa. Šī vērtība ir 100 % no enerģijas, kas pieejama attiecināšanai uz kurināmā līmeņatzīmes apakšiekārtām, izmērāmā siltuma ražošanai u. c. saskaņā ar nākamajiem punktiem.</t>
  </si>
  <si>
    <t>Enerģijas ielaide no kurināmajiem (no D.I)</t>
  </si>
  <si>
    <t>Elektroenerģijas ielaide siltuma ražošanai</t>
  </si>
  <si>
    <t>Citas enerģijas (piemēram, eksotermiskā siltuma) ielaide</t>
  </si>
  <si>
    <t>Kopējā enerģijas ielaide (iepriekš minēto elementu summa)</t>
  </si>
  <si>
    <t>Enerģijas ielaides sadalījums pa dažādiem lietojumiem</t>
  </si>
  <si>
    <t>Produkta līmeņatzīmes (LA) enerģijas ielaide ir tiešās enerģijas ielaides un apakšiekārtas patērētā izmērāmā siltuma enerģijas ielaides summa.</t>
  </si>
  <si>
    <t>Enerģijas ielaide tāda izmērāma siltuma ražošanai, ko neizmanto produkta LA vai elektroenerģijas ražošanai</t>
  </si>
  <si>
    <t>Enerģijas ielaide kurināmā LA apakšiekārtām primārajam siltuma ražošanas mērķim</t>
  </si>
  <si>
    <t>Enerģijas ielaide elektroenerģijas ražošanai</t>
  </si>
  <si>
    <t>PIEZĪME. Ievērojiet, ka, ņemot vērā izmaiņas kurināmā līmeņatzīmes apakšiekārtas definīcijā 2026.–2030. gada iedales periodam, šeit ievadāmās vērtības var atšķirties no vērtībām, kas sniegtas gada darbības līmeņa ziņojumos bāzlīnijas periodā.</t>
  </si>
  <si>
    <t>Enerģijas ielaide produkta LA apakšiekārtās</t>
  </si>
  <si>
    <t>Enerģijas ielaide izmērāma siltuma ražošanai</t>
  </si>
  <si>
    <t>PIEZĪME. Ievērojiet, ka, ņemot vērā izmaiņas siltuma līmeņatzīmes apakšiekārtas definīcijā 2026.–2030. gada iedales periodam, ievadāmās vērtības var atšķirties no vērtībām, kas sniegtas gada darbības līmeņa ziņojumos bāzlīnijas periodā.</t>
  </si>
  <si>
    <t>Visiem datiem par siltumu jābūt datiem par izmērāmā siltuma neto daudzumu (t. i., lietotājam pievadītās siltuma plūsmas siltumsaturs, no kā atskaitīts atgriezes plūsmas siltumsaturs). Ja relevants ir siltums no koģenerācijas, nodrošiniet saskanību ar datu ierakstiem D.III sadaļā.</t>
  </si>
  <si>
    <t>Kā papildpozīcija un daļa, kas jāiekļauj i punktā, no kurināmā līmeņatzīmes apakšiekārtām eksportētā izmērāmā siltuma daudzumu summa ir parādīta ii punktā. Šī informācija ir ņemta no G.5.e.</t>
  </si>
  <si>
    <t>Papildpozīcija: no kurināmā LA eksportētais siltums</t>
  </si>
  <si>
    <t>Tas ietver siltumu no elektrokatliem, siltumsūkņiem utt. Šis siltuma daudzums ir jāiekļauj a) punktā minētajos datos un šeit jāieraksta tikai pārredzamības nolūkā.</t>
  </si>
  <si>
    <t xml:space="preserve">Tas ietver slāpekļskābi ražojošas apakšiekārtas (ja slāpekļskābes ražošana ir daļa no iekārtas, kā iekārtas nosaukumu izvēlieties “Iekārtā") un sadzīves atkritumu incinerācijas iekārtas. </t>
  </si>
  <si>
    <t>Iekārtā pieejamā izmērāmā siltuma summārais daudzums (=a+c+d)</t>
  </si>
  <si>
    <t>ETS siltums ir iekārtā saražotais siltums, kuram pieskaitīts siltums, kas importēts no ETS iekārtām (=a+c).</t>
  </si>
  <si>
    <t xml:space="preserve">“Kopējais siltums” ir ETS siltums, kuram pieskaitīts siltums, kas importēts no ETS neaptvertām vienībām un iekārtām (=a+c+d). </t>
  </si>
  <si>
    <t>Siltuma ielaides attiecība (a+c) / (a+c+d):</t>
  </si>
  <si>
    <t>Izmērāmā siltuma neto daudzums, kas patērēts iekārtā un izmantots mērķiem, kuri kvalificējas siltuma līmeņatzīmei:</t>
  </si>
  <si>
    <t>Konsekvences pārbaude:</t>
  </si>
  <si>
    <t>Uz apakšiekārtām attiecinātā procentuālā daļa</t>
  </si>
  <si>
    <t>Lai šajā atlikumgāzu bilancē izvairītos no divkāršas uzskaites, tālāk norādiet iii punktā attēlotos daudzumus, kas importēti un nav saražoti iekārtā. Tie paši daudzumi būtu jāiekļauj arī tālāk d) punktā.</t>
  </si>
  <si>
    <t>iii punktā norādītie daudzumi, kas importēti</t>
  </si>
  <si>
    <t>Atlikumgāzu daudzums, kas patērēts izmērāma siltuma ražošanai UN eksportēts uz citām ES ETS iekārtām</t>
  </si>
  <si>
    <t>Te ietilpst tikai atlikumgāzes, ko iekārtā patērē, lai ražotu izmērāmu siltumu, UN šis izmērāmais siltums tiek eksportēts uz citu ES ETS iekārtu. Jebkādas tieši eksportētās atlikumgāzes jāiekļauj nevis šeit, bet gan e) punktā.</t>
  </si>
  <si>
    <t>Atlikumgāzes uz citām ES ETS siltuma vajadzībām</t>
  </si>
  <si>
    <t>Ja atbilde šeit ir “FALSE”/”APLAMS”, tālākie ieraksti ir fakultatīvi, izņemot f) punktu, kas vienmēr ir obligāts. Šeit varat norādīt “FALSE”/”APLAMS”, ja elektroenerģiju ražo tikai ar ārkārtas elektroblokiem.</t>
  </si>
  <si>
    <t>Ticamības pārbaude: lapā "F_ProductBM" par relevanto elektroenerģijas patēriņu norādītā kopējā elektroenerģijas ielaide</t>
  </si>
  <si>
    <t>Elektroenerģija, kas ievadīta kā patērēta</t>
  </si>
  <si>
    <t>Elektroenerģijas patēriņš</t>
  </si>
  <si>
    <t>https://eur-lex.europa.eu/eli/reg/2010/860/oj?locale=lv</t>
  </si>
  <si>
    <t>KN kodi ir tie, kas norādīti Regulā (EEK) Nr. 2658/87; tā atrodama šeit:</t>
  </si>
  <si>
    <r>
      <t>PRODCOM</t>
    </r>
    <r>
      <rPr>
        <b/>
        <sz val="10"/>
        <color rgb="FF000000"/>
        <rFont val="Arial"/>
        <family val="2"/>
        <charset val="186"/>
      </rPr>
      <t xml:space="preserve"> 2010</t>
    </r>
  </si>
  <si>
    <t>KN kodi</t>
  </si>
  <si>
    <t>Enerģijas ielaide šajā apakšiekārtā un relevantais emisijas faktors</t>
  </si>
  <si>
    <t>Šeit norādiet šīs apakšiekārtas sistēmas robežās patērēto elektroenerģiju. Attiecībā uz produktu līmeņatzīmēm, kas norādītas FAR I pielikuma 2. iedaļā, ieraksti šeit ir obligāti, un tiem jāatbilst saistītajām sistēmas robežām, kas norādītas minētajā iedaļā.</t>
  </si>
  <si>
    <t>Kā nosaka FAR IV pielikuma 2.4. iedaļas a) punkts, norādiet apakšiekārtas kopējo enerģijas ielaidi no kurināmā, materiāliem un siltuma no elektroenerģijas šajā apakšiekārtā un attiecīgo svērto emisijas faktoru, ņemot vērā katra tāda kurināmā enerģijas saturu, kas ir iekļauts g) punkta rādītājā, un piemērojot tās pašas sistēmas robežas, ko g) punktā.</t>
  </si>
  <si>
    <t>Enerģijas ielaide</t>
  </si>
  <si>
    <t>No ETS neaptvertām iekārtām/vienībām importētā izmērāmā siltuma summa tālākai izmantošanai lapā “E_EnergyFlows”:</t>
  </si>
  <si>
    <t>Izmērāmais siltums (agregēts)</t>
  </si>
  <si>
    <t>Apmaināmās elektroenerģijas summa apstiprināšanai lapā “E_EnergyFlows”:</t>
  </si>
  <si>
    <t>Turklāt svērtajam emisijas faktoram attiecīgā gadījumā būtu jāietver arī emisijas no attiecīgo dūmgāzu attīrīšanas. Elektroenerģijas ielaidei un citai enerģijas ielaidei EF parasti nav skaidri noteikts vai zināms. Tāpēc attiecīgie ieraksti šeit ir fakultatīvi.</t>
  </si>
  <si>
    <t>Kopējā enerģijas ielaide (= i. + v. + vii.)</t>
  </si>
  <si>
    <t>Kopējais saražotais daudzums (ieskaitot elektroenerģiju)</t>
  </si>
  <si>
    <t>No elektroenerģijas saražotais siltums</t>
  </si>
  <si>
    <t>iv un vi punktā attiecīgi jāieraksta elektroenerģijas ielaide primāri siltuma ražošanai un attiecīgais emisijas faktors. Tomēr EF parasti nav skaidri noteikts vai zināms. Tāpēc attiecīgie ieraksti šeit ir fakultatīvi.</t>
  </si>
  <si>
    <t>a) punktā norādītā enerģijas ielaide</t>
  </si>
  <si>
    <t>Šā rīka rezultāts tiek izmantots lapas “F_ProductBM” rindā a) punkta ii. apakšpunktā par attiecīgo apakšiekārtu, un no tā aprēķina mediānu.</t>
  </si>
  <si>
    <t>Ievērojiet, ka ūdeņraža un oglekļa monoksīda procentuālais saturs ir jāizsaka tilpuma %.</t>
  </si>
  <si>
    <t>Šeit norādiet vēsturisko tīra ūdeņraža un oglekļa monoksīda (CO) tilpumfrakciju ražošanas apjomā katrā bāzlīnijas perioda gadā. Tas ir bezdimensionāls lielums.</t>
  </si>
  <si>
    <t>Ūdeņraža un CO gada kopējie daudzumi tiks aprēķināti automātiski pēc šiem un b) punkta ierakstiem.</t>
  </si>
  <si>
    <t>CO tilpumfrakcija</t>
  </si>
  <si>
    <t>Oglekļa monoksīds (izteikts kā 100 % tīrs CO)</t>
  </si>
  <si>
    <t>Šeit tiek aprēķināts rafinētavas darbības līmenis, izmantojot formulu, kas dota FAR III pielikuma 1. punktā (pirms mediānas noteikšanas).</t>
  </si>
  <si>
    <t>Šeit tiek aprēķināts koriģētais darbības līmenis attiecībā uz kaļķiem, izmantojot formulu, kas dota FAR III pielikuma 2. punktā (pirms mediānas noteikšanas).</t>
  </si>
  <si>
    <t>Šeit tiek aprēķināts koriģētais darbības līmenis attiecībā uz dolomītkaļķiem, izmantojot formulu, kas dota FAR III pielikuma 3. punktā (pirms mediānas noteikšanas).</t>
  </si>
  <si>
    <r>
      <t>Šeit tiek aprēķināts koriģētais darbības līmenis (</t>
    </r>
    <r>
      <rPr>
        <sz val="8"/>
        <color rgb="FF333399"/>
        <rFont val="Arial"/>
        <family val="2"/>
        <charset val="186"/>
      </rPr>
      <t>HVC</t>
    </r>
    <r>
      <rPr>
        <i/>
        <sz val="8"/>
        <color rgb="FF333399"/>
        <rFont val="Arial"/>
        <family val="2"/>
        <charset val="186"/>
      </rPr>
      <t xml:space="preserve"> neto daudzums), izmantojot formulu, kas dota FAR III pielikuma 4. punktā (pirms mediānas noteikšanas).</t>
    </r>
  </si>
  <si>
    <t>Šeit tiek aprēķināts aromātisko savienojumu līmeņatzīmes darbības līmenis, izmantojot formulu, kas dota FAR III pielikuma 5. punktā (pirms mediānas noteikšanas).</t>
  </si>
  <si>
    <t>Attiecināmās emisijas</t>
  </si>
  <si>
    <t>Šeit ievadiet ūdeņraža ražošanas faktiskās tiešās emisijas (t. i., neskaitot ar siltumu saistītās emisijas un attiecīgā gadījumā pirms jebkādas oglekļa uztveršanas izmantošanai vai ģeoloģiskai uzglabāšanai). Emisijām, kas rodas no biomasas, nevis izmanto faktiskās emisijas, bet tās aprēķina, biomasas enerģijas saturu reizinot ar dabasgāzes emisijas faktoru. Tāpēc visos gadījumos, izņemot attiecībā uz biomasu, i ailē ierakstāmajiem skaitļiem jābūt tādiem pašiem kā F.g. sadaļā.</t>
  </si>
  <si>
    <r>
      <t>Balstoties uz šeit un iepriekš minētajiem ierakstiem, teorētiskās papildu emisijas pabeigtai ūdensgāzes konversijas (</t>
    </r>
    <r>
      <rPr>
        <sz val="8"/>
        <color rgb="FF333399"/>
        <rFont val="Arial"/>
        <family val="2"/>
        <charset val="186"/>
      </rPr>
      <t>WGS</t>
    </r>
    <r>
      <rPr>
        <i/>
        <sz val="8"/>
        <color rgb="FF333399"/>
        <rFont val="Arial"/>
        <family val="2"/>
        <charset val="186"/>
      </rPr>
      <t>) reakcijai un ar to saistītajai siltuma atgūšanai aprēķina automātiski pēc stehiometriskajām vērtībām, kas norādītas FAR III pielikumā.</t>
    </r>
  </si>
  <si>
    <t>Faktiskās tiešās emisijas (izņemot ar siltumu saistītās)</t>
  </si>
  <si>
    <t>Faktiskais neto siltuma eksports</t>
  </si>
  <si>
    <t>Emisijas no faktiskā siltuma eksporta</t>
  </si>
  <si>
    <t>Kopējās attiecināmās emisijas (= i.+iii.)</t>
  </si>
  <si>
    <r>
      <t>WGS</t>
    </r>
    <r>
      <rPr>
        <sz val="10"/>
        <color rgb="FF000000"/>
        <rFont val="Arial"/>
        <family val="2"/>
        <charset val="186"/>
      </rPr>
      <t xml:space="preserve"> siltuma eksportam teorētiskās emisijas</t>
    </r>
  </si>
  <si>
    <r>
      <t>WGS</t>
    </r>
    <r>
      <rPr>
        <sz val="10"/>
        <color rgb="FF000000"/>
        <rFont val="Arial"/>
        <family val="2"/>
        <charset val="186"/>
      </rPr>
      <t xml:space="preserve"> teorētiskās papildu emisijas</t>
    </r>
  </si>
  <si>
    <t>Teorētiskās papildu emisijas (= v.+vi.)</t>
  </si>
  <si>
    <t>Rezultāts: ūdeņraža darbības līmeņi, kas koriģēti, lai ņemtu vērā pilnīgu ūdensgāzes konversiju (attiecīgā gadījumā)</t>
  </si>
  <si>
    <t>H2 kopā (= i.+ii.)</t>
  </si>
  <si>
    <t>Nominālā ievadītā siltumjauda (MW)</t>
  </si>
  <si>
    <t>Nosacījumi (A.II.2.–A.III.4. sadaļa)</t>
  </si>
  <si>
    <t>1. un 2. nosacījumu rezultāts (bezmaksas kvotu iedales samazinājums par 20 %)</t>
  </si>
  <si>
    <t>22.a panta nosacījumi (energoef.)</t>
  </si>
  <si>
    <t>22.b panta 1. punkta nosacījumi (80. procentile)</t>
  </si>
  <si>
    <t>Rezultāts: piemērojami 20 % nosacījumi:</t>
  </si>
  <si>
    <t>22.b panta 2. punkta nosacījumi (centralizētā siltumapgāde)</t>
  </si>
  <si>
    <t>Bāzlīnijas gadi (A lapas II sadaļas 5. punkts)</t>
  </si>
  <si>
    <t>“Kopējās tiešās emisijas” un vērtību “citas emisijas” attēlo kontroles nolūkā. Tās ietver emisijas, kas saistītas ar elektroenerģijas ražošanu, sadedzināšanu lāpā, izņemot sadedzināšanu lāpā drošības apsvērumu dēļ, un citas emisijas, par kurām bezmaksas kvotas neiedala. Dažos gadījumos attiecināto emisiju summa var nesakrist ar iekārtas kopējām emisijām, piemēram, ja ir relevants siltuma vai atlikumgāzu imports vai eksports.</t>
  </si>
  <si>
    <t>Enerģijas ielaide — sadalījumā pa izmantojuma kategorijām (E lapas I sadaļa)</t>
  </si>
  <si>
    <t>Enerģijas ielaide katrā apakšiekārtā no F un G lapas:</t>
  </si>
  <si>
    <t>Iepriekš norādītie importa daudzumi</t>
  </si>
  <si>
    <t>OIM aptvērums (Regulas (ES) 2023/956 I pielikums). “True”/“Patiess” nozīmē, ka apakšiekārtai piemēro OIM.</t>
  </si>
  <si>
    <t>Bāzlīnijas perioda vēsturisko darbības līmeņu mediāna</t>
  </si>
  <si>
    <t>Atruna. Ievērojiet, ka provizoriskā iedales apjoma vērtības ir tikai orientējošas un tām, kā paskaidrots iepriekš, par pamatu ņemtas minimālās vai maksimālās līmeņatzīmju vērtības. Tomēr, ja provizoriskais iedales apjoms ir atkarīgs arī no siltuma vai kurināmā līmeņatzīmes vērtības (piem., ETS neaptvertais siltums) un arī tās var mainīties atkarībā no savāktajiem datiem, orientējošā vērtība var nebūt pat minimālais vai maksimālais provizoriskais kvotu skaits, bet būt pakļauta vēl tālākām korekcijām.</t>
  </si>
  <si>
    <t>Korekcijas īpašās līmeņatzīmes atjaunināšanai (attiecīgā gadījumā)</t>
  </si>
  <si>
    <t>Ūdeņraža ražošana (faktiskā + teorētiskā)</t>
  </si>
  <si>
    <r>
      <t>HVC</t>
    </r>
    <r>
      <rPr>
        <sz val="10"/>
        <color rgb="FF000000"/>
        <rFont val="Arial"/>
        <family val="2"/>
        <charset val="186"/>
      </rPr>
      <t xml:space="preserve"> emisiju korekcija</t>
    </r>
  </si>
  <si>
    <r>
      <t>VCM</t>
    </r>
    <r>
      <rPr>
        <sz val="10"/>
        <color rgb="FF000000"/>
        <rFont val="Arial"/>
        <family val="2"/>
        <charset val="186"/>
      </rPr>
      <t xml:space="preserve"> emisiju korekcija</t>
    </r>
  </si>
  <si>
    <t>Kopā saražotais siltums</t>
  </si>
  <si>
    <t>Aprēķinā attiecībā uz katru apakšiekārtu ņemts vērā, vai tai piemērojams OIM.</t>
  </si>
  <si>
    <t>Procesa emisiju faktors</t>
  </si>
  <si>
    <t>OIM koeficienti produktiem, kam piemēro OIM</t>
  </si>
  <si>
    <t>&lt; 10 % vidējo?</t>
  </si>
  <si>
    <t>Vai piemērojami 20 % samazinājuma nosacījumi?</t>
  </si>
  <si>
    <t>Rezultāts tiek attēlots automātiski, balstoties uz ierakstiem sadaļās A.II.2. un A.II.3. Ja ir piemērojami kādi no šiem nosacījumiem, iedales apjoms tiek samazināts par 20 %.</t>
  </si>
  <si>
    <t>Saskaņā ar 16. panta 8. punktu SKK vienmēr ir 1 iekārtai, kuras apakšiekārtas ir zem 10 % efektīvāko attiecīgās līmeņatzīmes apakšiekārtu vidējo rādītāja un nodrošina vairāk nekā 60 % no provizoriskā iedales apjoma. Tomēr šī informācija būs zināma tikai tad, kad būs noteiktas jaunās līmeņatzīmju vērtības.</t>
  </si>
  <si>
    <t>Vai iekārtas apakšiekārtas 2021./2022. gadā ir starp 10 % SEG ziņā efektīvākajām?</t>
  </si>
  <si>
    <t>Apakšiekārtas, uz kurām attiecas i punkts, nodrošina šādu provizoriskās iedales apjoma daļu:</t>
  </si>
  <si>
    <r>
      <t>t CO</t>
    </r>
    <r>
      <rPr>
        <vertAlign val="subscript"/>
        <sz val="10"/>
        <color rgb="FF000000"/>
        <rFont val="Arial"/>
        <family val="2"/>
        <charset val="186"/>
      </rPr>
      <t>2</t>
    </r>
    <r>
      <rPr>
        <sz val="10"/>
        <color rgb="FF000000"/>
        <rFont val="Arial"/>
        <family val="2"/>
        <charset val="186"/>
      </rPr>
      <t xml:space="preserve"> ekv. / t N</t>
    </r>
    <r>
      <rPr>
        <vertAlign val="subscript"/>
        <sz val="10"/>
        <color rgb="FF000000"/>
        <rFont val="Arial"/>
        <family val="2"/>
        <charset val="186"/>
      </rPr>
      <t>2</t>
    </r>
    <r>
      <rPr>
        <sz val="10"/>
        <color rgb="FF000000"/>
        <rFont val="Arial"/>
        <family val="2"/>
        <charset val="186"/>
      </rPr>
      <t>O</t>
    </r>
  </si>
  <si>
    <t>Sadzīves atkritumu incinerācijas iekārta</t>
  </si>
  <si>
    <t>Čehija</t>
  </si>
  <si>
    <t>Obligāti jāapstiprina A lapas II sadaļas 1. punkts!</t>
  </si>
  <si>
    <t>Vai kompetentā iestāde apstiprina KNP pilnīgumu?</t>
  </si>
  <si>
    <t xml:space="preserve">Naftas rafinēšana </t>
  </si>
  <si>
    <t xml:space="preserve">Dzelzs vai tērauda ražošana (primārā vai sekundārā), arī ar nepārtraukto liešanu, kopējai jaudai pārsniedzot 2,5 tonnas stundā </t>
  </si>
  <si>
    <t>Primārā alumīnija vai alumīnija oksīda ražošana</t>
  </si>
  <si>
    <t>Ģipša žāvēšana vai apdedzināšana vai ģipškartona sausā apmetuma plātņu un citu ģipša izstrādājumu ražošana, ja apdedzinātā ģipša vai žāvētā sekundārā ģipša ražošanas jauda pārsniedz 20 tonnas dienā</t>
  </si>
  <si>
    <t>Tehniskā oglekļa ražošana, karbonizējot tādus organiskās vielas saturošus materiālus kā nafta, gudrons, krekinga un pārtvaices atlikumi, ja ražošanas jauda pārsniedz 50 tonnas dienā</t>
  </si>
  <si>
    <r>
      <t>Ūdeņraža (H</t>
    </r>
    <r>
      <rPr>
        <vertAlign val="subscript"/>
        <sz val="9"/>
        <color rgb="FF000000"/>
        <rFont val="Tahoma"/>
        <family val="2"/>
        <charset val="186"/>
      </rPr>
      <t>2</t>
    </r>
    <r>
      <rPr>
        <sz val="9"/>
        <color rgb="FF000000"/>
        <rFont val="Tahoma"/>
        <family val="2"/>
        <charset val="186"/>
      </rPr>
      <t>) un sintēzes gāzes ražošana, ja ražošanas jauda pārsniedz 5 tonnas dienā</t>
    </r>
  </si>
  <si>
    <t>Siltumnīcefekta gāzu transportēšana uz ģeoloģiskās uzglabāšanas vietu, kas saņēmusi atļauju saskaņā ar Direktīvu 2009/31/EK, izņemot tās emisijas, ko aptver kāda cita darbība saskaņā ar šo direktīvu</t>
  </si>
  <si>
    <t>Aglomerēta dzelzsrūda</t>
  </si>
  <si>
    <t>Dzelzs liešana, OIM</t>
  </si>
  <si>
    <t>Dzelzs liešana, bez OIM</t>
  </si>
  <si>
    <t>Siltuma līmeņatzīmes apakšiekārta, OEP | bez OIM)</t>
  </si>
  <si>
    <t>Siltuma līmeņatzīmes apakšiekārta (bez OEP | bez OIM)</t>
  </si>
  <si>
    <t>Siltuma līmeņatzīmes apakšiekārta, OEP | OIM)</t>
  </si>
  <si>
    <t>Kurināmā līmeņatzīmes apakšiekārta (OEP | bez OIM)</t>
  </si>
  <si>
    <t>Kurināmā līmeņatzīmes apakšiekārta (bez OEP | bez OIM)</t>
  </si>
  <si>
    <t>Kurināmā līmeņatzīmes apakšiekārta (OEP | OIM)</t>
  </si>
  <si>
    <t>Procesa emisiju apakšiekārta (OEP | bez OIM)</t>
  </si>
  <si>
    <t>Procesa emisiju apakšiekārta (bez OEP | bez OIM)</t>
  </si>
  <si>
    <t>Procesa emisiju apakšiekārta (OEP | OIM)</t>
  </si>
  <si>
    <t>Saskaņā ar FAR 22.b panta 1. un 2. punktu bezmaksas kvotu iedales apjomu samazina par 20 %, ja un ar noteikumu, ka</t>
  </si>
  <si>
    <t>Saskaņā ar FAR 22.b panta 3. punktu iekārtas vai centralizētās siltumapgādes uzņēmums, kas atrodas dalībvalstī, kura atbilst ETS direktīvas 10.b panta 4. punkta otrajā daļā noteiktajiem kritērijiem, ja ir izpildīti 22.b panta 3. punkta a)–f) apakšpunkta nosacījumi, var pieteikties uz papildu 30 % bezmaksas kvotu saņemšanu centralizētās siltumapgādes apakšiekārtai.</t>
  </si>
  <si>
    <t>Kā noteikts FAR IV pielikuma 2.4. iedaļas a) punktā, norādiet kurināmā, materiālu (piemēram, eksotermiskā siltuma) un elektroenerģijas (siltuma ražošanai) ielaidi saskaņā ar iekārtas līmeņa datu ierakstiem E.I.1.a sadaļā un attiecīgo svērto emisijas faktoru, ņemot vērā saistīto enerģijas saturu.</t>
  </si>
  <si>
    <t>Saražotā izmērāmā siltuma daudzumu saskaņā ar FAR IV pielikuma 3.2. iedaļu ievadiet šeit. i punkta kopsumma ietver visu saražoto siltumu, arī siltumu no elektroenerģijas. ii punkta vērtībām būtu jāietver tikai siltums, kas ražots no elektroenerģijas (piemēram, ar elektriskajiem katliem, siltumsūkņiem).</t>
  </si>
  <si>
    <t>Šeit tiek aprēķināts koriģētais darbības līmenis (pārrēķināts uz 47 % H2), izmantojot formulu, kas dota FAR III pielikuma 7. punktā (pirms mediānas noteikšanas).</t>
  </si>
  <si>
    <t>Šeit redzamie daudzumi atspoguļo aprēķinu par galīgo kopējo bez maksas iedalāmo kvotu skaitu saskaņā ar FAR 16. panta 8. punktu, t. i., iedales apjoma vērtības pēc attiecīgi (t. i. saskaņā ar b) punktu) piemērojamo samazinājumu vai starpnozaru korekcijas koeficienta piemērošanas. Tomēr šīs vērtības nevar uzskatīt par galīgajām vērtībām, jo šīs datu vākšanas laikā vēl nav zināms starpnozaru korekcijas koeficients.</t>
  </si>
  <si>
    <t>Šis rīks palīdz noteikt HAL (vēsturiskos darbības līmeņus) rafinētavas līmeņatzīmei (FAR III pielikuma 1. punkts).</t>
  </si>
  <si>
    <t>Šis rīks palīdz noteikt HAL (vēsturiskos darbības līmeņus) kaļķu līmeņatzīmei (FAR III pielikuma 2. punkts).</t>
  </si>
  <si>
    <t>Šis rīks palīdz noteikt HAL (vēsturiskos darbības līmeņus) dolomītkaļķu līmeņatzīmei (FAR III pielikuma 3. punkts). To neizmanto attiecībā uz pārdedzinātiem dolomītkaļķiem.</t>
  </si>
  <si>
    <t>Šis rīks palīdz noteikt HAL (vēsturiskos darbības līmeņus) tvaika krekinga līmeņatzīmei (FAR III pielikuma 4. punkts).</t>
  </si>
  <si>
    <t>Šis rīks palīdz noteikt HAL (vēsturiskos darbības līmeņus) aromātisko savienojumu līmeņatzīmei (FAR III pielikuma 5. punkts).</t>
  </si>
  <si>
    <t>Šis rīks palīdz noteikt HAL (vēsturiskos darbības līmeņus) ūdeņraža līmeņatzīmei (FAR III pielikuma 6. punkts).</t>
  </si>
  <si>
    <t>Šis rīks palīdz noteikt HAL (vēsturiskos darbības līmeņus) sintēzes gāzes līmeņatzīmei (FAR III pielikuma 7. punkts).</t>
  </si>
  <si>
    <t>Šis rīks palīdz noteikt HAL (vēsturiskos darbības līmeņus) etilēnoksīda/etilēnglikolu līmeņatzīmei (FAR III pielikuma 8. punkts).</t>
  </si>
  <si>
    <t>15(7)3 HAL</t>
  </si>
  <si>
    <t>Ziņotais HAL (vēsturiskais darbības līmenis)</t>
  </si>
  <si>
    <t>HAL aprēķinam izmantotās vērtības:</t>
  </si>
  <si>
    <t>Atkarībā no tā, kādi dati ievadīti A lapas II sadaļas 2. punktā (izraudzītais bāzlīnijas periods), A lapas III sadaļā (dati par apakšiekārtām) un F un G lapā, šīs lapas IV sadaļā redzams, kādi bāzlīnijas gadi izmantoti, lai aprēķinātu vēsturiskos darbības līmeņus (HAL), kuriem piemēro līmeņatzīmes.</t>
  </si>
  <si>
    <t>Šā rīka rezultāts, kas attēlots iv punktā tālāk, tiek izmantots lapas “F_ProductBM” rindā a) punkta ii. apakšpunktā par attiecīgo apakšiekārtu, un no tā aprēķina HAL.</t>
  </si>
  <si>
    <t>HAL H2, faktiskais</t>
  </si>
  <si>
    <t>HAL H2 (koriģēts)</t>
  </si>
  <si>
    <t>HAL kopā</t>
  </si>
  <si>
    <t>https://www.kem.gov.lv/lv/eiropas-savienibas-emisiju-kvotu-tirdzniecibas-sistemas-4-periods</t>
  </si>
  <si>
    <t>es.ets@kem.gov.lv</t>
  </si>
  <si>
    <t>Lai iekārtas operators pieteiktos bezmaksas emisijas kvotu saņemšanai laika periodam no 2026. līdz 2030. gadam, verificēts bāzlīnijas datu ziņojums par laika periodu 2019-2023 Valsts vides dienestā jāiesniedz līdz 2024. gada 30. maijam. Ziņojums jāparaksta ar drošu elektronisko parakstu.</t>
  </si>
  <si>
    <t xml:space="preserve">Papildu norādījumi no dalībvalsts: </t>
  </si>
  <si>
    <t>Valsts Vides dienesta Atļauju pārvaldē, Rūpniecības iela 23, Rīga, LV-1045; e-pasts: ap@vvd.gov.lv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</si>
</sst>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2" formatCode="#,##0_ ;[Red]\-#,##0\ "/>
    <numFmt numFmtId="173" formatCode="#,##0.00_ ;[Red]\-#,##0.00\ "/>
    <numFmt numFmtId="175" formatCode="0.0000"/>
    <numFmt numFmtId="181" formatCode="0.000"/>
    <numFmt numFmtId="182" formatCode="0.0"/>
    <numFmt numFmtId="187" formatCode="0.0%"/>
    <numFmt numFmtId="190" formatCode="#,##0.000_ ;[Red]\-#,##0.000\ "/>
    <numFmt numFmtId="191" formatCode="#,##0.0000_ ;[Red]\-#,##0.0000\ "/>
    <numFmt numFmtId="192" formatCode="#,##0.000"/>
    <numFmt numFmtId="195" formatCode="#,##0.0"/>
    <numFmt numFmtId="197" formatCode="#,##0_ ;\-#,##0\ "/>
  </numFmts>
  <fonts count="106" x14ac:knownFonts="1">
    <font>
      <sz val="10"/>
      <name val="Arial"/>
    </font>
    <font>
      <sz val="11"/>
      <color indexed="8"/>
      <name val="Calibri"/>
      <family val="2"/>
    </font>
    <font>
      <sz val="10"/>
      <name val="Arial"/>
      <family val="2"/>
    </font>
    <font>
      <b/>
      <sz val="12"/>
      <color indexed="9"/>
      <name val="Arial"/>
      <family val="2"/>
    </font>
    <font>
      <b/>
      <sz val="10"/>
      <name val="Arial"/>
      <family val="2"/>
    </font>
    <font>
      <sz val="8"/>
      <name val="Arial"/>
      <family val="2"/>
    </font>
    <font>
      <u/>
      <sz val="10"/>
      <color indexed="12"/>
      <name val="Arial"/>
      <family val="2"/>
    </font>
    <font>
      <sz val="8"/>
      <name val="Arial"/>
      <family val="2"/>
    </font>
    <font>
      <b/>
      <sz val="10"/>
      <name val="Arial"/>
      <family val="2"/>
    </font>
    <font>
      <b/>
      <sz val="14"/>
      <name val="Arial"/>
      <family val="2"/>
    </font>
    <font>
      <i/>
      <sz val="8"/>
      <color indexed="62"/>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12"/>
      <name val="Arial"/>
      <family val="2"/>
    </font>
    <font>
      <sz val="10"/>
      <name val="Arial"/>
      <family val="2"/>
    </font>
    <font>
      <b/>
      <u/>
      <sz val="20"/>
      <color indexed="62"/>
      <name val="Arial"/>
      <family val="2"/>
    </font>
    <font>
      <b/>
      <u/>
      <sz val="10"/>
      <color indexed="62"/>
      <name val="Arial"/>
      <family val="2"/>
    </font>
    <font>
      <i/>
      <sz val="8"/>
      <color indexed="14"/>
      <name val="Arial"/>
      <family val="2"/>
    </font>
    <font>
      <b/>
      <sz val="12"/>
      <name val="Arial"/>
      <family val="2"/>
    </font>
    <font>
      <u/>
      <sz val="10"/>
      <name val="Arial"/>
      <family val="2"/>
    </font>
    <font>
      <sz val="8"/>
      <name val="Arial"/>
      <family val="2"/>
    </font>
    <font>
      <b/>
      <sz val="11"/>
      <color indexed="18"/>
      <name val="Arial"/>
      <family val="2"/>
    </font>
    <font>
      <sz val="11"/>
      <name val="Arial"/>
      <family val="2"/>
    </font>
    <font>
      <sz val="10"/>
      <name val="Arial"/>
      <family val="2"/>
    </font>
    <font>
      <b/>
      <sz val="11"/>
      <name val="Arial"/>
      <family val="2"/>
    </font>
    <font>
      <b/>
      <u/>
      <sz val="10"/>
      <color indexed="12"/>
      <name val="Arial"/>
      <family val="2"/>
    </font>
    <font>
      <sz val="10"/>
      <color indexed="10"/>
      <name val="Arial"/>
      <family val="2"/>
    </font>
    <font>
      <b/>
      <i/>
      <sz val="8"/>
      <color indexed="62"/>
      <name val="Arial"/>
      <family val="2"/>
    </font>
    <font>
      <b/>
      <sz val="9"/>
      <color indexed="81"/>
      <name val="Tahoma"/>
      <family val="2"/>
    </font>
    <font>
      <b/>
      <sz val="10"/>
      <color indexed="13"/>
      <name val="Arial"/>
      <family val="2"/>
    </font>
    <font>
      <sz val="9"/>
      <name val="Tahoma"/>
      <family val="2"/>
    </font>
    <font>
      <sz val="9"/>
      <color indexed="12"/>
      <name val="Tahoma"/>
      <family val="2"/>
    </font>
    <font>
      <sz val="10"/>
      <color indexed="12"/>
      <name val="Arial"/>
      <family val="2"/>
    </font>
    <font>
      <b/>
      <sz val="10"/>
      <color indexed="10"/>
      <name val="Arial"/>
      <family val="2"/>
    </font>
    <font>
      <b/>
      <i/>
      <sz val="10"/>
      <name val="Arial"/>
      <family val="2"/>
    </font>
    <font>
      <sz val="9"/>
      <color indexed="81"/>
      <name val="Tahoma"/>
      <family val="2"/>
    </font>
    <font>
      <i/>
      <sz val="10"/>
      <color indexed="62"/>
      <name val="Arial"/>
      <family val="2"/>
    </font>
    <font>
      <b/>
      <i/>
      <sz val="10"/>
      <color indexed="62"/>
      <name val="Arial"/>
      <family val="2"/>
    </font>
    <font>
      <sz val="10"/>
      <color indexed="18"/>
      <name val="Arial"/>
      <family val="2"/>
    </font>
    <font>
      <sz val="10"/>
      <color indexed="10"/>
      <name val="Arial"/>
      <family val="2"/>
    </font>
    <font>
      <b/>
      <sz val="10"/>
      <name val="Arial"/>
      <family val="2"/>
    </font>
    <font>
      <sz val="10"/>
      <color indexed="14"/>
      <name val="Arial"/>
      <family val="2"/>
    </font>
    <font>
      <b/>
      <i/>
      <u/>
      <sz val="10"/>
      <color indexed="62"/>
      <name val="Arial"/>
      <family val="2"/>
    </font>
    <font>
      <i/>
      <sz val="10"/>
      <name val="Arial"/>
      <family val="2"/>
    </font>
    <font>
      <sz val="9"/>
      <name val="Times New Roman"/>
      <family val="1"/>
    </font>
    <font>
      <b/>
      <sz val="10"/>
      <color indexed="18"/>
      <name val="Arial"/>
      <family val="2"/>
    </font>
    <font>
      <sz val="10"/>
      <color indexed="62"/>
      <name val="Arial"/>
      <family val="2"/>
    </font>
    <font>
      <u/>
      <sz val="10"/>
      <color indexed="62"/>
      <name val="Arial"/>
      <family val="2"/>
    </font>
    <font>
      <i/>
      <u/>
      <sz val="8"/>
      <color indexed="12"/>
      <name val="Arial"/>
      <family val="2"/>
    </font>
    <font>
      <i/>
      <u/>
      <sz val="8"/>
      <color indexed="62"/>
      <name val="Arial"/>
      <family val="2"/>
    </font>
    <font>
      <sz val="10"/>
      <color indexed="62"/>
      <name val="Arial"/>
      <family val="2"/>
    </font>
    <font>
      <b/>
      <i/>
      <u/>
      <sz val="10"/>
      <color indexed="12"/>
      <name val="Arial"/>
      <family val="2"/>
    </font>
    <font>
      <b/>
      <sz val="10"/>
      <color indexed="12"/>
      <name val="Arial"/>
      <family val="2"/>
    </font>
    <font>
      <u/>
      <sz val="10"/>
      <color indexed="12"/>
      <name val="Arial"/>
      <family val="2"/>
    </font>
    <font>
      <sz val="10"/>
      <name val="Arial"/>
      <family val="2"/>
    </font>
    <font>
      <b/>
      <sz val="20"/>
      <name val="Arial"/>
      <family val="2"/>
    </font>
    <font>
      <b/>
      <sz val="10"/>
      <color indexed="9"/>
      <name val="Arial"/>
      <family val="2"/>
    </font>
    <font>
      <sz val="10"/>
      <name val="Arial"/>
      <family val="2"/>
    </font>
    <font>
      <sz val="10"/>
      <name val="Arial"/>
      <family val="2"/>
    </font>
    <font>
      <b/>
      <sz val="9"/>
      <color indexed="81"/>
      <name val="Tahoma"/>
      <family val="2"/>
    </font>
    <font>
      <u/>
      <sz val="8"/>
      <color indexed="12"/>
      <name val="Arial"/>
      <family val="2"/>
    </font>
    <font>
      <b/>
      <sz val="8"/>
      <name val="Arial"/>
      <family val="2"/>
    </font>
    <font>
      <sz val="9"/>
      <name val="Arial"/>
      <family val="2"/>
    </font>
    <font>
      <i/>
      <sz val="8"/>
      <name val="Arial"/>
      <family val="2"/>
    </font>
    <font>
      <sz val="10"/>
      <color rgb="FFFF0000"/>
      <name val="Arial"/>
      <family val="2"/>
    </font>
    <font>
      <b/>
      <sz val="10"/>
      <color rgb="FFFF0000"/>
      <name val="Arial"/>
      <family val="2"/>
    </font>
    <font>
      <sz val="10"/>
      <color theme="1" tint="0.499984740745262"/>
      <name val="Arial"/>
      <family val="2"/>
    </font>
    <font>
      <sz val="14"/>
      <color rgb="FFFF0000"/>
      <name val="Arial"/>
      <family val="2"/>
    </font>
    <font>
      <b/>
      <i/>
      <sz val="10"/>
      <color theme="0"/>
      <name val="Arial"/>
      <family val="2"/>
    </font>
    <font>
      <sz val="10"/>
      <color rgb="FF000080"/>
      <name val="Arial"/>
      <family val="2"/>
    </font>
    <font>
      <i/>
      <sz val="8"/>
      <color rgb="FF333399"/>
      <name val="Arial"/>
      <family val="2"/>
    </font>
    <font>
      <b/>
      <sz val="12"/>
      <color rgb="FFFFFFFF"/>
      <name val="Arial"/>
      <family val="2"/>
    </font>
    <font>
      <b/>
      <i/>
      <sz val="10"/>
      <color rgb="FF333399"/>
      <name val="Arial"/>
      <family val="2"/>
    </font>
    <font>
      <b/>
      <sz val="11"/>
      <color rgb="FF000080"/>
      <name val="Arial"/>
      <family val="2"/>
    </font>
    <font>
      <b/>
      <sz val="10"/>
      <color rgb="FF333399"/>
      <name val="Arial"/>
      <family val="2"/>
    </font>
    <font>
      <b/>
      <u/>
      <sz val="10"/>
      <color rgb="FFFF0000"/>
      <name val="Arial"/>
      <family val="2"/>
    </font>
    <font>
      <i/>
      <sz val="10"/>
      <color theme="1" tint="0.499984740745262"/>
      <name val="Arial"/>
      <family val="2"/>
    </font>
    <font>
      <i/>
      <sz val="8"/>
      <color rgb="FF333399"/>
      <name val="Arial"/>
      <family val="2"/>
      <charset val="186"/>
    </font>
    <font>
      <b/>
      <sz val="10"/>
      <color rgb="FF000000"/>
      <name val="Arial"/>
      <family val="2"/>
      <charset val="186"/>
    </font>
    <font>
      <b/>
      <i/>
      <sz val="10"/>
      <color rgb="FF000000"/>
      <name val="Arial"/>
      <family val="2"/>
      <charset val="186"/>
    </font>
    <font>
      <b/>
      <sz val="10"/>
      <name val="Arial"/>
      <family val="2"/>
      <charset val="186"/>
    </font>
    <font>
      <sz val="8"/>
      <color rgb="FF333399"/>
      <name val="Arial"/>
      <family val="2"/>
      <charset val="186"/>
    </font>
    <font>
      <b/>
      <sz val="11"/>
      <color rgb="FF000080"/>
      <name val="Arial"/>
      <family val="2"/>
      <charset val="186"/>
    </font>
    <font>
      <b/>
      <i/>
      <sz val="8"/>
      <color rgb="FF333399"/>
      <name val="Arial"/>
      <family val="2"/>
      <charset val="186"/>
    </font>
    <font>
      <i/>
      <sz val="10"/>
      <color rgb="FF000000"/>
      <name val="Arial"/>
      <family val="2"/>
      <charset val="186"/>
    </font>
    <font>
      <b/>
      <sz val="12"/>
      <color rgb="FFFFFFFF"/>
      <name val="Arial"/>
      <family val="2"/>
      <charset val="186"/>
    </font>
    <font>
      <sz val="10"/>
      <color rgb="FF000000"/>
      <name val="Arial"/>
      <family val="2"/>
      <charset val="186"/>
    </font>
    <font>
      <i/>
      <sz val="10"/>
      <color rgb="FF808080"/>
      <name val="Arial"/>
      <family val="2"/>
      <charset val="186"/>
    </font>
    <font>
      <b/>
      <sz val="10"/>
      <color rgb="FF333399"/>
      <name val="Arial"/>
      <family val="2"/>
      <charset val="186"/>
    </font>
    <font>
      <vertAlign val="subscript"/>
      <sz val="10"/>
      <color rgb="FF000000"/>
      <name val="Arial"/>
      <family val="2"/>
      <charset val="186"/>
    </font>
    <font>
      <sz val="9"/>
      <color rgb="FF000000"/>
      <name val="Tahoma"/>
      <family val="2"/>
      <charset val="186"/>
    </font>
    <font>
      <vertAlign val="subscript"/>
      <sz val="9"/>
      <color rgb="FF000000"/>
      <name val="Tahoma"/>
      <family val="2"/>
      <charset val="186"/>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9"/>
        <bgColor indexed="64"/>
      </patternFill>
    </fill>
    <fill>
      <patternFill patternType="solid">
        <fgColor indexed="12"/>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26"/>
        <bgColor indexed="64"/>
      </patternFill>
    </fill>
    <fill>
      <patternFill patternType="solid">
        <fgColor indexed="43"/>
        <bgColor indexed="64"/>
      </patternFill>
    </fill>
    <fill>
      <patternFill patternType="solid">
        <fgColor indexed="44"/>
        <bgColor indexed="64"/>
      </patternFill>
    </fill>
    <fill>
      <patternFill patternType="solid">
        <fgColor indexed="57"/>
        <bgColor indexed="64"/>
      </patternFill>
    </fill>
    <fill>
      <patternFill patternType="solid">
        <fgColor indexed="11"/>
        <bgColor indexed="64"/>
      </patternFill>
    </fill>
    <fill>
      <patternFill patternType="solid">
        <fgColor indexed="55"/>
        <bgColor indexed="64"/>
      </patternFill>
    </fill>
    <fill>
      <patternFill patternType="solid">
        <fgColor indexed="27"/>
        <bgColor indexed="64"/>
      </patternFill>
    </fill>
    <fill>
      <patternFill patternType="lightUp">
        <bgColor indexed="9"/>
      </patternFill>
    </fill>
    <fill>
      <patternFill patternType="solid">
        <fgColor rgb="FF92D050"/>
        <bgColor indexed="64"/>
      </patternFill>
    </fill>
    <fill>
      <patternFill patternType="solid">
        <fgColor rgb="FFCCFFFF"/>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FFFFCC"/>
        <bgColor indexed="64"/>
      </patternFill>
    </fill>
    <fill>
      <patternFill patternType="solid">
        <fgColor theme="9" tint="0.39997558519241921"/>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rgb="FFFFC000"/>
        <bgColor indexed="64"/>
      </patternFill>
    </fill>
    <fill>
      <patternFill patternType="solid">
        <fgColor rgb="FFFDE9D9"/>
        <bgColor indexed="64"/>
      </patternFill>
    </fill>
    <fill>
      <patternFill patternType="solid">
        <fgColor theme="9" tint="0.79998168889431442"/>
        <bgColor indexed="64"/>
      </patternFill>
    </fill>
    <fill>
      <patternFill patternType="solid">
        <fgColor rgb="FFFFFFFF"/>
        <bgColor indexed="64"/>
      </patternFill>
    </fill>
    <fill>
      <patternFill patternType="solid">
        <fgColor rgb="FFBFBFBF"/>
        <bgColor indexed="64"/>
      </patternFill>
    </fill>
    <fill>
      <patternFill patternType="solid">
        <fgColor theme="3"/>
        <bgColor indexed="64"/>
      </patternFill>
    </fill>
    <fill>
      <patternFill patternType="solid">
        <fgColor rgb="FF0000FF"/>
        <bgColor indexed="64"/>
      </patternFill>
    </fill>
    <fill>
      <patternFill patternType="solid">
        <fgColor rgb="FFDCE6F1"/>
        <bgColor indexed="64"/>
      </patternFill>
    </fill>
    <fill>
      <patternFill patternType="solid">
        <fgColor rgb="FF00FF00"/>
        <bgColor indexed="64"/>
      </patternFill>
    </fill>
  </fills>
  <borders count="14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12"/>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style="thin">
        <color indexed="64"/>
      </left>
      <right/>
      <top style="hair">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top style="medium">
        <color indexed="64"/>
      </top>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s>
  <cellStyleXfs count="8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0" borderId="0" applyNumberFormat="0" applyFont="0" applyFill="0" applyBorder="0" applyProtection="0">
      <alignment horizontal="left" vertical="center" indent="5"/>
    </xf>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23" fillId="20" borderId="1" applyNumberFormat="0" applyAlignment="0" applyProtection="0"/>
    <xf numFmtId="0" fontId="12" fillId="3" borderId="0" applyNumberFormat="0" applyBorder="0" applyAlignment="0" applyProtection="0"/>
    <xf numFmtId="0" fontId="13" fillId="20" borderId="2" applyNumberFormat="0" applyAlignment="0" applyProtection="0"/>
    <xf numFmtId="0" fontId="13" fillId="20" borderId="2" applyNumberFormat="0" applyAlignment="0" applyProtection="0"/>
    <xf numFmtId="0" fontId="14" fillId="21" borderId="3" applyNumberFormat="0" applyAlignment="0" applyProtection="0"/>
    <xf numFmtId="0" fontId="20" fillId="7" borderId="2" applyNumberFormat="0" applyAlignment="0" applyProtection="0"/>
    <xf numFmtId="0" fontId="25" fillId="0" borderId="4"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0" fillId="7" borderId="2" applyNumberFormat="0" applyAlignment="0" applyProtection="0"/>
    <xf numFmtId="0" fontId="6" fillId="0" borderId="0" applyNumberFormat="0" applyFill="0" applyBorder="0" applyAlignment="0" applyProtection="0">
      <alignment vertical="top"/>
      <protection locked="0"/>
    </xf>
    <xf numFmtId="0" fontId="21" fillId="0" borderId="8" applyNumberFormat="0" applyFill="0" applyAlignment="0" applyProtection="0"/>
    <xf numFmtId="0" fontId="22" fillId="22" borderId="0" applyNumberFormat="0" applyBorder="0" applyAlignment="0" applyProtection="0"/>
    <xf numFmtId="0" fontId="2" fillId="23" borderId="9" applyNumberFormat="0" applyFont="0" applyAlignment="0" applyProtection="0"/>
    <xf numFmtId="0" fontId="1" fillId="23" borderId="9" applyNumberFormat="0" applyFont="0" applyAlignment="0" applyProtection="0"/>
    <xf numFmtId="0" fontId="23" fillId="20" borderId="1" applyNumberFormat="0" applyAlignment="0" applyProtection="0"/>
    <xf numFmtId="9" fontId="2" fillId="0" borderId="0" applyFont="0" applyFill="0" applyBorder="0" applyAlignment="0" applyProtection="0"/>
    <xf numFmtId="0" fontId="12" fillId="3" borderId="0" applyNumberFormat="0" applyBorder="0" applyAlignment="0" applyProtection="0"/>
    <xf numFmtId="0" fontId="2" fillId="0" borderId="0"/>
    <xf numFmtId="0" fontId="2" fillId="0" borderId="0"/>
    <xf numFmtId="0" fontId="1" fillId="0" borderId="0"/>
    <xf numFmtId="0" fontId="24" fillId="0" borderId="0" applyNumberFormat="0" applyFill="0" applyBorder="0" applyAlignment="0" applyProtection="0"/>
    <xf numFmtId="0" fontId="25" fillId="0" borderId="4" applyNumberFormat="0" applyFill="0" applyAlignment="0" applyProtection="0"/>
    <xf numFmtId="0" fontId="24" fillId="0" borderId="0" applyNumberFormat="0" applyFill="0" applyBorder="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1" fillId="0" borderId="8"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4" fillId="21" borderId="3" applyNumberFormat="0" applyAlignment="0" applyProtection="0"/>
    <xf numFmtId="4" fontId="58" fillId="0" borderId="0"/>
  </cellStyleXfs>
  <cellXfs count="2141">
    <xf numFmtId="0" fontId="0" fillId="0" borderId="0" xfId="0"/>
    <xf numFmtId="0" fontId="0" fillId="0" borderId="22" xfId="0" applyBorder="1" applyAlignment="1" applyProtection="1">
      <alignment vertical="top" wrapText="1"/>
    </xf>
    <xf numFmtId="0" fontId="0" fillId="25" borderId="22" xfId="0" applyFill="1" applyBorder="1" applyAlignment="1" applyProtection="1">
      <alignment horizontal="center" vertical="top" wrapText="1"/>
    </xf>
    <xf numFmtId="0" fontId="0" fillId="49" borderId="29" xfId="0" applyFill="1" applyBorder="1" applyAlignment="1" applyProtection="1">
      <alignment horizontal="center" vertical="top" wrapText="1"/>
    </xf>
    <xf numFmtId="0" fontId="0" fillId="49" borderId="58" xfId="0" applyFill="1" applyBorder="1" applyAlignment="1" applyProtection="1">
      <alignment horizontal="center" vertical="top" wrapText="1"/>
    </xf>
    <xf numFmtId="0" fontId="0" fillId="49" borderId="0" xfId="0" applyFill="1" applyBorder="1" applyAlignment="1" applyProtection="1">
      <alignment horizontal="center" vertical="top" wrapText="1"/>
    </xf>
    <xf numFmtId="0" fontId="0" fillId="49" borderId="68" xfId="0" applyFill="1" applyBorder="1" applyAlignment="1" applyProtection="1">
      <alignment horizontal="center" vertical="top" wrapText="1"/>
    </xf>
    <xf numFmtId="0" fontId="39" fillId="49" borderId="69" xfId="60" applyFont="1" applyFill="1" applyBorder="1" applyAlignment="1" applyProtection="1">
      <alignment horizontal="center" vertical="top" wrapText="1"/>
    </xf>
    <xf numFmtId="0" fontId="0" fillId="49" borderId="117" xfId="0" applyFill="1" applyBorder="1" applyAlignment="1" applyProtection="1">
      <alignment horizontal="center" vertical="center" wrapText="1"/>
    </xf>
    <xf numFmtId="0" fontId="0" fillId="49" borderId="110" xfId="0" applyFill="1" applyBorder="1" applyAlignment="1" applyProtection="1">
      <alignment horizontal="center" vertical="center" wrapText="1"/>
    </xf>
    <xf numFmtId="0" fontId="0" fillId="49" borderId="105" xfId="0" applyFill="1" applyBorder="1" applyAlignment="1" applyProtection="1">
      <alignment horizontal="center" vertical="center" wrapText="1"/>
    </xf>
    <xf numFmtId="0" fontId="0" fillId="0" borderId="0" xfId="0" applyBorder="1" applyAlignment="1" applyProtection="1">
      <alignment vertical="top"/>
    </xf>
    <xf numFmtId="0" fontId="6" fillId="0" borderId="0" xfId="60" applyBorder="1" applyAlignment="1" applyProtection="1">
      <alignment horizontal="left" vertical="top"/>
    </xf>
    <xf numFmtId="0" fontId="6" fillId="25" borderId="0" xfId="60" applyFill="1" applyBorder="1" applyAlignment="1" applyProtection="1">
      <alignment horizontal="left" vertical="top"/>
    </xf>
    <xf numFmtId="0" fontId="6" fillId="25" borderId="0" xfId="60" applyFill="1" applyBorder="1" applyAlignment="1" applyProtection="1">
      <alignment vertical="top" wrapText="1"/>
    </xf>
    <xf numFmtId="0" fontId="4" fillId="0" borderId="0" xfId="0" applyFont="1" applyBorder="1" applyAlignment="1" applyProtection="1">
      <alignment vertical="top"/>
    </xf>
    <xf numFmtId="0" fontId="4" fillId="25" borderId="0" xfId="60" applyFont="1" applyFill="1" applyBorder="1" applyAlignment="1" applyProtection="1">
      <alignment vertical="top"/>
    </xf>
    <xf numFmtId="0" fontId="6" fillId="0" borderId="0" xfId="60" applyBorder="1" applyAlignment="1" applyProtection="1">
      <alignment vertical="top"/>
    </xf>
    <xf numFmtId="0" fontId="6" fillId="25" borderId="0" xfId="60" applyFill="1" applyBorder="1" applyAlignment="1" applyProtection="1">
      <alignment vertical="top"/>
    </xf>
    <xf numFmtId="0" fontId="37" fillId="0" borderId="0" xfId="0" applyNumberFormat="1" applyFont="1" applyFill="1" applyBorder="1" applyAlignment="1" applyProtection="1">
      <alignment vertical="top"/>
    </xf>
    <xf numFmtId="0" fontId="37" fillId="24" borderId="0" xfId="0" applyNumberFormat="1" applyFont="1" applyFill="1" applyBorder="1" applyAlignment="1" applyProtection="1">
      <alignment vertical="top"/>
    </xf>
    <xf numFmtId="0" fontId="0" fillId="25" borderId="0" xfId="0" applyFill="1" applyAlignment="1" applyProtection="1"/>
    <xf numFmtId="0" fontId="5" fillId="25" borderId="0" xfId="0" applyFont="1" applyFill="1" applyBorder="1" applyAlignment="1" applyProtection="1"/>
    <xf numFmtId="0" fontId="0" fillId="25" borderId="0" xfId="0" applyFill="1" applyBorder="1" applyAlignment="1" applyProtection="1"/>
    <xf numFmtId="0" fontId="0" fillId="25" borderId="0" xfId="0" applyFill="1" applyBorder="1" applyAlignment="1" applyProtection="1">
      <alignment horizontal="center"/>
    </xf>
    <xf numFmtId="0" fontId="2" fillId="25" borderId="0" xfId="0" applyFont="1" applyFill="1" applyAlignment="1" applyProtection="1"/>
    <xf numFmtId="0" fontId="2" fillId="24" borderId="0" xfId="0" applyFont="1" applyFill="1" applyAlignment="1" applyProtection="1"/>
    <xf numFmtId="0" fontId="9" fillId="25" borderId="0" xfId="0" applyFont="1" applyFill="1" applyAlignment="1" applyProtection="1">
      <alignment vertical="top"/>
    </xf>
    <xf numFmtId="0" fontId="2" fillId="24" borderId="10" xfId="0" applyFont="1" applyFill="1" applyBorder="1" applyAlignment="1" applyProtection="1">
      <alignment horizontal="center" vertical="top"/>
    </xf>
    <xf numFmtId="0" fontId="2" fillId="24" borderId="11" xfId="0" applyFont="1" applyFill="1" applyBorder="1" applyAlignment="1" applyProtection="1">
      <alignment horizontal="center"/>
    </xf>
    <xf numFmtId="0" fontId="3" fillId="26" borderId="0" xfId="0" applyFont="1" applyFill="1" applyBorder="1" applyAlignment="1" applyProtection="1">
      <alignment horizontal="left"/>
    </xf>
    <xf numFmtId="0" fontId="3" fillId="26" borderId="0" xfId="0" applyFont="1" applyFill="1" applyBorder="1" applyAlignment="1" applyProtection="1"/>
    <xf numFmtId="0" fontId="4" fillId="25" borderId="0" xfId="0" applyFont="1" applyFill="1" applyAlignment="1" applyProtection="1">
      <alignment horizontal="center" vertical="top"/>
    </xf>
    <xf numFmtId="0" fontId="4" fillId="25" borderId="0" xfId="0" applyFont="1" applyFill="1" applyAlignment="1" applyProtection="1">
      <alignment horizontal="left" vertical="top"/>
    </xf>
    <xf numFmtId="0" fontId="2" fillId="25" borderId="0" xfId="0" applyFont="1" applyFill="1" applyAlignment="1" applyProtection="1">
      <alignment vertical="top"/>
    </xf>
    <xf numFmtId="0" fontId="10" fillId="25" borderId="0" xfId="0" applyFont="1" applyFill="1" applyAlignment="1" applyProtection="1">
      <alignment horizontal="left" vertical="top"/>
    </xf>
    <xf numFmtId="0" fontId="35" fillId="25" borderId="0" xfId="0" applyFont="1" applyFill="1" applyAlignment="1" applyProtection="1">
      <alignment horizontal="center"/>
    </xf>
    <xf numFmtId="0" fontId="35" fillId="25" borderId="0" xfId="0" applyFont="1" applyFill="1" applyAlignment="1" applyProtection="1"/>
    <xf numFmtId="0" fontId="37" fillId="25" borderId="0" xfId="0" applyNumberFormat="1" applyFont="1" applyFill="1" applyBorder="1" applyAlignment="1" applyProtection="1">
      <alignment vertical="top"/>
    </xf>
    <xf numFmtId="0" fontId="0" fillId="25" borderId="0" xfId="0" applyFill="1" applyAlignment="1" applyProtection="1">
      <alignment horizontal="left" vertical="top"/>
    </xf>
    <xf numFmtId="0" fontId="37" fillId="25" borderId="12" xfId="0" applyNumberFormat="1" applyFont="1" applyFill="1" applyBorder="1" applyAlignment="1" applyProtection="1">
      <alignment vertical="top"/>
    </xf>
    <xf numFmtId="0" fontId="37" fillId="0" borderId="13" xfId="0" applyNumberFormat="1" applyFont="1" applyFill="1" applyBorder="1" applyAlignment="1" applyProtection="1">
      <alignment vertical="top"/>
    </xf>
    <xf numFmtId="0" fontId="37" fillId="25" borderId="13" xfId="0" applyNumberFormat="1" applyFont="1" applyFill="1" applyBorder="1" applyAlignment="1" applyProtection="1">
      <alignment vertical="top"/>
    </xf>
    <xf numFmtId="0" fontId="4" fillId="25" borderId="12" xfId="0" applyFont="1" applyFill="1" applyBorder="1" applyAlignment="1" applyProtection="1">
      <alignment horizontal="left" vertical="top"/>
    </xf>
    <xf numFmtId="0" fontId="2" fillId="25" borderId="0" xfId="0" applyFont="1" applyFill="1" applyBorder="1" applyAlignment="1" applyProtection="1"/>
    <xf numFmtId="0" fontId="37" fillId="25" borderId="14" xfId="0" applyNumberFormat="1" applyFont="1" applyFill="1" applyBorder="1" applyAlignment="1" applyProtection="1">
      <alignment horizontal="center" vertical="top"/>
    </xf>
    <xf numFmtId="0" fontId="37" fillId="25" borderId="15" xfId="0" applyNumberFormat="1" applyFont="1" applyFill="1" applyBorder="1" applyAlignment="1" applyProtection="1">
      <alignment horizontal="center" vertical="top"/>
    </xf>
    <xf numFmtId="0" fontId="37" fillId="25" borderId="16" xfId="0" applyNumberFormat="1" applyFont="1" applyFill="1" applyBorder="1" applyAlignment="1" applyProtection="1">
      <alignment vertical="top"/>
    </xf>
    <xf numFmtId="0" fontId="37" fillId="25" borderId="16" xfId="0" applyNumberFormat="1" applyFont="1" applyFill="1" applyBorder="1" applyAlignment="1" applyProtection="1">
      <alignment horizontal="center" vertical="top"/>
    </xf>
    <xf numFmtId="0" fontId="37" fillId="25" borderId="17" xfId="0" applyNumberFormat="1" applyFont="1" applyFill="1" applyBorder="1" applyAlignment="1" applyProtection="1">
      <alignment vertical="top"/>
    </xf>
    <xf numFmtId="0" fontId="37" fillId="25" borderId="17" xfId="0" applyNumberFormat="1" applyFont="1" applyFill="1" applyBorder="1" applyAlignment="1" applyProtection="1">
      <alignment horizontal="center" vertical="top"/>
    </xf>
    <xf numFmtId="0" fontId="4" fillId="25" borderId="0" xfId="0" applyFont="1" applyFill="1" applyBorder="1" applyAlignment="1" applyProtection="1">
      <alignment horizontal="left" vertical="top"/>
    </xf>
    <xf numFmtId="0" fontId="4" fillId="25" borderId="12" xfId="0" applyNumberFormat="1" applyFont="1" applyFill="1" applyBorder="1" applyAlignment="1" applyProtection="1">
      <alignment horizontal="center" vertical="top"/>
    </xf>
    <xf numFmtId="0" fontId="4" fillId="25" borderId="18" xfId="0" applyNumberFormat="1" applyFont="1" applyFill="1" applyBorder="1" applyAlignment="1" applyProtection="1">
      <alignment horizontal="center" vertical="top"/>
    </xf>
    <xf numFmtId="0" fontId="4" fillId="25" borderId="19" xfId="0" applyNumberFormat="1" applyFont="1" applyFill="1" applyBorder="1" applyAlignment="1" applyProtection="1">
      <alignment vertical="top"/>
    </xf>
    <xf numFmtId="0" fontId="37" fillId="25" borderId="20" xfId="0" applyNumberFormat="1" applyFont="1" applyFill="1" applyBorder="1" applyAlignment="1" applyProtection="1">
      <alignment horizontal="center" vertical="top"/>
    </xf>
    <xf numFmtId="0" fontId="37" fillId="25" borderId="21" xfId="0" applyNumberFormat="1" applyFont="1" applyFill="1" applyBorder="1" applyAlignment="1" applyProtection="1">
      <alignment horizontal="center" vertical="top"/>
    </xf>
    <xf numFmtId="0" fontId="37" fillId="25" borderId="22" xfId="0" applyNumberFormat="1" applyFont="1" applyFill="1" applyBorder="1" applyAlignment="1" applyProtection="1">
      <alignment vertical="top"/>
    </xf>
    <xf numFmtId="0" fontId="37" fillId="25" borderId="23" xfId="0" applyNumberFormat="1" applyFont="1" applyFill="1" applyBorder="1" applyAlignment="1" applyProtection="1">
      <alignment horizontal="center" vertical="top"/>
    </xf>
    <xf numFmtId="0" fontId="37" fillId="25" borderId="24" xfId="0" applyNumberFormat="1" applyFont="1" applyFill="1" applyBorder="1" applyAlignment="1" applyProtection="1">
      <alignment horizontal="center" vertical="top"/>
    </xf>
    <xf numFmtId="0" fontId="37" fillId="25" borderId="12" xfId="0" applyNumberFormat="1" applyFont="1" applyFill="1" applyBorder="1" applyAlignment="1" applyProtection="1">
      <alignment horizontal="center" vertical="top"/>
    </xf>
    <xf numFmtId="0" fontId="4" fillId="25" borderId="25" xfId="0" applyNumberFormat="1" applyFont="1" applyFill="1" applyBorder="1" applyAlignment="1" applyProtection="1">
      <alignment horizontal="center" vertical="top"/>
    </xf>
    <xf numFmtId="0" fontId="4" fillId="25" borderId="0" xfId="0" applyNumberFormat="1" applyFont="1" applyFill="1" applyBorder="1" applyAlignment="1" applyProtection="1">
      <alignment vertical="top"/>
    </xf>
    <xf numFmtId="0" fontId="4" fillId="24"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4" fillId="25" borderId="12" xfId="0" applyNumberFormat="1" applyFont="1" applyFill="1" applyBorder="1" applyAlignment="1" applyProtection="1">
      <alignment vertical="top"/>
    </xf>
    <xf numFmtId="0" fontId="37" fillId="25" borderId="26" xfId="0" applyNumberFormat="1" applyFont="1" applyFill="1" applyBorder="1" applyAlignment="1" applyProtection="1">
      <alignment horizontal="center" vertical="top"/>
    </xf>
    <xf numFmtId="0" fontId="37" fillId="27" borderId="13" xfId="0" applyNumberFormat="1" applyFont="1" applyFill="1" applyBorder="1" applyAlignment="1" applyProtection="1">
      <alignment vertical="top"/>
    </xf>
    <xf numFmtId="0" fontId="37" fillId="25" borderId="0" xfId="0" applyNumberFormat="1" applyFont="1" applyFill="1" applyBorder="1" applyAlignment="1" applyProtection="1">
      <alignment horizontal="center" vertical="top"/>
    </xf>
    <xf numFmtId="0" fontId="37" fillId="25" borderId="25" xfId="0" applyNumberFormat="1" applyFont="1" applyFill="1" applyBorder="1" applyAlignment="1" applyProtection="1">
      <alignment horizontal="center" vertical="top"/>
    </xf>
    <xf numFmtId="0" fontId="37" fillId="25" borderId="27" xfId="0" applyNumberFormat="1" applyFont="1" applyFill="1" applyBorder="1" applyAlignment="1" applyProtection="1">
      <alignment horizontal="center" vertical="top"/>
    </xf>
    <xf numFmtId="0" fontId="4" fillId="25" borderId="27" xfId="0" applyNumberFormat="1" applyFont="1" applyFill="1" applyBorder="1" applyAlignment="1" applyProtection="1">
      <alignment horizontal="center" vertical="top"/>
    </xf>
    <xf numFmtId="0" fontId="37" fillId="27" borderId="21" xfId="0" applyNumberFormat="1" applyFont="1" applyFill="1" applyBorder="1" applyAlignment="1" applyProtection="1">
      <alignment horizontal="center" vertical="top"/>
    </xf>
    <xf numFmtId="0" fontId="37" fillId="27" borderId="24" xfId="0" applyNumberFormat="1" applyFont="1" applyFill="1" applyBorder="1" applyAlignment="1" applyProtection="1">
      <alignment horizontal="center" vertical="top"/>
    </xf>
    <xf numFmtId="0" fontId="37" fillId="27" borderId="16" xfId="0" applyNumberFormat="1" applyFont="1" applyFill="1" applyBorder="1" applyAlignment="1" applyProtection="1">
      <alignment horizontal="center" vertical="top"/>
    </xf>
    <xf numFmtId="172" fontId="37" fillId="25" borderId="20" xfId="0" applyNumberFormat="1" applyFont="1" applyFill="1" applyBorder="1" applyAlignment="1" applyProtection="1">
      <alignment horizontal="right" vertical="top" indent="1"/>
    </xf>
    <xf numFmtId="172" fontId="37" fillId="25" borderId="21" xfId="0" applyNumberFormat="1" applyFont="1" applyFill="1" applyBorder="1" applyAlignment="1" applyProtection="1">
      <alignment horizontal="right" vertical="top" indent="1"/>
    </xf>
    <xf numFmtId="172" fontId="37" fillId="25" borderId="24" xfId="0" applyNumberFormat="1" applyFont="1" applyFill="1" applyBorder="1" applyAlignment="1" applyProtection="1">
      <alignment horizontal="right" vertical="top" indent="1"/>
    </xf>
    <xf numFmtId="0" fontId="37" fillId="27" borderId="20" xfId="0" applyNumberFormat="1" applyFont="1" applyFill="1" applyBorder="1" applyAlignment="1" applyProtection="1">
      <alignment vertical="top"/>
    </xf>
    <xf numFmtId="0" fontId="37" fillId="27" borderId="21" xfId="0" applyNumberFormat="1" applyFont="1" applyFill="1" applyBorder="1" applyAlignment="1" applyProtection="1">
      <alignment vertical="top"/>
    </xf>
    <xf numFmtId="0" fontId="37" fillId="0" borderId="14" xfId="0" applyNumberFormat="1" applyFont="1" applyFill="1" applyBorder="1" applyAlignment="1" applyProtection="1">
      <alignment vertical="top"/>
    </xf>
    <xf numFmtId="0" fontId="37" fillId="0" borderId="15" xfId="0" applyNumberFormat="1" applyFont="1" applyFill="1" applyBorder="1" applyAlignment="1" applyProtection="1">
      <alignment vertical="top"/>
    </xf>
    <xf numFmtId="0" fontId="37" fillId="27" borderId="14" xfId="0" applyNumberFormat="1" applyFont="1" applyFill="1" applyBorder="1" applyAlignment="1" applyProtection="1">
      <alignment horizontal="center" vertical="top"/>
    </xf>
    <xf numFmtId="0" fontId="37" fillId="0" borderId="28" xfId="0" applyNumberFormat="1" applyFont="1" applyFill="1" applyBorder="1" applyAlignment="1" applyProtection="1">
      <alignment vertical="top"/>
    </xf>
    <xf numFmtId="0" fontId="37" fillId="0" borderId="29" xfId="0" applyNumberFormat="1" applyFont="1" applyFill="1" applyBorder="1" applyAlignment="1" applyProtection="1">
      <alignment vertical="top"/>
    </xf>
    <xf numFmtId="0" fontId="37" fillId="0" borderId="30" xfId="0" applyNumberFormat="1" applyFont="1" applyFill="1" applyBorder="1" applyAlignment="1" applyProtection="1">
      <alignment vertical="top"/>
    </xf>
    <xf numFmtId="0" fontId="37" fillId="0" borderId="31" xfId="0" applyNumberFormat="1" applyFont="1" applyFill="1" applyBorder="1" applyAlignment="1" applyProtection="1">
      <alignment vertical="top"/>
    </xf>
    <xf numFmtId="172" fontId="37" fillId="0" borderId="32" xfId="0" applyNumberFormat="1" applyFont="1" applyFill="1" applyBorder="1" applyAlignment="1" applyProtection="1">
      <alignment vertical="top"/>
    </xf>
    <xf numFmtId="0" fontId="37" fillId="0" borderId="33" xfId="0" applyNumberFormat="1" applyFont="1" applyFill="1" applyBorder="1" applyAlignment="1" applyProtection="1">
      <alignment vertical="top"/>
    </xf>
    <xf numFmtId="172" fontId="37" fillId="0" borderId="34" xfId="0" applyNumberFormat="1" applyFont="1" applyFill="1" applyBorder="1" applyAlignment="1" applyProtection="1">
      <alignment vertical="top"/>
    </xf>
    <xf numFmtId="0" fontId="37" fillId="0" borderId="35" xfId="0" applyNumberFormat="1" applyFont="1" applyFill="1" applyBorder="1" applyAlignment="1" applyProtection="1">
      <alignment vertical="top"/>
    </xf>
    <xf numFmtId="172" fontId="37" fillId="0" borderId="36" xfId="0" applyNumberFormat="1" applyFont="1" applyFill="1" applyBorder="1" applyAlignment="1" applyProtection="1">
      <alignment vertical="top"/>
    </xf>
    <xf numFmtId="0" fontId="37" fillId="0" borderId="37" xfId="0" applyNumberFormat="1" applyFont="1" applyFill="1" applyBorder="1" applyAlignment="1" applyProtection="1">
      <alignment vertical="top"/>
    </xf>
    <xf numFmtId="0" fontId="37" fillId="0" borderId="38" xfId="0" applyNumberFormat="1" applyFont="1" applyFill="1" applyBorder="1" applyAlignment="1" applyProtection="1">
      <alignment vertical="top"/>
    </xf>
    <xf numFmtId="172" fontId="37" fillId="25" borderId="23" xfId="0" applyNumberFormat="1" applyFont="1" applyFill="1" applyBorder="1" applyAlignment="1" applyProtection="1">
      <alignment horizontal="right" vertical="top" indent="1"/>
    </xf>
    <xf numFmtId="0" fontId="0" fillId="25" borderId="0" xfId="0" applyFill="1" applyAlignment="1" applyProtection="1">
      <alignment horizontal="center"/>
    </xf>
    <xf numFmtId="0" fontId="37" fillId="0" borderId="0" xfId="0" applyNumberFormat="1" applyFont="1" applyFill="1" applyBorder="1" applyAlignment="1" applyProtection="1">
      <alignment horizontal="center" vertical="top"/>
    </xf>
    <xf numFmtId="0" fontId="37" fillId="0" borderId="39" xfId="0" applyNumberFormat="1" applyFont="1" applyFill="1" applyBorder="1" applyAlignment="1" applyProtection="1">
      <alignment vertical="top"/>
    </xf>
    <xf numFmtId="0" fontId="37" fillId="0" borderId="40" xfId="0" applyNumberFormat="1" applyFont="1" applyFill="1" applyBorder="1" applyAlignment="1" applyProtection="1">
      <alignment horizontal="center" vertical="top"/>
    </xf>
    <xf numFmtId="0" fontId="37" fillId="0" borderId="40" xfId="0" applyNumberFormat="1" applyFont="1" applyFill="1" applyBorder="1" applyAlignment="1" applyProtection="1">
      <alignment vertical="top"/>
    </xf>
    <xf numFmtId="0" fontId="37" fillId="0" borderId="41" xfId="0" applyNumberFormat="1" applyFont="1" applyFill="1" applyBorder="1" applyAlignment="1" applyProtection="1">
      <alignment vertical="top"/>
    </xf>
    <xf numFmtId="0" fontId="37" fillId="0" borderId="42" xfId="0" applyNumberFormat="1" applyFont="1" applyFill="1" applyBorder="1" applyAlignment="1" applyProtection="1">
      <alignment vertical="top"/>
    </xf>
    <xf numFmtId="0" fontId="37" fillId="0" borderId="43" xfId="0" applyNumberFormat="1" applyFont="1" applyFill="1" applyBorder="1" applyAlignment="1" applyProtection="1">
      <alignment vertical="top"/>
    </xf>
    <xf numFmtId="0" fontId="37" fillId="0" borderId="44" xfId="0" applyNumberFormat="1" applyFont="1" applyFill="1" applyBorder="1" applyAlignment="1" applyProtection="1">
      <alignment vertical="top"/>
    </xf>
    <xf numFmtId="172" fontId="37" fillId="0" borderId="45" xfId="0" applyNumberFormat="1" applyFont="1" applyFill="1" applyBorder="1" applyAlignment="1" applyProtection="1">
      <alignment vertical="top"/>
    </xf>
    <xf numFmtId="172" fontId="37" fillId="0" borderId="46" xfId="0" applyNumberFormat="1" applyFont="1" applyFill="1" applyBorder="1" applyAlignment="1" applyProtection="1">
      <alignment vertical="top"/>
    </xf>
    <xf numFmtId="0" fontId="37" fillId="0" borderId="47" xfId="0" applyNumberFormat="1" applyFont="1" applyFill="1" applyBorder="1" applyAlignment="1" applyProtection="1">
      <alignment horizontal="center" vertical="top"/>
    </xf>
    <xf numFmtId="0" fontId="37" fillId="0" borderId="18" xfId="0" applyNumberFormat="1" applyFont="1" applyFill="1" applyBorder="1" applyAlignment="1" applyProtection="1">
      <alignment horizontal="center" vertical="top"/>
    </xf>
    <xf numFmtId="0" fontId="37" fillId="0" borderId="48" xfId="0" applyNumberFormat="1" applyFont="1" applyFill="1" applyBorder="1" applyAlignment="1" applyProtection="1">
      <alignment horizontal="center" vertical="top"/>
    </xf>
    <xf numFmtId="0" fontId="37" fillId="0" borderId="47" xfId="0" applyNumberFormat="1" applyFont="1" applyFill="1" applyBorder="1" applyAlignment="1" applyProtection="1">
      <alignment vertical="top"/>
    </xf>
    <xf numFmtId="0" fontId="37" fillId="0" borderId="18" xfId="0" applyNumberFormat="1" applyFont="1" applyFill="1" applyBorder="1" applyAlignment="1" applyProtection="1">
      <alignment vertical="top"/>
    </xf>
    <xf numFmtId="0" fontId="37" fillId="0" borderId="48" xfId="0" applyNumberFormat="1" applyFont="1" applyFill="1" applyBorder="1" applyAlignment="1" applyProtection="1">
      <alignment vertical="top"/>
    </xf>
    <xf numFmtId="0" fontId="37" fillId="27" borderId="49" xfId="0" applyNumberFormat="1" applyFont="1" applyFill="1" applyBorder="1" applyAlignment="1" applyProtection="1">
      <alignment vertical="top"/>
    </xf>
    <xf numFmtId="0" fontId="37" fillId="27" borderId="27" xfId="0" applyNumberFormat="1" applyFont="1" applyFill="1" applyBorder="1" applyAlignment="1" applyProtection="1">
      <alignment vertical="top"/>
    </xf>
    <xf numFmtId="0" fontId="37" fillId="0" borderId="27" xfId="0" applyNumberFormat="1" applyFont="1" applyFill="1" applyBorder="1" applyAlignment="1" applyProtection="1">
      <alignment vertical="top"/>
    </xf>
    <xf numFmtId="0" fontId="37" fillId="25" borderId="27" xfId="0" applyNumberFormat="1" applyFont="1" applyFill="1" applyBorder="1" applyAlignment="1" applyProtection="1">
      <alignment vertical="top"/>
    </xf>
    <xf numFmtId="0" fontId="37" fillId="27" borderId="26" xfId="0" applyNumberFormat="1" applyFont="1" applyFill="1" applyBorder="1" applyAlignment="1" applyProtection="1">
      <alignment horizontal="center" vertical="top"/>
    </xf>
    <xf numFmtId="0" fontId="37" fillId="27" borderId="26" xfId="0" applyNumberFormat="1" applyFont="1" applyFill="1" applyBorder="1" applyAlignment="1" applyProtection="1">
      <alignment vertical="top"/>
    </xf>
    <xf numFmtId="0" fontId="10" fillId="25" borderId="0" xfId="0" applyFont="1" applyFill="1" applyAlignment="1" applyProtection="1">
      <alignment horizontal="right" vertical="top"/>
    </xf>
    <xf numFmtId="0" fontId="37" fillId="0" borderId="50" xfId="0" applyNumberFormat="1" applyFont="1" applyFill="1" applyBorder="1" applyAlignment="1" applyProtection="1">
      <alignment vertical="top"/>
    </xf>
    <xf numFmtId="0" fontId="37" fillId="0" borderId="26" xfId="0" applyNumberFormat="1" applyFont="1" applyFill="1" applyBorder="1" applyAlignment="1" applyProtection="1">
      <alignment vertical="top"/>
    </xf>
    <xf numFmtId="0" fontId="37" fillId="0" borderId="27" xfId="0" applyNumberFormat="1" applyFont="1" applyFill="1" applyBorder="1" applyAlignment="1" applyProtection="1">
      <alignment horizontal="center" vertical="top"/>
    </xf>
    <xf numFmtId="0" fontId="37" fillId="0" borderId="51" xfId="0" applyNumberFormat="1" applyFont="1" applyFill="1" applyBorder="1" applyAlignment="1" applyProtection="1">
      <alignment vertical="top"/>
    </xf>
    <xf numFmtId="0" fontId="37" fillId="27" borderId="37" xfId="0" applyNumberFormat="1" applyFont="1" applyFill="1" applyBorder="1" applyAlignment="1" applyProtection="1">
      <alignment horizontal="center" vertical="top"/>
    </xf>
    <xf numFmtId="0" fontId="37" fillId="27" borderId="52" xfId="0" applyNumberFormat="1" applyFont="1" applyFill="1" applyBorder="1" applyAlignment="1" applyProtection="1">
      <alignment horizontal="center" vertical="top"/>
    </xf>
    <xf numFmtId="0" fontId="47" fillId="25" borderId="0" xfId="0" applyNumberFormat="1" applyFont="1" applyFill="1" applyBorder="1" applyAlignment="1" applyProtection="1">
      <alignment vertical="top"/>
    </xf>
    <xf numFmtId="0" fontId="4" fillId="27" borderId="53" xfId="0" applyNumberFormat="1" applyFont="1" applyFill="1" applyBorder="1" applyAlignment="1" applyProtection="1">
      <alignment vertical="top"/>
    </xf>
    <xf numFmtId="0" fontId="4" fillId="27" borderId="54" xfId="0" applyNumberFormat="1" applyFont="1" applyFill="1" applyBorder="1" applyAlignment="1" applyProtection="1">
      <alignment vertical="top"/>
    </xf>
    <xf numFmtId="0" fontId="4" fillId="27" borderId="55" xfId="0" applyNumberFormat="1" applyFont="1" applyFill="1" applyBorder="1" applyAlignment="1" applyProtection="1">
      <alignment vertical="top"/>
    </xf>
    <xf numFmtId="0" fontId="4" fillId="27" borderId="56" xfId="0" applyNumberFormat="1" applyFont="1" applyFill="1" applyBorder="1" applyAlignment="1" applyProtection="1">
      <alignment vertical="top"/>
    </xf>
    <xf numFmtId="0" fontId="4" fillId="25" borderId="37" xfId="0" applyNumberFormat="1" applyFont="1" applyFill="1" applyBorder="1" applyAlignment="1" applyProtection="1">
      <alignment vertical="top"/>
    </xf>
    <xf numFmtId="0" fontId="4" fillId="25" borderId="57" xfId="0" applyNumberFormat="1" applyFont="1" applyFill="1" applyBorder="1" applyAlignment="1" applyProtection="1">
      <alignment vertical="top"/>
    </xf>
    <xf numFmtId="0" fontId="4" fillId="25" borderId="29" xfId="0" applyNumberFormat="1" applyFont="1" applyFill="1" applyBorder="1" applyAlignment="1" applyProtection="1">
      <alignment vertical="top"/>
    </xf>
    <xf numFmtId="0" fontId="4" fillId="25" borderId="58" xfId="0" applyNumberFormat="1" applyFont="1" applyFill="1" applyBorder="1" applyAlignment="1" applyProtection="1">
      <alignment vertical="top"/>
    </xf>
    <xf numFmtId="0" fontId="37" fillId="24" borderId="13" xfId="0" applyNumberFormat="1" applyFont="1" applyFill="1" applyBorder="1" applyAlignment="1" applyProtection="1">
      <alignment vertical="top"/>
    </xf>
    <xf numFmtId="0" fontId="37" fillId="24" borderId="59" xfId="0" applyNumberFormat="1" applyFont="1" applyFill="1" applyBorder="1" applyAlignment="1" applyProtection="1">
      <alignment vertical="top"/>
    </xf>
    <xf numFmtId="0" fontId="37" fillId="24" borderId="60" xfId="0" applyNumberFormat="1" applyFont="1" applyFill="1" applyBorder="1" applyAlignment="1" applyProtection="1">
      <alignment vertical="top"/>
    </xf>
    <xf numFmtId="0" fontId="37" fillId="24" borderId="61" xfId="0" applyNumberFormat="1" applyFont="1" applyFill="1" applyBorder="1" applyAlignment="1" applyProtection="1">
      <alignment vertical="top"/>
    </xf>
    <xf numFmtId="0" fontId="37" fillId="24" borderId="62" xfId="0" applyNumberFormat="1" applyFont="1" applyFill="1" applyBorder="1" applyAlignment="1" applyProtection="1">
      <alignment vertical="top"/>
    </xf>
    <xf numFmtId="0" fontId="37" fillId="25" borderId="0" xfId="0" applyNumberFormat="1" applyFont="1" applyFill="1" applyBorder="1" applyAlignment="1" applyProtection="1">
      <alignment vertical="top" wrapText="1"/>
    </xf>
    <xf numFmtId="0" fontId="4" fillId="25" borderId="63" xfId="0" applyNumberFormat="1" applyFont="1" applyFill="1" applyBorder="1" applyAlignment="1" applyProtection="1">
      <alignment horizontal="center" wrapText="1"/>
    </xf>
    <xf numFmtId="0" fontId="10" fillId="25" borderId="0" xfId="0" quotePrefix="1" applyFont="1" applyFill="1" applyAlignment="1" applyProtection="1">
      <alignment horizontal="right" vertical="top"/>
    </xf>
    <xf numFmtId="0" fontId="50" fillId="25" borderId="0" xfId="0" applyFont="1" applyFill="1" applyAlignment="1" applyProtection="1">
      <alignment horizontal="left" vertical="top"/>
    </xf>
    <xf numFmtId="0" fontId="37" fillId="25" borderId="17" xfId="0" applyNumberFormat="1" applyFont="1" applyFill="1" applyBorder="1" applyAlignment="1" applyProtection="1">
      <alignment horizontal="right" vertical="top"/>
    </xf>
    <xf numFmtId="0" fontId="37" fillId="25" borderId="26" xfId="0" quotePrefix="1" applyNumberFormat="1" applyFont="1" applyFill="1" applyBorder="1" applyAlignment="1" applyProtection="1">
      <alignment horizontal="center" vertical="top"/>
    </xf>
    <xf numFmtId="0" fontId="37" fillId="25" borderId="11" xfId="0" applyNumberFormat="1" applyFont="1" applyFill="1" applyBorder="1" applyAlignment="1" applyProtection="1">
      <alignment horizontal="center" vertical="top"/>
    </xf>
    <xf numFmtId="181" fontId="37" fillId="25" borderId="64" xfId="0" applyNumberFormat="1" applyFont="1" applyFill="1" applyBorder="1" applyAlignment="1" applyProtection="1">
      <alignment horizontal="center" vertical="top"/>
    </xf>
    <xf numFmtId="181" fontId="37" fillId="25" borderId="65" xfId="0" applyNumberFormat="1" applyFont="1" applyFill="1" applyBorder="1" applyAlignment="1" applyProtection="1">
      <alignment horizontal="center" vertical="top"/>
    </xf>
    <xf numFmtId="181" fontId="37" fillId="25" borderId="66" xfId="0" applyNumberFormat="1" applyFont="1" applyFill="1" applyBorder="1" applyAlignment="1" applyProtection="1">
      <alignment horizontal="center" vertical="top"/>
    </xf>
    <xf numFmtId="0" fontId="2" fillId="25" borderId="25" xfId="0" applyNumberFormat="1" applyFont="1" applyFill="1" applyBorder="1" applyAlignment="1" applyProtection="1">
      <alignment horizontal="center" vertical="top"/>
    </xf>
    <xf numFmtId="0" fontId="4" fillId="25" borderId="12" xfId="0" applyNumberFormat="1" applyFont="1" applyFill="1" applyBorder="1" applyAlignment="1" applyProtection="1">
      <alignment horizontal="right" vertical="top" indent="1"/>
    </xf>
    <xf numFmtId="2" fontId="37" fillId="25" borderId="15" xfId="0" applyNumberFormat="1" applyFont="1" applyFill="1" applyBorder="1" applyAlignment="1" applyProtection="1">
      <alignment horizontal="right" vertical="top" indent="1"/>
    </xf>
    <xf numFmtId="2" fontId="37" fillId="25" borderId="16" xfId="0" applyNumberFormat="1" applyFont="1" applyFill="1" applyBorder="1" applyAlignment="1" applyProtection="1">
      <alignment horizontal="right" vertical="top" indent="1"/>
    </xf>
    <xf numFmtId="0" fontId="10" fillId="25" borderId="0" xfId="0" applyFont="1" applyFill="1" applyAlignment="1" applyProtection="1">
      <alignment horizontal="right" vertical="top" indent="1"/>
    </xf>
    <xf numFmtId="2" fontId="37" fillId="25" borderId="17" xfId="0" applyNumberFormat="1" applyFont="1" applyFill="1" applyBorder="1" applyAlignment="1" applyProtection="1">
      <alignment horizontal="right" vertical="top" indent="1"/>
    </xf>
    <xf numFmtId="2" fontId="37" fillId="25" borderId="26" xfId="0" applyNumberFormat="1" applyFont="1" applyFill="1" applyBorder="1" applyAlignment="1" applyProtection="1">
      <alignment horizontal="right" vertical="top" indent="1"/>
    </xf>
    <xf numFmtId="0" fontId="2" fillId="25" borderId="26" xfId="0" applyNumberFormat="1" applyFont="1" applyFill="1" applyBorder="1" applyAlignment="1" applyProtection="1">
      <alignment horizontal="center" vertical="top"/>
    </xf>
    <xf numFmtId="0" fontId="47" fillId="24" borderId="0" xfId="0" applyNumberFormat="1" applyFont="1" applyFill="1" applyBorder="1" applyAlignment="1" applyProtection="1">
      <alignment vertical="top"/>
    </xf>
    <xf numFmtId="0" fontId="54" fillId="25" borderId="12" xfId="0" applyNumberFormat="1" applyFont="1" applyFill="1" applyBorder="1" applyAlignment="1" applyProtection="1">
      <alignment horizontal="center" vertical="top" wrapText="1"/>
    </xf>
    <xf numFmtId="0" fontId="2" fillId="0" borderId="0" xfId="0" applyFont="1" applyFill="1" applyAlignment="1" applyProtection="1"/>
    <xf numFmtId="0" fontId="35" fillId="25" borderId="12" xfId="0" applyFont="1" applyFill="1" applyBorder="1" applyAlignment="1" applyProtection="1">
      <alignment horizontal="center"/>
    </xf>
    <xf numFmtId="0" fontId="2" fillId="25" borderId="40" xfId="0" applyFont="1" applyFill="1" applyBorder="1" applyAlignment="1" applyProtection="1"/>
    <xf numFmtId="0" fontId="0" fillId="25" borderId="40" xfId="0" applyFill="1" applyBorder="1" applyAlignment="1" applyProtection="1"/>
    <xf numFmtId="0" fontId="0" fillId="25" borderId="67" xfId="0" applyFill="1" applyBorder="1" applyAlignment="1" applyProtection="1"/>
    <xf numFmtId="0" fontId="0" fillId="25" borderId="68" xfId="0" applyFill="1" applyBorder="1" applyAlignment="1" applyProtection="1"/>
    <xf numFmtId="0" fontId="37" fillId="25" borderId="68" xfId="0" applyNumberFormat="1" applyFont="1" applyFill="1" applyBorder="1" applyAlignment="1" applyProtection="1">
      <alignment vertical="top"/>
    </xf>
    <xf numFmtId="0" fontId="2" fillId="25" borderId="29" xfId="0" applyFont="1" applyFill="1" applyBorder="1" applyAlignment="1" applyProtection="1"/>
    <xf numFmtId="0" fontId="0" fillId="25" borderId="29" xfId="0" applyFill="1" applyBorder="1" applyAlignment="1" applyProtection="1"/>
    <xf numFmtId="0" fontId="0" fillId="25" borderId="58" xfId="0" applyFill="1" applyBorder="1" applyAlignment="1" applyProtection="1"/>
    <xf numFmtId="0" fontId="37" fillId="24" borderId="69" xfId="0" applyNumberFormat="1" applyFont="1" applyFill="1" applyBorder="1" applyAlignment="1" applyProtection="1">
      <alignment vertical="top"/>
    </xf>
    <xf numFmtId="0" fontId="37" fillId="0" borderId="13" xfId="0" applyNumberFormat="1" applyFont="1" applyFill="1" applyBorder="1" applyAlignment="1" applyProtection="1">
      <alignment horizontal="center" vertical="top"/>
    </xf>
    <xf numFmtId="0" fontId="2" fillId="0" borderId="13" xfId="0" applyNumberFormat="1" applyFont="1" applyFill="1" applyBorder="1" applyAlignment="1" applyProtection="1">
      <alignment vertical="top"/>
    </xf>
    <xf numFmtId="0" fontId="2" fillId="0" borderId="13" xfId="0" applyNumberFormat="1" applyFont="1" applyFill="1" applyBorder="1" applyAlignment="1" applyProtection="1">
      <alignment horizontal="center" vertical="top"/>
    </xf>
    <xf numFmtId="0" fontId="37" fillId="0" borderId="59" xfId="0" applyNumberFormat="1" applyFont="1" applyFill="1" applyBorder="1" applyAlignment="1" applyProtection="1">
      <alignment horizontal="center" vertical="top"/>
    </xf>
    <xf numFmtId="0" fontId="2" fillId="0" borderId="50" xfId="0" applyNumberFormat="1" applyFont="1" applyFill="1" applyBorder="1" applyAlignment="1" applyProtection="1">
      <alignment vertical="top"/>
    </xf>
    <xf numFmtId="0" fontId="2" fillId="0" borderId="59" xfId="0" applyNumberFormat="1" applyFont="1" applyFill="1" applyBorder="1" applyAlignment="1" applyProtection="1">
      <alignment horizontal="center" vertical="top"/>
    </xf>
    <xf numFmtId="0" fontId="2" fillId="0" borderId="59" xfId="0" applyNumberFormat="1" applyFont="1" applyFill="1" applyBorder="1" applyAlignment="1" applyProtection="1">
      <alignment vertical="top"/>
    </xf>
    <xf numFmtId="0" fontId="2" fillId="0" borderId="60" xfId="0" applyNumberFormat="1" applyFont="1" applyFill="1" applyBorder="1" applyAlignment="1" applyProtection="1">
      <alignment vertical="top"/>
    </xf>
    <xf numFmtId="0" fontId="2" fillId="0" borderId="61" xfId="0" applyNumberFormat="1" applyFont="1" applyFill="1" applyBorder="1" applyAlignment="1" applyProtection="1">
      <alignment vertical="top"/>
    </xf>
    <xf numFmtId="0" fontId="2" fillId="0" borderId="62" xfId="0" applyNumberFormat="1" applyFont="1" applyFill="1" applyBorder="1" applyAlignment="1" applyProtection="1">
      <alignment vertical="top"/>
    </xf>
    <xf numFmtId="0" fontId="4" fillId="0" borderId="58" xfId="0" applyNumberFormat="1" applyFont="1" applyFill="1" applyBorder="1" applyAlignment="1" applyProtection="1">
      <alignment vertical="top"/>
    </xf>
    <xf numFmtId="0" fontId="4" fillId="24" borderId="13" xfId="0" applyNumberFormat="1" applyFont="1" applyFill="1" applyBorder="1" applyAlignment="1" applyProtection="1">
      <alignment vertical="top"/>
    </xf>
    <xf numFmtId="0" fontId="37" fillId="24" borderId="70" xfId="0" applyNumberFormat="1" applyFont="1" applyFill="1" applyBorder="1" applyAlignment="1" applyProtection="1">
      <alignment vertical="top"/>
    </xf>
    <xf numFmtId="0" fontId="37" fillId="24" borderId="27" xfId="0" applyNumberFormat="1" applyFont="1" applyFill="1" applyBorder="1" applyAlignment="1" applyProtection="1">
      <alignment vertical="top"/>
    </xf>
    <xf numFmtId="0" fontId="4" fillId="24" borderId="71" xfId="0" applyNumberFormat="1" applyFont="1" applyFill="1" applyBorder="1" applyAlignment="1" applyProtection="1">
      <alignment vertical="top"/>
    </xf>
    <xf numFmtId="0" fontId="2" fillId="24" borderId="70" xfId="0" applyFont="1" applyFill="1" applyBorder="1" applyAlignment="1" applyProtection="1"/>
    <xf numFmtId="0" fontId="37" fillId="24" borderId="71" xfId="0" applyNumberFormat="1" applyFont="1" applyFill="1" applyBorder="1" applyAlignment="1" applyProtection="1">
      <alignment vertical="top"/>
    </xf>
    <xf numFmtId="0" fontId="37" fillId="24" borderId="58" xfId="0" applyNumberFormat="1" applyFont="1" applyFill="1" applyBorder="1" applyAlignment="1" applyProtection="1">
      <alignment vertical="top"/>
    </xf>
    <xf numFmtId="0" fontId="37" fillId="24" borderId="42" xfId="0" applyNumberFormat="1" applyFont="1" applyFill="1" applyBorder="1" applyAlignment="1" applyProtection="1">
      <alignment vertical="top"/>
    </xf>
    <xf numFmtId="0" fontId="37" fillId="24" borderId="72" xfId="0" applyNumberFormat="1" applyFont="1" applyFill="1" applyBorder="1" applyAlignment="1" applyProtection="1">
      <alignment vertical="top"/>
    </xf>
    <xf numFmtId="0" fontId="4" fillId="24" borderId="73" xfId="0" applyNumberFormat="1" applyFont="1" applyFill="1" applyBorder="1" applyAlignment="1" applyProtection="1">
      <alignment horizontal="right" vertical="top"/>
    </xf>
    <xf numFmtId="0" fontId="4" fillId="0" borderId="74" xfId="0" applyNumberFormat="1" applyFont="1" applyFill="1" applyBorder="1" applyAlignment="1" applyProtection="1">
      <alignment horizontal="center" vertical="top"/>
    </xf>
    <xf numFmtId="0" fontId="4" fillId="0" borderId="49" xfId="0" applyNumberFormat="1" applyFont="1" applyFill="1" applyBorder="1" applyAlignment="1" applyProtection="1">
      <alignment horizontal="center" vertical="top"/>
    </xf>
    <xf numFmtId="0" fontId="40" fillId="24" borderId="0" xfId="0" applyNumberFormat="1" applyFont="1" applyFill="1" applyBorder="1" applyAlignment="1" applyProtection="1">
      <alignment vertical="top"/>
    </xf>
    <xf numFmtId="0" fontId="37" fillId="27" borderId="75" xfId="0" applyNumberFormat="1" applyFont="1" applyFill="1" applyBorder="1" applyAlignment="1" applyProtection="1">
      <alignment vertical="top"/>
    </xf>
    <xf numFmtId="0" fontId="37" fillId="27" borderId="76" xfId="0" applyNumberFormat="1" applyFont="1" applyFill="1" applyBorder="1" applyAlignment="1" applyProtection="1">
      <alignment vertical="top"/>
    </xf>
    <xf numFmtId="0" fontId="37" fillId="24" borderId="73" xfId="0" applyNumberFormat="1" applyFont="1" applyFill="1" applyBorder="1" applyAlignment="1" applyProtection="1">
      <alignment vertical="top"/>
    </xf>
    <xf numFmtId="0" fontId="37" fillId="25" borderId="29" xfId="0" applyNumberFormat="1" applyFont="1" applyFill="1" applyBorder="1" applyAlignment="1" applyProtection="1">
      <alignment horizontal="center" vertical="top"/>
    </xf>
    <xf numFmtId="0" fontId="37" fillId="25" borderId="29" xfId="0" applyNumberFormat="1" applyFont="1" applyFill="1" applyBorder="1" applyAlignment="1" applyProtection="1">
      <alignment vertical="top"/>
    </xf>
    <xf numFmtId="0" fontId="2" fillId="24" borderId="0" xfId="0" applyFont="1" applyFill="1" applyBorder="1" applyAlignment="1" applyProtection="1"/>
    <xf numFmtId="0" fontId="37" fillId="24" borderId="0" xfId="0" applyNumberFormat="1" applyFont="1" applyFill="1" applyBorder="1" applyAlignment="1" applyProtection="1">
      <alignment horizontal="right" vertical="top"/>
    </xf>
    <xf numFmtId="0" fontId="57" fillId="25" borderId="21" xfId="0" applyNumberFormat="1" applyFont="1" applyFill="1" applyBorder="1" applyAlignment="1" applyProtection="1">
      <alignment horizontal="center" vertical="top"/>
    </xf>
    <xf numFmtId="0" fontId="2" fillId="24" borderId="13" xfId="0" applyNumberFormat="1" applyFont="1" applyFill="1" applyBorder="1" applyAlignment="1" applyProtection="1">
      <alignment vertical="top"/>
    </xf>
    <xf numFmtId="0" fontId="40" fillId="27" borderId="13" xfId="0" applyFont="1" applyFill="1" applyBorder="1" applyAlignment="1" applyProtection="1"/>
    <xf numFmtId="0" fontId="4" fillId="24" borderId="69" xfId="0" applyNumberFormat="1" applyFont="1" applyFill="1" applyBorder="1" applyAlignment="1" applyProtection="1">
      <alignment vertical="top"/>
    </xf>
    <xf numFmtId="0" fontId="37" fillId="0" borderId="10" xfId="0" applyNumberFormat="1" applyFont="1" applyFill="1" applyBorder="1" applyAlignment="1" applyProtection="1">
      <alignment vertical="top"/>
    </xf>
    <xf numFmtId="0" fontId="4" fillId="0" borderId="77" xfId="0" applyNumberFormat="1" applyFont="1" applyFill="1" applyBorder="1" applyAlignment="1" applyProtection="1">
      <alignment vertical="top"/>
    </xf>
    <xf numFmtId="0" fontId="4" fillId="0" borderId="78" xfId="0" applyNumberFormat="1" applyFont="1" applyFill="1" applyBorder="1" applyAlignment="1" applyProtection="1">
      <alignment vertical="top"/>
    </xf>
    <xf numFmtId="0" fontId="4" fillId="0" borderId="78" xfId="0" applyNumberFormat="1" applyFont="1" applyFill="1" applyBorder="1" applyAlignment="1" applyProtection="1">
      <alignment horizontal="center" vertical="top"/>
    </xf>
    <xf numFmtId="0" fontId="4" fillId="27" borderId="78" xfId="0" applyNumberFormat="1" applyFont="1" applyFill="1" applyBorder="1" applyAlignment="1" applyProtection="1">
      <alignment vertical="top"/>
    </xf>
    <xf numFmtId="0" fontId="4" fillId="27" borderId="79" xfId="0" applyNumberFormat="1" applyFont="1" applyFill="1" applyBorder="1" applyAlignment="1" applyProtection="1">
      <alignment vertical="top"/>
    </xf>
    <xf numFmtId="0" fontId="37" fillId="25" borderId="27" xfId="0" quotePrefix="1" applyNumberFormat="1" applyFont="1" applyFill="1" applyBorder="1" applyAlignment="1" applyProtection="1">
      <alignment horizontal="center" vertical="top"/>
    </xf>
    <xf numFmtId="0" fontId="37" fillId="25" borderId="0" xfId="0" applyNumberFormat="1" applyFont="1" applyFill="1" applyBorder="1" applyAlignment="1" applyProtection="1">
      <alignment horizontal="right" vertical="top"/>
    </xf>
    <xf numFmtId="0" fontId="0" fillId="0" borderId="0" xfId="0" applyProtection="1"/>
    <xf numFmtId="0" fontId="0" fillId="25" borderId="0" xfId="0" applyFill="1" applyProtection="1"/>
    <xf numFmtId="0" fontId="4" fillId="0" borderId="0" xfId="0" applyFont="1" applyProtection="1"/>
    <xf numFmtId="0" fontId="0" fillId="25" borderId="0" xfId="0" applyFill="1" applyBorder="1" applyProtection="1"/>
    <xf numFmtId="0" fontId="0" fillId="0" borderId="0" xfId="0" applyFill="1" applyProtection="1"/>
    <xf numFmtId="0" fontId="52" fillId="25" borderId="0" xfId="0" applyFont="1" applyFill="1" applyAlignment="1" applyProtection="1">
      <alignment horizontal="left" vertical="top"/>
    </xf>
    <xf numFmtId="0" fontId="0" fillId="0" borderId="0" xfId="0" applyFill="1" applyAlignment="1" applyProtection="1"/>
    <xf numFmtId="0" fontId="0" fillId="0" borderId="0" xfId="0" applyFill="1" applyBorder="1" applyProtection="1"/>
    <xf numFmtId="0" fontId="4" fillId="0" borderId="0" xfId="0" applyFont="1" applyFill="1" applyProtection="1"/>
    <xf numFmtId="0" fontId="0" fillId="0" borderId="0" xfId="0" applyAlignment="1" applyProtection="1"/>
    <xf numFmtId="0" fontId="0" fillId="28" borderId="0" xfId="0" applyFill="1" applyProtection="1"/>
    <xf numFmtId="0" fontId="0" fillId="25" borderId="0" xfId="0" applyFill="1" applyAlignment="1" applyProtection="1">
      <alignment vertical="top"/>
    </xf>
    <xf numFmtId="0" fontId="0" fillId="25" borderId="0" xfId="0" applyFill="1" applyBorder="1" applyAlignment="1" applyProtection="1">
      <alignment vertical="top"/>
    </xf>
    <xf numFmtId="172" fontId="0" fillId="25" borderId="0" xfId="0" applyNumberFormat="1" applyFill="1" applyBorder="1" applyAlignment="1" applyProtection="1">
      <alignment vertical="top"/>
    </xf>
    <xf numFmtId="0" fontId="0" fillId="25" borderId="0" xfId="0" applyNumberFormat="1" applyFill="1" applyBorder="1" applyAlignment="1" applyProtection="1">
      <alignment vertical="top"/>
    </xf>
    <xf numFmtId="0" fontId="0" fillId="0" borderId="0" xfId="0" applyAlignment="1" applyProtection="1">
      <alignment wrapText="1"/>
    </xf>
    <xf numFmtId="0" fontId="39" fillId="25" borderId="0" xfId="0" applyFont="1" applyFill="1" applyProtection="1"/>
    <xf numFmtId="0" fontId="8" fillId="25" borderId="0" xfId="0" applyFont="1" applyFill="1" applyAlignment="1" applyProtection="1">
      <alignment horizontal="center" vertical="top"/>
    </xf>
    <xf numFmtId="0" fontId="8" fillId="25" borderId="0" xfId="0" applyFont="1" applyFill="1" applyAlignment="1" applyProtection="1">
      <alignment vertical="top"/>
    </xf>
    <xf numFmtId="0" fontId="2" fillId="25" borderId="0" xfId="0" applyNumberFormat="1" applyFont="1" applyFill="1" applyBorder="1" applyAlignment="1" applyProtection="1">
      <alignment horizontal="left" vertical="top"/>
    </xf>
    <xf numFmtId="0" fontId="31" fillId="25" borderId="0" xfId="0" applyFont="1" applyFill="1" applyAlignment="1" applyProtection="1">
      <alignment vertical="top"/>
    </xf>
    <xf numFmtId="0" fontId="4" fillId="25" borderId="0" xfId="0" applyNumberFormat="1" applyFont="1" applyFill="1" applyAlignment="1" applyProtection="1">
      <alignment vertical="top"/>
    </xf>
    <xf numFmtId="0" fontId="55" fillId="25" borderId="0" xfId="0" applyNumberFormat="1" applyFont="1" applyFill="1" applyAlignment="1" applyProtection="1">
      <alignment vertical="top"/>
    </xf>
    <xf numFmtId="0" fontId="0" fillId="25" borderId="0" xfId="0" applyNumberFormat="1" applyFill="1" applyAlignment="1" applyProtection="1">
      <alignment vertical="top"/>
    </xf>
    <xf numFmtId="0" fontId="31" fillId="25" borderId="0" xfId="0" applyNumberFormat="1" applyFont="1" applyFill="1" applyAlignment="1" applyProtection="1">
      <alignment vertical="top"/>
    </xf>
    <xf numFmtId="0" fontId="2" fillId="25" borderId="12" xfId="0" applyFont="1" applyFill="1" applyBorder="1" applyAlignment="1" applyProtection="1">
      <alignment vertical="top"/>
    </xf>
    <xf numFmtId="0" fontId="2" fillId="25" borderId="12" xfId="0" applyNumberFormat="1" applyFont="1" applyFill="1" applyBorder="1" applyAlignment="1" applyProtection="1">
      <alignment horizontal="left" vertical="top"/>
    </xf>
    <xf numFmtId="0" fontId="8" fillId="25" borderId="20" xfId="0" applyFont="1" applyFill="1" applyBorder="1" applyAlignment="1" applyProtection="1">
      <alignment horizontal="right" vertical="top" indent="1"/>
    </xf>
    <xf numFmtId="0" fontId="8" fillId="25" borderId="21" xfId="0" applyFont="1" applyFill="1" applyBorder="1" applyAlignment="1" applyProtection="1">
      <alignment horizontal="right" vertical="top" indent="1"/>
    </xf>
    <xf numFmtId="0" fontId="8" fillId="25" borderId="24" xfId="0" applyFont="1" applyFill="1" applyBorder="1" applyAlignment="1" applyProtection="1">
      <alignment horizontal="right" vertical="top" indent="1"/>
    </xf>
    <xf numFmtId="0" fontId="2" fillId="25" borderId="0" xfId="0" applyFont="1" applyFill="1" applyAlignment="1" applyProtection="1">
      <alignment horizontal="center" vertical="top"/>
    </xf>
    <xf numFmtId="0" fontId="2" fillId="29" borderId="13" xfId="0" applyNumberFormat="1" applyFont="1" applyFill="1" applyBorder="1" applyAlignment="1" applyProtection="1">
      <alignment horizontal="left" vertical="top"/>
      <protection locked="0"/>
    </xf>
    <xf numFmtId="0" fontId="37" fillId="29" borderId="14" xfId="0" applyNumberFormat="1" applyFont="1" applyFill="1" applyBorder="1" applyAlignment="1" applyProtection="1">
      <alignment horizontal="center" vertical="top"/>
      <protection locked="0"/>
    </xf>
    <xf numFmtId="0" fontId="37" fillId="29" borderId="26" xfId="0" applyNumberFormat="1" applyFont="1" applyFill="1" applyBorder="1" applyAlignment="1" applyProtection="1">
      <alignment horizontal="center" vertical="top"/>
      <protection locked="0"/>
    </xf>
    <xf numFmtId="10" fontId="37" fillId="30" borderId="13" xfId="0" applyNumberFormat="1" applyFont="1" applyFill="1" applyBorder="1" applyAlignment="1" applyProtection="1">
      <alignment vertical="top"/>
      <protection locked="0"/>
    </xf>
    <xf numFmtId="0" fontId="37" fillId="30" borderId="14" xfId="0" applyNumberFormat="1" applyFont="1" applyFill="1" applyBorder="1" applyAlignment="1" applyProtection="1">
      <alignment horizontal="center" vertical="top"/>
      <protection locked="0"/>
    </xf>
    <xf numFmtId="0" fontId="37" fillId="30" borderId="15" xfId="0" applyNumberFormat="1" applyFont="1" applyFill="1" applyBorder="1" applyAlignment="1" applyProtection="1">
      <alignment horizontal="center" vertical="top"/>
      <protection locked="0"/>
    </xf>
    <xf numFmtId="0" fontId="37" fillId="30" borderId="16" xfId="0" applyNumberFormat="1" applyFont="1" applyFill="1" applyBorder="1" applyAlignment="1" applyProtection="1">
      <alignment horizontal="center" vertical="top"/>
      <protection locked="0"/>
    </xf>
    <xf numFmtId="0" fontId="4" fillId="25" borderId="25" xfId="0" applyFont="1" applyFill="1" applyBorder="1" applyAlignment="1" applyProtection="1">
      <alignment horizontal="left" vertical="top"/>
    </xf>
    <xf numFmtId="0" fontId="0" fillId="31" borderId="0" xfId="0" applyFill="1" applyProtection="1"/>
    <xf numFmtId="0" fontId="4" fillId="0" borderId="12" xfId="0" applyFont="1" applyBorder="1" applyProtection="1"/>
    <xf numFmtId="0" fontId="0" fillId="0" borderId="12" xfId="0" applyBorder="1" applyProtection="1"/>
    <xf numFmtId="0" fontId="0" fillId="24" borderId="0" xfId="0" applyFill="1" applyProtection="1"/>
    <xf numFmtId="0" fontId="0" fillId="24" borderId="0" xfId="0" applyFill="1" applyAlignment="1" applyProtection="1">
      <alignment horizontal="center"/>
    </xf>
    <xf numFmtId="0" fontId="43" fillId="26" borderId="0" xfId="0" applyFont="1" applyFill="1" applyProtection="1"/>
    <xf numFmtId="0" fontId="0" fillId="24" borderId="0" xfId="0" applyFill="1" applyAlignment="1" applyProtection="1"/>
    <xf numFmtId="0" fontId="44" fillId="24" borderId="0" xfId="0" applyFont="1" applyFill="1" applyAlignment="1" applyProtection="1">
      <alignment horizontal="left"/>
    </xf>
    <xf numFmtId="0" fontId="45" fillId="0" borderId="0" xfId="0" applyFont="1" applyFill="1" applyAlignment="1" applyProtection="1">
      <alignment horizontal="left"/>
    </xf>
    <xf numFmtId="0" fontId="45" fillId="0" borderId="0" xfId="0" applyFont="1" applyFill="1" applyAlignment="1" applyProtection="1">
      <alignment horizontal="left" indent="1"/>
    </xf>
    <xf numFmtId="0" fontId="0" fillId="0" borderId="0" xfId="0" applyBorder="1" applyProtection="1"/>
    <xf numFmtId="0" fontId="25" fillId="0" borderId="12" xfId="70" applyFont="1" applyBorder="1" applyProtection="1"/>
    <xf numFmtId="0" fontId="1" fillId="0" borderId="0" xfId="70" applyProtection="1"/>
    <xf numFmtId="0" fontId="0" fillId="32" borderId="0" xfId="0" applyFill="1" applyProtection="1"/>
    <xf numFmtId="0" fontId="0" fillId="0" borderId="80" xfId="0" applyBorder="1" applyProtection="1"/>
    <xf numFmtId="0" fontId="0" fillId="31" borderId="81" xfId="0" applyFill="1" applyBorder="1" applyProtection="1"/>
    <xf numFmtId="0" fontId="0" fillId="0" borderId="82" xfId="0" applyBorder="1" applyProtection="1"/>
    <xf numFmtId="14" fontId="0" fillId="33" borderId="83" xfId="0" applyNumberFormat="1" applyFill="1" applyBorder="1" applyAlignment="1" applyProtection="1">
      <alignment horizontal="left"/>
    </xf>
    <xf numFmtId="0" fontId="0" fillId="27" borderId="84" xfId="0" applyFill="1" applyBorder="1" applyProtection="1"/>
    <xf numFmtId="0" fontId="0" fillId="27" borderId="85" xfId="0" applyFill="1" applyBorder="1" applyProtection="1"/>
    <xf numFmtId="0" fontId="0" fillId="27" borderId="86" xfId="0" applyFill="1" applyBorder="1" applyProtection="1"/>
    <xf numFmtId="0" fontId="0" fillId="0" borderId="87" xfId="0" applyBorder="1" applyProtection="1"/>
    <xf numFmtId="0" fontId="0" fillId="32" borderId="88" xfId="0" applyFill="1" applyBorder="1" applyProtection="1"/>
    <xf numFmtId="0" fontId="0" fillId="0" borderId="89" xfId="0" applyBorder="1" applyProtection="1"/>
    <xf numFmtId="0" fontId="0" fillId="28" borderId="90" xfId="0" applyFill="1" applyBorder="1" applyProtection="1"/>
    <xf numFmtId="0" fontId="4" fillId="0" borderId="0" xfId="0" applyFont="1" applyBorder="1" applyProtection="1"/>
    <xf numFmtId="0" fontId="37" fillId="27" borderId="44" xfId="0" applyNumberFormat="1" applyFont="1" applyFill="1" applyBorder="1" applyAlignment="1" applyProtection="1">
      <alignment vertical="top"/>
    </xf>
    <xf numFmtId="0" fontId="37" fillId="27" borderId="29" xfId="0" applyNumberFormat="1" applyFont="1" applyFill="1" applyBorder="1" applyAlignment="1" applyProtection="1">
      <alignment vertical="top"/>
    </xf>
    <xf numFmtId="0" fontId="37" fillId="27" borderId="75" xfId="0" applyNumberFormat="1" applyFont="1" applyFill="1" applyBorder="1" applyAlignment="1" applyProtection="1">
      <alignment horizontal="center" vertical="top"/>
    </xf>
    <xf numFmtId="0" fontId="37" fillId="27" borderId="67" xfId="0" applyNumberFormat="1" applyFont="1" applyFill="1" applyBorder="1" applyAlignment="1" applyProtection="1">
      <alignment vertical="top"/>
    </xf>
    <xf numFmtId="0" fontId="37" fillId="27" borderId="40" xfId="0" applyNumberFormat="1" applyFont="1" applyFill="1" applyBorder="1" applyAlignment="1" applyProtection="1">
      <alignment vertical="top"/>
    </xf>
    <xf numFmtId="0" fontId="37" fillId="27" borderId="61" xfId="0" applyNumberFormat="1" applyFont="1" applyFill="1" applyBorder="1" applyAlignment="1" applyProtection="1">
      <alignment horizontal="center" vertical="top"/>
    </xf>
    <xf numFmtId="0" fontId="37" fillId="27" borderId="61" xfId="0" applyNumberFormat="1" applyFont="1" applyFill="1" applyBorder="1" applyAlignment="1" applyProtection="1">
      <alignment vertical="top"/>
    </xf>
    <xf numFmtId="0" fontId="37" fillId="27" borderId="62" xfId="0" applyNumberFormat="1" applyFont="1" applyFill="1" applyBorder="1" applyAlignment="1" applyProtection="1">
      <alignment vertical="top"/>
    </xf>
    <xf numFmtId="0" fontId="4" fillId="27" borderId="69" xfId="0" applyNumberFormat="1" applyFont="1" applyFill="1" applyBorder="1" applyAlignment="1" applyProtection="1">
      <alignment vertical="top"/>
    </xf>
    <xf numFmtId="0" fontId="37" fillId="24" borderId="18" xfId="0" applyNumberFormat="1" applyFont="1" applyFill="1" applyBorder="1" applyAlignment="1" applyProtection="1">
      <alignment horizontal="right" vertical="top"/>
    </xf>
    <xf numFmtId="0" fontId="37" fillId="24" borderId="39" xfId="0" applyNumberFormat="1" applyFont="1" applyFill="1" applyBorder="1" applyAlignment="1" applyProtection="1">
      <alignment vertical="top"/>
    </xf>
    <xf numFmtId="0" fontId="37" fillId="24" borderId="29" xfId="0" applyNumberFormat="1" applyFont="1" applyFill="1" applyBorder="1" applyAlignment="1" applyProtection="1">
      <alignment vertical="top"/>
    </xf>
    <xf numFmtId="0" fontId="37" fillId="24" borderId="31" xfId="0" applyNumberFormat="1" applyFont="1" applyFill="1" applyBorder="1" applyAlignment="1" applyProtection="1">
      <alignment vertical="top"/>
    </xf>
    <xf numFmtId="0" fontId="4" fillId="24" borderId="91" xfId="0" applyNumberFormat="1" applyFont="1" applyFill="1" applyBorder="1" applyAlignment="1" applyProtection="1">
      <alignment vertical="top"/>
    </xf>
    <xf numFmtId="0" fontId="0" fillId="0" borderId="0" xfId="0" applyFill="1" applyBorder="1" applyAlignment="1" applyProtection="1"/>
    <xf numFmtId="0" fontId="6" fillId="25" borderId="0" xfId="60" applyFill="1" applyAlignment="1" applyProtection="1"/>
    <xf numFmtId="0" fontId="0" fillId="25" borderId="92" xfId="0" applyFill="1" applyBorder="1" applyAlignment="1" applyProtection="1"/>
    <xf numFmtId="0" fontId="52" fillId="25" borderId="0" xfId="0" applyNumberFormat="1" applyFont="1" applyFill="1" applyAlignment="1" applyProtection="1">
      <alignment horizontal="left" vertical="top"/>
    </xf>
    <xf numFmtId="0" fontId="59" fillId="25" borderId="0" xfId="0" applyFont="1" applyFill="1" applyAlignment="1" applyProtection="1">
      <alignment horizontal="center" vertical="top"/>
    </xf>
    <xf numFmtId="0" fontId="2" fillId="34" borderId="13" xfId="0" applyNumberFormat="1" applyFont="1" applyFill="1" applyBorder="1" applyAlignment="1" applyProtection="1">
      <alignment vertical="top"/>
    </xf>
    <xf numFmtId="0" fontId="2" fillId="34" borderId="59" xfId="0" applyNumberFormat="1" applyFont="1" applyFill="1" applyBorder="1" applyAlignment="1" applyProtection="1">
      <alignment vertical="top"/>
    </xf>
    <xf numFmtId="0" fontId="2" fillId="34" borderId="61" xfId="0" applyNumberFormat="1" applyFont="1" applyFill="1" applyBorder="1" applyAlignment="1" applyProtection="1">
      <alignment vertical="top"/>
    </xf>
    <xf numFmtId="0" fontId="2" fillId="34" borderId="62" xfId="0" applyNumberFormat="1" applyFont="1" applyFill="1" applyBorder="1" applyAlignment="1" applyProtection="1">
      <alignment vertical="top"/>
    </xf>
    <xf numFmtId="14" fontId="2" fillId="29" borderId="13" xfId="0" applyNumberFormat="1" applyFont="1" applyFill="1" applyBorder="1" applyAlignment="1" applyProtection="1">
      <alignment horizontal="left" vertical="top"/>
      <protection locked="0"/>
    </xf>
    <xf numFmtId="3" fontId="37" fillId="29" borderId="66" xfId="0" applyNumberFormat="1" applyFont="1" applyFill="1" applyBorder="1" applyAlignment="1" applyProtection="1">
      <alignment vertical="top"/>
      <protection locked="0"/>
    </xf>
    <xf numFmtId="3" fontId="37" fillId="29" borderId="65" xfId="0" applyNumberFormat="1" applyFont="1" applyFill="1" applyBorder="1" applyAlignment="1" applyProtection="1">
      <alignment vertical="top"/>
      <protection locked="0"/>
    </xf>
    <xf numFmtId="191" fontId="37" fillId="29" borderId="13" xfId="0" applyNumberFormat="1" applyFont="1" applyFill="1" applyBorder="1" applyAlignment="1" applyProtection="1">
      <alignment vertical="top"/>
      <protection locked="0"/>
    </xf>
    <xf numFmtId="190" fontId="37" fillId="29" borderId="66" xfId="0" applyNumberFormat="1" applyFont="1" applyFill="1" applyBorder="1" applyAlignment="1" applyProtection="1">
      <alignment vertical="top"/>
      <protection locked="0"/>
    </xf>
    <xf numFmtId="190" fontId="37" fillId="29" borderId="65" xfId="0" applyNumberFormat="1" applyFont="1" applyFill="1" applyBorder="1" applyAlignment="1" applyProtection="1">
      <alignment vertical="top"/>
      <protection locked="0"/>
    </xf>
    <xf numFmtId="172" fontId="37" fillId="27" borderId="69" xfId="0" applyNumberFormat="1" applyFont="1" applyFill="1" applyBorder="1" applyAlignment="1" applyProtection="1">
      <alignment vertical="top"/>
    </xf>
    <xf numFmtId="172" fontId="37" fillId="27" borderId="93" xfId="0" applyNumberFormat="1" applyFont="1" applyFill="1" applyBorder="1" applyAlignment="1" applyProtection="1">
      <alignment vertical="top"/>
    </xf>
    <xf numFmtId="172" fontId="37" fillId="29" borderId="93" xfId="0" applyNumberFormat="1" applyFont="1" applyFill="1" applyBorder="1" applyAlignment="1" applyProtection="1">
      <alignment vertical="top"/>
      <protection locked="0"/>
    </xf>
    <xf numFmtId="3" fontId="37" fillId="29" borderId="13" xfId="0" applyNumberFormat="1" applyFont="1" applyFill="1" applyBorder="1" applyAlignment="1" applyProtection="1">
      <alignment vertical="top"/>
      <protection locked="0"/>
    </xf>
    <xf numFmtId="192" fontId="37" fillId="29" borderId="66" xfId="0" applyNumberFormat="1" applyFont="1" applyFill="1" applyBorder="1" applyAlignment="1" applyProtection="1">
      <alignment vertical="top"/>
      <protection locked="0"/>
    </xf>
    <xf numFmtId="192" fontId="37" fillId="29" borderId="65" xfId="0" applyNumberFormat="1" applyFont="1" applyFill="1" applyBorder="1" applyAlignment="1" applyProtection="1">
      <alignment vertical="top"/>
      <protection locked="0"/>
    </xf>
    <xf numFmtId="192" fontId="37" fillId="29" borderId="94" xfId="0" applyNumberFormat="1" applyFont="1" applyFill="1" applyBorder="1" applyAlignment="1" applyProtection="1">
      <alignment vertical="top"/>
      <protection locked="0"/>
    </xf>
    <xf numFmtId="192" fontId="37" fillId="29" borderId="13" xfId="0" applyNumberFormat="1" applyFont="1" applyFill="1" applyBorder="1" applyAlignment="1" applyProtection="1">
      <alignment vertical="top"/>
      <protection locked="0"/>
    </xf>
    <xf numFmtId="172" fontId="4" fillId="27" borderId="69" xfId="0" applyNumberFormat="1" applyFont="1" applyFill="1" applyBorder="1" applyAlignment="1" applyProtection="1">
      <alignment vertical="top"/>
    </xf>
    <xf numFmtId="173" fontId="37" fillId="27" borderId="66" xfId="66" applyNumberFormat="1" applyFont="1" applyFill="1" applyBorder="1" applyAlignment="1" applyProtection="1">
      <alignment vertical="top"/>
    </xf>
    <xf numFmtId="173" fontId="37" fillId="27" borderId="64" xfId="66" applyNumberFormat="1" applyFont="1" applyFill="1" applyBorder="1" applyAlignment="1" applyProtection="1">
      <alignment vertical="top"/>
    </xf>
    <xf numFmtId="3" fontId="37" fillId="27" borderId="66" xfId="0" applyNumberFormat="1" applyFont="1" applyFill="1" applyBorder="1" applyAlignment="1" applyProtection="1">
      <alignment vertical="top"/>
    </xf>
    <xf numFmtId="3" fontId="37" fillId="29" borderId="64" xfId="0" applyNumberFormat="1" applyFont="1" applyFill="1" applyBorder="1" applyAlignment="1" applyProtection="1">
      <alignment vertical="top"/>
      <protection locked="0"/>
    </xf>
    <xf numFmtId="173" fontId="37" fillId="29" borderId="53" xfId="0" applyNumberFormat="1" applyFont="1" applyFill="1" applyBorder="1" applyAlignment="1" applyProtection="1">
      <alignment vertical="top"/>
      <protection locked="0"/>
    </xf>
    <xf numFmtId="173" fontId="37" fillId="29" borderId="54" xfId="0" applyNumberFormat="1" applyFont="1" applyFill="1" applyBorder="1" applyAlignment="1" applyProtection="1">
      <alignment vertical="top"/>
      <protection locked="0"/>
    </xf>
    <xf numFmtId="173" fontId="37" fillId="29" borderId="95" xfId="0" applyNumberFormat="1" applyFont="1" applyFill="1" applyBorder="1" applyAlignment="1" applyProtection="1">
      <alignment vertical="top"/>
      <protection locked="0"/>
    </xf>
    <xf numFmtId="173" fontId="37" fillId="29" borderId="96" xfId="0" applyNumberFormat="1" applyFont="1" applyFill="1" applyBorder="1" applyAlignment="1" applyProtection="1">
      <alignment vertical="top"/>
      <protection locked="0"/>
    </xf>
    <xf numFmtId="173" fontId="4" fillId="27" borderId="13" xfId="0" applyNumberFormat="1" applyFont="1" applyFill="1" applyBorder="1" applyAlignment="1" applyProtection="1">
      <alignment vertical="top"/>
    </xf>
    <xf numFmtId="173" fontId="37" fillId="27" borderId="13" xfId="66" applyNumberFormat="1" applyFont="1" applyFill="1" applyBorder="1" applyAlignment="1" applyProtection="1">
      <alignment vertical="top"/>
    </xf>
    <xf numFmtId="173" fontId="37" fillId="27" borderId="11" xfId="0" applyNumberFormat="1" applyFont="1" applyFill="1" applyBorder="1" applyAlignment="1" applyProtection="1">
      <alignment vertical="top"/>
    </xf>
    <xf numFmtId="173" fontId="37" fillId="27" borderId="27" xfId="0" applyNumberFormat="1" applyFont="1" applyFill="1" applyBorder="1" applyAlignment="1" applyProtection="1">
      <alignment vertical="top"/>
    </xf>
    <xf numFmtId="173" fontId="37" fillId="27" borderId="13" xfId="0" applyNumberFormat="1" applyFont="1" applyFill="1" applyBorder="1" applyAlignment="1" applyProtection="1">
      <alignment vertical="top"/>
    </xf>
    <xf numFmtId="173" fontId="37" fillId="30" borderId="13" xfId="0" applyNumberFormat="1" applyFont="1" applyFill="1" applyBorder="1" applyAlignment="1" applyProtection="1">
      <alignment vertical="top"/>
      <protection locked="0"/>
    </xf>
    <xf numFmtId="173" fontId="37" fillId="29" borderId="13" xfId="0" applyNumberFormat="1" applyFont="1" applyFill="1" applyBorder="1" applyAlignment="1" applyProtection="1">
      <alignment vertical="top"/>
      <protection locked="0"/>
    </xf>
    <xf numFmtId="173" fontId="4" fillId="27" borderId="54" xfId="0" applyNumberFormat="1" applyFont="1" applyFill="1" applyBorder="1" applyAlignment="1" applyProtection="1">
      <alignment vertical="top"/>
    </xf>
    <xf numFmtId="173" fontId="37" fillId="27" borderId="97" xfId="0" applyNumberFormat="1" applyFont="1" applyFill="1" applyBorder="1" applyAlignment="1" applyProtection="1">
      <alignment vertical="top"/>
    </xf>
    <xf numFmtId="172" fontId="37" fillId="29" borderId="66" xfId="0" applyNumberFormat="1" applyFont="1" applyFill="1" applyBorder="1" applyAlignment="1" applyProtection="1">
      <alignment vertical="top"/>
      <protection locked="0"/>
    </xf>
    <xf numFmtId="172" fontId="37" fillId="29" borderId="64" xfId="0" applyNumberFormat="1" applyFont="1" applyFill="1" applyBorder="1" applyAlignment="1" applyProtection="1">
      <alignment vertical="top"/>
      <protection locked="0"/>
    </xf>
    <xf numFmtId="172" fontId="37" fillId="27" borderId="66" xfId="0" applyNumberFormat="1" applyFont="1" applyFill="1" applyBorder="1" applyAlignment="1" applyProtection="1">
      <alignment vertical="top"/>
    </xf>
    <xf numFmtId="172" fontId="37" fillId="27" borderId="13" xfId="0" applyNumberFormat="1" applyFont="1" applyFill="1" applyBorder="1" applyAlignment="1" applyProtection="1">
      <alignment vertical="top"/>
    </xf>
    <xf numFmtId="172" fontId="37" fillId="29" borderId="13" xfId="0" applyNumberFormat="1" applyFont="1" applyFill="1" applyBorder="1" applyAlignment="1" applyProtection="1">
      <alignment vertical="top"/>
      <protection locked="0"/>
    </xf>
    <xf numFmtId="173" fontId="37" fillId="29" borderId="11" xfId="0" applyNumberFormat="1" applyFont="1" applyFill="1" applyBorder="1" applyAlignment="1" applyProtection="1">
      <alignment vertical="top"/>
      <protection locked="0"/>
    </xf>
    <xf numFmtId="173" fontId="37" fillId="29" borderId="94" xfId="0" applyNumberFormat="1" applyFont="1" applyFill="1" applyBorder="1" applyAlignment="1" applyProtection="1">
      <alignment vertical="top"/>
      <protection locked="0"/>
    </xf>
    <xf numFmtId="172" fontId="57" fillId="27" borderId="97" xfId="0" applyNumberFormat="1" applyFont="1" applyFill="1" applyBorder="1" applyAlignment="1" applyProtection="1">
      <alignment vertical="top"/>
    </xf>
    <xf numFmtId="172" fontId="37" fillId="27" borderId="94" xfId="0" applyNumberFormat="1" applyFont="1" applyFill="1" applyBorder="1" applyAlignment="1" applyProtection="1">
      <alignment vertical="top"/>
    </xf>
    <xf numFmtId="173" fontId="37" fillId="27" borderId="94" xfId="0" applyNumberFormat="1" applyFont="1" applyFill="1" applyBorder="1" applyAlignment="1" applyProtection="1">
      <alignment vertical="top"/>
    </xf>
    <xf numFmtId="173" fontId="37" fillId="27" borderId="66" xfId="0" applyNumberFormat="1" applyFont="1" applyFill="1" applyBorder="1" applyAlignment="1" applyProtection="1">
      <alignment vertical="top"/>
    </xf>
    <xf numFmtId="173" fontId="37" fillId="27" borderId="64" xfId="0" applyNumberFormat="1" applyFont="1" applyFill="1" applyBorder="1" applyAlignment="1" applyProtection="1">
      <alignment vertical="top"/>
    </xf>
    <xf numFmtId="173" fontId="37" fillId="29" borderId="66" xfId="0" applyNumberFormat="1" applyFont="1" applyFill="1" applyBorder="1" applyAlignment="1" applyProtection="1">
      <alignment vertical="top"/>
      <protection locked="0"/>
    </xf>
    <xf numFmtId="173" fontId="37" fillId="29" borderId="98" xfId="0" applyNumberFormat="1" applyFont="1" applyFill="1" applyBorder="1" applyAlignment="1" applyProtection="1">
      <alignment vertical="top"/>
      <protection locked="0"/>
    </xf>
    <xf numFmtId="173" fontId="37" fillId="29" borderId="65" xfId="0" applyNumberFormat="1" applyFont="1" applyFill="1" applyBorder="1" applyAlignment="1" applyProtection="1">
      <alignment vertical="top"/>
      <protection locked="0"/>
    </xf>
    <xf numFmtId="173" fontId="37" fillId="29" borderId="64" xfId="0" applyNumberFormat="1" applyFont="1" applyFill="1" applyBorder="1" applyAlignment="1" applyProtection="1">
      <alignment vertical="top"/>
      <protection locked="0"/>
    </xf>
    <xf numFmtId="172" fontId="37" fillId="27" borderId="64" xfId="0" applyNumberFormat="1" applyFont="1" applyFill="1" applyBorder="1" applyAlignment="1" applyProtection="1">
      <alignment vertical="top"/>
    </xf>
    <xf numFmtId="173" fontId="37" fillId="29" borderId="24" xfId="0" applyNumberFormat="1" applyFont="1" applyFill="1" applyBorder="1" applyAlignment="1" applyProtection="1">
      <alignment vertical="top"/>
      <protection locked="0"/>
    </xf>
    <xf numFmtId="173" fontId="37" fillId="29" borderId="21" xfId="0" applyNumberFormat="1" applyFont="1" applyFill="1" applyBorder="1" applyAlignment="1" applyProtection="1">
      <alignment vertical="top"/>
      <protection locked="0"/>
    </xf>
    <xf numFmtId="173" fontId="37" fillId="29" borderId="20" xfId="0" applyNumberFormat="1" applyFont="1" applyFill="1" applyBorder="1" applyAlignment="1" applyProtection="1">
      <alignment vertical="top"/>
      <protection locked="0"/>
    </xf>
    <xf numFmtId="172" fontId="37" fillId="25" borderId="24" xfId="0" applyNumberFormat="1" applyFont="1" applyFill="1" applyBorder="1" applyAlignment="1" applyProtection="1">
      <alignment horizontal="right" vertical="top"/>
    </xf>
    <xf numFmtId="172" fontId="37" fillId="25" borderId="21" xfId="0" applyNumberFormat="1" applyFont="1" applyFill="1" applyBorder="1" applyAlignment="1" applyProtection="1">
      <alignment horizontal="right" vertical="top"/>
    </xf>
    <xf numFmtId="172" fontId="37" fillId="25" borderId="20" xfId="0" applyNumberFormat="1" applyFont="1" applyFill="1" applyBorder="1" applyAlignment="1" applyProtection="1">
      <alignment horizontal="right" vertical="top"/>
    </xf>
    <xf numFmtId="0" fontId="2" fillId="25" borderId="0" xfId="0" applyFont="1" applyFill="1" applyAlignment="1" applyProtection="1">
      <alignment horizontal="right" vertical="top"/>
    </xf>
    <xf numFmtId="0" fontId="2" fillId="25" borderId="0" xfId="0" applyFont="1" applyFill="1" applyAlignment="1" applyProtection="1">
      <alignment horizontal="right" indent="1"/>
    </xf>
    <xf numFmtId="0" fontId="2" fillId="25" borderId="0" xfId="0" applyFont="1" applyFill="1" applyAlignment="1" applyProtection="1">
      <alignment horizontal="right" vertical="top" indent="1"/>
    </xf>
    <xf numFmtId="0" fontId="0" fillId="25" borderId="0" xfId="0" applyFill="1" applyAlignment="1" applyProtection="1">
      <alignment horizontal="right"/>
    </xf>
    <xf numFmtId="0" fontId="4" fillId="25" borderId="25" xfId="0" applyFont="1" applyFill="1" applyBorder="1" applyAlignment="1" applyProtection="1">
      <alignment horizontal="center" vertical="top"/>
    </xf>
    <xf numFmtId="0" fontId="37" fillId="24" borderId="91" xfId="0" applyNumberFormat="1" applyFont="1" applyFill="1" applyBorder="1" applyAlignment="1" applyProtection="1">
      <alignment vertical="top"/>
    </xf>
    <xf numFmtId="0" fontId="37" fillId="24" borderId="13" xfId="0" applyNumberFormat="1" applyFont="1" applyFill="1" applyBorder="1" applyAlignment="1" applyProtection="1">
      <alignment horizontal="center" vertical="top"/>
    </xf>
    <xf numFmtId="0" fontId="37" fillId="24" borderId="84" xfId="0" applyNumberFormat="1" applyFont="1" applyFill="1" applyBorder="1" applyAlignment="1" applyProtection="1">
      <alignment vertical="top"/>
    </xf>
    <xf numFmtId="0" fontId="37" fillId="24" borderId="86" xfId="0" applyNumberFormat="1" applyFont="1" applyFill="1" applyBorder="1" applyAlignment="1" applyProtection="1">
      <alignment vertical="top"/>
    </xf>
    <xf numFmtId="0" fontId="37" fillId="24" borderId="69" xfId="0" applyNumberFormat="1" applyFont="1" applyFill="1" applyBorder="1" applyAlignment="1" applyProtection="1">
      <alignment horizontal="center" vertical="top"/>
    </xf>
    <xf numFmtId="0" fontId="4" fillId="24" borderId="13" xfId="0" applyNumberFormat="1" applyFont="1" applyFill="1" applyBorder="1" applyAlignment="1" applyProtection="1">
      <alignment horizontal="center" vertical="top"/>
    </xf>
    <xf numFmtId="0" fontId="2" fillId="24" borderId="13" xfId="0" applyFont="1" applyFill="1" applyBorder="1" applyAlignment="1" applyProtection="1"/>
    <xf numFmtId="0" fontId="37" fillId="30" borderId="0" xfId="0" applyNumberFormat="1" applyFont="1" applyFill="1" applyBorder="1" applyAlignment="1" applyProtection="1">
      <alignment vertical="top"/>
    </xf>
    <xf numFmtId="0" fontId="0" fillId="25" borderId="0" xfId="0" applyFill="1" applyBorder="1" applyAlignment="1" applyProtection="1">
      <alignment horizontal="left" vertical="top"/>
    </xf>
    <xf numFmtId="0" fontId="4" fillId="25" borderId="0" xfId="0" applyFont="1" applyFill="1" applyBorder="1" applyAlignment="1" applyProtection="1">
      <alignment horizontal="center" vertical="top"/>
    </xf>
    <xf numFmtId="0" fontId="0" fillId="25" borderId="0" xfId="0" applyFill="1" applyBorder="1" applyAlignment="1" applyProtection="1">
      <alignment horizontal="center" vertical="top" wrapText="1"/>
    </xf>
    <xf numFmtId="0" fontId="30" fillId="25" borderId="0" xfId="0" applyFont="1" applyFill="1" applyBorder="1" applyProtection="1"/>
    <xf numFmtId="0" fontId="29" fillId="25" borderId="0" xfId="0" applyFont="1" applyFill="1" applyBorder="1" applyProtection="1"/>
    <xf numFmtId="0" fontId="9" fillId="25" borderId="0" xfId="0" applyFont="1" applyFill="1" applyBorder="1" applyAlignment="1" applyProtection="1">
      <alignment vertical="top"/>
    </xf>
    <xf numFmtId="49" fontId="2" fillId="29" borderId="13" xfId="0" applyNumberFormat="1" applyFont="1" applyFill="1" applyBorder="1" applyAlignment="1" applyProtection="1">
      <alignment horizontal="center" vertical="top"/>
      <protection locked="0"/>
    </xf>
    <xf numFmtId="0" fontId="47" fillId="0" borderId="0" xfId="0" applyNumberFormat="1" applyFont="1" applyFill="1" applyBorder="1" applyAlignment="1" applyProtection="1">
      <alignment vertical="top"/>
    </xf>
    <xf numFmtId="172" fontId="37" fillId="27" borderId="64" xfId="0" applyNumberFormat="1" applyFont="1" applyFill="1" applyBorder="1" applyAlignment="1" applyProtection="1">
      <alignment horizontal="right" vertical="top"/>
    </xf>
    <xf numFmtId="172" fontId="57" fillId="27" borderId="65" xfId="0" applyNumberFormat="1" applyFont="1" applyFill="1" applyBorder="1" applyAlignment="1" applyProtection="1">
      <alignment horizontal="right" vertical="top"/>
    </xf>
    <xf numFmtId="172" fontId="37" fillId="27" borderId="65" xfId="0" applyNumberFormat="1" applyFont="1" applyFill="1" applyBorder="1" applyAlignment="1" applyProtection="1">
      <alignment horizontal="right" vertical="top"/>
    </xf>
    <xf numFmtId="172" fontId="37" fillId="27" borderId="97" xfId="0" applyNumberFormat="1" applyFont="1" applyFill="1" applyBorder="1" applyAlignment="1" applyProtection="1">
      <alignment horizontal="right" vertical="top"/>
    </xf>
    <xf numFmtId="0" fontId="0" fillId="25" borderId="0" xfId="0" applyFill="1" applyBorder="1" applyAlignment="1" applyProtection="1">
      <alignment horizontal="center" vertical="top"/>
    </xf>
    <xf numFmtId="0" fontId="37" fillId="29" borderId="10" xfId="0" applyNumberFormat="1" applyFont="1" applyFill="1" applyBorder="1" applyAlignment="1" applyProtection="1">
      <alignment vertical="top"/>
      <protection locked="0"/>
    </xf>
    <xf numFmtId="0" fontId="35" fillId="25" borderId="0" xfId="0" applyFont="1" applyFill="1" applyBorder="1" applyAlignment="1" applyProtection="1"/>
    <xf numFmtId="0" fontId="2" fillId="25" borderId="0" xfId="0" applyFont="1" applyFill="1" applyBorder="1" applyAlignment="1" applyProtection="1">
      <alignment vertical="top"/>
    </xf>
    <xf numFmtId="0" fontId="37" fillId="24" borderId="85" xfId="0" applyNumberFormat="1" applyFont="1" applyFill="1" applyBorder="1" applyAlignment="1" applyProtection="1">
      <alignment vertical="top"/>
    </xf>
    <xf numFmtId="0" fontId="2" fillId="24" borderId="0" xfId="0" applyFont="1" applyFill="1" applyAlignment="1" applyProtection="1">
      <alignment horizontal="right"/>
    </xf>
    <xf numFmtId="0" fontId="4" fillId="25" borderId="18" xfId="0" applyNumberFormat="1" applyFont="1" applyFill="1" applyBorder="1" applyAlignment="1" applyProtection="1">
      <alignment horizontal="right" indent="1"/>
    </xf>
    <xf numFmtId="0" fontId="53" fillId="27" borderId="26" xfId="0" applyNumberFormat="1" applyFont="1" applyFill="1" applyBorder="1" applyAlignment="1" applyProtection="1">
      <alignment vertical="top"/>
    </xf>
    <xf numFmtId="0" fontId="54" fillId="25" borderId="11" xfId="0" applyNumberFormat="1" applyFont="1" applyFill="1" applyBorder="1" applyAlignment="1" applyProtection="1">
      <alignment horizontal="center" wrapText="1"/>
    </xf>
    <xf numFmtId="0" fontId="54" fillId="25" borderId="25" xfId="0" applyNumberFormat="1" applyFont="1" applyFill="1" applyBorder="1" applyAlignment="1" applyProtection="1">
      <alignment horizontal="right" wrapText="1"/>
    </xf>
    <xf numFmtId="0" fontId="4" fillId="25" borderId="18" xfId="0" applyNumberFormat="1" applyFont="1" applyFill="1" applyBorder="1" applyAlignment="1" applyProtection="1">
      <alignment horizontal="right" wrapText="1"/>
    </xf>
    <xf numFmtId="0" fontId="37" fillId="25" borderId="99" xfId="0" applyNumberFormat="1" applyFont="1" applyFill="1" applyBorder="1" applyAlignment="1" applyProtection="1">
      <alignment horizontal="center" vertical="top"/>
    </xf>
    <xf numFmtId="0" fontId="37" fillId="25" borderId="100" xfId="0" applyNumberFormat="1" applyFont="1" applyFill="1" applyBorder="1" applyAlignment="1" applyProtection="1">
      <alignment horizontal="center" vertical="top"/>
    </xf>
    <xf numFmtId="0" fontId="37" fillId="25" borderId="101" xfId="0" applyNumberFormat="1" applyFont="1" applyFill="1" applyBorder="1" applyAlignment="1" applyProtection="1">
      <alignment horizontal="center" vertical="top"/>
    </xf>
    <xf numFmtId="0" fontId="37" fillId="27" borderId="99" xfId="0" applyNumberFormat="1" applyFont="1" applyFill="1" applyBorder="1" applyAlignment="1" applyProtection="1">
      <alignment horizontal="center" vertical="top"/>
    </xf>
    <xf numFmtId="0" fontId="37" fillId="27" borderId="100" xfId="0" applyNumberFormat="1" applyFont="1" applyFill="1" applyBorder="1" applyAlignment="1" applyProtection="1">
      <alignment horizontal="center" vertical="top"/>
    </xf>
    <xf numFmtId="0" fontId="37" fillId="27" borderId="101" xfId="0" applyNumberFormat="1" applyFont="1" applyFill="1" applyBorder="1" applyAlignment="1" applyProtection="1">
      <alignment horizontal="center" vertical="top"/>
    </xf>
    <xf numFmtId="0" fontId="37" fillId="29" borderId="66" xfId="0" applyNumberFormat="1" applyFont="1" applyFill="1" applyBorder="1" applyAlignment="1" applyProtection="1">
      <alignment horizontal="center" vertical="top"/>
      <protection locked="0"/>
    </xf>
    <xf numFmtId="0" fontId="37" fillId="29" borderId="65" xfId="0" applyNumberFormat="1" applyFont="1" applyFill="1" applyBorder="1" applyAlignment="1" applyProtection="1">
      <alignment horizontal="center" vertical="top"/>
      <protection locked="0"/>
    </xf>
    <xf numFmtId="0" fontId="37" fillId="29" borderId="64" xfId="0" applyNumberFormat="1" applyFont="1" applyFill="1" applyBorder="1" applyAlignment="1" applyProtection="1">
      <alignment horizontal="center" vertical="top"/>
      <protection locked="0"/>
    </xf>
    <xf numFmtId="0" fontId="37" fillId="27" borderId="69" xfId="0" applyNumberFormat="1" applyFont="1" applyFill="1" applyBorder="1" applyAlignment="1" applyProtection="1">
      <alignment vertical="top"/>
    </xf>
    <xf numFmtId="0" fontId="4" fillId="25" borderId="25" xfId="0" applyNumberFormat="1" applyFont="1" applyFill="1" applyBorder="1" applyAlignment="1" applyProtection="1">
      <alignment horizontal="right"/>
    </xf>
    <xf numFmtId="0" fontId="40" fillId="27" borderId="27" xfId="0" applyNumberFormat="1" applyFont="1" applyFill="1" applyBorder="1" applyAlignment="1" applyProtection="1">
      <alignment vertical="top"/>
    </xf>
    <xf numFmtId="0" fontId="40" fillId="27" borderId="66" xfId="0" applyNumberFormat="1" applyFont="1" applyFill="1" applyBorder="1" applyAlignment="1" applyProtection="1">
      <alignment vertical="top"/>
    </xf>
    <xf numFmtId="0" fontId="40" fillId="27" borderId="26" xfId="0" applyNumberFormat="1" applyFont="1" applyFill="1" applyBorder="1" applyAlignment="1" applyProtection="1">
      <alignment vertical="top"/>
    </xf>
    <xf numFmtId="0" fontId="37" fillId="27" borderId="33" xfId="0" applyNumberFormat="1" applyFont="1" applyFill="1" applyBorder="1" applyAlignment="1" applyProtection="1">
      <alignment vertical="top"/>
    </xf>
    <xf numFmtId="0" fontId="37" fillId="27" borderId="35" xfId="0" applyNumberFormat="1" applyFont="1" applyFill="1" applyBorder="1" applyAlignment="1" applyProtection="1">
      <alignment vertical="top"/>
    </xf>
    <xf numFmtId="0" fontId="37" fillId="27" borderId="38" xfId="0" applyNumberFormat="1" applyFont="1" applyFill="1" applyBorder="1" applyAlignment="1" applyProtection="1">
      <alignment vertical="top"/>
    </xf>
    <xf numFmtId="0" fontId="37" fillId="0" borderId="102" xfId="0" applyNumberFormat="1" applyFont="1" applyFill="1" applyBorder="1" applyAlignment="1" applyProtection="1">
      <alignment vertical="top"/>
    </xf>
    <xf numFmtId="175" fontId="4" fillId="27" borderId="69" xfId="0" applyNumberFormat="1" applyFont="1" applyFill="1" applyBorder="1" applyAlignment="1" applyProtection="1">
      <alignment vertical="top"/>
    </xf>
    <xf numFmtId="0" fontId="0" fillId="35" borderId="0" xfId="0" applyFill="1" applyProtection="1"/>
    <xf numFmtId="0" fontId="4" fillId="25" borderId="93" xfId="0" applyNumberFormat="1" applyFont="1" applyFill="1" applyBorder="1" applyAlignment="1" applyProtection="1">
      <alignment horizontal="right" vertical="top"/>
    </xf>
    <xf numFmtId="0" fontId="4" fillId="25" borderId="0" xfId="0" applyFont="1" applyFill="1" applyBorder="1" applyAlignment="1" applyProtection="1">
      <alignment vertical="top"/>
    </xf>
    <xf numFmtId="0" fontId="2" fillId="25" borderId="0" xfId="0" applyNumberFormat="1" applyFont="1" applyFill="1" applyBorder="1" applyAlignment="1" applyProtection="1">
      <alignment vertical="top"/>
    </xf>
    <xf numFmtId="0" fontId="41" fillId="25" borderId="0" xfId="0" applyFont="1" applyFill="1" applyAlignment="1" applyProtection="1">
      <alignment vertical="center"/>
    </xf>
    <xf numFmtId="0" fontId="37" fillId="24" borderId="0" xfId="0" applyNumberFormat="1" applyFont="1" applyFill="1" applyBorder="1" applyAlignment="1" applyProtection="1">
      <alignment horizontal="center" vertical="center"/>
    </xf>
    <xf numFmtId="0" fontId="0" fillId="25" borderId="0" xfId="0" applyFill="1" applyAlignment="1" applyProtection="1">
      <alignment horizontal="center" vertical="center"/>
    </xf>
    <xf numFmtId="0" fontId="2" fillId="25" borderId="0" xfId="0" applyFont="1" applyFill="1" applyAlignment="1" applyProtection="1">
      <alignment horizontal="center" vertical="center"/>
    </xf>
    <xf numFmtId="0" fontId="2" fillId="24" borderId="0" xfId="0" applyFont="1" applyFill="1" applyAlignment="1" applyProtection="1">
      <alignment horizontal="center" vertical="center"/>
    </xf>
    <xf numFmtId="0" fontId="37" fillId="0" borderId="75" xfId="0" applyNumberFormat="1" applyFont="1" applyFill="1" applyBorder="1" applyAlignment="1" applyProtection="1">
      <alignment vertical="top"/>
    </xf>
    <xf numFmtId="0" fontId="27" fillId="25" borderId="0" xfId="0" applyFont="1" applyFill="1" applyBorder="1" applyAlignment="1" applyProtection="1">
      <alignment horizontal="center" vertical="top"/>
    </xf>
    <xf numFmtId="0" fontId="4" fillId="25" borderId="0" xfId="60" applyFont="1" applyFill="1" applyBorder="1" applyAlignment="1" applyProtection="1">
      <alignment vertical="top"/>
    </xf>
    <xf numFmtId="0" fontId="2" fillId="25" borderId="0" xfId="0" applyFont="1" applyFill="1" applyBorder="1" applyAlignment="1" applyProtection="1">
      <alignment horizontal="center" vertical="top"/>
    </xf>
    <xf numFmtId="0" fontId="6" fillId="25" borderId="0" xfId="60" applyFill="1" applyBorder="1" applyAlignment="1" applyProtection="1">
      <alignment horizontal="center" vertical="top"/>
    </xf>
    <xf numFmtId="0" fontId="0" fillId="25" borderId="103" xfId="0" applyFill="1" applyBorder="1" applyAlignment="1" applyProtection="1">
      <alignment vertical="top"/>
    </xf>
    <xf numFmtId="0" fontId="0" fillId="25" borderId="52" xfId="0" applyFill="1" applyBorder="1" applyAlignment="1" applyProtection="1">
      <alignment vertical="top"/>
    </xf>
    <xf numFmtId="0" fontId="0" fillId="25" borderId="74" xfId="0" applyFill="1" applyBorder="1" applyAlignment="1" applyProtection="1">
      <alignment vertical="top"/>
    </xf>
    <xf numFmtId="0" fontId="0" fillId="27" borderId="52" xfId="0" applyFill="1" applyBorder="1" applyAlignment="1" applyProtection="1">
      <alignment vertical="top"/>
    </xf>
    <xf numFmtId="0" fontId="0" fillId="27" borderId="104" xfId="0" applyFill="1" applyBorder="1" applyAlignment="1" applyProtection="1">
      <alignment vertical="top"/>
    </xf>
    <xf numFmtId="0" fontId="0" fillId="25" borderId="67" xfId="0" applyFill="1" applyBorder="1" applyAlignment="1" applyProtection="1">
      <alignment vertical="top"/>
    </xf>
    <xf numFmtId="0" fontId="0" fillId="25" borderId="40" xfId="0" applyFill="1" applyBorder="1" applyAlignment="1" applyProtection="1">
      <alignment vertical="top"/>
    </xf>
    <xf numFmtId="0" fontId="0" fillId="25" borderId="48" xfId="0" applyFill="1" applyBorder="1" applyAlignment="1" applyProtection="1">
      <alignment vertical="top"/>
    </xf>
    <xf numFmtId="0" fontId="0" fillId="27" borderId="40" xfId="0" applyFill="1" applyBorder="1" applyAlignment="1" applyProtection="1">
      <alignment vertical="top"/>
    </xf>
    <xf numFmtId="0" fontId="0" fillId="27" borderId="41" xfId="0" applyFill="1" applyBorder="1" applyAlignment="1" applyProtection="1">
      <alignment vertical="top"/>
    </xf>
    <xf numFmtId="0" fontId="0" fillId="25" borderId="12" xfId="0" applyFill="1" applyBorder="1" applyAlignment="1" applyProtection="1">
      <alignment vertical="top"/>
    </xf>
    <xf numFmtId="0" fontId="4" fillId="25" borderId="19" xfId="0" applyNumberFormat="1" applyFont="1" applyFill="1" applyBorder="1" applyAlignment="1" applyProtection="1">
      <alignment horizontal="right" vertical="top"/>
    </xf>
    <xf numFmtId="0" fontId="2" fillId="24" borderId="0" xfId="0" applyNumberFormat="1" applyFont="1" applyFill="1" applyBorder="1" applyAlignment="1" applyProtection="1">
      <alignment vertical="top"/>
    </xf>
    <xf numFmtId="0" fontId="2" fillId="38" borderId="0" xfId="0" applyFont="1" applyFill="1" applyProtection="1"/>
    <xf numFmtId="0" fontId="2" fillId="24" borderId="105" xfId="0" applyNumberFormat="1" applyFont="1" applyFill="1" applyBorder="1" applyAlignment="1" applyProtection="1">
      <alignment vertical="top"/>
    </xf>
    <xf numFmtId="0" fontId="2" fillId="25" borderId="0" xfId="0" applyNumberFormat="1" applyFont="1" applyFill="1" applyBorder="1" applyAlignment="1" applyProtection="1">
      <alignment horizontal="right" vertical="top"/>
    </xf>
    <xf numFmtId="0" fontId="37" fillId="24" borderId="18" xfId="0" applyNumberFormat="1" applyFont="1" applyFill="1" applyBorder="1" applyAlignment="1" applyProtection="1">
      <alignment horizontal="center" vertical="top"/>
    </xf>
    <xf numFmtId="172" fontId="2" fillId="27" borderId="13" xfId="0" applyNumberFormat="1" applyFont="1" applyFill="1" applyBorder="1" applyAlignment="1" applyProtection="1">
      <alignment vertical="top"/>
    </xf>
    <xf numFmtId="0" fontId="37" fillId="24" borderId="106" xfId="0" applyNumberFormat="1" applyFont="1" applyFill="1" applyBorder="1" applyAlignment="1" applyProtection="1">
      <alignment horizontal="center" vertical="top"/>
    </xf>
    <xf numFmtId="0" fontId="37" fillId="24" borderId="25" xfId="0" applyNumberFormat="1" applyFont="1" applyFill="1" applyBorder="1" applyAlignment="1" applyProtection="1">
      <alignment horizontal="center" vertical="top"/>
    </xf>
    <xf numFmtId="0" fontId="37" fillId="39" borderId="0" xfId="0" applyNumberFormat="1" applyFont="1" applyFill="1" applyBorder="1" applyAlignment="1" applyProtection="1">
      <alignment vertical="top"/>
    </xf>
    <xf numFmtId="0" fontId="4" fillId="25" borderId="0" xfId="0" applyNumberFormat="1" applyFont="1" applyFill="1" applyBorder="1" applyAlignment="1" applyProtection="1">
      <alignment horizontal="center" vertical="top"/>
    </xf>
    <xf numFmtId="0" fontId="4" fillId="25" borderId="11" xfId="0" applyNumberFormat="1" applyFont="1" applyFill="1" applyBorder="1" applyAlignment="1" applyProtection="1">
      <alignment horizontal="right" vertical="top"/>
    </xf>
    <xf numFmtId="173" fontId="37" fillId="40" borderId="13" xfId="0" applyNumberFormat="1" applyFont="1" applyFill="1" applyBorder="1" applyAlignment="1" applyProtection="1">
      <alignment vertical="top"/>
    </xf>
    <xf numFmtId="0" fontId="37" fillId="41" borderId="20" xfId="0" applyNumberFormat="1" applyFont="1" applyFill="1" applyBorder="1" applyAlignment="1" applyProtection="1">
      <alignment horizontal="center" vertical="top"/>
    </xf>
    <xf numFmtId="0" fontId="37" fillId="41" borderId="21" xfId="0" applyNumberFormat="1" applyFont="1" applyFill="1" applyBorder="1" applyAlignment="1" applyProtection="1">
      <alignment horizontal="center" vertical="top"/>
    </xf>
    <xf numFmtId="0" fontId="37" fillId="41" borderId="24" xfId="0" applyNumberFormat="1" applyFont="1" applyFill="1" applyBorder="1" applyAlignment="1" applyProtection="1">
      <alignment horizontal="center" vertical="top"/>
    </xf>
    <xf numFmtId="0" fontId="2" fillId="39" borderId="0" xfId="0" applyNumberFormat="1" applyFont="1" applyFill="1" applyBorder="1" applyAlignment="1" applyProtection="1">
      <alignment vertical="top"/>
    </xf>
    <xf numFmtId="0" fontId="37" fillId="39" borderId="13" xfId="0" applyNumberFormat="1" applyFont="1" applyFill="1" applyBorder="1" applyAlignment="1" applyProtection="1">
      <alignment vertical="top"/>
    </xf>
    <xf numFmtId="0" fontId="37" fillId="24" borderId="77" xfId="0" applyNumberFormat="1" applyFont="1" applyFill="1" applyBorder="1" applyAlignment="1" applyProtection="1">
      <alignment vertical="top"/>
    </xf>
    <xf numFmtId="0" fontId="37" fillId="24" borderId="78" xfId="0" applyNumberFormat="1" applyFont="1" applyFill="1" applyBorder="1" applyAlignment="1" applyProtection="1">
      <alignment vertical="top"/>
    </xf>
    <xf numFmtId="0" fontId="37" fillId="24" borderId="79" xfId="0" applyNumberFormat="1" applyFont="1" applyFill="1" applyBorder="1" applyAlignment="1" applyProtection="1">
      <alignment vertical="top"/>
    </xf>
    <xf numFmtId="0" fontId="0" fillId="0" borderId="0" xfId="0" applyAlignment="1" applyProtection="1">
      <alignment vertical="top" wrapText="1"/>
    </xf>
    <xf numFmtId="173" fontId="37" fillId="42" borderId="66" xfId="0" applyNumberFormat="1" applyFont="1" applyFill="1" applyBorder="1" applyAlignment="1" applyProtection="1">
      <alignment vertical="top"/>
      <protection locked="0"/>
    </xf>
    <xf numFmtId="0" fontId="2" fillId="25" borderId="26" xfId="0" quotePrefix="1" applyNumberFormat="1" applyFont="1" applyFill="1" applyBorder="1" applyAlignment="1" applyProtection="1">
      <alignment horizontal="center" vertical="top"/>
    </xf>
    <xf numFmtId="0" fontId="0" fillId="43" borderId="0" xfId="0" applyFill="1" applyBorder="1" applyAlignment="1" applyProtection="1"/>
    <xf numFmtId="0" fontId="37" fillId="43" borderId="0" xfId="0" applyNumberFormat="1" applyFont="1" applyFill="1" applyBorder="1" applyAlignment="1" applyProtection="1">
      <alignment vertical="top"/>
    </xf>
    <xf numFmtId="0" fontId="4" fillId="43" borderId="18" xfId="0" applyNumberFormat="1" applyFont="1" applyFill="1" applyBorder="1" applyAlignment="1" applyProtection="1">
      <alignment horizontal="center" vertical="top"/>
    </xf>
    <xf numFmtId="0" fontId="4" fillId="43" borderId="93" xfId="0" applyNumberFormat="1" applyFont="1" applyFill="1" applyBorder="1" applyAlignment="1" applyProtection="1">
      <alignment horizontal="right" vertical="top"/>
    </xf>
    <xf numFmtId="0" fontId="2" fillId="43" borderId="27" xfId="0" applyNumberFormat="1" applyFont="1" applyFill="1" applyBorder="1" applyAlignment="1" applyProtection="1">
      <alignment horizontal="center" vertical="top"/>
    </xf>
    <xf numFmtId="0" fontId="37" fillId="43" borderId="27" xfId="0" applyNumberFormat="1" applyFont="1" applyFill="1" applyBorder="1" applyAlignment="1" applyProtection="1">
      <alignment horizontal="center" vertical="top"/>
    </xf>
    <xf numFmtId="0" fontId="37" fillId="43" borderId="20" xfId="0" applyNumberFormat="1" applyFont="1" applyFill="1" applyBorder="1" applyAlignment="1" applyProtection="1">
      <alignment horizontal="center" vertical="top"/>
    </xf>
    <xf numFmtId="0" fontId="0" fillId="43" borderId="58" xfId="0" applyFill="1" applyBorder="1" applyAlignment="1" applyProtection="1"/>
    <xf numFmtId="0" fontId="0" fillId="43" borderId="29" xfId="0" applyFill="1" applyBorder="1" applyAlignment="1" applyProtection="1"/>
    <xf numFmtId="0" fontId="2" fillId="43" borderId="29" xfId="0" applyFont="1" applyFill="1" applyBorder="1" applyAlignment="1" applyProtection="1"/>
    <xf numFmtId="0" fontId="2" fillId="43" borderId="31" xfId="0" applyFont="1" applyFill="1" applyBorder="1" applyAlignment="1" applyProtection="1"/>
    <xf numFmtId="0" fontId="0" fillId="43" borderId="68" xfId="0" applyFill="1" applyBorder="1" applyAlignment="1" applyProtection="1"/>
    <xf numFmtId="0" fontId="37" fillId="43" borderId="68" xfId="0" applyNumberFormat="1" applyFont="1" applyFill="1" applyBorder="1" applyAlignment="1" applyProtection="1">
      <alignment vertical="top"/>
    </xf>
    <xf numFmtId="0" fontId="37" fillId="43" borderId="39" xfId="0" applyNumberFormat="1" applyFont="1" applyFill="1" applyBorder="1" applyAlignment="1" applyProtection="1">
      <alignment vertical="top"/>
    </xf>
    <xf numFmtId="0" fontId="4" fillId="43" borderId="0" xfId="0" applyFont="1" applyFill="1" applyBorder="1" applyAlignment="1" applyProtection="1">
      <alignment horizontal="center" vertical="top"/>
    </xf>
    <xf numFmtId="0" fontId="2" fillId="43" borderId="39" xfId="0" applyFont="1" applyFill="1" applyBorder="1" applyAlignment="1" applyProtection="1"/>
    <xf numFmtId="0" fontId="2" fillId="43" borderId="0" xfId="0" applyFont="1" applyFill="1" applyBorder="1" applyAlignment="1" applyProtection="1"/>
    <xf numFmtId="0" fontId="2" fillId="43" borderId="0" xfId="0" applyFont="1" applyFill="1" applyBorder="1" applyAlignment="1" applyProtection="1">
      <alignment horizontal="right"/>
    </xf>
    <xf numFmtId="0" fontId="0" fillId="43" borderId="67" xfId="0" applyFill="1" applyBorder="1" applyAlignment="1" applyProtection="1"/>
    <xf numFmtId="0" fontId="0" fillId="43" borderId="40" xfId="0" applyFill="1" applyBorder="1" applyAlignment="1" applyProtection="1"/>
    <xf numFmtId="0" fontId="2" fillId="43" borderId="40" xfId="0" applyFont="1" applyFill="1" applyBorder="1" applyAlignment="1" applyProtection="1"/>
    <xf numFmtId="0" fontId="2" fillId="43" borderId="41" xfId="0" applyFont="1" applyFill="1" applyBorder="1" applyAlignment="1" applyProtection="1"/>
    <xf numFmtId="173" fontId="2" fillId="40" borderId="13" xfId="0" applyNumberFormat="1" applyFont="1" applyFill="1" applyBorder="1" applyAlignment="1" applyProtection="1">
      <alignment vertical="top"/>
    </xf>
    <xf numFmtId="173" fontId="37" fillId="42" borderId="13" xfId="0" applyNumberFormat="1" applyFont="1" applyFill="1" applyBorder="1" applyAlignment="1" applyProtection="1">
      <alignment vertical="top"/>
      <protection locked="0"/>
    </xf>
    <xf numFmtId="173" fontId="37" fillId="42" borderId="64" xfId="0" applyNumberFormat="1" applyFont="1" applyFill="1" applyBorder="1" applyAlignment="1" applyProtection="1">
      <alignment vertical="top"/>
      <protection locked="0"/>
    </xf>
    <xf numFmtId="0" fontId="37" fillId="43" borderId="24" xfId="0" applyNumberFormat="1" applyFont="1" applyFill="1" applyBorder="1" applyAlignment="1" applyProtection="1">
      <alignment horizontal="center" vertical="top"/>
    </xf>
    <xf numFmtId="0" fontId="0" fillId="44" borderId="13" xfId="0" applyFill="1" applyBorder="1" applyAlignment="1" applyProtection="1">
      <alignment wrapText="1"/>
    </xf>
    <xf numFmtId="0" fontId="0" fillId="39" borderId="13" xfId="0" applyFill="1" applyBorder="1" applyAlignment="1" applyProtection="1">
      <alignment wrapText="1"/>
    </xf>
    <xf numFmtId="0" fontId="46" fillId="39" borderId="13" xfId="0" applyFont="1" applyFill="1" applyBorder="1" applyAlignment="1" applyProtection="1">
      <alignment wrapText="1"/>
    </xf>
    <xf numFmtId="0" fontId="44" fillId="39" borderId="13" xfId="0" applyFont="1" applyFill="1" applyBorder="1" applyAlignment="1" applyProtection="1">
      <alignment horizontal="left"/>
    </xf>
    <xf numFmtId="0" fontId="0" fillId="39" borderId="13" xfId="0" applyFill="1" applyBorder="1" applyProtection="1"/>
    <xf numFmtId="0" fontId="0" fillId="39" borderId="13" xfId="0" applyFill="1" applyBorder="1" applyAlignment="1" applyProtection="1">
      <alignment horizontal="center"/>
    </xf>
    <xf numFmtId="0" fontId="46" fillId="39" borderId="13" xfId="0" applyFont="1" applyFill="1" applyBorder="1" applyProtection="1"/>
    <xf numFmtId="0" fontId="40" fillId="39" borderId="13" xfId="0" applyFont="1" applyFill="1" applyBorder="1" applyProtection="1"/>
    <xf numFmtId="0" fontId="37" fillId="39" borderId="13" xfId="0" applyNumberFormat="1" applyFont="1" applyFill="1" applyBorder="1" applyAlignment="1" applyProtection="1">
      <alignment horizontal="center" vertical="top"/>
    </xf>
    <xf numFmtId="175" fontId="0" fillId="44" borderId="13" xfId="0" applyNumberFormat="1" applyFill="1" applyBorder="1" applyProtection="1"/>
    <xf numFmtId="10" fontId="68" fillId="44" borderId="13" xfId="66" applyNumberFormat="1" applyFont="1" applyFill="1" applyBorder="1" applyProtection="1"/>
    <xf numFmtId="0" fontId="78" fillId="43" borderId="39" xfId="0" applyFont="1" applyFill="1" applyBorder="1" applyAlignment="1" applyProtection="1">
      <alignment vertical="top" wrapText="1"/>
    </xf>
    <xf numFmtId="0" fontId="37" fillId="25" borderId="19" xfId="0" applyNumberFormat="1" applyFont="1" applyFill="1" applyBorder="1" applyAlignment="1" applyProtection="1">
      <alignment vertical="top"/>
    </xf>
    <xf numFmtId="15" fontId="37" fillId="24" borderId="0" xfId="0" applyNumberFormat="1" applyFont="1" applyFill="1" applyBorder="1" applyAlignment="1" applyProtection="1">
      <alignment vertical="top"/>
    </xf>
    <xf numFmtId="15" fontId="37" fillId="25" borderId="0" xfId="0" applyNumberFormat="1" applyFont="1" applyFill="1" applyBorder="1" applyAlignment="1" applyProtection="1">
      <alignment vertical="top"/>
    </xf>
    <xf numFmtId="15" fontId="2" fillId="25" borderId="0" xfId="0" applyNumberFormat="1" applyFont="1" applyFill="1" applyAlignment="1" applyProtection="1">
      <alignment vertical="top"/>
    </xf>
    <xf numFmtId="0" fontId="4" fillId="0" borderId="70" xfId="0" applyFont="1" applyBorder="1" applyProtection="1"/>
    <xf numFmtId="0" fontId="4" fillId="0" borderId="26" xfId="0" applyFont="1" applyBorder="1" applyProtection="1"/>
    <xf numFmtId="0" fontId="0" fillId="0" borderId="27" xfId="0" applyBorder="1" applyProtection="1"/>
    <xf numFmtId="14" fontId="0" fillId="33" borderId="10" xfId="0" applyNumberFormat="1" applyFill="1" applyBorder="1" applyAlignment="1" applyProtection="1">
      <alignment horizontal="center"/>
    </xf>
    <xf numFmtId="0" fontId="0" fillId="27" borderId="10" xfId="0" applyFill="1" applyBorder="1" applyProtection="1"/>
    <xf numFmtId="0" fontId="2" fillId="27" borderId="107" xfId="0" applyFont="1" applyFill="1" applyBorder="1" applyProtection="1"/>
    <xf numFmtId="0" fontId="0" fillId="27" borderId="106" xfId="0" applyFill="1" applyBorder="1" applyProtection="1"/>
    <xf numFmtId="14" fontId="0" fillId="33" borderId="93" xfId="0" applyNumberFormat="1" applyFill="1" applyBorder="1" applyAlignment="1" applyProtection="1">
      <alignment horizontal="center"/>
    </xf>
    <xf numFmtId="0" fontId="0" fillId="27" borderId="93" xfId="0" applyFill="1" applyBorder="1" applyProtection="1"/>
    <xf numFmtId="0" fontId="2" fillId="27" borderId="19" xfId="0" applyFont="1" applyFill="1" applyBorder="1" applyProtection="1"/>
    <xf numFmtId="0" fontId="0" fillId="27" borderId="18" xfId="0" applyFill="1" applyBorder="1" applyProtection="1"/>
    <xf numFmtId="14" fontId="0" fillId="33" borderId="11" xfId="0" applyNumberFormat="1" applyFill="1" applyBorder="1" applyAlignment="1" applyProtection="1">
      <alignment horizontal="center"/>
    </xf>
    <xf numFmtId="0" fontId="0" fillId="27" borderId="63" xfId="0" applyFill="1" applyBorder="1" applyProtection="1"/>
    <xf numFmtId="0" fontId="0" fillId="27" borderId="25" xfId="0" applyFill="1" applyBorder="1" applyProtection="1"/>
    <xf numFmtId="0" fontId="2" fillId="28" borderId="0" xfId="0" applyFont="1" applyFill="1" applyBorder="1" applyAlignment="1" applyProtection="1">
      <alignment horizontal="left" vertical="top" wrapText="1"/>
    </xf>
    <xf numFmtId="0" fontId="0" fillId="27" borderId="11" xfId="0" applyFill="1" applyBorder="1" applyProtection="1"/>
    <xf numFmtId="0" fontId="2" fillId="31" borderId="0" xfId="0" applyFont="1" applyFill="1" applyBorder="1" applyProtection="1"/>
    <xf numFmtId="0" fontId="2" fillId="39" borderId="0" xfId="0" applyFont="1" applyFill="1" applyProtection="1"/>
    <xf numFmtId="181" fontId="0" fillId="39" borderId="13" xfId="0" applyNumberFormat="1" applyFill="1" applyBorder="1" applyProtection="1"/>
    <xf numFmtId="173" fontId="37" fillId="40" borderId="65" xfId="0" applyNumberFormat="1" applyFont="1" applyFill="1" applyBorder="1" applyAlignment="1" applyProtection="1">
      <alignment vertical="top"/>
    </xf>
    <xf numFmtId="173" fontId="37" fillId="24" borderId="0" xfId="0" applyNumberFormat="1" applyFont="1" applyFill="1" applyBorder="1" applyAlignment="1" applyProtection="1">
      <alignment vertical="top"/>
    </xf>
    <xf numFmtId="173" fontId="37" fillId="40" borderId="10" xfId="0" applyNumberFormat="1" applyFont="1" applyFill="1" applyBorder="1" applyAlignment="1" applyProtection="1">
      <alignment vertical="top"/>
    </xf>
    <xf numFmtId="0" fontId="4" fillId="43" borderId="0" xfId="0" applyFont="1" applyFill="1" applyAlignment="1" applyProtection="1">
      <alignment horizontal="center" vertical="top"/>
    </xf>
    <xf numFmtId="0" fontId="4" fillId="43" borderId="12" xfId="0" applyNumberFormat="1" applyFont="1" applyFill="1" applyBorder="1" applyAlignment="1" applyProtection="1">
      <alignment horizontal="center" vertical="top"/>
    </xf>
    <xf numFmtId="0" fontId="2" fillId="43" borderId="0" xfId="0" applyNumberFormat="1" applyFont="1" applyFill="1" applyBorder="1" applyAlignment="1" applyProtection="1">
      <alignment horizontal="right" vertical="top"/>
    </xf>
    <xf numFmtId="0" fontId="2" fillId="29" borderId="13" xfId="0" applyNumberFormat="1" applyFont="1" applyFill="1" applyBorder="1" applyAlignment="1" applyProtection="1">
      <alignment horizontal="center" vertical="top"/>
      <protection locked="0"/>
    </xf>
    <xf numFmtId="0" fontId="2" fillId="43" borderId="39" xfId="0" applyFont="1" applyFill="1" applyBorder="1" applyAlignment="1" applyProtection="1">
      <alignment horizontal="left"/>
    </xf>
    <xf numFmtId="0" fontId="0" fillId="36" borderId="0" xfId="0" applyFill="1" applyProtection="1"/>
    <xf numFmtId="0" fontId="0" fillId="36" borderId="0" xfId="0" applyFill="1" applyAlignment="1" applyProtection="1">
      <alignment horizontal="center"/>
    </xf>
    <xf numFmtId="0" fontId="0" fillId="36" borderId="0" xfId="0" applyFill="1" applyBorder="1" applyProtection="1"/>
    <xf numFmtId="0" fontId="69" fillId="25" borderId="0" xfId="0" applyFont="1" applyFill="1" applyAlignment="1" applyProtection="1">
      <alignment horizontal="left"/>
    </xf>
    <xf numFmtId="0" fontId="70" fillId="26" borderId="77" xfId="0" quotePrefix="1" applyFont="1" applyFill="1" applyBorder="1" applyAlignment="1" applyProtection="1">
      <alignment horizontal="center"/>
    </xf>
    <xf numFmtId="0" fontId="70" fillId="26" borderId="78" xfId="0" applyFont="1" applyFill="1" applyBorder="1" applyProtection="1"/>
    <xf numFmtId="0" fontId="70" fillId="26" borderId="78" xfId="0" applyFont="1" applyFill="1" applyBorder="1" applyAlignment="1" applyProtection="1">
      <alignment horizontal="center" wrapText="1"/>
    </xf>
    <xf numFmtId="0" fontId="70" fillId="26" borderId="78" xfId="0" applyFont="1" applyFill="1" applyBorder="1" applyAlignment="1" applyProtection="1">
      <alignment wrapText="1"/>
    </xf>
    <xf numFmtId="0" fontId="70" fillId="26" borderId="79" xfId="0" applyFont="1" applyFill="1" applyBorder="1" applyAlignment="1" applyProtection="1">
      <alignment wrapText="1"/>
    </xf>
    <xf numFmtId="0" fontId="0" fillId="25" borderId="11" xfId="0" applyFill="1" applyBorder="1" applyAlignment="1" applyProtection="1">
      <alignment horizontal="center"/>
    </xf>
    <xf numFmtId="0" fontId="0" fillId="25" borderId="13" xfId="0" applyFill="1" applyBorder="1" applyAlignment="1" applyProtection="1">
      <alignment horizontal="center"/>
    </xf>
    <xf numFmtId="4" fontId="0" fillId="25" borderId="0" xfId="0" applyNumberFormat="1" applyFill="1" applyBorder="1" applyAlignment="1" applyProtection="1">
      <alignment horizontal="center"/>
    </xf>
    <xf numFmtId="0" fontId="2" fillId="25" borderId="0" xfId="0" applyFont="1" applyFill="1" applyBorder="1" applyAlignment="1" applyProtection="1">
      <alignment horizontal="center"/>
    </xf>
    <xf numFmtId="3" fontId="0" fillId="25" borderId="0" xfId="0" applyNumberFormat="1" applyFill="1" applyBorder="1" applyAlignment="1" applyProtection="1">
      <alignment horizontal="center"/>
    </xf>
    <xf numFmtId="0" fontId="0" fillId="41" borderId="11" xfId="0" applyFill="1" applyBorder="1" applyAlignment="1" applyProtection="1">
      <alignment horizontal="center"/>
    </xf>
    <xf numFmtId="0" fontId="0" fillId="41" borderId="13" xfId="0" applyFill="1" applyBorder="1" applyAlignment="1" applyProtection="1">
      <alignment horizontal="center"/>
    </xf>
    <xf numFmtId="0" fontId="4" fillId="25" borderId="93" xfId="0" applyNumberFormat="1" applyFont="1" applyFill="1" applyBorder="1" applyAlignment="1" applyProtection="1">
      <alignment horizontal="center" vertical="top"/>
    </xf>
    <xf numFmtId="172" fontId="2" fillId="27" borderId="13" xfId="0" applyNumberFormat="1" applyFont="1" applyFill="1" applyBorder="1" applyAlignment="1" applyProtection="1">
      <alignment horizontal="right" vertical="top"/>
    </xf>
    <xf numFmtId="0" fontId="4" fillId="25" borderId="0" xfId="0" applyNumberFormat="1" applyFont="1" applyFill="1" applyBorder="1" applyAlignment="1" applyProtection="1">
      <alignment horizontal="right" vertical="top"/>
    </xf>
    <xf numFmtId="172" fontId="4" fillId="27" borderId="13" xfId="0" applyNumberFormat="1" applyFont="1" applyFill="1" applyBorder="1" applyAlignment="1" applyProtection="1">
      <alignment horizontal="right" vertical="top"/>
    </xf>
    <xf numFmtId="0" fontId="2" fillId="39" borderId="13" xfId="0" applyNumberFormat="1" applyFont="1" applyFill="1" applyBorder="1" applyAlignment="1" applyProtection="1">
      <alignment horizontal="left" vertical="top"/>
    </xf>
    <xf numFmtId="173" fontId="37" fillId="42" borderId="10" xfId="0" applyNumberFormat="1" applyFont="1" applyFill="1" applyBorder="1" applyAlignment="1" applyProtection="1">
      <alignment vertical="top"/>
      <protection locked="0"/>
    </xf>
    <xf numFmtId="0" fontId="37" fillId="43" borderId="15" xfId="0" applyNumberFormat="1" applyFont="1" applyFill="1" applyBorder="1" applyAlignment="1" applyProtection="1">
      <alignment horizontal="center" vertical="top"/>
    </xf>
    <xf numFmtId="0" fontId="37" fillId="43" borderId="21" xfId="0" applyNumberFormat="1" applyFont="1" applyFill="1" applyBorder="1" applyAlignment="1" applyProtection="1">
      <alignment horizontal="center" vertical="top"/>
    </xf>
    <xf numFmtId="0" fontId="37" fillId="43" borderId="23" xfId="0" applyNumberFormat="1" applyFont="1" applyFill="1" applyBorder="1" applyAlignment="1" applyProtection="1">
      <alignment horizontal="center" vertical="top"/>
    </xf>
    <xf numFmtId="0" fontId="57" fillId="43" borderId="108" xfId="0" applyNumberFormat="1" applyFont="1" applyFill="1" applyBorder="1" applyAlignment="1" applyProtection="1">
      <alignment horizontal="center" vertical="top"/>
    </xf>
    <xf numFmtId="0" fontId="37" fillId="43" borderId="16" xfId="0" applyNumberFormat="1" applyFont="1" applyFill="1" applyBorder="1" applyAlignment="1" applyProtection="1">
      <alignment horizontal="center" vertical="top"/>
    </xf>
    <xf numFmtId="0" fontId="37" fillId="43" borderId="106" xfId="0" applyNumberFormat="1" applyFont="1" applyFill="1" applyBorder="1" applyAlignment="1" applyProtection="1">
      <alignment vertical="top"/>
    </xf>
    <xf numFmtId="173" fontId="37" fillId="42" borderId="65" xfId="0" applyNumberFormat="1" applyFont="1" applyFill="1" applyBorder="1" applyAlignment="1" applyProtection="1">
      <alignment vertical="top"/>
      <protection locked="0"/>
    </xf>
    <xf numFmtId="49" fontId="37" fillId="42" borderId="101" xfId="0" applyNumberFormat="1" applyFont="1" applyFill="1" applyBorder="1" applyAlignment="1" applyProtection="1">
      <alignment horizontal="center" vertical="top"/>
      <protection locked="0"/>
    </xf>
    <xf numFmtId="49" fontId="37" fillId="42" borderId="100" xfId="0" applyNumberFormat="1" applyFont="1" applyFill="1" applyBorder="1" applyAlignment="1" applyProtection="1">
      <alignment horizontal="center" vertical="top"/>
      <protection locked="0"/>
    </xf>
    <xf numFmtId="49" fontId="37" fillId="42" borderId="99" xfId="0" applyNumberFormat="1" applyFont="1" applyFill="1" applyBorder="1" applyAlignment="1" applyProtection="1">
      <alignment horizontal="center" vertical="top"/>
      <protection locked="0"/>
    </xf>
    <xf numFmtId="0" fontId="37" fillId="29" borderId="97" xfId="0" applyNumberFormat="1" applyFont="1" applyFill="1" applyBorder="1" applyAlignment="1" applyProtection="1">
      <alignment horizontal="center" vertical="top"/>
      <protection locked="0"/>
    </xf>
    <xf numFmtId="0" fontId="4" fillId="25" borderId="103" xfId="0" applyNumberFormat="1" applyFont="1" applyFill="1" applyBorder="1" applyAlignment="1" applyProtection="1">
      <alignment vertical="top"/>
    </xf>
    <xf numFmtId="0" fontId="4" fillId="25" borderId="52" xfId="0" applyNumberFormat="1" applyFont="1" applyFill="1" applyBorder="1" applyAlignment="1" applyProtection="1">
      <alignment vertical="top"/>
    </xf>
    <xf numFmtId="0" fontId="4" fillId="27" borderId="96" xfId="0" applyNumberFormat="1" applyFont="1" applyFill="1" applyBorder="1" applyAlignment="1" applyProtection="1">
      <alignment vertical="top"/>
    </xf>
    <xf numFmtId="0" fontId="4" fillId="27" borderId="95" xfId="0" applyNumberFormat="1" applyFont="1" applyFill="1" applyBorder="1" applyAlignment="1" applyProtection="1">
      <alignment vertical="top"/>
    </xf>
    <xf numFmtId="0" fontId="4" fillId="25" borderId="109" xfId="0" applyNumberFormat="1" applyFont="1" applyFill="1" applyBorder="1" applyAlignment="1" applyProtection="1">
      <alignment vertical="top"/>
    </xf>
    <xf numFmtId="0" fontId="4" fillId="25" borderId="15" xfId="0" applyNumberFormat="1" applyFont="1" applyFill="1" applyBorder="1" applyAlignment="1" applyProtection="1">
      <alignment vertical="top"/>
    </xf>
    <xf numFmtId="0" fontId="4" fillId="0" borderId="21" xfId="0" applyNumberFormat="1" applyFont="1" applyFill="1" applyBorder="1" applyAlignment="1" applyProtection="1">
      <alignment horizontal="center" vertical="top"/>
    </xf>
    <xf numFmtId="0" fontId="4" fillId="27" borderId="65" xfId="0" applyNumberFormat="1" applyFont="1" applyFill="1" applyBorder="1" applyAlignment="1" applyProtection="1">
      <alignment vertical="top"/>
    </xf>
    <xf numFmtId="0" fontId="4" fillId="27" borderId="98" xfId="0" applyNumberFormat="1" applyFont="1" applyFill="1" applyBorder="1" applyAlignment="1" applyProtection="1">
      <alignment vertical="top"/>
    </xf>
    <xf numFmtId="0" fontId="37" fillId="27" borderId="15" xfId="0" applyNumberFormat="1" applyFont="1" applyFill="1" applyBorder="1" applyAlignment="1" applyProtection="1">
      <alignment horizontal="center" vertical="top"/>
    </xf>
    <xf numFmtId="0" fontId="2" fillId="24" borderId="69" xfId="0" applyNumberFormat="1" applyFont="1" applyFill="1" applyBorder="1" applyAlignment="1" applyProtection="1">
      <alignment vertical="top"/>
    </xf>
    <xf numFmtId="0" fontId="37" fillId="42" borderId="65" xfId="0" applyNumberFormat="1" applyFont="1" applyFill="1" applyBorder="1" applyAlignment="1" applyProtection="1">
      <alignment horizontal="center" vertical="top"/>
      <protection locked="0"/>
    </xf>
    <xf numFmtId="0" fontId="37" fillId="42" borderId="66" xfId="0" applyNumberFormat="1" applyFont="1" applyFill="1" applyBorder="1" applyAlignment="1" applyProtection="1">
      <alignment horizontal="center" vertical="top"/>
      <protection locked="0"/>
    </xf>
    <xf numFmtId="0" fontId="2" fillId="0" borderId="30" xfId="0" applyNumberFormat="1" applyFont="1" applyFill="1" applyBorder="1" applyAlignment="1" applyProtection="1">
      <alignment vertical="top"/>
    </xf>
    <xf numFmtId="0" fontId="2" fillId="0" borderId="0" xfId="0" applyFont="1" applyProtection="1"/>
    <xf numFmtId="0" fontId="37" fillId="43" borderId="25" xfId="0" applyNumberFormat="1" applyFont="1" applyFill="1" applyBorder="1" applyAlignment="1" applyProtection="1">
      <alignment horizontal="center" vertical="top"/>
    </xf>
    <xf numFmtId="0" fontId="2" fillId="25" borderId="19" xfId="0" applyFont="1" applyFill="1" applyBorder="1" applyAlignment="1" applyProtection="1"/>
    <xf numFmtId="0" fontId="2" fillId="25" borderId="27" xfId="0" applyNumberFormat="1" applyFont="1" applyFill="1" applyBorder="1" applyAlignment="1" applyProtection="1">
      <alignment horizontal="center" vertical="top"/>
    </xf>
    <xf numFmtId="0" fontId="2" fillId="41" borderId="27" xfId="0" applyNumberFormat="1" applyFont="1" applyFill="1" applyBorder="1" applyAlignment="1" applyProtection="1">
      <alignment horizontal="center" vertical="top"/>
    </xf>
    <xf numFmtId="0" fontId="2" fillId="39" borderId="13" xfId="0" applyFont="1" applyFill="1" applyBorder="1" applyProtection="1"/>
    <xf numFmtId="0" fontId="2" fillId="24" borderId="13" xfId="0" applyFont="1" applyFill="1" applyBorder="1" applyAlignment="1" applyProtection="1">
      <alignment horizontal="center"/>
    </xf>
    <xf numFmtId="0" fontId="2" fillId="0" borderId="0" xfId="0" applyNumberFormat="1" applyFont="1" applyFill="1" applyBorder="1" applyAlignment="1" applyProtection="1">
      <alignment vertical="top"/>
    </xf>
    <xf numFmtId="0" fontId="2" fillId="0" borderId="0" xfId="0" applyFont="1" applyFill="1" applyProtection="1"/>
    <xf numFmtId="175" fontId="37" fillId="24" borderId="0" xfId="0" applyNumberFormat="1" applyFont="1" applyFill="1" applyBorder="1" applyAlignment="1" applyProtection="1">
      <alignment vertical="top"/>
    </xf>
    <xf numFmtId="0" fontId="2" fillId="31" borderId="0" xfId="0" applyFont="1" applyFill="1" applyProtection="1"/>
    <xf numFmtId="0" fontId="0" fillId="38" borderId="0" xfId="0" applyFill="1" applyProtection="1"/>
    <xf numFmtId="0" fontId="2" fillId="24" borderId="0" xfId="0" applyFont="1" applyFill="1" applyProtection="1"/>
    <xf numFmtId="0" fontId="2" fillId="25" borderId="20" xfId="0" applyNumberFormat="1" applyFont="1" applyFill="1" applyBorder="1" applyAlignment="1" applyProtection="1">
      <alignment horizontal="center" vertical="top"/>
    </xf>
    <xf numFmtId="0" fontId="2" fillId="25" borderId="21" xfId="0" applyNumberFormat="1" applyFont="1" applyFill="1" applyBorder="1" applyAlignment="1" applyProtection="1">
      <alignment horizontal="center" vertical="top"/>
    </xf>
    <xf numFmtId="4" fontId="2" fillId="40" borderId="65" xfId="0" applyNumberFormat="1" applyFont="1" applyFill="1" applyBorder="1" applyAlignment="1" applyProtection="1">
      <alignment vertical="top"/>
    </xf>
    <xf numFmtId="0" fontId="2" fillId="25" borderId="24" xfId="0" applyNumberFormat="1" applyFont="1" applyFill="1" applyBorder="1" applyAlignment="1" applyProtection="1">
      <alignment horizontal="center" vertical="top"/>
    </xf>
    <xf numFmtId="0" fontId="37" fillId="45" borderId="13" xfId="0" applyNumberFormat="1" applyFont="1" applyFill="1" applyBorder="1" applyAlignment="1" applyProtection="1">
      <alignment horizontal="center" vertical="top"/>
    </xf>
    <xf numFmtId="0" fontId="2" fillId="27" borderId="27" xfId="0" applyNumberFormat="1" applyFont="1" applyFill="1" applyBorder="1" applyAlignment="1" applyProtection="1">
      <alignment vertical="top"/>
    </xf>
    <xf numFmtId="172" fontId="2" fillId="29" borderId="13" xfId="0" applyNumberFormat="1" applyFont="1" applyFill="1" applyBorder="1" applyAlignment="1" applyProtection="1">
      <alignment vertical="top"/>
      <protection locked="0"/>
    </xf>
    <xf numFmtId="0" fontId="0" fillId="42" borderId="11" xfId="0" applyFill="1" applyBorder="1" applyProtection="1">
      <protection locked="0"/>
    </xf>
    <xf numFmtId="4" fontId="0" fillId="42" borderId="11" xfId="0" applyNumberFormat="1" applyFill="1" applyBorder="1" applyAlignment="1" applyProtection="1">
      <alignment horizontal="center"/>
      <protection locked="0"/>
    </xf>
    <xf numFmtId="0" fontId="0" fillId="42" borderId="11" xfId="0" applyFill="1" applyBorder="1" applyAlignment="1" applyProtection="1">
      <alignment horizontal="center"/>
      <protection locked="0"/>
    </xf>
    <xf numFmtId="0" fontId="2" fillId="42" borderId="11" xfId="0" applyFont="1" applyFill="1" applyBorder="1" applyAlignment="1" applyProtection="1">
      <alignment horizontal="center"/>
      <protection locked="0"/>
    </xf>
    <xf numFmtId="195" fontId="0" fillId="42" borderId="11" xfId="0" applyNumberFormat="1" applyFill="1" applyBorder="1" applyAlignment="1" applyProtection="1">
      <alignment horizontal="center"/>
      <protection locked="0"/>
    </xf>
    <xf numFmtId="3" fontId="0" fillId="42" borderId="11" xfId="0" applyNumberFormat="1" applyFill="1" applyBorder="1" applyAlignment="1" applyProtection="1">
      <alignment horizontal="center"/>
      <protection locked="0"/>
    </xf>
    <xf numFmtId="0" fontId="0" fillId="39" borderId="0" xfId="0" applyFill="1" applyProtection="1"/>
    <xf numFmtId="0" fontId="0" fillId="39" borderId="69" xfId="0" applyFill="1" applyBorder="1" applyAlignment="1" applyProtection="1">
      <alignment horizontal="center"/>
    </xf>
    <xf numFmtId="0" fontId="0" fillId="39" borderId="84" xfId="0" applyFill="1" applyBorder="1" applyProtection="1"/>
    <xf numFmtId="0" fontId="0" fillId="39" borderId="0" xfId="0" applyFill="1" applyAlignment="1" applyProtection="1">
      <alignment horizontal="center"/>
    </xf>
    <xf numFmtId="0" fontId="4" fillId="39" borderId="69" xfId="0" applyFont="1" applyFill="1" applyBorder="1" applyAlignment="1" applyProtection="1">
      <alignment horizontal="center"/>
    </xf>
    <xf numFmtId="0" fontId="37" fillId="24" borderId="110" xfId="0" applyNumberFormat="1" applyFont="1" applyFill="1" applyBorder="1" applyAlignment="1" applyProtection="1">
      <alignment vertical="top"/>
    </xf>
    <xf numFmtId="0" fontId="2" fillId="24" borderId="110" xfId="0" applyFont="1" applyFill="1" applyBorder="1" applyAlignment="1" applyProtection="1"/>
    <xf numFmtId="0" fontId="4" fillId="25" borderId="26" xfId="0" applyNumberFormat="1" applyFont="1" applyFill="1" applyBorder="1" applyAlignment="1" applyProtection="1">
      <alignment horizontal="center" vertical="top"/>
    </xf>
    <xf numFmtId="0" fontId="37" fillId="41" borderId="25" xfId="0" applyNumberFormat="1" applyFont="1" applyFill="1" applyBorder="1" applyAlignment="1" applyProtection="1">
      <alignment horizontal="center" vertical="top"/>
    </xf>
    <xf numFmtId="0" fontId="0" fillId="25" borderId="109" xfId="0" applyFill="1" applyBorder="1" applyAlignment="1" applyProtection="1">
      <alignment vertical="top"/>
    </xf>
    <xf numFmtId="0" fontId="0" fillId="25" borderId="15" xfId="0" applyFill="1" applyBorder="1" applyAlignment="1" applyProtection="1">
      <alignment vertical="top"/>
    </xf>
    <xf numFmtId="0" fontId="0" fillId="25" borderId="21" xfId="0" applyFill="1" applyBorder="1" applyAlignment="1" applyProtection="1">
      <alignment vertical="top"/>
    </xf>
    <xf numFmtId="0" fontId="0" fillId="27" borderId="15" xfId="0" applyFill="1" applyBorder="1" applyAlignment="1" applyProtection="1">
      <alignment vertical="top"/>
    </xf>
    <xf numFmtId="0" fontId="0" fillId="27" borderId="35" xfId="0" applyFill="1" applyBorder="1" applyAlignment="1" applyProtection="1">
      <alignment vertical="top"/>
    </xf>
    <xf numFmtId="0" fontId="0" fillId="25" borderId="37" xfId="0" applyFill="1" applyBorder="1" applyAlignment="1" applyProtection="1">
      <alignment vertical="top"/>
    </xf>
    <xf numFmtId="0" fontId="0" fillId="25" borderId="49" xfId="0" applyFill="1" applyBorder="1" applyAlignment="1" applyProtection="1">
      <alignment vertical="top"/>
    </xf>
    <xf numFmtId="0" fontId="0" fillId="40" borderId="37" xfId="0" applyFill="1" applyBorder="1" applyProtection="1"/>
    <xf numFmtId="0" fontId="0" fillId="40" borderId="37" xfId="0" applyFill="1" applyBorder="1" applyAlignment="1" applyProtection="1">
      <alignment vertical="top"/>
    </xf>
    <xf numFmtId="0" fontId="0" fillId="40" borderId="38" xfId="0" applyFill="1" applyBorder="1" applyAlignment="1" applyProtection="1">
      <alignment vertical="top"/>
    </xf>
    <xf numFmtId="0" fontId="2" fillId="25" borderId="57" xfId="0" applyFont="1" applyFill="1" applyBorder="1" applyProtection="1"/>
    <xf numFmtId="0" fontId="4" fillId="25" borderId="25" xfId="0" applyNumberFormat="1" applyFont="1" applyFill="1" applyBorder="1" applyAlignment="1" applyProtection="1">
      <alignment horizontal="right" vertical="top"/>
    </xf>
    <xf numFmtId="0" fontId="41" fillId="41" borderId="0" xfId="0" quotePrefix="1" applyFont="1" applyFill="1" applyAlignment="1" applyProtection="1">
      <alignment horizontal="right" vertical="top" wrapText="1"/>
    </xf>
    <xf numFmtId="0" fontId="2" fillId="39" borderId="0" xfId="0" applyFont="1" applyFill="1" applyAlignment="1" applyProtection="1"/>
    <xf numFmtId="0" fontId="2" fillId="39" borderId="10" xfId="0" applyFont="1" applyFill="1" applyBorder="1" applyAlignment="1" applyProtection="1">
      <alignment horizontal="center" vertical="top"/>
    </xf>
    <xf numFmtId="0" fontId="2" fillId="39" borderId="11" xfId="0" applyFont="1" applyFill="1" applyBorder="1" applyAlignment="1" applyProtection="1">
      <alignment horizontal="center"/>
    </xf>
    <xf numFmtId="0" fontId="37" fillId="39" borderId="91" xfId="0" applyNumberFormat="1" applyFont="1" applyFill="1" applyBorder="1" applyAlignment="1" applyProtection="1">
      <alignment vertical="top"/>
    </xf>
    <xf numFmtId="0" fontId="37" fillId="39" borderId="71" xfId="0" applyNumberFormat="1" applyFont="1" applyFill="1" applyBorder="1" applyAlignment="1" applyProtection="1">
      <alignment vertical="top"/>
    </xf>
    <xf numFmtId="15" fontId="37" fillId="39" borderId="0" xfId="0" applyNumberFormat="1" applyFont="1" applyFill="1" applyBorder="1" applyAlignment="1" applyProtection="1">
      <alignment vertical="top"/>
    </xf>
    <xf numFmtId="0" fontId="2" fillId="39" borderId="69" xfId="0" applyNumberFormat="1" applyFont="1" applyFill="1" applyBorder="1" applyAlignment="1" applyProtection="1">
      <alignment vertical="top"/>
    </xf>
    <xf numFmtId="0" fontId="4" fillId="39" borderId="69" xfId="0" applyNumberFormat="1" applyFont="1" applyFill="1" applyBorder="1" applyAlignment="1" applyProtection="1">
      <alignment horizontal="center" vertical="top"/>
    </xf>
    <xf numFmtId="0" fontId="37" fillId="39" borderId="73" xfId="0" applyNumberFormat="1" applyFont="1" applyFill="1" applyBorder="1" applyAlignment="1" applyProtection="1">
      <alignment horizontal="center" vertical="top"/>
    </xf>
    <xf numFmtId="0" fontId="37" fillId="39" borderId="111" xfId="0" applyNumberFormat="1" applyFont="1" applyFill="1" applyBorder="1" applyAlignment="1" applyProtection="1">
      <alignment horizontal="center" vertical="top"/>
    </xf>
    <xf numFmtId="0" fontId="37" fillId="39" borderId="91" xfId="0" applyNumberFormat="1" applyFont="1" applyFill="1" applyBorder="1" applyAlignment="1" applyProtection="1">
      <alignment horizontal="center" vertical="top"/>
    </xf>
    <xf numFmtId="0" fontId="37" fillId="39" borderId="112" xfId="0" applyNumberFormat="1" applyFont="1" applyFill="1" applyBorder="1" applyAlignment="1" applyProtection="1">
      <alignment horizontal="center" vertical="top"/>
    </xf>
    <xf numFmtId="0" fontId="37" fillId="39" borderId="71" xfId="0" applyNumberFormat="1" applyFont="1" applyFill="1" applyBorder="1" applyAlignment="1" applyProtection="1">
      <alignment horizontal="center" vertical="top"/>
    </xf>
    <xf numFmtId="0" fontId="37" fillId="39" borderId="113" xfId="0" applyNumberFormat="1" applyFont="1" applyFill="1" applyBorder="1" applyAlignment="1" applyProtection="1">
      <alignment horizontal="center" vertical="top"/>
    </xf>
    <xf numFmtId="0" fontId="37" fillId="39" borderId="114" xfId="0" applyNumberFormat="1" applyFont="1" applyFill="1" applyBorder="1" applyAlignment="1" applyProtection="1">
      <alignment vertical="top"/>
    </xf>
    <xf numFmtId="0" fontId="37" fillId="39" borderId="115" xfId="0" applyNumberFormat="1" applyFont="1" applyFill="1" applyBorder="1" applyAlignment="1" applyProtection="1">
      <alignment vertical="top"/>
    </xf>
    <xf numFmtId="0" fontId="37" fillId="39" borderId="0" xfId="0" applyNumberFormat="1" applyFont="1" applyFill="1" applyBorder="1" applyAlignment="1" applyProtection="1">
      <alignment horizontal="center" vertical="top"/>
    </xf>
    <xf numFmtId="172" fontId="37" fillId="39" borderId="73" xfId="0" applyNumberFormat="1" applyFont="1" applyFill="1" applyBorder="1" applyAlignment="1" applyProtection="1">
      <alignment horizontal="center" vertical="top"/>
    </xf>
    <xf numFmtId="0" fontId="37" fillId="39" borderId="0" xfId="0" applyNumberFormat="1" applyFont="1" applyFill="1" applyBorder="1" applyAlignment="1" applyProtection="1">
      <alignment horizontal="left" vertical="top"/>
    </xf>
    <xf numFmtId="0" fontId="37" fillId="44" borderId="73" xfId="0" applyNumberFormat="1" applyFont="1" applyFill="1" applyBorder="1" applyAlignment="1" applyProtection="1">
      <alignment vertical="top"/>
    </xf>
    <xf numFmtId="0" fontId="4" fillId="39" borderId="69" xfId="0" quotePrefix="1" applyFont="1" applyFill="1" applyBorder="1" applyAlignment="1" applyProtection="1">
      <alignment horizontal="center"/>
    </xf>
    <xf numFmtId="0" fontId="37" fillId="39" borderId="26" xfId="0" applyNumberFormat="1" applyFont="1" applyFill="1" applyBorder="1" applyAlignment="1" applyProtection="1">
      <alignment vertical="top"/>
    </xf>
    <xf numFmtId="0" fontId="2" fillId="24" borderId="10" xfId="0" applyNumberFormat="1" applyFont="1" applyFill="1" applyBorder="1" applyAlignment="1" applyProtection="1">
      <alignment vertical="top"/>
    </xf>
    <xf numFmtId="0" fontId="2" fillId="25" borderId="13" xfId="0" applyNumberFormat="1" applyFont="1" applyFill="1" applyBorder="1" applyAlignment="1" applyProtection="1">
      <alignment horizontal="center" vertical="top"/>
    </xf>
    <xf numFmtId="0" fontId="2" fillId="25" borderId="13" xfId="0" applyNumberFormat="1" applyFont="1" applyFill="1" applyBorder="1" applyAlignment="1" applyProtection="1">
      <alignment horizontal="right" vertical="top"/>
    </xf>
    <xf numFmtId="0" fontId="2" fillId="27" borderId="70" xfId="0" applyNumberFormat="1" applyFont="1" applyFill="1" applyBorder="1" applyAlignment="1" applyProtection="1">
      <alignment vertical="top"/>
    </xf>
    <xf numFmtId="0" fontId="2" fillId="27" borderId="26" xfId="0" applyNumberFormat="1" applyFont="1" applyFill="1" applyBorder="1" applyAlignment="1" applyProtection="1">
      <alignment vertical="top"/>
    </xf>
    <xf numFmtId="0" fontId="2" fillId="27" borderId="13" xfId="0" applyNumberFormat="1" applyFont="1" applyFill="1" applyBorder="1" applyAlignment="1" applyProtection="1">
      <alignment horizontal="center" vertical="top"/>
    </xf>
    <xf numFmtId="0" fontId="2" fillId="25" borderId="12" xfId="0" applyNumberFormat="1" applyFont="1" applyFill="1" applyBorder="1" applyAlignment="1" applyProtection="1">
      <alignment vertical="top"/>
    </xf>
    <xf numFmtId="0" fontId="2" fillId="25" borderId="25" xfId="0" applyNumberFormat="1" applyFont="1" applyFill="1" applyBorder="1" applyAlignment="1" applyProtection="1">
      <alignment vertical="top"/>
    </xf>
    <xf numFmtId="0" fontId="2" fillId="25" borderId="70" xfId="0" applyNumberFormat="1" applyFont="1" applyFill="1" applyBorder="1" applyAlignment="1" applyProtection="1">
      <alignment vertical="top"/>
    </xf>
    <xf numFmtId="0" fontId="2" fillId="25" borderId="26" xfId="0" applyNumberFormat="1" applyFont="1" applyFill="1" applyBorder="1" applyAlignment="1" applyProtection="1">
      <alignment vertical="top"/>
    </xf>
    <xf numFmtId="0" fontId="2" fillId="25" borderId="27" xfId="0" applyNumberFormat="1" applyFont="1" applyFill="1" applyBorder="1" applyAlignment="1" applyProtection="1">
      <alignment vertical="top"/>
    </xf>
    <xf numFmtId="0" fontId="2" fillId="25" borderId="107" xfId="0" applyNumberFormat="1" applyFont="1" applyFill="1" applyBorder="1" applyAlignment="1" applyProtection="1">
      <alignment vertical="top"/>
    </xf>
    <xf numFmtId="172" fontId="4" fillId="27" borderId="84" xfId="0" applyNumberFormat="1" applyFont="1" applyFill="1" applyBorder="1" applyAlignment="1" applyProtection="1">
      <alignment vertical="top"/>
    </xf>
    <xf numFmtId="0" fontId="2" fillId="27" borderId="86" xfId="0" applyNumberFormat="1" applyFont="1" applyFill="1" applyBorder="1" applyAlignment="1" applyProtection="1">
      <alignment vertical="top"/>
    </xf>
    <xf numFmtId="0" fontId="0" fillId="43" borderId="39" xfId="0" applyFill="1" applyBorder="1" applyAlignment="1" applyProtection="1">
      <alignment vertical="top"/>
    </xf>
    <xf numFmtId="0" fontId="2" fillId="43" borderId="39" xfId="0" applyFont="1" applyFill="1" applyBorder="1" applyAlignment="1" applyProtection="1">
      <alignment vertical="top"/>
    </xf>
    <xf numFmtId="0" fontId="78" fillId="27" borderId="13" xfId="0" applyNumberFormat="1" applyFont="1" applyFill="1" applyBorder="1" applyAlignment="1" applyProtection="1">
      <alignment horizontal="left" vertical="top"/>
    </xf>
    <xf numFmtId="0" fontId="71" fillId="24" borderId="0" xfId="0" applyNumberFormat="1" applyFont="1" applyFill="1" applyBorder="1" applyAlignment="1" applyProtection="1">
      <alignment vertical="top"/>
    </xf>
    <xf numFmtId="0" fontId="71" fillId="25" borderId="0" xfId="0" applyNumberFormat="1" applyFont="1" applyFill="1" applyBorder="1" applyAlignment="1" applyProtection="1">
      <alignment vertical="top"/>
    </xf>
    <xf numFmtId="0" fontId="47" fillId="25" borderId="0" xfId="0" applyFont="1" applyFill="1" applyAlignment="1" applyProtection="1"/>
    <xf numFmtId="0" fontId="71" fillId="41" borderId="0" xfId="0" applyNumberFormat="1" applyFont="1" applyFill="1" applyBorder="1" applyAlignment="1" applyProtection="1">
      <alignment vertical="top"/>
    </xf>
    <xf numFmtId="0" fontId="0" fillId="39" borderId="0" xfId="0" applyFill="1" applyBorder="1" applyProtection="1"/>
    <xf numFmtId="0" fontId="0" fillId="41" borderId="0" xfId="0" applyFill="1" applyBorder="1" applyProtection="1"/>
    <xf numFmtId="0" fontId="0" fillId="25" borderId="75" xfId="0" applyFill="1" applyBorder="1" applyProtection="1"/>
    <xf numFmtId="0" fontId="0" fillId="39" borderId="0" xfId="0" applyFill="1" applyBorder="1" applyAlignment="1" applyProtection="1"/>
    <xf numFmtId="0" fontId="0" fillId="46" borderId="11" xfId="0" applyFill="1" applyBorder="1" applyProtection="1">
      <protection locked="0"/>
    </xf>
    <xf numFmtId="0" fontId="10" fillId="43" borderId="0" xfId="0" quotePrefix="1" applyFont="1" applyFill="1" applyAlignment="1" applyProtection="1">
      <alignment horizontal="right" vertical="top" wrapText="1"/>
    </xf>
    <xf numFmtId="3" fontId="0" fillId="25" borderId="0" xfId="0" applyNumberFormat="1" applyFill="1" applyProtection="1"/>
    <xf numFmtId="0" fontId="2" fillId="25" borderId="18" xfId="0" applyNumberFormat="1" applyFont="1" applyFill="1" applyBorder="1" applyAlignment="1" applyProtection="1">
      <alignment horizontal="center" vertical="top"/>
    </xf>
    <xf numFmtId="0" fontId="4" fillId="25" borderId="116" xfId="0" applyNumberFormat="1" applyFont="1" applyFill="1" applyBorder="1" applyAlignment="1" applyProtection="1">
      <alignment horizontal="center" vertical="top"/>
    </xf>
    <xf numFmtId="172" fontId="4" fillId="27" borderId="78" xfId="0" applyNumberFormat="1" applyFont="1" applyFill="1" applyBorder="1" applyAlignment="1" applyProtection="1">
      <alignment horizontal="right" vertical="top"/>
    </xf>
    <xf numFmtId="173" fontId="4" fillId="27" borderId="78" xfId="0" applyNumberFormat="1" applyFont="1" applyFill="1" applyBorder="1" applyAlignment="1" applyProtection="1">
      <alignment horizontal="right" vertical="top"/>
    </xf>
    <xf numFmtId="172" fontId="4" fillId="27" borderId="79" xfId="0" applyNumberFormat="1" applyFont="1" applyFill="1" applyBorder="1" applyAlignment="1" applyProtection="1">
      <alignment horizontal="right" vertical="top"/>
    </xf>
    <xf numFmtId="173" fontId="4" fillId="27" borderId="79" xfId="0" applyNumberFormat="1" applyFont="1" applyFill="1" applyBorder="1" applyAlignment="1" applyProtection="1">
      <alignment horizontal="right" vertical="top"/>
    </xf>
    <xf numFmtId="172" fontId="37" fillId="27" borderId="27" xfId="0" applyNumberFormat="1" applyFont="1" applyFill="1" applyBorder="1" applyAlignment="1" applyProtection="1">
      <alignment horizontal="right" vertical="top"/>
    </xf>
    <xf numFmtId="172" fontId="37" fillId="27" borderId="13" xfId="0" applyNumberFormat="1" applyFont="1" applyFill="1" applyBorder="1" applyAlignment="1" applyProtection="1">
      <alignment horizontal="right" vertical="top"/>
    </xf>
    <xf numFmtId="172" fontId="37" fillId="27" borderId="72" xfId="0" applyNumberFormat="1" applyFont="1" applyFill="1" applyBorder="1" applyAlignment="1" applyProtection="1">
      <alignment horizontal="right" vertical="top"/>
    </xf>
    <xf numFmtId="172" fontId="37" fillId="27" borderId="61" xfId="0" applyNumberFormat="1" applyFont="1" applyFill="1" applyBorder="1" applyAlignment="1" applyProtection="1">
      <alignment horizontal="right" vertical="top"/>
    </xf>
    <xf numFmtId="0" fontId="37" fillId="24" borderId="117" xfId="0" applyNumberFormat="1" applyFont="1" applyFill="1" applyBorder="1" applyAlignment="1" applyProtection="1">
      <alignment vertical="top"/>
    </xf>
    <xf numFmtId="0" fontId="0" fillId="39" borderId="0" xfId="0" applyFill="1" applyAlignment="1" applyProtection="1"/>
    <xf numFmtId="0" fontId="0" fillId="25" borderId="11" xfId="0" applyFill="1" applyBorder="1" applyProtection="1"/>
    <xf numFmtId="4" fontId="0" fillId="25" borderId="11" xfId="0" applyNumberFormat="1" applyFill="1" applyBorder="1" applyAlignment="1" applyProtection="1">
      <alignment horizontal="center"/>
    </xf>
    <xf numFmtId="0" fontId="2" fillId="25" borderId="11" xfId="0" applyFont="1" applyFill="1" applyBorder="1" applyAlignment="1" applyProtection="1">
      <alignment horizontal="center"/>
    </xf>
    <xf numFmtId="195" fontId="0" fillId="25" borderId="11" xfId="0" applyNumberFormat="1" applyFill="1" applyBorder="1" applyAlignment="1" applyProtection="1">
      <alignment horizontal="center"/>
    </xf>
    <xf numFmtId="0" fontId="0" fillId="25" borderId="0" xfId="0" applyNumberFormat="1" applyFont="1" applyFill="1" applyBorder="1" applyAlignment="1" applyProtection="1">
      <alignment vertical="top"/>
    </xf>
    <xf numFmtId="3" fontId="0" fillId="25" borderId="11" xfId="0" applyNumberFormat="1" applyFill="1" applyBorder="1" applyAlignment="1" applyProtection="1">
      <alignment horizontal="center"/>
    </xf>
    <xf numFmtId="0" fontId="0" fillId="41" borderId="75" xfId="0" applyFill="1" applyBorder="1" applyAlignment="1" applyProtection="1">
      <alignment horizontal="center"/>
    </xf>
    <xf numFmtId="195" fontId="0" fillId="25" borderId="75" xfId="0" applyNumberFormat="1" applyFill="1" applyBorder="1" applyAlignment="1" applyProtection="1">
      <alignment horizontal="center"/>
    </xf>
    <xf numFmtId="3" fontId="0" fillId="25" borderId="75" xfId="0" applyNumberFormat="1" applyFill="1" applyBorder="1" applyAlignment="1" applyProtection="1">
      <alignment horizontal="center"/>
    </xf>
    <xf numFmtId="0" fontId="2" fillId="43" borderId="0" xfId="0" applyFont="1" applyFill="1" applyBorder="1" applyAlignment="1" applyProtection="1">
      <alignment horizontal="right" vertical="top"/>
    </xf>
    <xf numFmtId="0" fontId="37" fillId="41" borderId="0" xfId="0" applyNumberFormat="1" applyFont="1" applyFill="1" applyBorder="1" applyAlignment="1" applyProtection="1">
      <alignment vertical="top"/>
    </xf>
    <xf numFmtId="0" fontId="2" fillId="41" borderId="0" xfId="0" applyNumberFormat="1" applyFont="1" applyFill="1" applyBorder="1" applyAlignment="1" applyProtection="1">
      <alignment vertical="top"/>
    </xf>
    <xf numFmtId="0" fontId="2" fillId="43" borderId="39" xfId="0" applyFont="1" applyFill="1" applyBorder="1" applyAlignment="1" applyProtection="1">
      <alignment horizontal="left" vertical="top"/>
    </xf>
    <xf numFmtId="173" fontId="37" fillId="40" borderId="64" xfId="0" applyNumberFormat="1" applyFont="1" applyFill="1" applyBorder="1" applyAlignment="1" applyProtection="1">
      <alignment vertical="top"/>
    </xf>
    <xf numFmtId="173" fontId="37" fillId="40" borderId="66" xfId="0" applyNumberFormat="1" applyFont="1" applyFill="1" applyBorder="1" applyAlignment="1" applyProtection="1">
      <alignment vertical="top"/>
    </xf>
    <xf numFmtId="0" fontId="4" fillId="41" borderId="0" xfId="0" applyNumberFormat="1" applyFont="1" applyFill="1" applyBorder="1" applyAlignment="1" applyProtection="1">
      <alignment vertical="top"/>
    </xf>
    <xf numFmtId="15" fontId="37" fillId="41" borderId="0" xfId="0" applyNumberFormat="1" applyFont="1" applyFill="1" applyBorder="1" applyAlignment="1" applyProtection="1">
      <alignment vertical="top"/>
    </xf>
    <xf numFmtId="0" fontId="2" fillId="25" borderId="18" xfId="0" applyNumberFormat="1" applyFont="1" applyFill="1" applyBorder="1" applyAlignment="1" applyProtection="1">
      <alignment horizontal="right" vertical="top"/>
    </xf>
    <xf numFmtId="191" fontId="37" fillId="27" borderId="13" xfId="0" applyNumberFormat="1" applyFont="1" applyFill="1" applyBorder="1" applyAlignment="1" applyProtection="1">
      <alignment vertical="top"/>
    </xf>
    <xf numFmtId="0" fontId="4" fillId="24" borderId="77" xfId="0" applyNumberFormat="1" applyFont="1" applyFill="1" applyBorder="1" applyAlignment="1" applyProtection="1">
      <alignment vertical="top"/>
    </xf>
    <xf numFmtId="0" fontId="4" fillId="24" borderId="78" xfId="0" applyNumberFormat="1" applyFont="1" applyFill="1" applyBorder="1" applyAlignment="1" applyProtection="1">
      <alignment vertical="top"/>
    </xf>
    <xf numFmtId="0" fontId="4" fillId="24" borderId="79" xfId="0" applyNumberFormat="1" applyFont="1" applyFill="1" applyBorder="1" applyAlignment="1" applyProtection="1">
      <alignment vertical="top"/>
    </xf>
    <xf numFmtId="0" fontId="4" fillId="24" borderId="84" xfId="0" applyNumberFormat="1" applyFont="1" applyFill="1" applyBorder="1" applyAlignment="1" applyProtection="1">
      <alignment vertical="top"/>
    </xf>
    <xf numFmtId="0" fontId="37" fillId="39" borderId="70" xfId="0" applyNumberFormat="1" applyFont="1" applyFill="1" applyBorder="1" applyAlignment="1" applyProtection="1">
      <alignment vertical="top"/>
    </xf>
    <xf numFmtId="0" fontId="2" fillId="47" borderId="73" xfId="0" applyNumberFormat="1" applyFont="1" applyFill="1" applyBorder="1" applyAlignment="1" applyProtection="1">
      <alignment vertical="top"/>
    </xf>
    <xf numFmtId="0" fontId="2" fillId="24" borderId="91" xfId="0" applyNumberFormat="1" applyFont="1" applyFill="1" applyBorder="1" applyAlignment="1" applyProtection="1">
      <alignment vertical="top"/>
    </xf>
    <xf numFmtId="0" fontId="2" fillId="24" borderId="71" xfId="0" applyNumberFormat="1" applyFont="1" applyFill="1" applyBorder="1" applyAlignment="1" applyProtection="1">
      <alignment vertical="top"/>
    </xf>
    <xf numFmtId="0" fontId="37" fillId="47" borderId="73" xfId="0" applyNumberFormat="1" applyFont="1" applyFill="1" applyBorder="1" applyAlignment="1" applyProtection="1">
      <alignment vertical="top"/>
    </xf>
    <xf numFmtId="0" fontId="37" fillId="39" borderId="110" xfId="0" applyNumberFormat="1" applyFont="1" applyFill="1" applyBorder="1" applyAlignment="1" applyProtection="1">
      <alignment vertical="top"/>
    </xf>
    <xf numFmtId="0" fontId="37" fillId="39" borderId="10" xfId="0" applyNumberFormat="1" applyFont="1" applyFill="1" applyBorder="1" applyAlignment="1" applyProtection="1">
      <alignment horizontal="center" vertical="top"/>
    </xf>
    <xf numFmtId="0" fontId="37" fillId="39" borderId="93" xfId="0" applyNumberFormat="1" applyFont="1" applyFill="1" applyBorder="1" applyAlignment="1" applyProtection="1">
      <alignment horizontal="center" vertical="top"/>
    </xf>
    <xf numFmtId="0" fontId="37" fillId="39" borderId="11" xfId="0" applyNumberFormat="1" applyFont="1" applyFill="1" applyBorder="1" applyAlignment="1" applyProtection="1">
      <alignment horizontal="center" vertical="top"/>
    </xf>
    <xf numFmtId="0" fontId="4" fillId="25" borderId="0" xfId="0" quotePrefix="1" applyFont="1" applyFill="1" applyAlignment="1" applyProtection="1">
      <alignment horizontal="center" vertical="top"/>
    </xf>
    <xf numFmtId="0" fontId="37" fillId="44" borderId="71" xfId="0" applyNumberFormat="1" applyFont="1" applyFill="1" applyBorder="1" applyAlignment="1" applyProtection="1">
      <alignment vertical="top"/>
    </xf>
    <xf numFmtId="0" fontId="72" fillId="24" borderId="0" xfId="0" applyNumberFormat="1" applyFont="1" applyFill="1" applyBorder="1" applyAlignment="1" applyProtection="1">
      <alignment vertical="top"/>
    </xf>
    <xf numFmtId="0" fontId="72" fillId="25" borderId="0" xfId="0" applyNumberFormat="1" applyFont="1" applyFill="1" applyBorder="1" applyAlignment="1" applyProtection="1">
      <alignment vertical="top"/>
    </xf>
    <xf numFmtId="0" fontId="72" fillId="25" borderId="20" xfId="0" applyNumberFormat="1" applyFont="1" applyFill="1" applyBorder="1" applyAlignment="1" applyProtection="1">
      <alignment horizontal="center" vertical="top"/>
    </xf>
    <xf numFmtId="0" fontId="72" fillId="25" borderId="21" xfId="0" applyNumberFormat="1" applyFont="1" applyFill="1" applyBorder="1" applyAlignment="1" applyProtection="1">
      <alignment horizontal="center" vertical="top"/>
    </xf>
    <xf numFmtId="0" fontId="72" fillId="25" borderId="24" xfId="0" applyNumberFormat="1" applyFont="1" applyFill="1" applyBorder="1" applyAlignment="1" applyProtection="1">
      <alignment horizontal="center" vertical="top"/>
    </xf>
    <xf numFmtId="49" fontId="72" fillId="42" borderId="64" xfId="0" applyNumberFormat="1" applyFont="1" applyFill="1" applyBorder="1" applyAlignment="1" applyProtection="1">
      <alignment horizontal="center" vertical="top"/>
      <protection locked="0"/>
    </xf>
    <xf numFmtId="49" fontId="72" fillId="42" borderId="65" xfId="0" applyNumberFormat="1" applyFont="1" applyFill="1" applyBorder="1" applyAlignment="1" applyProtection="1">
      <alignment horizontal="center" vertical="top"/>
      <protection locked="0"/>
    </xf>
    <xf numFmtId="49" fontId="72" fillId="42" borderId="66" xfId="0" applyNumberFormat="1" applyFont="1" applyFill="1" applyBorder="1" applyAlignment="1" applyProtection="1">
      <alignment horizontal="center" vertical="top"/>
      <protection locked="0"/>
    </xf>
    <xf numFmtId="0" fontId="37" fillId="41" borderId="14" xfId="0" applyNumberFormat="1" applyFont="1" applyFill="1" applyBorder="1" applyAlignment="1" applyProtection="1">
      <alignment horizontal="center" vertical="top"/>
    </xf>
    <xf numFmtId="0" fontId="37" fillId="41" borderId="15" xfId="0" applyNumberFormat="1" applyFont="1" applyFill="1" applyBorder="1" applyAlignment="1" applyProtection="1">
      <alignment horizontal="center" vertical="top"/>
    </xf>
    <xf numFmtId="0" fontId="37" fillId="41" borderId="16" xfId="0" applyNumberFormat="1" applyFont="1" applyFill="1" applyBorder="1" applyAlignment="1" applyProtection="1">
      <alignment horizontal="center" vertical="top"/>
    </xf>
    <xf numFmtId="0" fontId="37" fillId="41" borderId="0" xfId="0" applyNumberFormat="1" applyFont="1" applyFill="1" applyBorder="1" applyAlignment="1" applyProtection="1">
      <alignment horizontal="center" vertical="center"/>
    </xf>
    <xf numFmtId="0" fontId="2" fillId="24" borderId="0" xfId="0" applyNumberFormat="1" applyFont="1" applyFill="1" applyBorder="1" applyAlignment="1" applyProtection="1">
      <alignment horizontal="right" vertical="top"/>
    </xf>
    <xf numFmtId="0" fontId="37" fillId="46" borderId="66" xfId="0" applyNumberFormat="1" applyFont="1" applyFill="1" applyBorder="1" applyAlignment="1" applyProtection="1">
      <alignment horizontal="center" vertical="top"/>
      <protection locked="0"/>
    </xf>
    <xf numFmtId="0" fontId="37" fillId="44" borderId="69" xfId="0" applyNumberFormat="1" applyFont="1" applyFill="1" applyBorder="1" applyAlignment="1" applyProtection="1">
      <alignment vertical="top"/>
    </xf>
    <xf numFmtId="0" fontId="37" fillId="24" borderId="118" xfId="0" applyNumberFormat="1" applyFont="1" applyFill="1" applyBorder="1" applyAlignment="1" applyProtection="1">
      <alignment horizontal="center" vertical="top"/>
    </xf>
    <xf numFmtId="0" fontId="37" fillId="41" borderId="23" xfId="0" applyNumberFormat="1" applyFont="1" applyFill="1" applyBorder="1" applyAlignment="1" applyProtection="1">
      <alignment horizontal="center" vertical="top"/>
    </xf>
    <xf numFmtId="0" fontId="37" fillId="41" borderId="108" xfId="0" applyNumberFormat="1" applyFont="1" applyFill="1" applyBorder="1" applyAlignment="1" applyProtection="1">
      <alignment horizontal="center" vertical="top"/>
    </xf>
    <xf numFmtId="0" fontId="4" fillId="41" borderId="74" xfId="0" applyNumberFormat="1" applyFont="1" applyFill="1" applyBorder="1" applyAlignment="1" applyProtection="1">
      <alignment horizontal="center" vertical="top"/>
    </xf>
    <xf numFmtId="0" fontId="4" fillId="41" borderId="49" xfId="0" applyNumberFormat="1" applyFont="1" applyFill="1" applyBorder="1" applyAlignment="1" applyProtection="1">
      <alignment horizontal="center" vertical="top"/>
    </xf>
    <xf numFmtId="0" fontId="2" fillId="41" borderId="20" xfId="0" applyNumberFormat="1" applyFont="1" applyFill="1" applyBorder="1" applyAlignment="1" applyProtection="1">
      <alignment horizontal="center" vertical="top"/>
    </xf>
    <xf numFmtId="0" fontId="2" fillId="27" borderId="27" xfId="0" applyNumberFormat="1" applyFont="1" applyFill="1" applyBorder="1" applyAlignment="1" applyProtection="1">
      <alignment horizontal="center" vertical="top"/>
    </xf>
    <xf numFmtId="173" fontId="2" fillId="29" borderId="13" xfId="0" applyNumberFormat="1" applyFont="1" applyFill="1" applyBorder="1" applyAlignment="1" applyProtection="1">
      <alignment vertical="top"/>
      <protection locked="0"/>
    </xf>
    <xf numFmtId="0" fontId="2" fillId="27" borderId="25" xfId="0" applyNumberFormat="1" applyFont="1" applyFill="1" applyBorder="1" applyAlignment="1" applyProtection="1">
      <alignment horizontal="center" vertical="top"/>
    </xf>
    <xf numFmtId="0" fontId="2" fillId="39" borderId="73" xfId="0" applyNumberFormat="1" applyFont="1" applyFill="1" applyBorder="1" applyAlignment="1" applyProtection="1">
      <alignment vertical="top"/>
    </xf>
    <xf numFmtId="173" fontId="2" fillId="29" borderId="65" xfId="0" applyNumberFormat="1" applyFont="1" applyFill="1" applyBorder="1" applyAlignment="1" applyProtection="1">
      <alignment vertical="top"/>
      <protection locked="0"/>
    </xf>
    <xf numFmtId="0" fontId="2" fillId="39" borderId="71" xfId="0" applyNumberFormat="1" applyFont="1" applyFill="1" applyBorder="1" applyAlignment="1" applyProtection="1">
      <alignment vertical="top"/>
    </xf>
    <xf numFmtId="0" fontId="4" fillId="27" borderId="74" xfId="0" applyNumberFormat="1" applyFont="1" applyFill="1" applyBorder="1" applyAlignment="1" applyProtection="1">
      <alignment horizontal="center" vertical="top"/>
    </xf>
    <xf numFmtId="173" fontId="4" fillId="29" borderId="96" xfId="0" applyNumberFormat="1" applyFont="1" applyFill="1" applyBorder="1" applyAlignment="1" applyProtection="1">
      <alignment vertical="top"/>
      <protection locked="0"/>
    </xf>
    <xf numFmtId="173" fontId="4" fillId="29" borderId="95" xfId="0" applyNumberFormat="1" applyFont="1" applyFill="1" applyBorder="1" applyAlignment="1" applyProtection="1">
      <alignment vertical="top"/>
      <protection locked="0"/>
    </xf>
    <xf numFmtId="0" fontId="4" fillId="27" borderId="49" xfId="0" applyNumberFormat="1" applyFont="1" applyFill="1" applyBorder="1" applyAlignment="1" applyProtection="1">
      <alignment horizontal="center" vertical="top"/>
    </xf>
    <xf numFmtId="173" fontId="4" fillId="29" borderId="54" xfId="0" applyNumberFormat="1" applyFont="1" applyFill="1" applyBorder="1" applyAlignment="1" applyProtection="1">
      <alignment vertical="top"/>
      <protection locked="0"/>
    </xf>
    <xf numFmtId="173" fontId="4" fillId="29" borderId="53" xfId="0" applyNumberFormat="1" applyFont="1" applyFill="1" applyBorder="1" applyAlignment="1" applyProtection="1">
      <alignment vertical="top"/>
      <protection locked="0"/>
    </xf>
    <xf numFmtId="173" fontId="2" fillId="27" borderId="11" xfId="0" applyNumberFormat="1" applyFont="1" applyFill="1" applyBorder="1" applyAlignment="1" applyProtection="1">
      <alignment vertical="top"/>
    </xf>
    <xf numFmtId="173" fontId="4" fillId="27" borderId="96" xfId="0" applyNumberFormat="1" applyFont="1" applyFill="1" applyBorder="1" applyAlignment="1" applyProtection="1">
      <alignment vertical="top"/>
    </xf>
    <xf numFmtId="173" fontId="4" fillId="27" borderId="95" xfId="0" applyNumberFormat="1" applyFont="1" applyFill="1" applyBorder="1" applyAlignment="1" applyProtection="1">
      <alignment vertical="top"/>
    </xf>
    <xf numFmtId="173" fontId="4" fillId="27" borderId="53" xfId="0" applyNumberFormat="1" applyFont="1" applyFill="1" applyBorder="1" applyAlignment="1" applyProtection="1">
      <alignment vertical="top"/>
    </xf>
    <xf numFmtId="0" fontId="2" fillId="39" borderId="110" xfId="0" applyNumberFormat="1" applyFont="1" applyFill="1" applyBorder="1" applyAlignment="1" applyProtection="1">
      <alignment vertical="top"/>
    </xf>
    <xf numFmtId="0" fontId="2" fillId="39" borderId="110" xfId="0" applyFont="1" applyFill="1" applyBorder="1" applyAlignment="1" applyProtection="1"/>
    <xf numFmtId="0" fontId="2" fillId="25" borderId="0" xfId="0" quotePrefix="1" applyFont="1" applyFill="1" applyAlignment="1" applyProtection="1">
      <alignment horizontal="right" vertical="top"/>
    </xf>
    <xf numFmtId="173" fontId="37" fillId="46" borderId="13" xfId="0" applyNumberFormat="1" applyFont="1" applyFill="1" applyBorder="1" applyAlignment="1" applyProtection="1">
      <alignment vertical="top"/>
      <protection locked="0"/>
    </xf>
    <xf numFmtId="173" fontId="2" fillId="42" borderId="13" xfId="0" applyNumberFormat="1" applyFont="1" applyFill="1" applyBorder="1" applyAlignment="1" applyProtection="1">
      <alignment vertical="top"/>
      <protection locked="0"/>
    </xf>
    <xf numFmtId="0" fontId="72" fillId="41" borderId="0" xfId="0" applyNumberFormat="1" applyFont="1" applyFill="1" applyBorder="1" applyAlignment="1" applyProtection="1">
      <alignment vertical="top"/>
    </xf>
    <xf numFmtId="0" fontId="37" fillId="42" borderId="14" xfId="0" applyNumberFormat="1" applyFont="1" applyFill="1" applyBorder="1" applyAlignment="1" applyProtection="1">
      <alignment horizontal="center" vertical="top"/>
      <protection locked="0"/>
    </xf>
    <xf numFmtId="0" fontId="37" fillId="42" borderId="15" xfId="0" applyNumberFormat="1" applyFont="1" applyFill="1" applyBorder="1" applyAlignment="1" applyProtection="1">
      <alignment horizontal="center" vertical="top"/>
      <protection locked="0"/>
    </xf>
    <xf numFmtId="0" fontId="37" fillId="42" borderId="16" xfId="0" applyNumberFormat="1" applyFont="1" applyFill="1" applyBorder="1" applyAlignment="1" applyProtection="1">
      <alignment horizontal="center" vertical="top"/>
      <protection locked="0"/>
    </xf>
    <xf numFmtId="0" fontId="37" fillId="24" borderId="50" xfId="0" applyNumberFormat="1" applyFont="1" applyFill="1" applyBorder="1" applyAlignment="1" applyProtection="1">
      <alignment vertical="top"/>
    </xf>
    <xf numFmtId="0" fontId="37" fillId="24" borderId="68" xfId="0" applyNumberFormat="1" applyFont="1" applyFill="1" applyBorder="1" applyAlignment="1" applyProtection="1">
      <alignment vertical="top"/>
    </xf>
    <xf numFmtId="0" fontId="37" fillId="24" borderId="118" xfId="0" applyNumberFormat="1" applyFont="1" applyFill="1" applyBorder="1" applyAlignment="1" applyProtection="1">
      <alignment vertical="top"/>
    </xf>
    <xf numFmtId="0" fontId="37" fillId="24" borderId="11" xfId="0" applyNumberFormat="1" applyFont="1" applyFill="1" applyBorder="1" applyAlignment="1" applyProtection="1">
      <alignment vertical="top"/>
    </xf>
    <xf numFmtId="0" fontId="37" fillId="24" borderId="119" xfId="0" applyNumberFormat="1" applyFont="1" applyFill="1" applyBorder="1" applyAlignment="1" applyProtection="1">
      <alignment vertical="top"/>
    </xf>
    <xf numFmtId="0" fontId="4" fillId="24" borderId="116" xfId="0" applyNumberFormat="1" applyFont="1" applyFill="1" applyBorder="1" applyAlignment="1" applyProtection="1">
      <alignment vertical="top"/>
    </xf>
    <xf numFmtId="0" fontId="4" fillId="24" borderId="86" xfId="0" applyNumberFormat="1" applyFont="1" applyFill="1" applyBorder="1" applyAlignment="1" applyProtection="1">
      <alignment vertical="top"/>
    </xf>
    <xf numFmtId="0" fontId="37" fillId="44" borderId="91" xfId="0" applyNumberFormat="1" applyFont="1" applyFill="1" applyBorder="1" applyAlignment="1" applyProtection="1">
      <alignment vertical="top"/>
    </xf>
    <xf numFmtId="0" fontId="2" fillId="48" borderId="11" xfId="0" applyFont="1" applyFill="1" applyBorder="1" applyAlignment="1" applyProtection="1">
      <alignment horizontal="center"/>
    </xf>
    <xf numFmtId="4" fontId="0" fillId="48" borderId="11" xfId="0" applyNumberFormat="1" applyFill="1" applyBorder="1" applyAlignment="1" applyProtection="1">
      <alignment horizontal="center"/>
    </xf>
    <xf numFmtId="0" fontId="0" fillId="48" borderId="11" xfId="0" applyFill="1" applyBorder="1" applyAlignment="1" applyProtection="1">
      <alignment horizontal="center"/>
    </xf>
    <xf numFmtId="3" fontId="0" fillId="48" borderId="11" xfId="0" applyNumberFormat="1" applyFill="1" applyBorder="1" applyAlignment="1" applyProtection="1">
      <alignment horizontal="center"/>
    </xf>
    <xf numFmtId="0" fontId="0" fillId="48" borderId="75" xfId="0" applyFill="1" applyBorder="1" applyProtection="1"/>
    <xf numFmtId="4" fontId="0" fillId="48" borderId="75" xfId="0" applyNumberFormat="1" applyFill="1" applyBorder="1" applyAlignment="1" applyProtection="1">
      <alignment horizontal="center"/>
    </xf>
    <xf numFmtId="0" fontId="0" fillId="48" borderId="75" xfId="0" applyFill="1" applyBorder="1" applyAlignment="1" applyProtection="1">
      <alignment horizontal="center"/>
    </xf>
    <xf numFmtId="0" fontId="2" fillId="48" borderId="75" xfId="0" applyFont="1" applyFill="1" applyBorder="1" applyAlignment="1" applyProtection="1">
      <alignment horizontal="center"/>
    </xf>
    <xf numFmtId="0" fontId="0" fillId="48" borderId="11" xfId="0" applyFill="1" applyBorder="1" applyProtection="1"/>
    <xf numFmtId="10" fontId="37" fillId="41" borderId="13" xfId="0" applyNumberFormat="1" applyFont="1" applyFill="1" applyBorder="1" applyAlignment="1" applyProtection="1">
      <alignment vertical="top"/>
    </xf>
    <xf numFmtId="0" fontId="2" fillId="44" borderId="73" xfId="0" applyNumberFormat="1" applyFont="1" applyFill="1" applyBorder="1" applyAlignment="1" applyProtection="1">
      <alignment vertical="top"/>
    </xf>
    <xf numFmtId="0" fontId="2" fillId="44" borderId="71" xfId="0" applyNumberFormat="1" applyFont="1" applyFill="1" applyBorder="1" applyAlignment="1" applyProtection="1">
      <alignment vertical="top"/>
    </xf>
    <xf numFmtId="0" fontId="4" fillId="49" borderId="84" xfId="0" applyFont="1" applyFill="1" applyBorder="1" applyProtection="1"/>
    <xf numFmtId="0" fontId="0" fillId="49" borderId="69" xfId="0" applyFill="1" applyBorder="1" applyProtection="1"/>
    <xf numFmtId="0" fontId="0" fillId="49" borderId="0" xfId="0" applyFill="1" applyBorder="1" applyAlignment="1" applyProtection="1">
      <alignment horizontal="center" vertical="center" wrapText="1"/>
    </xf>
    <xf numFmtId="0" fontId="4" fillId="49" borderId="69" xfId="0" applyFont="1" applyFill="1" applyBorder="1" applyProtection="1"/>
    <xf numFmtId="0" fontId="33" fillId="49" borderId="69" xfId="60" applyFont="1" applyFill="1" applyBorder="1" applyAlignment="1" applyProtection="1">
      <alignment vertical="top" wrapText="1"/>
    </xf>
    <xf numFmtId="0" fontId="2" fillId="0" borderId="75" xfId="0" applyNumberFormat="1" applyFont="1" applyFill="1" applyBorder="1" applyAlignment="1" applyProtection="1">
      <alignment vertical="top"/>
    </xf>
    <xf numFmtId="0" fontId="37" fillId="40" borderId="20" xfId="0" applyNumberFormat="1" applyFont="1" applyFill="1" applyBorder="1" applyAlignment="1" applyProtection="1">
      <alignment horizontal="center" vertical="top"/>
    </xf>
    <xf numFmtId="0" fontId="37" fillId="40" borderId="21" xfId="0" applyNumberFormat="1" applyFont="1" applyFill="1" applyBorder="1" applyAlignment="1" applyProtection="1">
      <alignment horizontal="center" vertical="top"/>
    </xf>
    <xf numFmtId="0" fontId="37" fillId="40" borderId="49" xfId="0" applyNumberFormat="1" applyFont="1" applyFill="1" applyBorder="1" applyAlignment="1" applyProtection="1">
      <alignment horizontal="center" vertical="top"/>
    </xf>
    <xf numFmtId="0" fontId="48" fillId="40" borderId="26" xfId="0" applyNumberFormat="1" applyFont="1" applyFill="1" applyBorder="1" applyAlignment="1" applyProtection="1">
      <alignment vertical="top"/>
    </xf>
    <xf numFmtId="0" fontId="37" fillId="40" borderId="0" xfId="0" applyNumberFormat="1" applyFont="1" applyFill="1" applyBorder="1" applyAlignment="1" applyProtection="1">
      <alignment vertical="top"/>
    </xf>
    <xf numFmtId="0" fontId="37" fillId="40" borderId="40" xfId="0" applyNumberFormat="1" applyFont="1" applyFill="1" applyBorder="1" applyAlignment="1" applyProtection="1">
      <alignment vertical="top"/>
    </xf>
    <xf numFmtId="0" fontId="37" fillId="40" borderId="93" xfId="0" applyNumberFormat="1" applyFont="1" applyFill="1" applyBorder="1" applyAlignment="1" applyProtection="1">
      <alignment vertical="top"/>
    </xf>
    <xf numFmtId="0" fontId="37" fillId="40" borderId="120" xfId="0" applyNumberFormat="1" applyFont="1" applyFill="1" applyBorder="1" applyAlignment="1" applyProtection="1">
      <alignment vertical="top"/>
    </xf>
    <xf numFmtId="0" fontId="2" fillId="42" borderId="64" xfId="0" applyNumberFormat="1" applyFont="1" applyFill="1" applyBorder="1" applyAlignment="1" applyProtection="1">
      <alignment horizontal="center" vertical="top"/>
      <protection locked="0"/>
    </xf>
    <xf numFmtId="0" fontId="2" fillId="25" borderId="0" xfId="0" applyNumberFormat="1" applyFont="1" applyFill="1" applyAlignment="1" applyProtection="1"/>
    <xf numFmtId="0" fontId="2" fillId="39" borderId="13" xfId="0" applyNumberFormat="1" applyFont="1" applyFill="1" applyBorder="1" applyAlignment="1" applyProtection="1">
      <alignment vertical="top"/>
    </xf>
    <xf numFmtId="0" fontId="2" fillId="40" borderId="13" xfId="0" applyNumberFormat="1" applyFont="1" applyFill="1" applyBorder="1" applyAlignment="1" applyProtection="1">
      <alignment horizontal="right" vertical="top"/>
    </xf>
    <xf numFmtId="0" fontId="2" fillId="25" borderId="0" xfId="0" applyNumberFormat="1" applyFont="1" applyFill="1" applyBorder="1" applyAlignment="1" applyProtection="1">
      <alignment horizontal="right" vertical="top" indent="1"/>
    </xf>
    <xf numFmtId="0" fontId="31" fillId="25" borderId="0" xfId="0" applyFont="1" applyFill="1" applyBorder="1" applyAlignment="1" applyProtection="1">
      <alignment vertical="top"/>
    </xf>
    <xf numFmtId="10" fontId="37" fillId="24" borderId="0" xfId="0" applyNumberFormat="1" applyFont="1" applyFill="1" applyBorder="1" applyAlignment="1" applyProtection="1">
      <alignment vertical="top"/>
    </xf>
    <xf numFmtId="10" fontId="68" fillId="41" borderId="13" xfId="66" applyNumberFormat="1" applyFont="1" applyFill="1" applyBorder="1" applyProtection="1"/>
    <xf numFmtId="0" fontId="2" fillId="24" borderId="58" xfId="0" applyFont="1" applyFill="1" applyBorder="1" applyAlignment="1" applyProtection="1"/>
    <xf numFmtId="0" fontId="4" fillId="24" borderId="29" xfId="0" applyNumberFormat="1" applyFont="1" applyFill="1" applyBorder="1" applyAlignment="1" applyProtection="1">
      <alignment vertical="top"/>
    </xf>
    <xf numFmtId="0" fontId="4" fillId="24" borderId="31" xfId="0" applyNumberFormat="1" applyFont="1" applyFill="1" applyBorder="1" applyAlignment="1" applyProtection="1">
      <alignment vertical="top"/>
    </xf>
    <xf numFmtId="0" fontId="4" fillId="24" borderId="60" xfId="0" applyFont="1" applyFill="1" applyBorder="1" applyAlignment="1" applyProtection="1">
      <alignment horizontal="left"/>
    </xf>
    <xf numFmtId="0" fontId="2" fillId="25" borderId="70" xfId="0" applyNumberFormat="1" applyFont="1" applyFill="1" applyBorder="1" applyAlignment="1" applyProtection="1">
      <alignment horizontal="right" vertical="top"/>
    </xf>
    <xf numFmtId="0" fontId="2" fillId="39" borderId="13" xfId="0" applyFont="1" applyFill="1" applyBorder="1" applyAlignment="1" applyProtection="1">
      <alignment wrapText="1"/>
    </xf>
    <xf numFmtId="3" fontId="4" fillId="27" borderId="84" xfId="0" applyNumberFormat="1" applyFont="1" applyFill="1" applyBorder="1" applyAlignment="1" applyProtection="1">
      <alignment vertical="top"/>
    </xf>
    <xf numFmtId="181" fontId="2" fillId="24" borderId="13" xfId="0" applyNumberFormat="1" applyFont="1" applyFill="1" applyBorder="1" applyAlignment="1" applyProtection="1">
      <alignment horizontal="center" vertical="top"/>
    </xf>
    <xf numFmtId="0" fontId="2" fillId="25" borderId="121" xfId="0" applyNumberFormat="1" applyFont="1" applyFill="1" applyBorder="1" applyAlignment="1" applyProtection="1">
      <alignment vertical="top"/>
    </xf>
    <xf numFmtId="0" fontId="2" fillId="25" borderId="72" xfId="0" applyNumberFormat="1" applyFont="1" applyFill="1" applyBorder="1" applyAlignment="1" applyProtection="1">
      <alignment vertical="top"/>
    </xf>
    <xf numFmtId="0" fontId="35" fillId="25" borderId="0" xfId="0" applyFont="1" applyFill="1" applyBorder="1" applyAlignment="1" applyProtection="1">
      <alignment vertical="top"/>
    </xf>
    <xf numFmtId="0" fontId="2" fillId="25" borderId="26" xfId="0" applyFont="1" applyFill="1" applyBorder="1" applyAlignment="1" applyProtection="1">
      <alignment vertical="top"/>
    </xf>
    <xf numFmtId="0" fontId="2" fillId="27" borderId="13" xfId="0" applyNumberFormat="1" applyFont="1" applyFill="1" applyBorder="1" applyAlignment="1" applyProtection="1">
      <alignment vertical="top"/>
    </xf>
    <xf numFmtId="10" fontId="37" fillId="40" borderId="13" xfId="0" applyNumberFormat="1" applyFont="1" applyFill="1" applyBorder="1" applyAlignment="1" applyProtection="1">
      <alignment vertical="top"/>
    </xf>
    <xf numFmtId="0" fontId="2" fillId="24" borderId="10" xfId="0" applyFont="1" applyFill="1" applyBorder="1" applyAlignment="1" applyProtection="1"/>
    <xf numFmtId="0" fontId="2" fillId="43" borderId="0" xfId="0" applyNumberFormat="1" applyFont="1" applyFill="1" applyBorder="1" applyAlignment="1" applyProtection="1">
      <alignment vertical="top"/>
    </xf>
    <xf numFmtId="0" fontId="2" fillId="43" borderId="24" xfId="0" applyNumberFormat="1" applyFont="1" applyFill="1" applyBorder="1" applyAlignment="1" applyProtection="1">
      <alignment horizontal="center" vertical="top"/>
    </xf>
    <xf numFmtId="0" fontId="4" fillId="43" borderId="11" xfId="0" applyNumberFormat="1" applyFont="1" applyFill="1" applyBorder="1" applyAlignment="1" applyProtection="1">
      <alignment horizontal="right" vertical="top"/>
    </xf>
    <xf numFmtId="0" fontId="37" fillId="40" borderId="13" xfId="0" applyNumberFormat="1" applyFont="1" applyFill="1" applyBorder="1" applyAlignment="1" applyProtection="1">
      <alignment vertical="top"/>
    </xf>
    <xf numFmtId="0" fontId="2" fillId="25" borderId="14" xfId="0" quotePrefix="1" applyNumberFormat="1" applyFont="1" applyFill="1" applyBorder="1" applyAlignment="1" applyProtection="1">
      <alignment horizontal="center" vertical="top"/>
    </xf>
    <xf numFmtId="191" fontId="37" fillId="27" borderId="64" xfId="0" applyNumberFormat="1" applyFont="1" applyFill="1" applyBorder="1" applyAlignment="1" applyProtection="1">
      <alignment vertical="top"/>
    </xf>
    <xf numFmtId="0" fontId="2" fillId="25" borderId="16" xfId="0" quotePrefix="1" applyNumberFormat="1" applyFont="1" applyFill="1" applyBorder="1" applyAlignment="1" applyProtection="1">
      <alignment horizontal="center" vertical="top"/>
    </xf>
    <xf numFmtId="191" fontId="37" fillId="27" borderId="66" xfId="0" applyNumberFormat="1" applyFont="1" applyFill="1" applyBorder="1" applyAlignment="1" applyProtection="1">
      <alignment vertical="top"/>
    </xf>
    <xf numFmtId="10" fontId="37" fillId="40" borderId="64" xfId="0" applyNumberFormat="1" applyFont="1" applyFill="1" applyBorder="1" applyAlignment="1" applyProtection="1">
      <alignment vertical="top"/>
    </xf>
    <xf numFmtId="10" fontId="37" fillId="40" borderId="66" xfId="0" applyNumberFormat="1" applyFont="1" applyFill="1" applyBorder="1" applyAlignment="1" applyProtection="1">
      <alignment vertical="top"/>
    </xf>
    <xf numFmtId="0" fontId="37" fillId="41" borderId="26" xfId="0" applyNumberFormat="1" applyFont="1" applyFill="1" applyBorder="1" applyAlignment="1" applyProtection="1">
      <alignment horizontal="center" vertical="top"/>
    </xf>
    <xf numFmtId="0" fontId="2" fillId="24" borderId="0" xfId="0" applyNumberFormat="1" applyFont="1" applyFill="1" applyBorder="1" applyAlignment="1" applyProtection="1">
      <alignment vertical="center"/>
    </xf>
    <xf numFmtId="0" fontId="0" fillId="25" borderId="0" xfId="0" applyFill="1" applyAlignment="1" applyProtection="1">
      <alignment vertical="center"/>
    </xf>
    <xf numFmtId="0" fontId="2" fillId="41" borderId="0" xfId="0" applyNumberFormat="1" applyFont="1" applyFill="1" applyBorder="1" applyAlignment="1" applyProtection="1">
      <alignment vertical="center"/>
    </xf>
    <xf numFmtId="14" fontId="37" fillId="39" borderId="13" xfId="0" applyNumberFormat="1" applyFont="1" applyFill="1" applyBorder="1" applyAlignment="1" applyProtection="1">
      <alignment vertical="top"/>
    </xf>
    <xf numFmtId="0" fontId="37" fillId="39" borderId="10" xfId="0" applyNumberFormat="1" applyFont="1" applyFill="1" applyBorder="1" applyAlignment="1" applyProtection="1">
      <alignment horizontal="center" vertical="top" wrapText="1"/>
    </xf>
    <xf numFmtId="0" fontId="2" fillId="39" borderId="10" xfId="0" applyNumberFormat="1" applyFont="1" applyFill="1" applyBorder="1" applyAlignment="1" applyProtection="1">
      <alignment vertical="top"/>
    </xf>
    <xf numFmtId="0" fontId="37" fillId="39" borderId="61" xfId="0" applyNumberFormat="1" applyFont="1" applyFill="1" applyBorder="1" applyAlignment="1" applyProtection="1">
      <alignment horizontal="center" vertical="top"/>
    </xf>
    <xf numFmtId="0" fontId="2" fillId="0" borderId="102" xfId="0" applyNumberFormat="1" applyFont="1" applyFill="1" applyBorder="1" applyAlignment="1" applyProtection="1">
      <alignment vertical="top"/>
    </xf>
    <xf numFmtId="0" fontId="2" fillId="44" borderId="13" xfId="0" applyFont="1" applyFill="1" applyBorder="1" applyAlignment="1" applyProtection="1"/>
    <xf numFmtId="0" fontId="37" fillId="38" borderId="84" xfId="0" applyNumberFormat="1" applyFont="1" applyFill="1" applyBorder="1" applyAlignment="1" applyProtection="1">
      <alignment vertical="top"/>
    </xf>
    <xf numFmtId="172" fontId="2" fillId="40" borderId="70" xfId="0" applyNumberFormat="1" applyFont="1" applyFill="1" applyBorder="1" applyAlignment="1" applyProtection="1">
      <alignment horizontal="right" vertical="top"/>
    </xf>
    <xf numFmtId="14" fontId="2" fillId="24" borderId="13" xfId="0" applyNumberFormat="1" applyFont="1" applyFill="1" applyBorder="1" applyAlignment="1" applyProtection="1">
      <alignment horizontal="right"/>
    </xf>
    <xf numFmtId="14" fontId="2" fillId="40" borderId="13" xfId="0" applyNumberFormat="1" applyFont="1" applyFill="1" applyBorder="1" applyAlignment="1" applyProtection="1">
      <alignment horizontal="right" vertical="top"/>
    </xf>
    <xf numFmtId="0" fontId="37" fillId="25" borderId="22" xfId="0" applyNumberFormat="1" applyFont="1" applyFill="1" applyBorder="1" applyAlignment="1" applyProtection="1">
      <alignment horizontal="center" vertical="top"/>
    </xf>
    <xf numFmtId="173" fontId="2" fillId="27" borderId="93" xfId="0" applyNumberFormat="1" applyFont="1" applyFill="1" applyBorder="1" applyAlignment="1" applyProtection="1">
      <alignment vertical="top"/>
    </xf>
    <xf numFmtId="173" fontId="37" fillId="40" borderId="20" xfId="0" applyNumberFormat="1" applyFont="1" applyFill="1" applyBorder="1" applyAlignment="1" applyProtection="1">
      <alignment vertical="top"/>
    </xf>
    <xf numFmtId="173" fontId="37" fillId="40" borderId="21" xfId="0" applyNumberFormat="1" applyFont="1" applyFill="1" applyBorder="1" applyAlignment="1" applyProtection="1">
      <alignment vertical="top"/>
    </xf>
    <xf numFmtId="173" fontId="37" fillId="40" borderId="24" xfId="0" applyNumberFormat="1" applyFont="1" applyFill="1" applyBorder="1" applyAlignment="1" applyProtection="1">
      <alignment vertical="top"/>
    </xf>
    <xf numFmtId="173" fontId="37" fillId="40" borderId="94" xfId="0" applyNumberFormat="1" applyFont="1" applyFill="1" applyBorder="1" applyAlignment="1" applyProtection="1">
      <alignment vertical="top"/>
    </xf>
    <xf numFmtId="0" fontId="4" fillId="25" borderId="112" xfId="0" applyNumberFormat="1" applyFont="1" applyFill="1" applyBorder="1" applyAlignment="1" applyProtection="1">
      <alignment vertical="top"/>
    </xf>
    <xf numFmtId="0" fontId="4" fillId="25" borderId="26" xfId="0" applyNumberFormat="1" applyFont="1" applyFill="1" applyBorder="1" applyAlignment="1" applyProtection="1">
      <alignment vertical="top"/>
    </xf>
    <xf numFmtId="0" fontId="4" fillId="0" borderId="27" xfId="0" applyNumberFormat="1" applyFont="1" applyFill="1" applyBorder="1" applyAlignment="1" applyProtection="1">
      <alignment horizontal="center" vertical="top"/>
    </xf>
    <xf numFmtId="0" fontId="4" fillId="25" borderId="111" xfId="0" applyNumberFormat="1" applyFont="1" applyFill="1" applyBorder="1" applyAlignment="1" applyProtection="1">
      <alignment vertical="top"/>
    </xf>
    <xf numFmtId="0" fontId="4" fillId="25" borderId="42" xfId="0" applyNumberFormat="1" applyFont="1" applyFill="1" applyBorder="1" applyAlignment="1" applyProtection="1">
      <alignment vertical="top"/>
    </xf>
    <xf numFmtId="0" fontId="4" fillId="0" borderId="47" xfId="0" applyNumberFormat="1" applyFont="1" applyFill="1" applyBorder="1" applyAlignment="1" applyProtection="1">
      <alignment horizontal="center" vertical="top"/>
    </xf>
    <xf numFmtId="0" fontId="4" fillId="25" borderId="113" xfId="0" applyNumberFormat="1" applyFont="1" applyFill="1" applyBorder="1" applyAlignment="1" applyProtection="1">
      <alignment vertical="top"/>
    </xf>
    <xf numFmtId="0" fontId="4" fillId="25" borderId="122" xfId="0" applyNumberFormat="1" applyFont="1" applyFill="1" applyBorder="1" applyAlignment="1" applyProtection="1">
      <alignment vertical="top"/>
    </xf>
    <xf numFmtId="0" fontId="4" fillId="0" borderId="72" xfId="0" applyNumberFormat="1" applyFont="1" applyFill="1" applyBorder="1" applyAlignment="1" applyProtection="1">
      <alignment horizontal="center" vertical="top"/>
    </xf>
    <xf numFmtId="173" fontId="37" fillId="40" borderId="11" xfId="0" applyNumberFormat="1" applyFont="1" applyFill="1" applyBorder="1" applyAlignment="1" applyProtection="1">
      <alignment vertical="top"/>
    </xf>
    <xf numFmtId="0" fontId="10" fillId="41" borderId="0" xfId="0" applyFont="1" applyFill="1" applyBorder="1" applyAlignment="1" applyProtection="1">
      <alignment vertical="top"/>
    </xf>
    <xf numFmtId="0" fontId="4" fillId="25" borderId="13" xfId="0" applyNumberFormat="1" applyFont="1" applyFill="1" applyBorder="1" applyAlignment="1" applyProtection="1">
      <alignment horizontal="center" vertical="top"/>
    </xf>
    <xf numFmtId="0" fontId="2" fillId="25" borderId="0" xfId="0" applyNumberFormat="1" applyFont="1" applyFill="1" applyBorder="1" applyAlignment="1" applyProtection="1">
      <alignment horizontal="right" vertical="top" wrapText="1"/>
    </xf>
    <xf numFmtId="181" fontId="2" fillId="24" borderId="0" xfId="0" applyNumberFormat="1" applyFont="1" applyFill="1" applyBorder="1" applyAlignment="1" applyProtection="1">
      <alignment horizontal="center" vertical="top"/>
    </xf>
    <xf numFmtId="191" fontId="2" fillId="27" borderId="13" xfId="0" applyNumberFormat="1" applyFont="1" applyFill="1" applyBorder="1" applyAlignment="1" applyProtection="1">
      <alignment horizontal="right" vertical="top"/>
    </xf>
    <xf numFmtId="0" fontId="2" fillId="25" borderId="13" xfId="0" applyNumberFormat="1" applyFont="1" applyFill="1" applyBorder="1" applyAlignment="1" applyProtection="1">
      <alignment vertical="top"/>
    </xf>
    <xf numFmtId="0" fontId="2" fillId="24" borderId="13" xfId="0" applyNumberFormat="1" applyFont="1" applyFill="1" applyBorder="1" applyAlignment="1" applyProtection="1">
      <alignment horizontal="center" vertical="top"/>
    </xf>
    <xf numFmtId="10" fontId="37" fillId="42" borderId="13" xfId="0" applyNumberFormat="1" applyFont="1" applyFill="1" applyBorder="1" applyAlignment="1" applyProtection="1">
      <alignment vertical="top"/>
      <protection locked="0"/>
    </xf>
    <xf numFmtId="181" fontId="37" fillId="24" borderId="0" xfId="0" applyNumberFormat="1" applyFont="1" applyFill="1" applyBorder="1" applyAlignment="1" applyProtection="1">
      <alignment vertical="top"/>
    </xf>
    <xf numFmtId="0" fontId="2" fillId="47" borderId="13" xfId="0" applyFont="1" applyFill="1" applyBorder="1" applyAlignment="1" applyProtection="1"/>
    <xf numFmtId="0" fontId="4" fillId="24" borderId="13" xfId="0" applyFont="1" applyFill="1" applyBorder="1" applyAlignment="1" applyProtection="1">
      <alignment horizontal="left"/>
    </xf>
    <xf numFmtId="0" fontId="2" fillId="24" borderId="0" xfId="0" applyFont="1" applyFill="1" applyBorder="1" applyAlignment="1" applyProtection="1">
      <alignment horizontal="center"/>
    </xf>
    <xf numFmtId="0" fontId="10" fillId="25" borderId="0" xfId="0" quotePrefix="1" applyFont="1" applyFill="1" applyAlignment="1" applyProtection="1">
      <alignment horizontal="right" vertical="top" wrapText="1"/>
    </xf>
    <xf numFmtId="0" fontId="2" fillId="24" borderId="73" xfId="0" applyNumberFormat="1" applyFont="1" applyFill="1" applyBorder="1" applyAlignment="1" applyProtection="1">
      <alignment vertical="top"/>
    </xf>
    <xf numFmtId="0" fontId="2" fillId="39" borderId="106" xfId="0" applyNumberFormat="1" applyFont="1" applyFill="1" applyBorder="1" applyAlignment="1" applyProtection="1">
      <alignment horizontal="center" vertical="top"/>
    </xf>
    <xf numFmtId="0" fontId="2" fillId="39" borderId="25" xfId="0" applyNumberFormat="1" applyFont="1" applyFill="1" applyBorder="1" applyAlignment="1" applyProtection="1">
      <alignment horizontal="center" vertical="top"/>
    </xf>
    <xf numFmtId="0" fontId="2" fillId="27" borderId="47" xfId="0" applyNumberFormat="1" applyFont="1" applyFill="1" applyBorder="1" applyAlignment="1" applyProtection="1">
      <alignment horizontal="center" vertical="top"/>
    </xf>
    <xf numFmtId="173" fontId="2" fillId="27" borderId="75" xfId="0" applyNumberFormat="1" applyFont="1" applyFill="1" applyBorder="1" applyAlignment="1" applyProtection="1">
      <alignment vertical="top"/>
    </xf>
    <xf numFmtId="173" fontId="2" fillId="29" borderId="75" xfId="0" applyNumberFormat="1" applyFont="1" applyFill="1" applyBorder="1" applyAlignment="1" applyProtection="1">
      <alignment vertical="top"/>
      <protection locked="0"/>
    </xf>
    <xf numFmtId="0" fontId="2" fillId="29" borderId="10" xfId="0" applyNumberFormat="1" applyFont="1" applyFill="1" applyBorder="1" applyAlignment="1" applyProtection="1">
      <alignment horizontal="center" vertical="top"/>
      <protection locked="0"/>
    </xf>
    <xf numFmtId="0" fontId="2" fillId="29" borderId="13" xfId="0" applyNumberFormat="1" applyFont="1" applyFill="1" applyBorder="1" applyAlignment="1" applyProtection="1">
      <alignment vertical="top"/>
      <protection locked="0"/>
    </xf>
    <xf numFmtId="0" fontId="2" fillId="41" borderId="86" xfId="0" applyNumberFormat="1" applyFont="1" applyFill="1" applyBorder="1" applyAlignment="1" applyProtection="1">
      <alignment vertical="top"/>
    </xf>
    <xf numFmtId="0" fontId="2" fillId="44" borderId="69" xfId="0" applyNumberFormat="1" applyFont="1" applyFill="1" applyBorder="1" applyAlignment="1" applyProtection="1">
      <alignment vertical="top"/>
    </xf>
    <xf numFmtId="0" fontId="4" fillId="43" borderId="26" xfId="0" applyNumberFormat="1" applyFont="1" applyFill="1" applyBorder="1" applyAlignment="1" applyProtection="1">
      <alignment horizontal="center" vertical="top"/>
    </xf>
    <xf numFmtId="0" fontId="4" fillId="24" borderId="0" xfId="0" applyNumberFormat="1" applyFont="1" applyFill="1" applyBorder="1" applyAlignment="1" applyProtection="1"/>
    <xf numFmtId="0" fontId="2" fillId="24" borderId="0" xfId="0" applyNumberFormat="1" applyFont="1" applyFill="1" applyBorder="1" applyAlignment="1" applyProtection="1">
      <alignment vertical="top" wrapText="1"/>
    </xf>
    <xf numFmtId="0" fontId="0" fillId="25" borderId="0" xfId="0" applyFill="1" applyAlignment="1" applyProtection="1">
      <alignment wrapText="1"/>
    </xf>
    <xf numFmtId="0" fontId="2" fillId="24" borderId="0" xfId="0" applyFont="1" applyFill="1" applyAlignment="1" applyProtection="1">
      <alignment wrapText="1"/>
    </xf>
    <xf numFmtId="0" fontId="4" fillId="24" borderId="0" xfId="0" applyNumberFormat="1" applyFont="1" applyFill="1" applyBorder="1" applyAlignment="1" applyProtection="1">
      <alignment horizontal="right" vertical="top"/>
    </xf>
    <xf numFmtId="0" fontId="2" fillId="25" borderId="0" xfId="0" applyNumberFormat="1" applyFont="1" applyFill="1" applyBorder="1" applyAlignment="1" applyProtection="1">
      <alignment horizontal="center" vertical="top"/>
    </xf>
    <xf numFmtId="0" fontId="4" fillId="25" borderId="0" xfId="0" applyFont="1" applyFill="1" applyAlignment="1" applyProtection="1">
      <alignment vertical="top"/>
    </xf>
    <xf numFmtId="191" fontId="2" fillId="25" borderId="13" xfId="0" applyNumberFormat="1" applyFont="1" applyFill="1" applyBorder="1" applyAlignment="1" applyProtection="1">
      <alignment vertical="top"/>
    </xf>
    <xf numFmtId="0" fontId="2" fillId="25" borderId="40" xfId="0" applyNumberFormat="1" applyFont="1" applyFill="1" applyBorder="1" applyAlignment="1" applyProtection="1">
      <alignment horizontal="center" vertical="top"/>
    </xf>
    <xf numFmtId="172" fontId="2" fillId="27" borderId="61" xfId="0" applyNumberFormat="1" applyFont="1" applyFill="1" applyBorder="1" applyAlignment="1" applyProtection="1">
      <alignment vertical="top"/>
    </xf>
    <xf numFmtId="172" fontId="2" fillId="27" borderId="11" xfId="0" applyNumberFormat="1" applyFont="1" applyFill="1" applyBorder="1" applyAlignment="1" applyProtection="1">
      <alignment vertical="top"/>
    </xf>
    <xf numFmtId="172" fontId="4" fillId="27" borderId="11" xfId="0" applyNumberFormat="1" applyFont="1" applyFill="1" applyBorder="1" applyAlignment="1" applyProtection="1">
      <alignment vertical="top"/>
    </xf>
    <xf numFmtId="191" fontId="2" fillId="27" borderId="13" xfId="0" applyNumberFormat="1" applyFont="1" applyFill="1" applyBorder="1" applyAlignment="1" applyProtection="1">
      <alignment vertical="top"/>
    </xf>
    <xf numFmtId="3" fontId="2" fillId="40" borderId="69" xfId="0" applyNumberFormat="1" applyFont="1" applyFill="1" applyBorder="1" applyAlignment="1" applyProtection="1"/>
    <xf numFmtId="0" fontId="38" fillId="40" borderId="69" xfId="0" applyFont="1" applyFill="1" applyBorder="1" applyAlignment="1" applyProtection="1">
      <alignment vertical="top"/>
    </xf>
    <xf numFmtId="3" fontId="2" fillId="24" borderId="27" xfId="0" applyNumberFormat="1" applyFont="1" applyFill="1" applyBorder="1" applyAlignment="1" applyProtection="1"/>
    <xf numFmtId="0" fontId="2" fillId="40" borderId="69" xfId="0" applyNumberFormat="1" applyFont="1" applyFill="1" applyBorder="1" applyAlignment="1" applyProtection="1">
      <alignment vertical="top"/>
    </xf>
    <xf numFmtId="0" fontId="35" fillId="40" borderId="69" xfId="0" applyFont="1" applyFill="1" applyBorder="1" applyAlignment="1" applyProtection="1">
      <alignment horizontal="center"/>
    </xf>
    <xf numFmtId="0" fontId="2" fillId="25" borderId="48" xfId="0" applyNumberFormat="1" applyFont="1" applyFill="1" applyBorder="1" applyAlignment="1" applyProtection="1">
      <alignment horizontal="center" vertical="top"/>
    </xf>
    <xf numFmtId="172" fontId="2" fillId="27" borderId="10" xfId="0" applyNumberFormat="1" applyFont="1" applyFill="1" applyBorder="1" applyAlignment="1" applyProtection="1">
      <alignment vertical="top"/>
    </xf>
    <xf numFmtId="0" fontId="4" fillId="24" borderId="105" xfId="0" applyNumberFormat="1" applyFont="1" applyFill="1" applyBorder="1" applyAlignment="1" applyProtection="1">
      <alignment vertical="top"/>
    </xf>
    <xf numFmtId="0" fontId="4" fillId="24" borderId="105" xfId="0" applyNumberFormat="1" applyFont="1" applyFill="1" applyBorder="1" applyAlignment="1" applyProtection="1">
      <alignment horizontal="center" vertical="top"/>
    </xf>
    <xf numFmtId="0" fontId="37" fillId="40" borderId="101" xfId="0" applyNumberFormat="1" applyFont="1" applyFill="1" applyBorder="1" applyAlignment="1" applyProtection="1">
      <alignment vertical="top"/>
    </xf>
    <xf numFmtId="0" fontId="37" fillId="0" borderId="14" xfId="0" applyNumberFormat="1" applyFont="1" applyFill="1" applyBorder="1" applyAlignment="1" applyProtection="1">
      <alignment horizontal="center" vertical="top"/>
    </xf>
    <xf numFmtId="0" fontId="37" fillId="40" borderId="100" xfId="0" applyNumberFormat="1" applyFont="1" applyFill="1" applyBorder="1" applyAlignment="1" applyProtection="1">
      <alignment vertical="top"/>
    </xf>
    <xf numFmtId="0" fontId="37" fillId="0" borderId="15" xfId="0" applyNumberFormat="1" applyFont="1" applyFill="1" applyBorder="1" applyAlignment="1" applyProtection="1">
      <alignment horizontal="center" vertical="top"/>
    </xf>
    <xf numFmtId="0" fontId="37" fillId="40" borderId="123" xfId="0" applyNumberFormat="1" applyFont="1" applyFill="1" applyBorder="1" applyAlignment="1" applyProtection="1">
      <alignment vertical="top"/>
    </xf>
    <xf numFmtId="0" fontId="37" fillId="0" borderId="37" xfId="0" applyNumberFormat="1" applyFont="1" applyFill="1" applyBorder="1" applyAlignment="1" applyProtection="1">
      <alignment horizontal="center" vertical="top"/>
    </xf>
    <xf numFmtId="14" fontId="37" fillId="40" borderId="64" xfId="0" applyNumberFormat="1" applyFont="1" applyFill="1" applyBorder="1" applyAlignment="1" applyProtection="1">
      <alignment horizontal="center" vertical="top"/>
    </xf>
    <xf numFmtId="14" fontId="37" fillId="40" borderId="65" xfId="0" applyNumberFormat="1" applyFont="1" applyFill="1" applyBorder="1" applyAlignment="1" applyProtection="1">
      <alignment horizontal="center" vertical="top"/>
    </xf>
    <xf numFmtId="14" fontId="37" fillId="40" borderId="54" xfId="0" applyNumberFormat="1" applyFont="1" applyFill="1" applyBorder="1" applyAlignment="1" applyProtection="1">
      <alignment horizontal="center" vertical="top"/>
    </xf>
    <xf numFmtId="4" fontId="4" fillId="40" borderId="77" xfId="0" applyNumberFormat="1" applyFont="1" applyFill="1" applyBorder="1" applyAlignment="1" applyProtection="1">
      <alignment vertical="top"/>
    </xf>
    <xf numFmtId="4" fontId="4" fillId="40" borderId="78" xfId="0" applyNumberFormat="1" applyFont="1" applyFill="1" applyBorder="1" applyAlignment="1" applyProtection="1">
      <alignment vertical="top"/>
    </xf>
    <xf numFmtId="4" fontId="4" fillId="40" borderId="79" xfId="0" applyNumberFormat="1" applyFont="1" applyFill="1" applyBorder="1" applyAlignment="1" applyProtection="1">
      <alignment vertical="top"/>
    </xf>
    <xf numFmtId="4" fontId="2" fillId="43" borderId="0" xfId="0" applyNumberFormat="1" applyFont="1" applyFill="1" applyBorder="1" applyAlignment="1" applyProtection="1">
      <alignment horizontal="right" vertical="top"/>
    </xf>
    <xf numFmtId="4" fontId="2" fillId="40" borderId="64" xfId="0" applyNumberFormat="1" applyFont="1" applyFill="1" applyBorder="1" applyAlignment="1" applyProtection="1">
      <alignment vertical="top"/>
    </xf>
    <xf numFmtId="4" fontId="2" fillId="40" borderId="66" xfId="0" applyNumberFormat="1" applyFont="1" applyFill="1" applyBorder="1" applyAlignment="1" applyProtection="1">
      <alignment vertical="top"/>
    </xf>
    <xf numFmtId="4" fontId="2" fillId="43" borderId="0" xfId="0" applyNumberFormat="1" applyFont="1" applyFill="1" applyBorder="1" applyAlignment="1" applyProtection="1">
      <alignment vertical="top"/>
    </xf>
    <xf numFmtId="4" fontId="2" fillId="40" borderId="13" xfId="0" applyNumberFormat="1" applyFont="1" applyFill="1" applyBorder="1" applyAlignment="1" applyProtection="1">
      <alignment vertical="top"/>
    </xf>
    <xf numFmtId="0" fontId="2" fillId="39" borderId="0" xfId="0" applyNumberFormat="1" applyFont="1" applyFill="1" applyBorder="1" applyAlignment="1" applyProtection="1">
      <alignment horizontal="right" vertical="top"/>
    </xf>
    <xf numFmtId="0" fontId="37" fillId="39" borderId="69" xfId="0" applyNumberFormat="1" applyFont="1" applyFill="1" applyBorder="1" applyAlignment="1" applyProtection="1">
      <alignment vertical="top"/>
    </xf>
    <xf numFmtId="0" fontId="4" fillId="43" borderId="25" xfId="0" applyNumberFormat="1" applyFont="1" applyFill="1" applyBorder="1" applyAlignment="1" applyProtection="1">
      <alignment horizontal="right" vertical="top"/>
    </xf>
    <xf numFmtId="0" fontId="4" fillId="43" borderId="18" xfId="0" applyNumberFormat="1" applyFont="1" applyFill="1" applyBorder="1" applyAlignment="1" applyProtection="1">
      <alignment horizontal="right" vertical="top"/>
    </xf>
    <xf numFmtId="0" fontId="10" fillId="25" borderId="0" xfId="0" applyFont="1" applyFill="1" applyAlignment="1" applyProtection="1">
      <alignment vertical="top" wrapText="1"/>
    </xf>
    <xf numFmtId="0" fontId="2" fillId="24" borderId="0" xfId="0" applyNumberFormat="1" applyFont="1" applyFill="1" applyBorder="1" applyAlignment="1" applyProtection="1">
      <alignment horizontal="center" vertical="top"/>
    </xf>
    <xf numFmtId="0" fontId="2" fillId="24" borderId="69" xfId="0" applyNumberFormat="1" applyFont="1" applyFill="1" applyBorder="1" applyAlignment="1" applyProtection="1">
      <alignment horizontal="center" vertical="top"/>
    </xf>
    <xf numFmtId="0" fontId="4" fillId="24" borderId="0" xfId="0" applyFont="1" applyFill="1" applyBorder="1" applyAlignment="1" applyProtection="1">
      <alignment horizontal="left"/>
    </xf>
    <xf numFmtId="173" fontId="37" fillId="46" borderId="11" xfId="0" applyNumberFormat="1" applyFont="1" applyFill="1" applyBorder="1" applyAlignment="1" applyProtection="1">
      <alignment vertical="top"/>
      <protection locked="0"/>
    </xf>
    <xf numFmtId="0" fontId="2" fillId="41" borderId="0" xfId="0" applyNumberFormat="1" applyFont="1" applyFill="1" applyBorder="1" applyAlignment="1" applyProtection="1">
      <alignment horizontal="right" vertical="top"/>
    </xf>
    <xf numFmtId="0" fontId="2" fillId="46" borderId="13" xfId="0" applyNumberFormat="1" applyFont="1" applyFill="1" applyBorder="1" applyAlignment="1" applyProtection="1">
      <alignment horizontal="center" vertical="top"/>
      <protection locked="0"/>
    </xf>
    <xf numFmtId="4" fontId="37" fillId="40" borderId="13" xfId="0" applyNumberFormat="1" applyFont="1" applyFill="1" applyBorder="1" applyAlignment="1" applyProtection="1">
      <alignment vertical="top"/>
    </xf>
    <xf numFmtId="4" fontId="37" fillId="40" borderId="64" xfId="0" applyNumberFormat="1" applyFont="1" applyFill="1" applyBorder="1" applyAlignment="1" applyProtection="1">
      <alignment vertical="top"/>
    </xf>
    <xf numFmtId="4" fontId="37" fillId="40" borderId="65" xfId="0" applyNumberFormat="1" applyFont="1" applyFill="1" applyBorder="1" applyAlignment="1" applyProtection="1">
      <alignment vertical="top"/>
    </xf>
    <xf numFmtId="4" fontId="37" fillId="40" borderId="66" xfId="0" applyNumberFormat="1" applyFont="1" applyFill="1" applyBorder="1" applyAlignment="1" applyProtection="1">
      <alignment vertical="top"/>
    </xf>
    <xf numFmtId="4" fontId="37" fillId="27" borderId="13" xfId="66" applyNumberFormat="1" applyFont="1" applyFill="1" applyBorder="1" applyAlignment="1" applyProtection="1">
      <alignment vertical="top"/>
    </xf>
    <xf numFmtId="4" fontId="37" fillId="40" borderId="94" xfId="0" applyNumberFormat="1" applyFont="1" applyFill="1" applyBorder="1" applyAlignment="1" applyProtection="1">
      <alignment vertical="top"/>
    </xf>
    <xf numFmtId="4" fontId="37" fillId="27" borderId="11" xfId="0" applyNumberFormat="1" applyFont="1" applyFill="1" applyBorder="1" applyAlignment="1" applyProtection="1">
      <alignment vertical="top"/>
    </xf>
    <xf numFmtId="4" fontId="4" fillId="27" borderId="13" xfId="0" applyNumberFormat="1" applyFont="1" applyFill="1" applyBorder="1" applyAlignment="1" applyProtection="1">
      <alignment vertical="top"/>
    </xf>
    <xf numFmtId="4" fontId="2" fillId="27" borderId="75" xfId="0" applyNumberFormat="1" applyFont="1" applyFill="1" applyBorder="1" applyAlignment="1" applyProtection="1">
      <alignment vertical="top"/>
    </xf>
    <xf numFmtId="4" fontId="2" fillId="27" borderId="76" xfId="0" applyNumberFormat="1" applyFont="1" applyFill="1" applyBorder="1" applyAlignment="1" applyProtection="1">
      <alignment vertical="top"/>
    </xf>
    <xf numFmtId="4" fontId="2" fillId="27" borderId="59" xfId="0" applyNumberFormat="1" applyFont="1" applyFill="1" applyBorder="1" applyAlignment="1" applyProtection="1">
      <alignment vertical="top"/>
    </xf>
    <xf numFmtId="4" fontId="2" fillId="27" borderId="61" xfId="0" applyNumberFormat="1" applyFont="1" applyFill="1" applyBorder="1" applyAlignment="1" applyProtection="1">
      <alignment vertical="top"/>
    </xf>
    <xf numFmtId="4" fontId="2" fillId="27" borderId="62" xfId="0" applyNumberFormat="1" applyFont="1" applyFill="1" applyBorder="1" applyAlignment="1" applyProtection="1">
      <alignment vertical="top"/>
    </xf>
    <xf numFmtId="0" fontId="78" fillId="25" borderId="26" xfId="0" applyNumberFormat="1" applyFont="1" applyFill="1" applyBorder="1" applyAlignment="1" applyProtection="1">
      <alignment horizontal="left" vertical="top"/>
    </xf>
    <xf numFmtId="0" fontId="0" fillId="41" borderId="0" xfId="0" applyFill="1" applyBorder="1" applyAlignment="1" applyProtection="1"/>
    <xf numFmtId="0" fontId="0" fillId="41" borderId="0" xfId="0" applyFill="1" applyBorder="1" applyAlignment="1" applyProtection="1">
      <alignment vertical="top"/>
    </xf>
    <xf numFmtId="0" fontId="4" fillId="49" borderId="84" xfId="0" applyFont="1" applyFill="1" applyBorder="1" applyAlignment="1" applyProtection="1">
      <alignment vertical="top"/>
    </xf>
    <xf numFmtId="0" fontId="0" fillId="49" borderId="69" xfId="0" applyFill="1" applyBorder="1" applyAlignment="1" applyProtection="1">
      <alignment vertical="top"/>
    </xf>
    <xf numFmtId="0" fontId="2" fillId="24" borderId="0" xfId="0" applyFont="1" applyFill="1" applyAlignment="1" applyProtection="1">
      <alignment vertical="top"/>
    </xf>
    <xf numFmtId="0" fontId="2" fillId="36" borderId="0" xfId="69" applyFill="1" applyAlignment="1" applyProtection="1">
      <alignment horizontal="right" vertical="top"/>
    </xf>
    <xf numFmtId="0" fontId="0" fillId="44" borderId="13" xfId="0" applyFill="1" applyBorder="1" applyAlignment="1" applyProtection="1">
      <alignment vertical="top"/>
    </xf>
    <xf numFmtId="0" fontId="2" fillId="24" borderId="0" xfId="0" applyFont="1" applyFill="1" applyAlignment="1" applyProtection="1">
      <alignment horizontal="center" vertical="top"/>
    </xf>
    <xf numFmtId="0" fontId="5" fillId="25" borderId="0" xfId="0" applyFont="1" applyFill="1" applyBorder="1" applyAlignment="1" applyProtection="1">
      <alignment vertical="top"/>
    </xf>
    <xf numFmtId="0" fontId="6" fillId="24" borderId="0" xfId="60" applyFill="1" applyAlignment="1" applyProtection="1">
      <alignment vertical="top"/>
    </xf>
    <xf numFmtId="0" fontId="2" fillId="24" borderId="0" xfId="0" applyFont="1" applyFill="1" applyBorder="1" applyAlignment="1" applyProtection="1">
      <alignment horizontal="center" vertical="top"/>
    </xf>
    <xf numFmtId="0" fontId="2" fillId="24" borderId="93" xfId="0" applyFont="1" applyFill="1" applyBorder="1" applyAlignment="1" applyProtection="1">
      <alignment horizontal="center" vertical="top"/>
    </xf>
    <xf numFmtId="0" fontId="3" fillId="26" borderId="0" xfId="0" applyFont="1" applyFill="1" applyBorder="1" applyAlignment="1" applyProtection="1">
      <alignment horizontal="left" vertical="top"/>
    </xf>
    <xf numFmtId="0" fontId="2" fillId="24" borderId="69" xfId="0" applyFont="1" applyFill="1" applyBorder="1" applyAlignment="1" applyProtection="1">
      <alignment vertical="top"/>
    </xf>
    <xf numFmtId="0" fontId="35" fillId="25" borderId="0" xfId="0" applyFont="1" applyFill="1" applyAlignment="1" applyProtection="1">
      <alignment horizontal="center" vertical="top"/>
    </xf>
    <xf numFmtId="0" fontId="2" fillId="24" borderId="0" xfId="0" applyFont="1" applyFill="1" applyAlignment="1" applyProtection="1">
      <alignment horizontal="right" vertical="top"/>
    </xf>
    <xf numFmtId="14" fontId="2" fillId="24" borderId="13" xfId="0" applyNumberFormat="1" applyFont="1" applyFill="1" applyBorder="1" applyAlignment="1" applyProtection="1">
      <alignment horizontal="right" vertical="top"/>
    </xf>
    <xf numFmtId="0" fontId="2" fillId="44" borderId="13" xfId="0" applyFont="1" applyFill="1" applyBorder="1" applyAlignment="1" applyProtection="1">
      <alignment vertical="top"/>
    </xf>
    <xf numFmtId="0" fontId="2" fillId="24" borderId="70" xfId="0" applyFont="1" applyFill="1" applyBorder="1" applyAlignment="1" applyProtection="1">
      <alignment vertical="top"/>
    </xf>
    <xf numFmtId="0" fontId="2" fillId="24" borderId="58" xfId="0" applyFont="1" applyFill="1" applyBorder="1" applyAlignment="1" applyProtection="1">
      <alignment vertical="top"/>
    </xf>
    <xf numFmtId="0" fontId="4" fillId="24" borderId="60" xfId="0" applyFont="1" applyFill="1" applyBorder="1" applyAlignment="1" applyProtection="1">
      <alignment horizontal="left" vertical="top"/>
    </xf>
    <xf numFmtId="0" fontId="35" fillId="25" borderId="0" xfId="0" applyFont="1" applyFill="1" applyAlignment="1" applyProtection="1">
      <alignment vertical="top"/>
    </xf>
    <xf numFmtId="0" fontId="0" fillId="43" borderId="58" xfId="0" applyFill="1" applyBorder="1" applyAlignment="1" applyProtection="1">
      <alignment vertical="top"/>
    </xf>
    <xf numFmtId="0" fontId="0" fillId="43" borderId="29" xfId="0" applyFill="1" applyBorder="1" applyAlignment="1" applyProtection="1">
      <alignment vertical="top"/>
    </xf>
    <xf numFmtId="0" fontId="2" fillId="43" borderId="29" xfId="0" applyFont="1" applyFill="1" applyBorder="1" applyAlignment="1" applyProtection="1">
      <alignment vertical="top"/>
    </xf>
    <xf numFmtId="0" fontId="2" fillId="43" borderId="31" xfId="0" applyFont="1" applyFill="1" applyBorder="1" applyAlignment="1" applyProtection="1">
      <alignment vertical="top"/>
    </xf>
    <xf numFmtId="0" fontId="0" fillId="43" borderId="68" xfId="0" applyFill="1" applyBorder="1" applyAlignment="1" applyProtection="1">
      <alignment vertical="top"/>
    </xf>
    <xf numFmtId="0" fontId="0" fillId="43" borderId="0" xfId="0" applyFill="1" applyBorder="1" applyAlignment="1" applyProtection="1">
      <alignment vertical="top"/>
    </xf>
    <xf numFmtId="0" fontId="2" fillId="24" borderId="13" xfId="0" applyFont="1" applyFill="1" applyBorder="1" applyAlignment="1" applyProtection="1">
      <alignment vertical="top"/>
    </xf>
    <xf numFmtId="0" fontId="2" fillId="43" borderId="0" xfId="0" applyFont="1" applyFill="1" applyBorder="1" applyAlignment="1" applyProtection="1">
      <alignment vertical="top"/>
    </xf>
    <xf numFmtId="0" fontId="2" fillId="44" borderId="50" xfId="0" applyFont="1" applyFill="1" applyBorder="1" applyAlignment="1" applyProtection="1">
      <alignment vertical="top"/>
    </xf>
    <xf numFmtId="0" fontId="2" fillId="24" borderId="0" xfId="0" applyFont="1" applyFill="1" applyBorder="1" applyAlignment="1" applyProtection="1">
      <alignment vertical="top"/>
    </xf>
    <xf numFmtId="0" fontId="0" fillId="43" borderId="67" xfId="0" applyFill="1" applyBorder="1" applyAlignment="1" applyProtection="1">
      <alignment vertical="top"/>
    </xf>
    <xf numFmtId="0" fontId="0" fillId="43" borderId="40" xfId="0" applyFill="1" applyBorder="1" applyAlignment="1" applyProtection="1">
      <alignment vertical="top"/>
    </xf>
    <xf numFmtId="0" fontId="2" fillId="43" borderId="40" xfId="0" applyFont="1" applyFill="1" applyBorder="1" applyAlignment="1" applyProtection="1">
      <alignment vertical="top"/>
    </xf>
    <xf numFmtId="0" fontId="2" fillId="43" borderId="41" xfId="0" applyFont="1" applyFill="1" applyBorder="1" applyAlignment="1" applyProtection="1">
      <alignment vertical="top"/>
    </xf>
    <xf numFmtId="0" fontId="0" fillId="25" borderId="92" xfId="0" applyFill="1" applyBorder="1" applyAlignment="1" applyProtection="1">
      <alignment vertical="top"/>
    </xf>
    <xf numFmtId="0" fontId="2" fillId="27" borderId="70" xfId="0" applyNumberFormat="1" applyFont="1" applyFill="1" applyBorder="1" applyAlignment="1" applyProtection="1">
      <alignment horizontal="right" vertical="top"/>
    </xf>
    <xf numFmtId="0" fontId="2" fillId="25" borderId="111" xfId="0" applyNumberFormat="1" applyFont="1" applyFill="1" applyBorder="1" applyAlignment="1" applyProtection="1">
      <alignment horizontal="left" vertical="top"/>
    </xf>
    <xf numFmtId="0" fontId="2" fillId="25" borderId="43" xfId="0" applyNumberFormat="1" applyFont="1" applyFill="1" applyBorder="1" applyAlignment="1" applyProtection="1">
      <alignment horizontal="right" vertical="top"/>
    </xf>
    <xf numFmtId="175" fontId="2" fillId="27" borderId="112" xfId="0" applyNumberFormat="1" applyFont="1" applyFill="1" applyBorder="1" applyAlignment="1" applyProtection="1">
      <alignment horizontal="right" vertical="top" indent="1"/>
    </xf>
    <xf numFmtId="0" fontId="2" fillId="25" borderId="51" xfId="0" applyNumberFormat="1" applyFont="1" applyFill="1" applyBorder="1" applyAlignment="1" applyProtection="1">
      <alignment vertical="top"/>
    </xf>
    <xf numFmtId="175" fontId="2" fillId="27" borderId="113" xfId="0" applyNumberFormat="1" applyFont="1" applyFill="1" applyBorder="1" applyAlignment="1" applyProtection="1">
      <alignment horizontal="right" vertical="top" indent="1"/>
    </xf>
    <xf numFmtId="0" fontId="2" fillId="25" borderId="124" xfId="0" applyNumberFormat="1" applyFont="1" applyFill="1" applyBorder="1" applyAlignment="1" applyProtection="1">
      <alignment vertical="top"/>
    </xf>
    <xf numFmtId="2" fontId="2" fillId="27" borderId="112" xfId="0" applyNumberFormat="1" applyFont="1" applyFill="1" applyBorder="1" applyAlignment="1" applyProtection="1">
      <alignment horizontal="right" vertical="top" indent="1"/>
    </xf>
    <xf numFmtId="2" fontId="2" fillId="27" borderId="113" xfId="0" applyNumberFormat="1" applyFont="1" applyFill="1" applyBorder="1" applyAlignment="1" applyProtection="1">
      <alignment horizontal="right" vertical="top" indent="1"/>
    </xf>
    <xf numFmtId="191" fontId="2" fillId="46" borderId="13" xfId="0" applyNumberFormat="1" applyFont="1" applyFill="1" applyBorder="1" applyAlignment="1" applyProtection="1">
      <alignment vertical="top"/>
      <protection locked="0"/>
    </xf>
    <xf numFmtId="175" fontId="2" fillId="47" borderId="0" xfId="0" applyNumberFormat="1" applyFont="1" applyFill="1" applyBorder="1" applyAlignment="1" applyProtection="1">
      <alignment vertical="top"/>
    </xf>
    <xf numFmtId="172" fontId="2" fillId="24" borderId="73" xfId="0" applyNumberFormat="1" applyFont="1" applyFill="1" applyBorder="1" applyAlignment="1" applyProtection="1">
      <alignment vertical="top"/>
    </xf>
    <xf numFmtId="172" fontId="2" fillId="24" borderId="91" xfId="0" applyNumberFormat="1" applyFont="1" applyFill="1" applyBorder="1" applyAlignment="1" applyProtection="1">
      <alignment vertical="top"/>
    </xf>
    <xf numFmtId="172" fontId="2" fillId="24" borderId="71" xfId="0" applyNumberFormat="1" applyFont="1" applyFill="1" applyBorder="1" applyAlignment="1" applyProtection="1">
      <alignment vertical="top"/>
    </xf>
    <xf numFmtId="10" fontId="68" fillId="44" borderId="70" xfId="66" applyNumberFormat="1" applyFont="1" applyFill="1" applyBorder="1" applyProtection="1"/>
    <xf numFmtId="181" fontId="0" fillId="39" borderId="27" xfId="0" applyNumberFormat="1" applyFill="1" applyBorder="1" applyProtection="1"/>
    <xf numFmtId="0" fontId="2" fillId="44" borderId="10" xfId="0" applyFont="1" applyFill="1" applyBorder="1" applyAlignment="1" applyProtection="1">
      <alignment wrapText="1"/>
    </xf>
    <xf numFmtId="0" fontId="39" fillId="49" borderId="69" xfId="60" applyFont="1" applyFill="1" applyBorder="1" applyAlignment="1" applyProtection="1">
      <alignment vertical="top" wrapText="1"/>
    </xf>
    <xf numFmtId="10" fontId="68" fillId="41" borderId="70" xfId="66" applyNumberFormat="1" applyFont="1" applyFill="1" applyBorder="1" applyProtection="1"/>
    <xf numFmtId="0" fontId="0" fillId="44" borderId="10" xfId="0" applyFill="1" applyBorder="1" applyAlignment="1" applyProtection="1">
      <alignment wrapText="1"/>
    </xf>
    <xf numFmtId="10" fontId="68" fillId="41" borderId="91" xfId="66" applyNumberFormat="1" applyFont="1" applyFill="1" applyBorder="1" applyProtection="1"/>
    <xf numFmtId="10" fontId="68" fillId="41" borderId="71" xfId="66" applyNumberFormat="1" applyFont="1" applyFill="1" applyBorder="1" applyProtection="1"/>
    <xf numFmtId="0" fontId="0" fillId="41" borderId="0" xfId="0" applyFill="1" applyAlignment="1" applyProtection="1"/>
    <xf numFmtId="0" fontId="0" fillId="41" borderId="0" xfId="0" applyFill="1" applyProtection="1"/>
    <xf numFmtId="0" fontId="0" fillId="40" borderId="13" xfId="0" applyFill="1" applyBorder="1" applyAlignment="1" applyProtection="1">
      <alignment horizontal="center"/>
    </xf>
    <xf numFmtId="0" fontId="4" fillId="25" borderId="25" xfId="0" applyFont="1" applyFill="1" applyBorder="1" applyAlignment="1" applyProtection="1">
      <alignment wrapText="1"/>
    </xf>
    <xf numFmtId="0" fontId="79" fillId="26" borderId="0" xfId="0" applyFont="1" applyFill="1" applyProtection="1"/>
    <xf numFmtId="0" fontId="1" fillId="0" borderId="0" xfId="70" quotePrefix="1" applyProtection="1"/>
    <xf numFmtId="0" fontId="4" fillId="25" borderId="63" xfId="0" applyFont="1" applyFill="1" applyBorder="1" applyAlignment="1" applyProtection="1">
      <alignment wrapText="1"/>
    </xf>
    <xf numFmtId="0" fontId="0" fillId="42" borderId="70" xfId="0" applyFill="1" applyBorder="1" applyAlignment="1" applyProtection="1">
      <protection locked="0"/>
    </xf>
    <xf numFmtId="0" fontId="1" fillId="0" borderId="0" xfId="70" quotePrefix="1" applyFill="1" applyProtection="1"/>
    <xf numFmtId="0" fontId="1" fillId="0" borderId="0" xfId="70" applyFill="1" applyProtection="1"/>
    <xf numFmtId="0" fontId="25" fillId="0" borderId="12" xfId="70" applyFont="1" applyBorder="1" applyAlignment="1" applyProtection="1">
      <alignment vertical="top"/>
    </xf>
    <xf numFmtId="0" fontId="1" fillId="0" borderId="0" xfId="70" applyAlignment="1" applyProtection="1">
      <alignment vertical="top"/>
    </xf>
    <xf numFmtId="0" fontId="4" fillId="49" borderId="69" xfId="0" applyFont="1" applyFill="1" applyBorder="1" applyAlignment="1" applyProtection="1">
      <alignment horizontal="left" vertical="top"/>
    </xf>
    <xf numFmtId="0" fontId="2" fillId="24" borderId="125" xfId="0" applyNumberFormat="1" applyFont="1" applyFill="1" applyBorder="1" applyAlignment="1" applyProtection="1">
      <alignment horizontal="left" vertical="top"/>
    </xf>
    <xf numFmtId="0" fontId="2" fillId="24" borderId="91" xfId="0" applyNumberFormat="1" applyFont="1" applyFill="1" applyBorder="1" applyAlignment="1" applyProtection="1">
      <alignment horizontal="left" vertical="top"/>
    </xf>
    <xf numFmtId="0" fontId="2" fillId="39" borderId="13" xfId="0" applyFont="1" applyFill="1" applyBorder="1" applyAlignment="1" applyProtection="1"/>
    <xf numFmtId="197" fontId="37" fillId="27" borderId="64" xfId="0" applyNumberFormat="1" applyFont="1" applyFill="1" applyBorder="1" applyAlignment="1" applyProtection="1">
      <alignment horizontal="right" vertical="top"/>
    </xf>
    <xf numFmtId="197" fontId="57" fillId="27" borderId="65" xfId="0" applyNumberFormat="1" applyFont="1" applyFill="1" applyBorder="1" applyAlignment="1" applyProtection="1">
      <alignment horizontal="right" vertical="top"/>
    </xf>
    <xf numFmtId="197" fontId="37" fillId="27" borderId="65" xfId="0" applyNumberFormat="1" applyFont="1" applyFill="1" applyBorder="1" applyAlignment="1" applyProtection="1">
      <alignment horizontal="right" vertical="top"/>
    </xf>
    <xf numFmtId="197" fontId="37" fillId="27" borderId="66" xfId="0" applyNumberFormat="1" applyFont="1" applyFill="1" applyBorder="1" applyAlignment="1" applyProtection="1">
      <alignment horizontal="right" vertical="top"/>
    </xf>
    <xf numFmtId="197" fontId="2" fillId="27" borderId="11" xfId="0" applyNumberFormat="1" applyFont="1" applyFill="1" applyBorder="1" applyAlignment="1" applyProtection="1">
      <alignment horizontal="right" vertical="top"/>
    </xf>
    <xf numFmtId="197" fontId="37" fillId="27" borderId="93" xfId="0" applyNumberFormat="1" applyFont="1" applyFill="1" applyBorder="1" applyAlignment="1" applyProtection="1">
      <alignment horizontal="right" vertical="top"/>
    </xf>
    <xf numFmtId="197" fontId="4" fillId="27" borderId="78" xfId="0" applyNumberFormat="1" applyFont="1" applyFill="1" applyBorder="1" applyAlignment="1" applyProtection="1">
      <alignment horizontal="right" vertical="top"/>
    </xf>
    <xf numFmtId="197" fontId="4" fillId="27" borderId="79" xfId="0" applyNumberFormat="1" applyFont="1" applyFill="1" applyBorder="1" applyAlignment="1" applyProtection="1">
      <alignment horizontal="right" vertical="top"/>
    </xf>
    <xf numFmtId="197" fontId="2" fillId="29" borderId="64" xfId="0" applyNumberFormat="1" applyFont="1" applyFill="1" applyBorder="1" applyAlignment="1" applyProtection="1">
      <alignment horizontal="right" vertical="top"/>
      <protection locked="0"/>
    </xf>
    <xf numFmtId="197" fontId="57" fillId="29" borderId="65" xfId="0" applyNumberFormat="1" applyFont="1" applyFill="1" applyBorder="1" applyAlignment="1" applyProtection="1">
      <alignment horizontal="right" vertical="top"/>
      <protection locked="0"/>
    </xf>
    <xf numFmtId="197" fontId="2" fillId="29" borderId="65" xfId="0" applyNumberFormat="1" applyFont="1" applyFill="1" applyBorder="1" applyAlignment="1" applyProtection="1">
      <alignment horizontal="right" vertical="top"/>
      <protection locked="0"/>
    </xf>
    <xf numFmtId="197" fontId="2" fillId="29" borderId="97" xfId="0" applyNumberFormat="1" applyFont="1" applyFill="1" applyBorder="1" applyAlignment="1" applyProtection="1">
      <alignment horizontal="right" vertical="top"/>
      <protection locked="0"/>
    </xf>
    <xf numFmtId="197" fontId="2" fillId="27" borderId="13" xfId="0" applyNumberFormat="1" applyFont="1" applyFill="1" applyBorder="1" applyAlignment="1" applyProtection="1">
      <alignment horizontal="right" vertical="top"/>
    </xf>
    <xf numFmtId="197" fontId="4" fillId="27" borderId="13" xfId="0" applyNumberFormat="1" applyFont="1" applyFill="1" applyBorder="1" applyAlignment="1" applyProtection="1">
      <alignment horizontal="right" vertical="top"/>
    </xf>
    <xf numFmtId="197" fontId="2" fillId="29" borderId="93" xfId="0" applyNumberFormat="1" applyFont="1" applyFill="1" applyBorder="1" applyAlignment="1" applyProtection="1">
      <alignment horizontal="right" vertical="top"/>
      <protection locked="0"/>
    </xf>
    <xf numFmtId="197" fontId="4" fillId="29" borderId="78" xfId="0" applyNumberFormat="1" applyFont="1" applyFill="1" applyBorder="1" applyAlignment="1" applyProtection="1">
      <alignment horizontal="right" vertical="top"/>
      <protection locked="0"/>
    </xf>
    <xf numFmtId="197" fontId="4" fillId="29" borderId="79" xfId="0" applyNumberFormat="1" applyFont="1" applyFill="1" applyBorder="1" applyAlignment="1" applyProtection="1">
      <alignment horizontal="right" vertical="top"/>
      <protection locked="0"/>
    </xf>
    <xf numFmtId="197" fontId="37" fillId="27" borderId="97" xfId="0" applyNumberFormat="1" applyFont="1" applyFill="1" applyBorder="1" applyAlignment="1" applyProtection="1">
      <alignment horizontal="right" vertical="top"/>
    </xf>
    <xf numFmtId="197" fontId="37" fillId="27" borderId="27" xfId="0" applyNumberFormat="1" applyFont="1" applyFill="1" applyBorder="1" applyAlignment="1" applyProtection="1">
      <alignment horizontal="right" vertical="top"/>
    </xf>
    <xf numFmtId="197" fontId="37" fillId="27" borderId="13" xfId="0" applyNumberFormat="1" applyFont="1" applyFill="1" applyBorder="1" applyAlignment="1" applyProtection="1">
      <alignment horizontal="right" vertical="top"/>
    </xf>
    <xf numFmtId="197" fontId="37" fillId="27" borderId="72" xfId="0" applyNumberFormat="1" applyFont="1" applyFill="1" applyBorder="1" applyAlignment="1" applyProtection="1">
      <alignment horizontal="right" vertical="top"/>
    </xf>
    <xf numFmtId="197" fontId="37" fillId="27" borderId="61" xfId="0" applyNumberFormat="1" applyFont="1" applyFill="1" applyBorder="1" applyAlignment="1" applyProtection="1">
      <alignment horizontal="right" vertical="top"/>
    </xf>
    <xf numFmtId="10" fontId="78" fillId="44" borderId="73" xfId="66" applyNumberFormat="1" applyFont="1" applyFill="1" applyBorder="1" applyProtection="1"/>
    <xf numFmtId="181" fontId="79" fillId="44" borderId="13" xfId="0" applyNumberFormat="1" applyFont="1" applyFill="1" applyBorder="1" applyProtection="1"/>
    <xf numFmtId="10" fontId="78" fillId="44" borderId="91" xfId="66" applyNumberFormat="1" applyFont="1" applyFill="1" applyBorder="1" applyProtection="1"/>
    <xf numFmtId="10" fontId="78" fillId="44" borderId="71" xfId="66" applyNumberFormat="1" applyFont="1" applyFill="1" applyBorder="1" applyProtection="1"/>
    <xf numFmtId="182" fontId="79" fillId="44" borderId="13" xfId="0" applyNumberFormat="1" applyFont="1" applyFill="1" applyBorder="1" applyProtection="1"/>
    <xf numFmtId="182" fontId="37" fillId="24" borderId="0" xfId="0" applyNumberFormat="1" applyFont="1" applyFill="1" applyBorder="1" applyAlignment="1" applyProtection="1">
      <alignment vertical="top"/>
    </xf>
    <xf numFmtId="0" fontId="37" fillId="53" borderId="73" xfId="0" applyNumberFormat="1" applyFont="1" applyFill="1" applyBorder="1" applyAlignment="1" applyProtection="1">
      <alignment vertical="top"/>
      <protection locked="0"/>
    </xf>
    <xf numFmtId="0" fontId="37" fillId="54" borderId="71" xfId="0" applyNumberFormat="1" applyFont="1" applyFill="1" applyBorder="1" applyAlignment="1" applyProtection="1">
      <alignment vertical="top"/>
      <protection locked="0"/>
    </xf>
    <xf numFmtId="0" fontId="4" fillId="25" borderId="63" xfId="0" applyNumberFormat="1" applyFont="1" applyFill="1" applyBorder="1" applyAlignment="1" applyProtection="1">
      <alignment wrapText="1"/>
    </xf>
    <xf numFmtId="0" fontId="4" fillId="25" borderId="12" xfId="0" applyNumberFormat="1" applyFont="1" applyFill="1" applyBorder="1" applyAlignment="1" applyProtection="1">
      <alignment wrapText="1"/>
    </xf>
    <xf numFmtId="0" fontId="37" fillId="27" borderId="126" xfId="0" applyNumberFormat="1" applyFont="1" applyFill="1" applyBorder="1" applyAlignment="1" applyProtection="1">
      <alignment horizontal="center" vertical="top"/>
    </xf>
    <xf numFmtId="173" fontId="37" fillId="29" borderId="97" xfId="0" applyNumberFormat="1" applyFont="1" applyFill="1" applyBorder="1" applyAlignment="1" applyProtection="1">
      <alignment vertical="top"/>
      <protection locked="0"/>
    </xf>
    <xf numFmtId="173" fontId="2" fillId="29" borderId="97" xfId="0" applyNumberFormat="1" applyFont="1" applyFill="1" applyBorder="1" applyAlignment="1" applyProtection="1">
      <alignment vertical="top"/>
      <protection locked="0"/>
    </xf>
    <xf numFmtId="173" fontId="37" fillId="29" borderId="127" xfId="0" applyNumberFormat="1" applyFont="1" applyFill="1" applyBorder="1" applyAlignment="1" applyProtection="1">
      <alignment vertical="top"/>
      <protection locked="0"/>
    </xf>
    <xf numFmtId="0" fontId="4" fillId="25" borderId="128" xfId="0" applyNumberFormat="1" applyFont="1" applyFill="1" applyBorder="1" applyAlignment="1" applyProtection="1">
      <alignment vertical="top"/>
    </xf>
    <xf numFmtId="0" fontId="4" fillId="25" borderId="126" xfId="0" applyNumberFormat="1" applyFont="1" applyFill="1" applyBorder="1" applyAlignment="1" applyProtection="1">
      <alignment vertical="top"/>
    </xf>
    <xf numFmtId="0" fontId="4" fillId="27" borderId="97" xfId="0" applyNumberFormat="1" applyFont="1" applyFill="1" applyBorder="1" applyAlignment="1" applyProtection="1">
      <alignment vertical="top"/>
    </xf>
    <xf numFmtId="0" fontId="4" fillId="27" borderId="127" xfId="0" applyNumberFormat="1" applyFont="1" applyFill="1" applyBorder="1" applyAlignment="1" applyProtection="1">
      <alignment vertical="top"/>
    </xf>
    <xf numFmtId="10" fontId="68" fillId="41" borderId="125" xfId="66" applyNumberFormat="1" applyFont="1" applyFill="1" applyBorder="1" applyProtection="1"/>
    <xf numFmtId="0" fontId="37" fillId="25" borderId="129" xfId="0" applyNumberFormat="1" applyFont="1" applyFill="1" applyBorder="1" applyAlignment="1" applyProtection="1">
      <alignment horizontal="center" vertical="top"/>
    </xf>
    <xf numFmtId="0" fontId="37" fillId="39" borderId="125" xfId="0" applyNumberFormat="1" applyFont="1" applyFill="1" applyBorder="1" applyAlignment="1" applyProtection="1">
      <alignment horizontal="center" vertical="top"/>
    </xf>
    <xf numFmtId="0" fontId="54" fillId="25" borderId="63" xfId="0" applyNumberFormat="1" applyFont="1" applyFill="1" applyBorder="1" applyAlignment="1" applyProtection="1">
      <alignment horizontal="center" wrapText="1"/>
    </xf>
    <xf numFmtId="0" fontId="4" fillId="0" borderId="11" xfId="0" applyFont="1" applyBorder="1" applyAlignment="1" applyProtection="1">
      <alignment horizontal="center" wrapText="1"/>
    </xf>
    <xf numFmtId="0" fontId="37" fillId="25" borderId="63" xfId="0" applyNumberFormat="1" applyFont="1" applyFill="1" applyBorder="1" applyAlignment="1" applyProtection="1">
      <alignment vertical="top" wrapText="1"/>
    </xf>
    <xf numFmtId="182" fontId="0" fillId="39" borderId="13" xfId="0" applyNumberFormat="1" applyFill="1" applyBorder="1" applyProtection="1"/>
    <xf numFmtId="0" fontId="4" fillId="27" borderId="18" xfId="0" applyNumberFormat="1" applyFont="1" applyFill="1" applyBorder="1" applyAlignment="1" applyProtection="1">
      <alignment horizontal="center" vertical="top"/>
    </xf>
    <xf numFmtId="173" fontId="4" fillId="29" borderId="93" xfId="0" applyNumberFormat="1" applyFont="1" applyFill="1" applyBorder="1" applyAlignment="1" applyProtection="1">
      <alignment vertical="top"/>
      <protection locked="0"/>
    </xf>
    <xf numFmtId="173" fontId="4" fillId="29" borderId="130" xfId="0" applyNumberFormat="1" applyFont="1" applyFill="1" applyBorder="1" applyAlignment="1" applyProtection="1">
      <alignment vertical="top"/>
      <protection locked="0"/>
    </xf>
    <xf numFmtId="0" fontId="2" fillId="44" borderId="110" xfId="0" applyNumberFormat="1" applyFont="1" applyFill="1" applyBorder="1" applyAlignment="1" applyProtection="1">
      <alignment vertical="top"/>
    </xf>
    <xf numFmtId="0" fontId="2" fillId="39" borderId="18" xfId="0" applyNumberFormat="1" applyFont="1" applyFill="1" applyBorder="1" applyAlignment="1" applyProtection="1">
      <alignment horizontal="center" vertical="top"/>
    </xf>
    <xf numFmtId="173" fontId="4" fillId="27" borderId="93" xfId="0" applyNumberFormat="1" applyFont="1" applyFill="1" applyBorder="1" applyAlignment="1" applyProtection="1">
      <alignment vertical="top"/>
    </xf>
    <xf numFmtId="173" fontId="4" fillId="27" borderId="130" xfId="0" applyNumberFormat="1" applyFont="1" applyFill="1" applyBorder="1" applyAlignment="1" applyProtection="1">
      <alignment vertical="top"/>
    </xf>
    <xf numFmtId="173" fontId="37" fillId="25" borderId="0" xfId="0" applyNumberFormat="1" applyFont="1" applyFill="1" applyBorder="1" applyAlignment="1" applyProtection="1">
      <alignment vertical="top"/>
    </xf>
    <xf numFmtId="0" fontId="37" fillId="29" borderId="64" xfId="0" applyNumberFormat="1" applyFont="1" applyFill="1" applyBorder="1" applyAlignment="1" applyProtection="1">
      <alignment vertical="top"/>
      <protection locked="0"/>
    </xf>
    <xf numFmtId="0" fontId="37" fillId="29" borderId="65" xfId="0" applyNumberFormat="1" applyFont="1" applyFill="1" applyBorder="1" applyAlignment="1" applyProtection="1">
      <alignment vertical="top"/>
      <protection locked="0"/>
    </xf>
    <xf numFmtId="0" fontId="37" fillId="29" borderId="66" xfId="0" applyNumberFormat="1" applyFont="1" applyFill="1" applyBorder="1" applyAlignment="1" applyProtection="1">
      <alignment vertical="top"/>
      <protection locked="0"/>
    </xf>
    <xf numFmtId="49" fontId="37" fillId="42" borderId="64" xfId="0" applyNumberFormat="1" applyFont="1" applyFill="1" applyBorder="1" applyAlignment="1" applyProtection="1">
      <alignment horizontal="center" vertical="top"/>
      <protection locked="0"/>
    </xf>
    <xf numFmtId="49" fontId="37" fillId="42" borderId="65" xfId="0" applyNumberFormat="1" applyFont="1" applyFill="1" applyBorder="1" applyAlignment="1" applyProtection="1">
      <alignment horizontal="center" vertical="top"/>
      <protection locked="0"/>
    </xf>
    <xf numFmtId="49" fontId="37" fillId="42" borderId="66" xfId="0" applyNumberFormat="1" applyFont="1" applyFill="1" applyBorder="1" applyAlignment="1" applyProtection="1">
      <alignment horizontal="center" vertical="top"/>
      <protection locked="0"/>
    </xf>
    <xf numFmtId="49" fontId="2" fillId="42" borderId="64" xfId="0" applyNumberFormat="1" applyFont="1" applyFill="1" applyBorder="1" applyAlignment="1" applyProtection="1">
      <alignment horizontal="center" vertical="top"/>
      <protection locked="0"/>
    </xf>
    <xf numFmtId="0" fontId="37" fillId="24" borderId="125" xfId="0" applyNumberFormat="1" applyFont="1" applyFill="1" applyBorder="1" applyAlignment="1" applyProtection="1">
      <alignment vertical="top"/>
    </xf>
    <xf numFmtId="0" fontId="37" fillId="24" borderId="131" xfId="0" applyNumberFormat="1" applyFont="1" applyFill="1" applyBorder="1" applyAlignment="1" applyProtection="1">
      <alignment horizontal="center" vertical="top"/>
    </xf>
    <xf numFmtId="0" fontId="37" fillId="24" borderId="45" xfId="0" applyNumberFormat="1" applyFont="1" applyFill="1" applyBorder="1" applyAlignment="1" applyProtection="1">
      <alignment horizontal="center" vertical="top"/>
    </xf>
    <xf numFmtId="4" fontId="2" fillId="40" borderId="10" xfId="0" applyNumberFormat="1" applyFont="1" applyFill="1" applyBorder="1" applyAlignment="1" applyProtection="1">
      <alignment vertical="top"/>
    </xf>
    <xf numFmtId="4" fontId="2" fillId="27" borderId="132" xfId="0" applyNumberFormat="1" applyFont="1" applyFill="1" applyBorder="1" applyAlignment="1" applyProtection="1">
      <alignment vertical="top"/>
    </xf>
    <xf numFmtId="3" fontId="37" fillId="24" borderId="73" xfId="0" applyNumberFormat="1" applyFont="1" applyFill="1" applyBorder="1" applyAlignment="1" applyProtection="1">
      <alignment vertical="top"/>
    </xf>
    <xf numFmtId="3" fontId="37" fillId="24" borderId="76" xfId="0" applyNumberFormat="1" applyFont="1" applyFill="1" applyBorder="1" applyAlignment="1" applyProtection="1">
      <alignment vertical="top"/>
    </xf>
    <xf numFmtId="3" fontId="37" fillId="24" borderId="44" xfId="0" applyNumberFormat="1" applyFont="1" applyFill="1" applyBorder="1" applyAlignment="1" applyProtection="1">
      <alignment vertical="top"/>
    </xf>
    <xf numFmtId="3" fontId="37" fillId="24" borderId="75" xfId="0" applyNumberFormat="1" applyFont="1" applyFill="1" applyBorder="1" applyAlignment="1" applyProtection="1">
      <alignment vertical="top"/>
    </xf>
    <xf numFmtId="3" fontId="37" fillId="24" borderId="71" xfId="0" applyNumberFormat="1" applyFont="1" applyFill="1" applyBorder="1" applyAlignment="1" applyProtection="1">
      <alignment vertical="top"/>
    </xf>
    <xf numFmtId="3" fontId="37" fillId="24" borderId="62" xfId="0" applyNumberFormat="1" applyFont="1" applyFill="1" applyBorder="1" applyAlignment="1" applyProtection="1">
      <alignment vertical="top"/>
    </xf>
    <xf numFmtId="3" fontId="37" fillId="24" borderId="60" xfId="0" applyNumberFormat="1" applyFont="1" applyFill="1" applyBorder="1" applyAlignment="1" applyProtection="1">
      <alignment vertical="top"/>
    </xf>
    <xf numFmtId="3" fontId="37" fillId="24" borderId="61" xfId="0" applyNumberFormat="1" applyFont="1" applyFill="1" applyBorder="1" applyAlignment="1" applyProtection="1">
      <alignment vertical="top"/>
    </xf>
    <xf numFmtId="0" fontId="37" fillId="41" borderId="27" xfId="0" applyNumberFormat="1" applyFont="1" applyFill="1" applyBorder="1" applyAlignment="1" applyProtection="1">
      <alignment horizontal="center" vertical="top"/>
    </xf>
    <xf numFmtId="172" fontId="37" fillId="42" borderId="13" xfId="0" applyNumberFormat="1" applyFont="1" applyFill="1" applyBorder="1" applyAlignment="1" applyProtection="1">
      <alignment vertical="top"/>
      <protection locked="0"/>
    </xf>
    <xf numFmtId="3" fontId="2" fillId="40" borderId="13" xfId="0" applyNumberFormat="1" applyFont="1" applyFill="1" applyBorder="1" applyAlignment="1" applyProtection="1">
      <alignment vertical="top"/>
    </xf>
    <xf numFmtId="15" fontId="10" fillId="25" borderId="0" xfId="0" applyNumberFormat="1" applyFont="1" applyFill="1" applyAlignment="1" applyProtection="1">
      <alignment horizontal="right" vertical="top" wrapText="1"/>
    </xf>
    <xf numFmtId="3" fontId="37" fillId="25" borderId="0" xfId="0" applyNumberFormat="1" applyFont="1" applyFill="1" applyBorder="1" applyAlignment="1" applyProtection="1">
      <alignment vertical="top"/>
    </xf>
    <xf numFmtId="0" fontId="2" fillId="40" borderId="13" xfId="0" applyFont="1" applyFill="1" applyBorder="1" applyAlignment="1" applyProtection="1">
      <alignment horizontal="center" vertical="top" wrapText="1"/>
    </xf>
    <xf numFmtId="0" fontId="76" fillId="25" borderId="0" xfId="0" applyNumberFormat="1" applyFont="1" applyFill="1" applyBorder="1" applyAlignment="1" applyProtection="1">
      <alignment horizontal="right" vertical="center"/>
    </xf>
    <xf numFmtId="187" fontId="2" fillId="40" borderId="13" xfId="66" applyNumberFormat="1" applyFont="1" applyFill="1" applyBorder="1" applyAlignment="1" applyProtection="1">
      <alignment horizontal="center" vertical="top" wrapText="1"/>
    </xf>
    <xf numFmtId="0" fontId="2" fillId="41" borderId="0" xfId="0" applyNumberFormat="1" applyFont="1" applyFill="1" applyBorder="1" applyAlignment="1" applyProtection="1">
      <alignment vertical="top" wrapText="1"/>
    </xf>
    <xf numFmtId="0" fontId="2" fillId="39" borderId="0" xfId="0" applyNumberFormat="1" applyFont="1" applyFill="1" applyBorder="1" applyAlignment="1" applyProtection="1">
      <alignment horizontal="left" vertical="top"/>
    </xf>
    <xf numFmtId="0" fontId="2" fillId="39" borderId="10" xfId="0" applyNumberFormat="1" applyFont="1" applyFill="1" applyBorder="1" applyAlignment="1" applyProtection="1">
      <alignment vertical="top" wrapText="1"/>
    </xf>
    <xf numFmtId="0" fontId="37" fillId="39" borderId="117" xfId="0" applyNumberFormat="1" applyFont="1" applyFill="1" applyBorder="1" applyAlignment="1" applyProtection="1">
      <alignment vertical="top"/>
    </xf>
    <xf numFmtId="0" fontId="2" fillId="43" borderId="26" xfId="0" applyNumberFormat="1" applyFont="1" applyFill="1" applyBorder="1" applyAlignment="1" applyProtection="1">
      <alignment horizontal="center" vertical="top"/>
    </xf>
    <xf numFmtId="4" fontId="2" fillId="40" borderId="75" xfId="0" applyNumberFormat="1" applyFont="1" applyFill="1" applyBorder="1" applyAlignment="1" applyProtection="1">
      <alignment vertical="top"/>
    </xf>
    <xf numFmtId="0" fontId="47" fillId="27" borderId="101" xfId="0" applyNumberFormat="1" applyFont="1" applyFill="1" applyBorder="1" applyAlignment="1" applyProtection="1">
      <alignment horizontal="center" vertical="top" wrapText="1"/>
    </xf>
    <xf numFmtId="0" fontId="47" fillId="27" borderId="100" xfId="0" applyNumberFormat="1" applyFont="1" applyFill="1" applyBorder="1" applyAlignment="1" applyProtection="1">
      <alignment horizontal="center" vertical="top" wrapText="1"/>
    </xf>
    <xf numFmtId="0" fontId="47" fillId="27" borderId="99" xfId="0" applyNumberFormat="1" applyFont="1" applyFill="1" applyBorder="1" applyAlignment="1" applyProtection="1">
      <alignment horizontal="center" vertical="top" wrapText="1"/>
    </xf>
    <xf numFmtId="0" fontId="4" fillId="25" borderId="63" xfId="0" applyFont="1" applyFill="1" applyBorder="1" applyAlignment="1" applyProtection="1">
      <alignment horizontal="left"/>
    </xf>
    <xf numFmtId="0" fontId="4" fillId="25" borderId="12" xfId="0" applyFont="1" applyFill="1" applyBorder="1" applyAlignment="1" applyProtection="1">
      <alignment horizontal="left"/>
    </xf>
    <xf numFmtId="0" fontId="4" fillId="25" borderId="25" xfId="0" applyFont="1" applyFill="1" applyBorder="1" applyAlignment="1" applyProtection="1">
      <alignment horizontal="left"/>
    </xf>
    <xf numFmtId="0" fontId="4" fillId="25" borderId="19" xfId="0" applyNumberFormat="1" applyFont="1" applyFill="1" applyBorder="1" applyAlignment="1" applyProtection="1">
      <alignment horizontal="center" wrapText="1"/>
    </xf>
    <xf numFmtId="0" fontId="4" fillId="25" borderId="93" xfId="0" applyNumberFormat="1" applyFont="1" applyFill="1" applyBorder="1" applyAlignment="1" applyProtection="1">
      <alignment horizontal="center" wrapText="1"/>
    </xf>
    <xf numFmtId="0" fontId="8" fillId="25" borderId="25" xfId="0" applyFont="1" applyFill="1" applyBorder="1" applyAlignment="1" applyProtection="1">
      <alignment horizontal="right"/>
    </xf>
    <xf numFmtId="4" fontId="37" fillId="25" borderId="0" xfId="0" applyNumberFormat="1" applyFont="1" applyFill="1" applyBorder="1" applyAlignment="1" applyProtection="1">
      <alignment vertical="top"/>
    </xf>
    <xf numFmtId="14" fontId="2" fillId="29" borderId="64" xfId="0" applyNumberFormat="1" applyFont="1" applyFill="1" applyBorder="1" applyAlignment="1" applyProtection="1">
      <alignment horizontal="center" vertical="top"/>
      <protection locked="0"/>
    </xf>
    <xf numFmtId="14" fontId="2" fillId="29" borderId="65" xfId="0" applyNumberFormat="1" applyFont="1" applyFill="1" applyBorder="1" applyAlignment="1" applyProtection="1">
      <alignment horizontal="center" vertical="top"/>
      <protection locked="0"/>
    </xf>
    <xf numFmtId="14" fontId="2" fillId="29" borderId="66" xfId="0" applyNumberFormat="1" applyFont="1" applyFill="1" applyBorder="1" applyAlignment="1" applyProtection="1">
      <alignment horizontal="center" vertical="top"/>
      <protection locked="0"/>
    </xf>
    <xf numFmtId="14" fontId="2" fillId="29" borderId="97" xfId="0" applyNumberFormat="1" applyFont="1" applyFill="1" applyBorder="1" applyAlignment="1" applyProtection="1">
      <alignment horizontal="center" vertical="top"/>
      <protection locked="0"/>
    </xf>
    <xf numFmtId="0" fontId="4" fillId="25" borderId="11" xfId="0" applyNumberFormat="1" applyFont="1" applyFill="1" applyBorder="1" applyAlignment="1" applyProtection="1">
      <alignment horizontal="center"/>
    </xf>
    <xf numFmtId="0" fontId="4" fillId="25" borderId="93" xfId="0" applyNumberFormat="1" applyFont="1" applyFill="1" applyBorder="1" applyAlignment="1" applyProtection="1">
      <alignment horizontal="right"/>
    </xf>
    <xf numFmtId="0" fontId="4" fillId="25" borderId="93" xfId="0" applyNumberFormat="1" applyFont="1" applyFill="1" applyBorder="1" applyAlignment="1" applyProtection="1">
      <alignment horizontal="center"/>
    </xf>
    <xf numFmtId="0" fontId="2" fillId="40" borderId="13" xfId="0" applyNumberFormat="1" applyFont="1" applyFill="1" applyBorder="1" applyAlignment="1" applyProtection="1">
      <alignment vertical="top"/>
    </xf>
    <xf numFmtId="0" fontId="2" fillId="0" borderId="107" xfId="0" applyNumberFormat="1" applyFont="1" applyFill="1" applyBorder="1" applyAlignment="1" applyProtection="1">
      <alignment vertical="top"/>
    </xf>
    <xf numFmtId="0" fontId="37" fillId="0" borderId="22" xfId="0" applyNumberFormat="1" applyFont="1" applyFill="1" applyBorder="1" applyAlignment="1" applyProtection="1">
      <alignment vertical="top"/>
    </xf>
    <xf numFmtId="0" fontId="37" fillId="0" borderId="106" xfId="0" applyNumberFormat="1" applyFont="1" applyFill="1" applyBorder="1" applyAlignment="1" applyProtection="1">
      <alignment vertical="top"/>
    </xf>
    <xf numFmtId="0" fontId="2" fillId="0" borderId="19" xfId="0" applyNumberFormat="1" applyFont="1" applyFill="1" applyBorder="1" applyAlignment="1" applyProtection="1">
      <alignment vertical="top"/>
    </xf>
    <xf numFmtId="0" fontId="37" fillId="0" borderId="63" xfId="0" applyNumberFormat="1" applyFont="1" applyFill="1" applyBorder="1" applyAlignment="1" applyProtection="1">
      <alignment vertical="top"/>
    </xf>
    <xf numFmtId="0" fontId="37" fillId="0" borderId="12" xfId="0" applyNumberFormat="1" applyFont="1" applyFill="1" applyBorder="1" applyAlignment="1" applyProtection="1">
      <alignment vertical="top"/>
    </xf>
    <xf numFmtId="0" fontId="37" fillId="0" borderId="25" xfId="0" applyNumberFormat="1" applyFont="1" applyFill="1" applyBorder="1" applyAlignment="1" applyProtection="1">
      <alignment vertical="top"/>
    </xf>
    <xf numFmtId="3" fontId="2" fillId="43" borderId="0" xfId="0" applyNumberFormat="1" applyFont="1" applyFill="1" applyBorder="1" applyAlignment="1" applyProtection="1">
      <alignment vertical="top"/>
    </xf>
    <xf numFmtId="172" fontId="37" fillId="27" borderId="97" xfId="0" applyNumberFormat="1" applyFont="1" applyFill="1" applyBorder="1" applyAlignment="1" applyProtection="1">
      <alignment vertical="top"/>
    </xf>
    <xf numFmtId="172" fontId="37" fillId="27" borderId="65" xfId="0" applyNumberFormat="1" applyFont="1" applyFill="1" applyBorder="1" applyAlignment="1" applyProtection="1">
      <alignment vertical="top"/>
    </xf>
    <xf numFmtId="172" fontId="4" fillId="27" borderId="54" xfId="0" applyNumberFormat="1" applyFont="1" applyFill="1" applyBorder="1" applyAlignment="1" applyProtection="1">
      <alignment vertical="top"/>
    </xf>
    <xf numFmtId="172" fontId="37" fillId="27" borderId="11" xfId="0" applyNumberFormat="1" applyFont="1" applyFill="1" applyBorder="1" applyAlignment="1" applyProtection="1">
      <alignment vertical="top"/>
    </xf>
    <xf numFmtId="0" fontId="37" fillId="42" borderId="64" xfId="0" applyNumberFormat="1" applyFont="1" applyFill="1" applyBorder="1" applyAlignment="1" applyProtection="1">
      <alignment horizontal="left" vertical="top"/>
      <protection locked="0"/>
    </xf>
    <xf numFmtId="0" fontId="2" fillId="42" borderId="65" xfId="0" applyNumberFormat="1" applyFont="1" applyFill="1" applyBorder="1" applyAlignment="1" applyProtection="1">
      <alignment horizontal="left" vertical="top"/>
      <protection locked="0"/>
    </xf>
    <xf numFmtId="0" fontId="37" fillId="42" borderId="65" xfId="0" applyNumberFormat="1" applyFont="1" applyFill="1" applyBorder="1" applyAlignment="1" applyProtection="1">
      <alignment horizontal="left" vertical="top"/>
      <protection locked="0"/>
    </xf>
    <xf numFmtId="0" fontId="37" fillId="42" borderId="66" xfId="0" applyNumberFormat="1" applyFont="1" applyFill="1" applyBorder="1" applyAlignment="1" applyProtection="1">
      <alignment horizontal="left" vertical="top"/>
      <protection locked="0"/>
    </xf>
    <xf numFmtId="1" fontId="0" fillId="39" borderId="13" xfId="0" applyNumberFormat="1" applyFill="1" applyBorder="1" applyProtection="1"/>
    <xf numFmtId="182" fontId="2" fillId="24" borderId="13" xfId="0" applyNumberFormat="1" applyFont="1" applyFill="1" applyBorder="1" applyAlignment="1" applyProtection="1">
      <alignment horizontal="center" vertical="top"/>
    </xf>
    <xf numFmtId="3" fontId="4" fillId="40" borderId="77" xfId="0" applyNumberFormat="1" applyFont="1" applyFill="1" applyBorder="1" applyAlignment="1" applyProtection="1">
      <alignment vertical="top"/>
    </xf>
    <xf numFmtId="3" fontId="4" fillId="40" borderId="78" xfId="0" applyNumberFormat="1" applyFont="1" applyFill="1" applyBorder="1" applyAlignment="1" applyProtection="1">
      <alignment vertical="top"/>
    </xf>
    <xf numFmtId="3" fontId="4" fillId="40" borderId="79" xfId="0" applyNumberFormat="1" applyFont="1" applyFill="1" applyBorder="1" applyAlignment="1" applyProtection="1">
      <alignment vertical="top"/>
    </xf>
    <xf numFmtId="0" fontId="37" fillId="25" borderId="52" xfId="0" applyNumberFormat="1" applyFont="1" applyFill="1" applyBorder="1" applyAlignment="1" applyProtection="1">
      <alignment horizontal="center" vertical="top"/>
    </xf>
    <xf numFmtId="173" fontId="4" fillId="27" borderId="65" xfId="0" applyNumberFormat="1" applyFont="1" applyFill="1" applyBorder="1" applyAlignment="1" applyProtection="1">
      <alignment vertical="top"/>
    </xf>
    <xf numFmtId="173" fontId="4" fillId="27" borderId="98" xfId="0" applyNumberFormat="1" applyFont="1" applyFill="1" applyBorder="1" applyAlignment="1" applyProtection="1">
      <alignment vertical="top"/>
    </xf>
    <xf numFmtId="0" fontId="37" fillId="25" borderId="37" xfId="0" applyNumberFormat="1" applyFont="1" applyFill="1" applyBorder="1" applyAlignment="1" applyProtection="1">
      <alignment horizontal="center" vertical="top"/>
    </xf>
    <xf numFmtId="0" fontId="37" fillId="53" borderId="91" xfId="0" applyNumberFormat="1" applyFont="1" applyFill="1" applyBorder="1" applyAlignment="1" applyProtection="1">
      <alignment vertical="top"/>
      <protection locked="0"/>
    </xf>
    <xf numFmtId="0" fontId="4" fillId="41" borderId="21" xfId="0" applyNumberFormat="1" applyFont="1" applyFill="1" applyBorder="1" applyAlignment="1" applyProtection="1">
      <alignment horizontal="center" vertical="top"/>
    </xf>
    <xf numFmtId="172" fontId="4" fillId="27" borderId="65" xfId="0" applyNumberFormat="1" applyFont="1" applyFill="1" applyBorder="1" applyAlignment="1" applyProtection="1">
      <alignment vertical="top"/>
    </xf>
    <xf numFmtId="172" fontId="4" fillId="27" borderId="98" xfId="0" applyNumberFormat="1" applyFont="1" applyFill="1" applyBorder="1" applyAlignment="1" applyProtection="1">
      <alignment vertical="top"/>
    </xf>
    <xf numFmtId="172" fontId="4" fillId="27" borderId="53" xfId="0" applyNumberFormat="1" applyFont="1" applyFill="1" applyBorder="1" applyAlignment="1" applyProtection="1">
      <alignment vertical="top"/>
    </xf>
    <xf numFmtId="172" fontId="4" fillId="27" borderId="96" xfId="0" applyNumberFormat="1" applyFont="1" applyFill="1" applyBorder="1" applyAlignment="1" applyProtection="1">
      <alignment vertical="top"/>
    </xf>
    <xf numFmtId="172" fontId="4" fillId="27" borderId="95" xfId="0" applyNumberFormat="1" applyFont="1" applyFill="1" applyBorder="1" applyAlignment="1" applyProtection="1">
      <alignment vertical="top"/>
    </xf>
    <xf numFmtId="0" fontId="4" fillId="25" borderId="11" xfId="0" applyNumberFormat="1" applyFont="1" applyFill="1" applyBorder="1" applyAlignment="1" applyProtection="1">
      <alignment horizontal="center" vertical="top"/>
    </xf>
    <xf numFmtId="172" fontId="2" fillId="40" borderId="13" xfId="0" applyNumberFormat="1" applyFont="1" applyFill="1" applyBorder="1" applyAlignment="1" applyProtection="1">
      <alignment horizontal="right" vertical="top"/>
    </xf>
    <xf numFmtId="49" fontId="2" fillId="42" borderId="65" xfId="0" applyNumberFormat="1" applyFont="1" applyFill="1" applyBorder="1" applyAlignment="1" applyProtection="1">
      <alignment horizontal="center" vertical="top"/>
      <protection locked="0"/>
    </xf>
    <xf numFmtId="0" fontId="37" fillId="40" borderId="64" xfId="0" applyNumberFormat="1" applyFont="1" applyFill="1" applyBorder="1" applyAlignment="1" applyProtection="1">
      <alignment horizontal="center" vertical="top"/>
    </xf>
    <xf numFmtId="0" fontId="37" fillId="40" borderId="65" xfId="0" applyNumberFormat="1" applyFont="1" applyFill="1" applyBorder="1" applyAlignment="1" applyProtection="1">
      <alignment horizontal="center" vertical="top"/>
    </xf>
    <xf numFmtId="0" fontId="37" fillId="40" borderId="66" xfId="0" applyNumberFormat="1" applyFont="1" applyFill="1" applyBorder="1" applyAlignment="1" applyProtection="1">
      <alignment horizontal="center" vertical="top"/>
    </xf>
    <xf numFmtId="14" fontId="2" fillId="40" borderId="13" xfId="0" applyNumberFormat="1" applyFont="1" applyFill="1" applyBorder="1" applyAlignment="1" applyProtection="1">
      <alignment horizontal="center" vertical="top"/>
    </xf>
    <xf numFmtId="0" fontId="2" fillId="25" borderId="70" xfId="0" applyNumberFormat="1" applyFont="1" applyFill="1" applyBorder="1" applyAlignment="1" applyProtection="1">
      <alignment horizontal="center" vertical="top"/>
    </xf>
    <xf numFmtId="172" fontId="2" fillId="40" borderId="70" xfId="0" applyNumberFormat="1" applyFont="1" applyFill="1" applyBorder="1" applyAlignment="1" applyProtection="1">
      <alignment horizontal="center" vertical="top"/>
    </xf>
    <xf numFmtId="0" fontId="2" fillId="27" borderId="96" xfId="0" applyNumberFormat="1" applyFont="1" applyFill="1" applyBorder="1" applyAlignment="1" applyProtection="1">
      <alignment vertical="top"/>
    </xf>
    <xf numFmtId="0" fontId="2" fillId="27" borderId="95" xfId="0" applyNumberFormat="1" applyFont="1" applyFill="1" applyBorder="1" applyAlignment="1" applyProtection="1">
      <alignment vertical="top"/>
    </xf>
    <xf numFmtId="0" fontId="2" fillId="27" borderId="65" xfId="0" applyNumberFormat="1" applyFont="1" applyFill="1" applyBorder="1" applyAlignment="1" applyProtection="1">
      <alignment vertical="top"/>
    </xf>
    <xf numFmtId="0" fontId="2" fillId="27" borderId="98" xfId="0" applyNumberFormat="1" applyFont="1" applyFill="1" applyBorder="1" applyAlignment="1" applyProtection="1">
      <alignment vertical="top"/>
    </xf>
    <xf numFmtId="0" fontId="2" fillId="27" borderId="54" xfId="0" applyNumberFormat="1" applyFont="1" applyFill="1" applyBorder="1" applyAlignment="1" applyProtection="1">
      <alignment vertical="top"/>
    </xf>
    <xf numFmtId="0" fontId="2" fillId="27" borderId="53" xfId="0" applyNumberFormat="1" applyFont="1" applyFill="1" applyBorder="1" applyAlignment="1" applyProtection="1">
      <alignment vertical="top"/>
    </xf>
    <xf numFmtId="173" fontId="80" fillId="27" borderId="11" xfId="0" applyNumberFormat="1" applyFont="1" applyFill="1" applyBorder="1" applyAlignment="1" applyProtection="1">
      <alignment vertical="top"/>
    </xf>
    <xf numFmtId="0" fontId="4" fillId="25" borderId="40" xfId="0" applyNumberFormat="1" applyFont="1" applyFill="1" applyBorder="1" applyAlignment="1" applyProtection="1">
      <alignment horizontal="center" vertical="top"/>
    </xf>
    <xf numFmtId="173" fontId="37" fillId="46" borderId="66" xfId="0" applyNumberFormat="1" applyFont="1" applyFill="1" applyBorder="1" applyAlignment="1" applyProtection="1">
      <alignment vertical="top"/>
      <protection locked="0"/>
    </xf>
    <xf numFmtId="0" fontId="2" fillId="39" borderId="0" xfId="0" applyFont="1" applyFill="1" applyAlignment="1" applyProtection="1">
      <alignment horizontal="center"/>
    </xf>
    <xf numFmtId="0" fontId="2" fillId="39" borderId="0" xfId="0" applyFont="1" applyFill="1" applyAlignment="1" applyProtection="1">
      <alignment vertical="top"/>
    </xf>
    <xf numFmtId="0" fontId="2" fillId="39" borderId="0" xfId="0" applyFont="1" applyFill="1" applyBorder="1" applyAlignment="1" applyProtection="1">
      <alignment horizontal="center"/>
    </xf>
    <xf numFmtId="0" fontId="37" fillId="39" borderId="69" xfId="0" applyNumberFormat="1" applyFont="1" applyFill="1" applyBorder="1" applyAlignment="1" applyProtection="1">
      <alignment horizontal="center" vertical="top"/>
    </xf>
    <xf numFmtId="0" fontId="37" fillId="39" borderId="43" xfId="0" applyNumberFormat="1" applyFont="1" applyFill="1" applyBorder="1" applyAlignment="1" applyProtection="1">
      <alignment vertical="top"/>
    </xf>
    <xf numFmtId="0" fontId="37" fillId="39" borderId="59" xfId="0" applyNumberFormat="1" applyFont="1" applyFill="1" applyBorder="1" applyAlignment="1" applyProtection="1">
      <alignment vertical="top"/>
    </xf>
    <xf numFmtId="0" fontId="37" fillId="39" borderId="62" xfId="0" applyNumberFormat="1" applyFont="1" applyFill="1" applyBorder="1" applyAlignment="1" applyProtection="1">
      <alignment vertical="top"/>
    </xf>
    <xf numFmtId="0" fontId="2" fillId="39" borderId="0" xfId="0" applyFont="1" applyFill="1" applyAlignment="1" applyProtection="1">
      <alignment horizontal="right"/>
    </xf>
    <xf numFmtId="0" fontId="72" fillId="39" borderId="0" xfId="0" applyNumberFormat="1" applyFont="1" applyFill="1" applyBorder="1" applyAlignment="1" applyProtection="1">
      <alignment vertical="top"/>
    </xf>
    <xf numFmtId="175" fontId="79" fillId="44" borderId="13" xfId="0" applyNumberFormat="1" applyFont="1" applyFill="1" applyBorder="1" applyProtection="1"/>
    <xf numFmtId="0" fontId="6" fillId="55" borderId="0" xfId="60" applyFill="1" applyAlignment="1" applyProtection="1">
      <alignment vertical="center" wrapText="1"/>
    </xf>
    <xf numFmtId="0" fontId="6" fillId="56" borderId="69" xfId="60" applyFill="1" applyBorder="1" applyAlignment="1" applyProtection="1">
      <alignment vertical="center" wrapText="1"/>
    </xf>
    <xf numFmtId="0" fontId="6" fillId="56" borderId="117" xfId="60" applyFill="1" applyBorder="1" applyAlignment="1" applyProtection="1">
      <alignment vertical="center" wrapText="1"/>
    </xf>
    <xf numFmtId="0" fontId="6" fillId="55" borderId="0" xfId="60" applyFill="1" applyAlignment="1" applyProtection="1">
      <alignment vertical="center"/>
    </xf>
    <xf numFmtId="0" fontId="0" fillId="49" borderId="0" xfId="0" applyFill="1" applyBorder="1" applyAlignment="1" applyProtection="1">
      <alignment horizontal="center" vertical="top" wrapText="1"/>
    </xf>
    <xf numFmtId="0" fontId="39" fillId="49" borderId="0" xfId="60" applyFont="1" applyFill="1" applyBorder="1" applyAlignment="1" applyProtection="1">
      <alignment horizontal="center" vertical="top" wrapText="1"/>
    </xf>
    <xf numFmtId="49" fontId="2" fillId="42" borderId="101" xfId="0" applyNumberFormat="1" applyFont="1" applyFill="1" applyBorder="1" applyAlignment="1" applyProtection="1">
      <alignment horizontal="left" vertical="top"/>
      <protection locked="0"/>
    </xf>
    <xf numFmtId="49" fontId="37" fillId="42" borderId="100" xfId="0" applyNumberFormat="1" applyFont="1" applyFill="1" applyBorder="1" applyAlignment="1" applyProtection="1">
      <alignment horizontal="left" vertical="top"/>
      <protection locked="0"/>
    </xf>
    <xf numFmtId="49" fontId="37" fillId="42" borderId="99" xfId="0" applyNumberFormat="1" applyFont="1" applyFill="1" applyBorder="1" applyAlignment="1" applyProtection="1">
      <alignment horizontal="left" vertical="top"/>
      <protection locked="0"/>
    </xf>
    <xf numFmtId="0" fontId="0" fillId="43" borderId="0" xfId="0" applyFill="1" applyBorder="1" applyAlignment="1" applyProtection="1">
      <alignment vertical="top" wrapText="1"/>
    </xf>
    <xf numFmtId="0" fontId="0" fillId="43" borderId="39" xfId="0" applyFill="1" applyBorder="1" applyAlignment="1" applyProtection="1">
      <alignment vertical="top" wrapText="1"/>
    </xf>
    <xf numFmtId="0" fontId="10" fillId="43" borderId="0" xfId="0" applyFont="1" applyFill="1" applyBorder="1" applyAlignment="1" applyProtection="1">
      <alignment vertical="top" wrapText="1"/>
    </xf>
    <xf numFmtId="0" fontId="10" fillId="43" borderId="39" xfId="0" applyFont="1" applyFill="1" applyBorder="1" applyAlignment="1" applyProtection="1">
      <alignment vertical="top" wrapText="1"/>
    </xf>
    <xf numFmtId="0" fontId="2" fillId="43" borderId="0" xfId="0" applyNumberFormat="1" applyFont="1" applyFill="1" applyBorder="1" applyAlignment="1" applyProtection="1">
      <alignment horizontal="left" vertical="top"/>
    </xf>
    <xf numFmtId="0" fontId="2" fillId="40" borderId="13" xfId="0" applyNumberFormat="1" applyFont="1" applyFill="1" applyBorder="1" applyAlignment="1" applyProtection="1">
      <alignment horizontal="left" vertical="top"/>
    </xf>
    <xf numFmtId="0" fontId="2" fillId="40" borderId="13" xfId="0" applyNumberFormat="1" applyFont="1" applyFill="1" applyBorder="1" applyAlignment="1" applyProtection="1">
      <alignment horizontal="center" vertical="top"/>
    </xf>
    <xf numFmtId="0" fontId="37" fillId="25" borderId="42" xfId="0" applyNumberFormat="1" applyFont="1" applyFill="1" applyBorder="1" applyAlignment="1" applyProtection="1">
      <alignment horizontal="center" vertical="top"/>
    </xf>
    <xf numFmtId="173" fontId="2" fillId="40" borderId="75" xfId="0" applyNumberFormat="1" applyFont="1" applyFill="1" applyBorder="1" applyAlignment="1" applyProtection="1">
      <alignment vertical="top"/>
    </xf>
    <xf numFmtId="0" fontId="2" fillId="25" borderId="31" xfId="0" applyFont="1" applyFill="1" applyBorder="1" applyAlignment="1" applyProtection="1"/>
    <xf numFmtId="0" fontId="8" fillId="25" borderId="0" xfId="0" applyFont="1" applyFill="1" applyBorder="1" applyAlignment="1" applyProtection="1">
      <alignment horizontal="center" vertical="top"/>
    </xf>
    <xf numFmtId="0" fontId="2" fillId="25" borderId="39" xfId="0" applyFont="1" applyFill="1" applyBorder="1" applyAlignment="1" applyProtection="1"/>
    <xf numFmtId="0" fontId="2" fillId="25" borderId="41" xfId="0" applyFont="1" applyFill="1" applyBorder="1" applyAlignment="1" applyProtection="1"/>
    <xf numFmtId="3" fontId="37" fillId="40" borderId="13" xfId="0" applyNumberFormat="1" applyFont="1" applyFill="1" applyBorder="1" applyAlignment="1" applyProtection="1">
      <alignment vertical="top"/>
    </xf>
    <xf numFmtId="3" fontId="4" fillId="27" borderId="13" xfId="0" applyNumberFormat="1" applyFont="1" applyFill="1" applyBorder="1" applyAlignment="1" applyProtection="1">
      <alignment vertical="top"/>
    </xf>
    <xf numFmtId="0" fontId="4" fillId="0" borderId="30" xfId="0" applyNumberFormat="1" applyFont="1" applyFill="1" applyBorder="1" applyAlignment="1" applyProtection="1">
      <alignment horizontal="center" vertical="top"/>
    </xf>
    <xf numFmtId="187" fontId="4" fillId="27" borderId="78" xfId="66" applyNumberFormat="1" applyFont="1" applyFill="1" applyBorder="1" applyAlignment="1" applyProtection="1">
      <alignment horizontal="right" vertical="top"/>
    </xf>
    <xf numFmtId="187" fontId="4" fillId="27" borderId="79" xfId="66" applyNumberFormat="1" applyFont="1" applyFill="1" applyBorder="1" applyAlignment="1" applyProtection="1">
      <alignment horizontal="right" vertical="top"/>
    </xf>
    <xf numFmtId="187" fontId="4" fillId="27" borderId="69" xfId="66" applyNumberFormat="1" applyFont="1" applyFill="1" applyBorder="1" applyAlignment="1" applyProtection="1">
      <alignment horizontal="right" vertical="top"/>
    </xf>
    <xf numFmtId="0" fontId="4" fillId="25" borderId="116" xfId="0" quotePrefix="1" applyNumberFormat="1" applyFont="1" applyFill="1" applyBorder="1" applyAlignment="1" applyProtection="1">
      <alignment horizontal="center" vertical="top"/>
    </xf>
    <xf numFmtId="0" fontId="4" fillId="25" borderId="27" xfId="0" quotePrefix="1" applyNumberFormat="1" applyFont="1" applyFill="1" applyBorder="1" applyAlignment="1" applyProtection="1">
      <alignment horizontal="center" vertical="top"/>
    </xf>
    <xf numFmtId="187" fontId="2" fillId="27" borderId="13" xfId="66" applyNumberFormat="1" applyFont="1" applyFill="1" applyBorder="1" applyAlignment="1" applyProtection="1">
      <alignment horizontal="right" vertical="top"/>
    </xf>
    <xf numFmtId="187" fontId="4" fillId="27" borderId="13" xfId="66" applyNumberFormat="1" applyFont="1" applyFill="1" applyBorder="1" applyAlignment="1" applyProtection="1">
      <alignment horizontal="right" vertical="top"/>
    </xf>
    <xf numFmtId="187" fontId="37" fillId="27" borderId="13" xfId="66" applyNumberFormat="1" applyFont="1" applyFill="1" applyBorder="1" applyAlignment="1" applyProtection="1">
      <alignment vertical="top"/>
    </xf>
    <xf numFmtId="0" fontId="83" fillId="55" borderId="0" xfId="0" applyFont="1" applyFill="1" applyAlignment="1" applyProtection="1">
      <alignment vertical="center" wrapText="1"/>
    </xf>
    <xf numFmtId="0" fontId="81" fillId="39" borderId="0" xfId="0" applyFont="1" applyFill="1" applyAlignment="1" applyProtection="1">
      <alignment vertical="center" wrapText="1"/>
    </xf>
    <xf numFmtId="0" fontId="4" fillId="55" borderId="40" xfId="0" applyFont="1" applyFill="1" applyBorder="1" applyAlignment="1" applyProtection="1">
      <alignment vertical="center" wrapText="1"/>
    </xf>
    <xf numFmtId="0" fontId="2" fillId="55" borderId="40" xfId="0" applyFont="1" applyFill="1" applyBorder="1" applyAlignment="1" applyProtection="1">
      <alignment vertical="center" wrapText="1"/>
    </xf>
    <xf numFmtId="0" fontId="84" fillId="55" borderId="0" xfId="0" applyFont="1" applyFill="1" applyAlignment="1" applyProtection="1">
      <alignment vertical="center" wrapText="1"/>
    </xf>
    <xf numFmtId="0" fontId="4" fillId="55" borderId="67" xfId="0" applyFont="1" applyFill="1" applyBorder="1" applyAlignment="1" applyProtection="1">
      <alignment vertical="center" wrapText="1"/>
    </xf>
    <xf numFmtId="0" fontId="4" fillId="55" borderId="0" xfId="0" applyFont="1" applyFill="1" applyAlignment="1" applyProtection="1">
      <alignment vertical="center" wrapText="1"/>
    </xf>
    <xf numFmtId="0" fontId="2" fillId="55" borderId="41" xfId="0" applyFont="1" applyFill="1" applyBorder="1" applyAlignment="1" applyProtection="1">
      <alignment vertical="center" wrapText="1"/>
    </xf>
    <xf numFmtId="0" fontId="85" fillId="58" borderId="0" xfId="0" applyFont="1" applyFill="1" applyAlignment="1" applyProtection="1">
      <alignment vertical="center" wrapText="1"/>
    </xf>
    <xf numFmtId="0" fontId="86" fillId="55" borderId="0" xfId="0" applyFont="1" applyFill="1" applyAlignment="1" applyProtection="1">
      <alignment vertical="center" wrapText="1"/>
    </xf>
    <xf numFmtId="0" fontId="87" fillId="55" borderId="0" xfId="0" applyFont="1" applyFill="1" applyAlignment="1" applyProtection="1">
      <alignment vertical="center" wrapText="1"/>
    </xf>
    <xf numFmtId="0" fontId="1" fillId="42" borderId="0" xfId="70" applyFill="1" applyAlignment="1" applyProtection="1">
      <alignment vertical="top"/>
      <protection locked="0"/>
    </xf>
    <xf numFmtId="0" fontId="4" fillId="42" borderId="0" xfId="0" applyFont="1" applyFill="1" applyBorder="1" applyAlignment="1" applyProtection="1">
      <alignment horizontal="left" vertical="top" wrapText="1"/>
      <protection locked="0"/>
    </xf>
    <xf numFmtId="0" fontId="2" fillId="40" borderId="13" xfId="0" applyNumberFormat="1" applyFont="1" applyFill="1" applyBorder="1" applyAlignment="1" applyProtection="1">
      <alignment horizontal="center" vertical="top"/>
    </xf>
    <xf numFmtId="0" fontId="4" fillId="25" borderId="0" xfId="0" applyFont="1" applyFill="1" applyBorder="1" applyAlignment="1" applyProtection="1">
      <alignment vertical="top" wrapText="1"/>
    </xf>
    <xf numFmtId="0" fontId="28" fillId="25" borderId="0" xfId="0" applyFont="1" applyFill="1" applyBorder="1" applyAlignment="1" applyProtection="1">
      <alignment vertical="top" wrapText="1"/>
    </xf>
    <xf numFmtId="0" fontId="39" fillId="49" borderId="58" xfId="60" applyFont="1" applyFill="1" applyBorder="1" applyAlignment="1" applyProtection="1">
      <alignment horizontal="center" vertical="top" wrapText="1"/>
    </xf>
    <xf numFmtId="0" fontId="39" fillId="49" borderId="29" xfId="60" applyFont="1" applyFill="1" applyBorder="1" applyAlignment="1" applyProtection="1">
      <alignment horizontal="center" vertical="top" wrapText="1"/>
    </xf>
    <xf numFmtId="0" fontId="39" fillId="49" borderId="31" xfId="60" applyFont="1" applyFill="1" applyBorder="1" applyAlignment="1" applyProtection="1">
      <alignment horizontal="center" vertical="top" wrapText="1"/>
    </xf>
    <xf numFmtId="0" fontId="39" fillId="49" borderId="68" xfId="60" applyFont="1" applyFill="1" applyBorder="1" applyAlignment="1" applyProtection="1">
      <alignment horizontal="center" vertical="top" wrapText="1"/>
    </xf>
    <xf numFmtId="0" fontId="39" fillId="49" borderId="0" xfId="60" applyFont="1" applyFill="1" applyBorder="1" applyAlignment="1" applyProtection="1">
      <alignment horizontal="center" vertical="top" wrapText="1"/>
    </xf>
    <xf numFmtId="0" fontId="39" fillId="49" borderId="39" xfId="60" applyFont="1" applyFill="1" applyBorder="1" applyAlignment="1" applyProtection="1">
      <alignment horizontal="center" vertical="top" wrapText="1"/>
    </xf>
    <xf numFmtId="0" fontId="6" fillId="0" borderId="0" xfId="60" applyAlignment="1" applyProtection="1">
      <alignment vertical="top"/>
    </xf>
    <xf numFmtId="0" fontId="3" fillId="26" borderId="0" xfId="0" applyFont="1" applyFill="1" applyBorder="1" applyAlignment="1" applyProtection="1">
      <alignment vertical="top" wrapText="1"/>
    </xf>
    <xf numFmtId="0" fontId="4" fillId="25" borderId="0" xfId="0" applyFont="1" applyFill="1" applyAlignment="1" applyProtection="1">
      <alignment vertical="top" wrapText="1"/>
    </xf>
    <xf numFmtId="0" fontId="0" fillId="0" borderId="0" xfId="0" applyAlignment="1" applyProtection="1">
      <alignment vertical="top" wrapText="1"/>
    </xf>
    <xf numFmtId="0" fontId="0" fillId="25" borderId="0" xfId="0" applyFill="1" applyAlignment="1" applyProtection="1">
      <alignment vertical="top" wrapText="1"/>
    </xf>
    <xf numFmtId="0" fontId="32" fillId="25" borderId="0" xfId="0" applyFont="1" applyFill="1" applyAlignment="1" applyProtection="1">
      <alignment vertical="top" wrapText="1"/>
    </xf>
    <xf numFmtId="0" fontId="52" fillId="25" borderId="70" xfId="0" applyNumberFormat="1" applyFont="1" applyFill="1" applyBorder="1" applyAlignment="1" applyProtection="1">
      <alignment horizontal="left" vertical="top" wrapText="1"/>
    </xf>
    <xf numFmtId="0" fontId="0" fillId="0" borderId="26" xfId="0" applyBorder="1" applyAlignment="1" applyProtection="1">
      <alignment horizontal="left" vertical="top" wrapText="1"/>
    </xf>
    <xf numFmtId="0" fontId="0" fillId="50" borderId="0" xfId="0" applyFill="1" applyAlignment="1" applyProtection="1">
      <alignment horizontal="left" vertical="top" wrapText="1"/>
    </xf>
    <xf numFmtId="0" fontId="60" fillId="25" borderId="0" xfId="0" applyFont="1" applyFill="1" applyAlignment="1" applyProtection="1">
      <alignment vertical="top" wrapText="1"/>
    </xf>
    <xf numFmtId="172" fontId="0" fillId="27" borderId="70" xfId="0" applyNumberFormat="1" applyFill="1" applyBorder="1" applyAlignment="1" applyProtection="1">
      <alignment vertical="top" wrapText="1"/>
    </xf>
    <xf numFmtId="0" fontId="0" fillId="0" borderId="27" xfId="0" applyBorder="1" applyAlignment="1" applyProtection="1">
      <alignment vertical="top" wrapText="1"/>
    </xf>
    <xf numFmtId="0" fontId="6" fillId="25" borderId="0" xfId="60" applyFill="1" applyAlignment="1" applyProtection="1">
      <alignment vertical="top" wrapText="1"/>
    </xf>
    <xf numFmtId="0" fontId="32" fillId="25" borderId="0" xfId="0" applyFont="1" applyFill="1" applyAlignment="1" applyProtection="1">
      <alignment horizontal="left" vertical="top" wrapText="1"/>
    </xf>
    <xf numFmtId="0" fontId="0" fillId="29" borderId="70" xfId="0" applyFill="1" applyBorder="1" applyAlignment="1" applyProtection="1">
      <alignment vertical="top" wrapText="1"/>
      <protection locked="0"/>
    </xf>
    <xf numFmtId="0" fontId="0" fillId="0" borderId="27" xfId="0" applyBorder="1" applyAlignment="1" applyProtection="1">
      <alignment vertical="top" wrapText="1"/>
      <protection locked="0"/>
    </xf>
    <xf numFmtId="172" fontId="0" fillId="30" borderId="70" xfId="0" applyNumberFormat="1" applyFill="1" applyBorder="1" applyAlignment="1" applyProtection="1">
      <alignment vertical="top" wrapText="1"/>
      <protection locked="0"/>
    </xf>
    <xf numFmtId="0" fontId="60" fillId="25" borderId="19" xfId="0" applyFont="1" applyFill="1" applyBorder="1" applyAlignment="1" applyProtection="1">
      <alignment vertical="top" wrapText="1"/>
    </xf>
    <xf numFmtId="0" fontId="6" fillId="35" borderId="0" xfId="60" applyFill="1" applyAlignment="1" applyProtection="1">
      <alignment vertical="top"/>
    </xf>
    <xf numFmtId="0" fontId="52" fillId="25" borderId="0" xfId="0" applyNumberFormat="1" applyFont="1" applyFill="1" applyAlignment="1" applyProtection="1">
      <alignment horizontal="left" vertical="top" wrapText="1"/>
    </xf>
    <xf numFmtId="0" fontId="0" fillId="0" borderId="0" xfId="0" applyAlignment="1" applyProtection="1">
      <alignment horizontal="left" vertical="top" wrapText="1"/>
    </xf>
    <xf numFmtId="0" fontId="89" fillId="41" borderId="0" xfId="60" applyNumberFormat="1" applyFont="1" applyFill="1" applyAlignment="1" applyProtection="1">
      <alignment horizontal="left" vertical="top" wrapText="1"/>
    </xf>
    <xf numFmtId="0" fontId="89" fillId="41" borderId="0" xfId="60" applyFont="1" applyFill="1" applyAlignment="1" applyProtection="1">
      <alignment horizontal="left" vertical="top" wrapText="1"/>
    </xf>
    <xf numFmtId="0" fontId="6" fillId="25" borderId="0" xfId="60" applyFill="1" applyAlignment="1" applyProtection="1">
      <alignment horizontal="left" vertical="top"/>
    </xf>
    <xf numFmtId="0" fontId="6" fillId="0" borderId="0" xfId="60" applyAlignment="1" applyProtection="1">
      <alignment horizontal="left" vertical="top"/>
    </xf>
    <xf numFmtId="0" fontId="0" fillId="37" borderId="70" xfId="0" applyFill="1" applyBorder="1" applyAlignment="1" applyProtection="1">
      <alignment vertical="top" wrapText="1"/>
    </xf>
    <xf numFmtId="0" fontId="10" fillId="25" borderId="12" xfId="0" applyFont="1" applyFill="1" applyBorder="1" applyAlignment="1" applyProtection="1">
      <alignment vertical="top" wrapText="1"/>
    </xf>
    <xf numFmtId="0" fontId="0" fillId="0" borderId="12" xfId="0" applyBorder="1" applyAlignment="1" applyProtection="1">
      <alignment vertical="top" wrapText="1"/>
    </xf>
    <xf numFmtId="0" fontId="0" fillId="50" borderId="22" xfId="0" applyFill="1" applyBorder="1" applyAlignment="1" applyProtection="1">
      <alignment vertical="top" wrapText="1"/>
    </xf>
    <xf numFmtId="0" fontId="0" fillId="49" borderId="0" xfId="0" applyFill="1" applyAlignment="1" applyProtection="1">
      <alignment vertical="top" wrapText="1"/>
    </xf>
    <xf numFmtId="0" fontId="61" fillId="25" borderId="0" xfId="0" applyFont="1" applyFill="1" applyAlignment="1" applyProtection="1">
      <alignment vertical="top" wrapText="1"/>
    </xf>
    <xf numFmtId="0" fontId="40" fillId="25" borderId="0" xfId="0" applyNumberFormat="1" applyFont="1" applyFill="1" applyAlignment="1" applyProtection="1">
      <alignment horizontal="left" vertical="top" wrapText="1"/>
    </xf>
    <xf numFmtId="0" fontId="40" fillId="0" borderId="0" xfId="0" applyFont="1" applyAlignment="1" applyProtection="1">
      <alignment horizontal="left" vertical="top" wrapText="1"/>
    </xf>
    <xf numFmtId="0" fontId="9" fillId="25" borderId="0" xfId="0" applyFont="1" applyFill="1" applyAlignment="1" applyProtection="1">
      <alignment vertical="top" wrapText="1"/>
    </xf>
    <xf numFmtId="0" fontId="0" fillId="25" borderId="0" xfId="0" applyFill="1" applyAlignment="1" applyProtection="1">
      <alignment horizontal="left" vertical="top" wrapText="1"/>
    </xf>
    <xf numFmtId="0" fontId="60" fillId="25" borderId="0" xfId="0" applyFont="1" applyFill="1" applyBorder="1" applyAlignment="1" applyProtection="1">
      <alignment vertical="top" wrapText="1"/>
    </xf>
    <xf numFmtId="0" fontId="81" fillId="24" borderId="0" xfId="0" applyNumberFormat="1" applyFont="1" applyFill="1" applyAlignment="1" applyProtection="1">
      <alignment horizontal="left" vertical="top" wrapText="1"/>
    </xf>
    <xf numFmtId="0" fontId="81" fillId="24" borderId="0" xfId="0" applyFont="1" applyFill="1" applyAlignment="1" applyProtection="1">
      <alignment horizontal="left" vertical="top" wrapText="1"/>
    </xf>
    <xf numFmtId="0" fontId="0" fillId="50" borderId="107" xfId="0" applyFill="1" applyBorder="1" applyAlignment="1" applyProtection="1">
      <alignment horizontal="center" vertical="top" wrapText="1"/>
    </xf>
    <xf numFmtId="0" fontId="0" fillId="50" borderId="22" xfId="0" applyFill="1" applyBorder="1" applyAlignment="1" applyProtection="1">
      <alignment horizontal="center" vertical="top" wrapText="1"/>
    </xf>
    <xf numFmtId="0" fontId="0" fillId="50" borderId="106" xfId="0" applyFill="1" applyBorder="1" applyAlignment="1" applyProtection="1">
      <alignment horizontal="center" vertical="top" wrapText="1"/>
    </xf>
    <xf numFmtId="0" fontId="0" fillId="50" borderId="19" xfId="0" applyFill="1" applyBorder="1" applyAlignment="1" applyProtection="1">
      <alignment horizontal="center" vertical="top" wrapText="1"/>
    </xf>
    <xf numFmtId="0" fontId="0" fillId="50" borderId="0" xfId="0" applyFill="1" applyBorder="1" applyAlignment="1" applyProtection="1">
      <alignment horizontal="center" vertical="top" wrapText="1"/>
    </xf>
    <xf numFmtId="0" fontId="0" fillId="50" borderId="18" xfId="0" applyFill="1" applyBorder="1" applyAlignment="1" applyProtection="1">
      <alignment horizontal="center" vertical="top" wrapText="1"/>
    </xf>
    <xf numFmtId="0" fontId="0" fillId="50" borderId="63" xfId="0" applyFill="1" applyBorder="1" applyAlignment="1" applyProtection="1">
      <alignment horizontal="center" vertical="top" wrapText="1"/>
    </xf>
    <xf numFmtId="0" fontId="0" fillId="50" borderId="12" xfId="0" applyFill="1" applyBorder="1" applyAlignment="1" applyProtection="1">
      <alignment horizontal="center" vertical="top" wrapText="1"/>
    </xf>
    <xf numFmtId="0" fontId="0" fillId="50" borderId="25" xfId="0" applyFill="1" applyBorder="1" applyAlignment="1" applyProtection="1">
      <alignment horizontal="center" vertical="top" wrapText="1"/>
    </xf>
    <xf numFmtId="0" fontId="4" fillId="34" borderId="84" xfId="0" applyNumberFormat="1" applyFont="1" applyFill="1" applyBorder="1" applyAlignment="1" applyProtection="1">
      <alignment horizontal="left" vertical="center" wrapText="1"/>
    </xf>
    <xf numFmtId="0" fontId="4" fillId="34" borderId="85" xfId="0" applyFont="1" applyFill="1" applyBorder="1" applyAlignment="1" applyProtection="1">
      <alignment horizontal="left" vertical="center" wrapText="1"/>
    </xf>
    <xf numFmtId="0" fontId="4" fillId="34" borderId="86" xfId="0" applyFont="1" applyFill="1" applyBorder="1" applyAlignment="1" applyProtection="1">
      <alignment horizontal="left" vertical="center" wrapText="1"/>
    </xf>
    <xf numFmtId="0" fontId="37" fillId="25" borderId="100" xfId="0" applyNumberFormat="1" applyFont="1" applyFill="1" applyBorder="1" applyAlignment="1" applyProtection="1">
      <alignment horizontal="left" wrapText="1"/>
    </xf>
    <xf numFmtId="0" fontId="0" fillId="0" borderId="15" xfId="0" applyBorder="1" applyAlignment="1">
      <alignment horizontal="left" wrapText="1"/>
    </xf>
    <xf numFmtId="0" fontId="0" fillId="0" borderId="21" xfId="0" applyBorder="1" applyAlignment="1">
      <alignment horizontal="left" wrapText="1"/>
    </xf>
    <xf numFmtId="0" fontId="10" fillId="25" borderId="0" xfId="0" applyFont="1" applyFill="1" applyAlignment="1" applyProtection="1">
      <alignment horizontal="left" vertical="top" wrapText="1"/>
    </xf>
    <xf numFmtId="0" fontId="0" fillId="0" borderId="0" xfId="0" applyAlignment="1" applyProtection="1">
      <alignment wrapText="1"/>
    </xf>
    <xf numFmtId="0" fontId="37" fillId="25" borderId="99" xfId="0" applyNumberFormat="1" applyFont="1" applyFill="1" applyBorder="1" applyAlignment="1" applyProtection="1">
      <alignment horizontal="left" wrapText="1"/>
    </xf>
    <xf numFmtId="0" fontId="0" fillId="0" borderId="16" xfId="0" applyBorder="1" applyAlignment="1">
      <alignment horizontal="left" wrapText="1"/>
    </xf>
    <xf numFmtId="0" fontId="0" fillId="0" borderId="24" xfId="0" applyBorder="1" applyAlignment="1">
      <alignment horizontal="left" wrapText="1"/>
    </xf>
    <xf numFmtId="0" fontId="4" fillId="25" borderId="63" xfId="0" applyFont="1" applyFill="1" applyBorder="1" applyAlignment="1" applyProtection="1">
      <alignment horizontal="center" wrapText="1"/>
    </xf>
    <xf numFmtId="0" fontId="4" fillId="25" borderId="12" xfId="0" applyFont="1" applyFill="1" applyBorder="1" applyAlignment="1" applyProtection="1">
      <alignment horizontal="center" wrapText="1"/>
    </xf>
    <xf numFmtId="0" fontId="2" fillId="42" borderId="101" xfId="0" applyFont="1" applyFill="1" applyBorder="1" applyAlignment="1" applyProtection="1">
      <alignment horizontal="center" vertical="top"/>
      <protection locked="0"/>
    </xf>
    <xf numFmtId="0" fontId="0" fillId="42" borderId="14" xfId="0" applyFill="1" applyBorder="1" applyAlignment="1" applyProtection="1">
      <alignment horizontal="center" vertical="top"/>
      <protection locked="0"/>
    </xf>
    <xf numFmtId="0" fontId="2" fillId="42" borderId="100" xfId="0" applyFont="1" applyFill="1" applyBorder="1" applyAlignment="1" applyProtection="1">
      <alignment horizontal="center" vertical="top"/>
      <protection locked="0"/>
    </xf>
    <xf numFmtId="0" fontId="0" fillId="42" borderId="15" xfId="0" applyFill="1" applyBorder="1" applyAlignment="1" applyProtection="1">
      <alignment horizontal="center" vertical="top"/>
      <protection locked="0"/>
    </xf>
    <xf numFmtId="0" fontId="54" fillId="25" borderId="63" xfId="0" applyNumberFormat="1" applyFont="1" applyFill="1" applyBorder="1" applyAlignment="1" applyProtection="1">
      <alignment horizontal="left" wrapText="1"/>
    </xf>
    <xf numFmtId="0" fontId="54" fillId="25" borderId="12" xfId="0" applyNumberFormat="1" applyFont="1" applyFill="1" applyBorder="1" applyAlignment="1" applyProtection="1">
      <alignment horizontal="left" wrapText="1"/>
    </xf>
    <xf numFmtId="0" fontId="54" fillId="25" borderId="25" xfId="0" applyNumberFormat="1" applyFont="1" applyFill="1" applyBorder="1" applyAlignment="1" applyProtection="1">
      <alignment horizontal="left" wrapText="1"/>
    </xf>
    <xf numFmtId="0" fontId="37" fillId="25" borderId="101" xfId="0" applyNumberFormat="1" applyFont="1" applyFill="1" applyBorder="1" applyAlignment="1" applyProtection="1">
      <alignment horizontal="left" wrapText="1"/>
    </xf>
    <xf numFmtId="0" fontId="0" fillId="0" borderId="14" xfId="0" applyBorder="1" applyAlignment="1">
      <alignment horizontal="left" wrapText="1"/>
    </xf>
    <xf numFmtId="0" fontId="0" fillId="0" borderId="20" xfId="0" applyBorder="1" applyAlignment="1">
      <alignment horizontal="left" wrapText="1"/>
    </xf>
    <xf numFmtId="0" fontId="35" fillId="25" borderId="0" xfId="0" applyFont="1" applyFill="1" applyAlignment="1" applyProtection="1">
      <alignment vertical="top" wrapText="1"/>
    </xf>
    <xf numFmtId="0" fontId="10" fillId="25" borderId="0" xfId="0" applyFont="1" applyFill="1" applyAlignment="1" applyProtection="1">
      <alignment vertical="top" wrapText="1"/>
    </xf>
    <xf numFmtId="0" fontId="4" fillId="25" borderId="12" xfId="0" applyFont="1" applyFill="1" applyBorder="1" applyAlignment="1" applyProtection="1">
      <alignment vertical="top" wrapText="1"/>
    </xf>
    <xf numFmtId="0" fontId="0" fillId="0" borderId="0" xfId="0" applyBorder="1" applyAlignment="1" applyProtection="1">
      <alignment vertical="top" wrapText="1"/>
    </xf>
    <xf numFmtId="0" fontId="2" fillId="25" borderId="25" xfId="0" applyNumberFormat="1" applyFont="1" applyFill="1" applyBorder="1" applyAlignment="1" applyProtection="1">
      <alignment vertical="top" wrapText="1"/>
    </xf>
    <xf numFmtId="0" fontId="2" fillId="25" borderId="11" xfId="0" applyNumberFormat="1" applyFont="1" applyFill="1" applyBorder="1" applyAlignment="1" applyProtection="1">
      <alignment vertical="top" wrapText="1"/>
    </xf>
    <xf numFmtId="0" fontId="2" fillId="25" borderId="63" xfId="0" applyNumberFormat="1" applyFont="1" applyFill="1" applyBorder="1" applyAlignment="1" applyProtection="1">
      <alignment vertical="top" wrapText="1"/>
    </xf>
    <xf numFmtId="0" fontId="4" fillId="25" borderId="0" xfId="0" applyFont="1" applyFill="1" applyAlignment="1" applyProtection="1">
      <alignment horizontal="left" vertical="top" wrapText="1"/>
    </xf>
    <xf numFmtId="0" fontId="4" fillId="42" borderId="70" xfId="0" applyNumberFormat="1" applyFont="1" applyFill="1" applyBorder="1" applyAlignment="1" applyProtection="1">
      <alignment horizontal="center" vertical="top"/>
      <protection locked="0"/>
    </xf>
    <xf numFmtId="0" fontId="4" fillId="42" borderId="27" xfId="0" applyNumberFormat="1" applyFont="1" applyFill="1" applyBorder="1" applyAlignment="1" applyProtection="1">
      <alignment horizontal="center" vertical="top"/>
      <protection locked="0"/>
    </xf>
    <xf numFmtId="0" fontId="0" fillId="0" borderId="18" xfId="0" applyBorder="1" applyAlignment="1" applyProtection="1">
      <alignment vertical="top" wrapText="1"/>
    </xf>
    <xf numFmtId="0" fontId="4" fillId="25" borderId="11" xfId="0" applyNumberFormat="1" applyFont="1" applyFill="1" applyBorder="1" applyAlignment="1" applyProtection="1">
      <alignment horizontal="center" wrapText="1"/>
    </xf>
    <xf numFmtId="0" fontId="4" fillId="0" borderId="11" xfId="0" applyFont="1" applyBorder="1" applyAlignment="1" applyProtection="1">
      <alignment horizontal="center" wrapText="1"/>
    </xf>
    <xf numFmtId="0" fontId="4" fillId="27" borderId="84" xfId="0" applyNumberFormat="1" applyFont="1" applyFill="1" applyBorder="1" applyAlignment="1" applyProtection="1">
      <alignment horizontal="center" vertical="top"/>
    </xf>
    <xf numFmtId="0" fontId="4" fillId="27" borderId="86" xfId="0" applyNumberFormat="1" applyFont="1" applyFill="1" applyBorder="1" applyAlignment="1" applyProtection="1">
      <alignment horizontal="center" vertical="top"/>
    </xf>
    <xf numFmtId="0" fontId="40" fillId="27" borderId="70" xfId="0" applyNumberFormat="1" applyFont="1" applyFill="1" applyBorder="1" applyAlignment="1" applyProtection="1">
      <alignment vertical="top" wrapText="1"/>
    </xf>
    <xf numFmtId="0" fontId="40" fillId="0" borderId="26" xfId="0" applyFont="1" applyBorder="1" applyAlignment="1" applyProtection="1">
      <alignment vertical="top" wrapText="1"/>
    </xf>
    <xf numFmtId="0" fontId="40" fillId="0" borderId="27" xfId="0" applyFont="1" applyBorder="1" applyAlignment="1" applyProtection="1">
      <alignment vertical="top" wrapText="1"/>
    </xf>
    <xf numFmtId="0" fontId="37" fillId="29" borderId="100" xfId="0" applyNumberFormat="1" applyFont="1" applyFill="1" applyBorder="1" applyAlignment="1" applyProtection="1">
      <alignment horizontal="left" wrapText="1"/>
      <protection locked="0"/>
    </xf>
    <xf numFmtId="0" fontId="0" fillId="0" borderId="15" xfId="0" applyBorder="1" applyAlignment="1" applyProtection="1">
      <alignment horizontal="left" wrapText="1"/>
      <protection locked="0"/>
    </xf>
    <xf numFmtId="0" fontId="0" fillId="0" borderId="21" xfId="0" applyBorder="1" applyAlignment="1" applyProtection="1">
      <alignment horizontal="left" wrapText="1"/>
      <protection locked="0"/>
    </xf>
    <xf numFmtId="0" fontId="2" fillId="29" borderId="100" xfId="0" applyFont="1" applyFill="1" applyBorder="1" applyAlignment="1" applyProtection="1">
      <alignment horizontal="left" vertical="top"/>
      <protection locked="0"/>
    </xf>
    <xf numFmtId="0" fontId="0" fillId="0" borderId="15" xfId="0" applyBorder="1" applyAlignment="1" applyProtection="1">
      <alignment horizontal="left" vertical="top"/>
      <protection locked="0"/>
    </xf>
    <xf numFmtId="0" fontId="0" fillId="0" borderId="21" xfId="0" applyBorder="1" applyAlignment="1" applyProtection="1">
      <alignment horizontal="left" vertical="top"/>
      <protection locked="0"/>
    </xf>
    <xf numFmtId="0" fontId="0" fillId="0" borderId="39" xfId="0" applyBorder="1" applyAlignment="1" applyProtection="1">
      <alignment vertical="top" wrapText="1"/>
    </xf>
    <xf numFmtId="0" fontId="41" fillId="25" borderId="0" xfId="0" applyFont="1" applyFill="1" applyAlignment="1" applyProtection="1">
      <alignment vertical="top" wrapText="1"/>
    </xf>
    <xf numFmtId="0" fontId="4" fillId="0" borderId="0" xfId="0" applyFont="1" applyAlignment="1" applyProtection="1">
      <alignment vertical="top" wrapText="1"/>
    </xf>
    <xf numFmtId="0" fontId="2" fillId="46" borderId="70" xfId="0" applyNumberFormat="1" applyFont="1" applyFill="1" applyBorder="1" applyAlignment="1" applyProtection="1">
      <alignment horizontal="left" vertical="top"/>
      <protection locked="0"/>
    </xf>
    <xf numFmtId="0" fontId="2" fillId="46" borderId="27" xfId="0" applyNumberFormat="1" applyFont="1" applyFill="1" applyBorder="1" applyAlignment="1" applyProtection="1">
      <alignment horizontal="left" vertical="top"/>
      <protection locked="0"/>
    </xf>
    <xf numFmtId="0" fontId="2" fillId="25" borderId="0" xfId="0" applyFont="1" applyFill="1" applyAlignment="1" applyProtection="1">
      <alignment vertical="top" wrapText="1"/>
    </xf>
    <xf numFmtId="0" fontId="4" fillId="25" borderId="63" xfId="0" applyFont="1" applyFill="1" applyBorder="1" applyAlignment="1" applyProtection="1">
      <alignment horizontal="left"/>
    </xf>
    <xf numFmtId="0" fontId="0" fillId="0" borderId="12" xfId="0" applyBorder="1" applyAlignment="1" applyProtection="1">
      <alignment horizontal="left"/>
    </xf>
    <xf numFmtId="0" fontId="0" fillId="0" borderId="25" xfId="0" applyBorder="1" applyAlignment="1" applyProtection="1">
      <alignment horizontal="left"/>
    </xf>
    <xf numFmtId="0" fontId="37" fillId="25" borderId="15" xfId="0" applyNumberFormat="1" applyFont="1" applyFill="1" applyBorder="1" applyAlignment="1" applyProtection="1">
      <alignment horizontal="left" wrapText="1"/>
    </xf>
    <xf numFmtId="0" fontId="37" fillId="25" borderId="21" xfId="0" applyNumberFormat="1" applyFont="1" applyFill="1" applyBorder="1" applyAlignment="1" applyProtection="1">
      <alignment horizontal="left" wrapText="1"/>
    </xf>
    <xf numFmtId="0" fontId="35" fillId="25" borderId="0" xfId="0" quotePrefix="1" applyFont="1" applyFill="1" applyAlignment="1" applyProtection="1">
      <alignment vertical="top" wrapText="1"/>
    </xf>
    <xf numFmtId="49" fontId="2" fillId="30" borderId="70" xfId="0" applyNumberFormat="1" applyFont="1" applyFill="1" applyBorder="1" applyAlignment="1" applyProtection="1">
      <alignment horizontal="left" vertical="top"/>
      <protection locked="0"/>
    </xf>
    <xf numFmtId="49" fontId="2" fillId="30" borderId="26" xfId="0" applyNumberFormat="1" applyFont="1" applyFill="1" applyBorder="1" applyAlignment="1" applyProtection="1">
      <alignment horizontal="left" vertical="top"/>
      <protection locked="0"/>
    </xf>
    <xf numFmtId="49" fontId="2" fillId="30" borderId="27" xfId="0" applyNumberFormat="1" applyFont="1" applyFill="1" applyBorder="1" applyAlignment="1" applyProtection="1">
      <alignment horizontal="left" vertical="top"/>
      <protection locked="0"/>
    </xf>
    <xf numFmtId="0" fontId="2" fillId="42" borderId="99" xfId="0" applyFont="1" applyFill="1" applyBorder="1" applyAlignment="1" applyProtection="1">
      <alignment horizontal="center" vertical="top"/>
      <protection locked="0"/>
    </xf>
    <xf numFmtId="0" fontId="0" fillId="42" borderId="16" xfId="0" applyFill="1" applyBorder="1" applyAlignment="1" applyProtection="1">
      <alignment horizontal="center" vertical="top"/>
      <protection locked="0"/>
    </xf>
    <xf numFmtId="49" fontId="2" fillId="29" borderId="99" xfId="0" applyNumberFormat="1" applyFont="1" applyFill="1" applyBorder="1" applyAlignment="1" applyProtection="1">
      <alignment horizontal="left" vertical="top"/>
      <protection locked="0"/>
    </xf>
    <xf numFmtId="49" fontId="2" fillId="0" borderId="16" xfId="0" applyNumberFormat="1" applyFont="1" applyBorder="1" applyAlignment="1" applyProtection="1">
      <alignment horizontal="left" vertical="top"/>
      <protection locked="0"/>
    </xf>
    <xf numFmtId="49" fontId="2" fillId="29" borderId="100" xfId="0" applyNumberFormat="1" applyFont="1" applyFill="1" applyBorder="1" applyAlignment="1" applyProtection="1">
      <alignment horizontal="left" vertical="top"/>
      <protection locked="0"/>
    </xf>
    <xf numFmtId="49" fontId="2" fillId="0" borderId="15" xfId="0" applyNumberFormat="1" applyFont="1" applyBorder="1" applyAlignment="1" applyProtection="1">
      <alignment horizontal="left" vertical="top"/>
      <protection locked="0"/>
    </xf>
    <xf numFmtId="0" fontId="2" fillId="25" borderId="15" xfId="0" applyNumberFormat="1" applyFont="1" applyFill="1" applyBorder="1" applyAlignment="1" applyProtection="1">
      <alignment vertical="top" wrapText="1"/>
    </xf>
    <xf numFmtId="0" fontId="2" fillId="25" borderId="21" xfId="0" applyNumberFormat="1" applyFont="1" applyFill="1" applyBorder="1" applyAlignment="1" applyProtection="1">
      <alignment vertical="top" wrapText="1"/>
    </xf>
    <xf numFmtId="0" fontId="4" fillId="27" borderId="70" xfId="0" applyNumberFormat="1" applyFont="1" applyFill="1" applyBorder="1" applyAlignment="1" applyProtection="1">
      <alignment horizontal="left" vertical="top"/>
    </xf>
    <xf numFmtId="0" fontId="4" fillId="27" borderId="27" xfId="0" applyNumberFormat="1" applyFont="1" applyFill="1" applyBorder="1" applyAlignment="1" applyProtection="1">
      <alignment horizontal="left" vertical="top"/>
    </xf>
    <xf numFmtId="0" fontId="4" fillId="25" borderId="0" xfId="0" applyNumberFormat="1" applyFont="1" applyFill="1" applyAlignment="1" applyProtection="1">
      <alignment vertical="top" wrapText="1"/>
    </xf>
    <xf numFmtId="0" fontId="2" fillId="25" borderId="15" xfId="0" applyFont="1" applyFill="1" applyBorder="1" applyAlignment="1" applyProtection="1">
      <alignment vertical="top" wrapText="1"/>
    </xf>
    <xf numFmtId="0" fontId="0" fillId="0" borderId="15" xfId="0" applyBorder="1" applyAlignment="1" applyProtection="1">
      <alignment vertical="top" wrapText="1"/>
    </xf>
    <xf numFmtId="0" fontId="0" fillId="0" borderId="21" xfId="0" applyBorder="1" applyAlignment="1" applyProtection="1">
      <alignment vertical="top" wrapText="1"/>
    </xf>
    <xf numFmtId="49" fontId="2" fillId="42" borderId="101" xfId="0" applyNumberFormat="1" applyFont="1" applyFill="1" applyBorder="1" applyAlignment="1" applyProtection="1">
      <alignment horizontal="left" vertical="top"/>
      <protection locked="0"/>
    </xf>
    <xf numFmtId="49" fontId="2" fillId="0" borderId="14" xfId="0" applyNumberFormat="1" applyFont="1" applyBorder="1" applyAlignment="1" applyProtection="1">
      <alignment horizontal="left" vertical="top"/>
      <protection locked="0"/>
    </xf>
    <xf numFmtId="0" fontId="2" fillId="25" borderId="16" xfId="0" applyNumberFormat="1" applyFont="1" applyFill="1" applyBorder="1" applyAlignment="1" applyProtection="1">
      <alignment vertical="top" wrapText="1"/>
    </xf>
    <xf numFmtId="0" fontId="0" fillId="0" borderId="16" xfId="0" applyBorder="1" applyAlignment="1" applyProtection="1">
      <alignment vertical="top" wrapText="1"/>
    </xf>
    <xf numFmtId="0" fontId="0" fillId="0" borderId="24" xfId="0" applyBorder="1" applyAlignment="1" applyProtection="1">
      <alignment vertical="top" wrapText="1"/>
    </xf>
    <xf numFmtId="49" fontId="2" fillId="30" borderId="63" xfId="0" applyNumberFormat="1" applyFont="1" applyFill="1" applyBorder="1" applyAlignment="1" applyProtection="1">
      <alignment horizontal="left" vertical="top"/>
      <protection locked="0"/>
    </xf>
    <xf numFmtId="49" fontId="2" fillId="30" borderId="12" xfId="0" applyNumberFormat="1" applyFont="1" applyFill="1" applyBorder="1" applyAlignment="1" applyProtection="1">
      <alignment horizontal="left" vertical="top"/>
      <protection locked="0"/>
    </xf>
    <xf numFmtId="0" fontId="2" fillId="25" borderId="14" xfId="0" applyNumberFormat="1" applyFont="1" applyFill="1" applyBorder="1" applyAlignment="1" applyProtection="1">
      <alignment vertical="top" wrapText="1"/>
    </xf>
    <xf numFmtId="0" fontId="2" fillId="25" borderId="20" xfId="0" applyNumberFormat="1" applyFont="1" applyFill="1" applyBorder="1" applyAlignment="1" applyProtection="1">
      <alignment vertical="top" wrapText="1"/>
    </xf>
    <xf numFmtId="0" fontId="2" fillId="25" borderId="14" xfId="0" applyFont="1" applyFill="1" applyBorder="1" applyAlignment="1" applyProtection="1">
      <alignment vertical="top" wrapText="1"/>
    </xf>
    <xf numFmtId="0" fontId="0" fillId="0" borderId="14" xfId="0" applyBorder="1" applyAlignment="1" applyProtection="1">
      <alignment vertical="top" wrapText="1"/>
    </xf>
    <xf numFmtId="0" fontId="0" fillId="0" borderId="20" xfId="0" applyBorder="1" applyAlignment="1" applyProtection="1">
      <alignment vertical="top" wrapText="1"/>
    </xf>
    <xf numFmtId="0" fontId="8" fillId="25" borderId="0" xfId="0" applyFont="1" applyFill="1" applyAlignment="1" applyProtection="1">
      <alignment vertical="top" wrapText="1"/>
    </xf>
    <xf numFmtId="0" fontId="2" fillId="25" borderId="16" xfId="0" applyFont="1" applyFill="1" applyBorder="1" applyAlignment="1" applyProtection="1">
      <alignment vertical="top" wrapText="1"/>
    </xf>
    <xf numFmtId="49" fontId="2" fillId="30" borderId="101" xfId="0" applyNumberFormat="1" applyFont="1" applyFill="1" applyBorder="1" applyAlignment="1" applyProtection="1">
      <alignment horizontal="left" vertical="top"/>
      <protection locked="0"/>
    </xf>
    <xf numFmtId="49" fontId="2" fillId="30" borderId="14" xfId="0" applyNumberFormat="1" applyFont="1" applyFill="1" applyBorder="1" applyAlignment="1" applyProtection="1">
      <alignment horizontal="left" vertical="top"/>
      <protection locked="0"/>
    </xf>
    <xf numFmtId="0" fontId="8" fillId="25" borderId="12" xfId="0" applyFont="1" applyFill="1" applyBorder="1" applyAlignment="1" applyProtection="1">
      <alignment vertical="top" wrapText="1"/>
    </xf>
    <xf numFmtId="0" fontId="39" fillId="49" borderId="86" xfId="60" applyFont="1" applyFill="1" applyBorder="1" applyAlignment="1" applyProtection="1">
      <alignment horizontal="center" vertical="top" wrapText="1"/>
    </xf>
    <xf numFmtId="49" fontId="2" fillId="29" borderId="70" xfId="0" applyNumberFormat="1" applyFont="1" applyFill="1" applyBorder="1" applyAlignment="1" applyProtection="1">
      <alignment horizontal="left" vertical="top"/>
      <protection locked="0"/>
    </xf>
    <xf numFmtId="49" fontId="2" fillId="0" borderId="26" xfId="0" applyNumberFormat="1" applyFont="1" applyBorder="1" applyAlignment="1" applyProtection="1">
      <alignment horizontal="left" vertical="top"/>
      <protection locked="0"/>
    </xf>
    <xf numFmtId="49" fontId="2" fillId="0" borderId="27" xfId="0" applyNumberFormat="1" applyFont="1" applyBorder="1" applyAlignment="1" applyProtection="1">
      <alignment horizontal="left" vertical="top"/>
      <protection locked="0"/>
    </xf>
    <xf numFmtId="0" fontId="39" fillId="49" borderId="117" xfId="60" applyFont="1" applyFill="1" applyBorder="1" applyAlignment="1" applyProtection="1">
      <alignment horizontal="center" vertical="top" wrapText="1"/>
    </xf>
    <xf numFmtId="0" fontId="6" fillId="49" borderId="137" xfId="60" applyFill="1" applyBorder="1" applyAlignment="1" applyProtection="1">
      <alignment horizontal="center" vertical="top" wrapText="1"/>
    </xf>
    <xf numFmtId="0" fontId="6" fillId="49" borderId="87" xfId="60" applyFill="1" applyBorder="1" applyAlignment="1" applyProtection="1">
      <alignment horizontal="center" vertical="top" wrapText="1"/>
    </xf>
    <xf numFmtId="0" fontId="6" fillId="49" borderId="135" xfId="60" applyFill="1" applyBorder="1" applyAlignment="1" applyProtection="1">
      <alignment horizontal="center" vertical="top" wrapText="1"/>
    </xf>
    <xf numFmtId="49" fontId="2" fillId="30" borderId="100" xfId="0" applyNumberFormat="1" applyFont="1" applyFill="1" applyBorder="1" applyAlignment="1" applyProtection="1">
      <alignment horizontal="left" vertical="top"/>
      <protection locked="0"/>
    </xf>
    <xf numFmtId="49" fontId="2" fillId="30" borderId="15" xfId="0" applyNumberFormat="1" applyFont="1" applyFill="1" applyBorder="1" applyAlignment="1" applyProtection="1">
      <alignment horizontal="left" vertical="top"/>
      <protection locked="0"/>
    </xf>
    <xf numFmtId="0" fontId="6" fillId="49" borderId="133" xfId="60" applyFill="1" applyBorder="1" applyAlignment="1" applyProtection="1">
      <alignment horizontal="center" vertical="top" wrapText="1"/>
    </xf>
    <xf numFmtId="0" fontId="6" fillId="49" borderId="134" xfId="60" applyFill="1" applyBorder="1" applyAlignment="1" applyProtection="1">
      <alignment horizontal="center" vertical="top" wrapText="1"/>
    </xf>
    <xf numFmtId="49" fontId="2" fillId="30" borderId="99" xfId="0" applyNumberFormat="1" applyFont="1" applyFill="1" applyBorder="1" applyAlignment="1" applyProtection="1">
      <alignment horizontal="left" vertical="top"/>
      <protection locked="0"/>
    </xf>
    <xf numFmtId="49" fontId="2" fillId="30" borderId="16" xfId="0" applyNumberFormat="1" applyFont="1" applyFill="1" applyBorder="1" applyAlignment="1" applyProtection="1">
      <alignment horizontal="left" vertical="top"/>
      <protection locked="0"/>
    </xf>
    <xf numFmtId="0" fontId="2" fillId="29" borderId="99" xfId="0" applyFont="1" applyFill="1"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24" xfId="0" applyBorder="1" applyAlignment="1" applyProtection="1">
      <alignment horizontal="left" vertical="top"/>
      <protection locked="0"/>
    </xf>
    <xf numFmtId="0" fontId="4" fillId="49" borderId="58" xfId="0" applyFont="1" applyFill="1" applyBorder="1" applyAlignment="1" applyProtection="1">
      <alignment horizontal="center" vertical="center" wrapText="1"/>
    </xf>
    <xf numFmtId="0" fontId="28" fillId="49" borderId="29" xfId="0" applyFont="1" applyFill="1" applyBorder="1" applyAlignment="1" applyProtection="1">
      <alignment horizontal="center" vertical="center" wrapText="1"/>
    </xf>
    <xf numFmtId="0" fontId="28" fillId="49" borderId="31" xfId="0" applyFont="1" applyFill="1" applyBorder="1" applyAlignment="1" applyProtection="1">
      <alignment horizontal="center" vertical="center" wrapText="1"/>
    </xf>
    <xf numFmtId="0" fontId="0" fillId="49" borderId="68" xfId="0" applyFill="1" applyBorder="1" applyAlignment="1" applyProtection="1">
      <alignment horizontal="center" vertical="center" wrapText="1"/>
    </xf>
    <xf numFmtId="0" fontId="0" fillId="49" borderId="0" xfId="0" applyFill="1" applyAlignment="1" applyProtection="1">
      <alignment horizontal="center" vertical="center" wrapText="1"/>
    </xf>
    <xf numFmtId="0" fontId="0" fillId="49" borderId="39" xfId="0" applyFill="1" applyBorder="1" applyAlignment="1" applyProtection="1">
      <alignment horizontal="center" vertical="center" wrapText="1"/>
    </xf>
    <xf numFmtId="0" fontId="0" fillId="49" borderId="67" xfId="0" applyFill="1" applyBorder="1" applyAlignment="1" applyProtection="1">
      <alignment horizontal="center" vertical="center" wrapText="1"/>
    </xf>
    <xf numFmtId="0" fontId="0" fillId="49" borderId="40" xfId="0" applyFill="1" applyBorder="1" applyAlignment="1" applyProtection="1">
      <alignment horizontal="center" vertical="center" wrapText="1"/>
    </xf>
    <xf numFmtId="0" fontId="0" fillId="49" borderId="41" xfId="0" applyFill="1" applyBorder="1" applyAlignment="1" applyProtection="1">
      <alignment horizontal="center" vertical="center" wrapText="1"/>
    </xf>
    <xf numFmtId="0" fontId="6" fillId="49" borderId="136" xfId="60" applyFill="1" applyBorder="1" applyAlignment="1" applyProtection="1">
      <alignment horizontal="center" vertical="top" wrapText="1"/>
    </xf>
    <xf numFmtId="0" fontId="4" fillId="25" borderId="0" xfId="0" applyNumberFormat="1" applyFont="1" applyFill="1" applyBorder="1" applyAlignment="1" applyProtection="1">
      <alignment vertical="top" wrapText="1"/>
    </xf>
    <xf numFmtId="0" fontId="37" fillId="42" borderId="100" xfId="0" applyNumberFormat="1" applyFont="1" applyFill="1" applyBorder="1" applyAlignment="1" applyProtection="1">
      <alignment horizontal="left" vertical="top"/>
      <protection locked="0"/>
    </xf>
    <xf numFmtId="0" fontId="37" fillId="42" borderId="21" xfId="0" applyNumberFormat="1" applyFont="1" applyFill="1" applyBorder="1" applyAlignment="1" applyProtection="1">
      <alignment horizontal="left" vertical="top"/>
      <protection locked="0"/>
    </xf>
    <xf numFmtId="0" fontId="4" fillId="25" borderId="63" xfId="0" applyNumberFormat="1" applyFont="1" applyFill="1" applyBorder="1" applyAlignment="1" applyProtection="1">
      <alignment wrapText="1"/>
    </xf>
    <xf numFmtId="0" fontId="0" fillId="0" borderId="25" xfId="0" applyBorder="1" applyAlignment="1" applyProtection="1">
      <alignment wrapText="1"/>
    </xf>
    <xf numFmtId="0" fontId="63" fillId="25" borderId="0" xfId="0" applyFont="1" applyFill="1" applyAlignment="1" applyProtection="1">
      <alignment horizontal="left" vertical="top" wrapText="1"/>
    </xf>
    <xf numFmtId="0" fontId="37" fillId="29" borderId="100" xfId="0" applyNumberFormat="1" applyFont="1" applyFill="1" applyBorder="1" applyAlignment="1" applyProtection="1">
      <alignment vertical="top"/>
      <protection locked="0"/>
    </xf>
    <xf numFmtId="0" fontId="0" fillId="0" borderId="15" xfId="0" applyBorder="1" applyAlignment="1" applyProtection="1">
      <alignment vertical="top"/>
      <protection locked="0"/>
    </xf>
    <xf numFmtId="0" fontId="37" fillId="42" borderId="15" xfId="0" applyNumberFormat="1" applyFont="1" applyFill="1" applyBorder="1" applyAlignment="1" applyProtection="1">
      <alignment horizontal="left" vertical="top"/>
      <protection locked="0"/>
    </xf>
    <xf numFmtId="49" fontId="37" fillId="42" borderId="100" xfId="0" applyNumberFormat="1" applyFont="1" applyFill="1" applyBorder="1" applyAlignment="1" applyProtection="1">
      <alignment horizontal="left" vertical="top"/>
      <protection locked="0"/>
    </xf>
    <xf numFmtId="49" fontId="37" fillId="42" borderId="15" xfId="0" applyNumberFormat="1" applyFont="1" applyFill="1" applyBorder="1" applyAlignment="1" applyProtection="1">
      <alignment horizontal="left" vertical="top"/>
      <protection locked="0"/>
    </xf>
    <xf numFmtId="49" fontId="4" fillId="29" borderId="100" xfId="0" applyNumberFormat="1" applyFont="1" applyFill="1" applyBorder="1" applyAlignment="1" applyProtection="1">
      <alignment vertical="top"/>
      <protection locked="0"/>
    </xf>
    <xf numFmtId="49" fontId="4" fillId="29" borderId="21" xfId="0" applyNumberFormat="1" applyFont="1" applyFill="1" applyBorder="1" applyAlignment="1" applyProtection="1">
      <alignment vertical="top"/>
      <protection locked="0"/>
    </xf>
    <xf numFmtId="49" fontId="4" fillId="29" borderId="101" xfId="0" applyNumberFormat="1" applyFont="1" applyFill="1" applyBorder="1" applyAlignment="1" applyProtection="1">
      <alignment vertical="top"/>
      <protection locked="0"/>
    </xf>
    <xf numFmtId="49" fontId="4" fillId="29" borderId="20" xfId="0" applyNumberFormat="1" applyFont="1" applyFill="1" applyBorder="1" applyAlignment="1" applyProtection="1">
      <alignment vertical="top"/>
      <protection locked="0"/>
    </xf>
    <xf numFmtId="0" fontId="4" fillId="25" borderId="12" xfId="0" applyNumberFormat="1" applyFont="1" applyFill="1" applyBorder="1" applyAlignment="1" applyProtection="1">
      <alignment wrapText="1"/>
    </xf>
    <xf numFmtId="49" fontId="4" fillId="29" borderId="99" xfId="0" applyNumberFormat="1" applyFont="1" applyFill="1" applyBorder="1" applyAlignment="1" applyProtection="1">
      <alignment vertical="top"/>
      <protection locked="0"/>
    </xf>
    <xf numFmtId="49" fontId="4" fillId="29" borderId="24" xfId="0" applyNumberFormat="1" applyFont="1" applyFill="1" applyBorder="1" applyAlignment="1" applyProtection="1">
      <alignment vertical="top"/>
      <protection locked="0"/>
    </xf>
    <xf numFmtId="0" fontId="37" fillId="42" borderId="99" xfId="0" applyNumberFormat="1" applyFont="1" applyFill="1" applyBorder="1" applyAlignment="1" applyProtection="1">
      <alignment horizontal="left" vertical="top"/>
      <protection locked="0"/>
    </xf>
    <xf numFmtId="0" fontId="37" fillId="42" borderId="16" xfId="0" applyNumberFormat="1" applyFont="1" applyFill="1" applyBorder="1" applyAlignment="1" applyProtection="1">
      <alignment horizontal="left" vertical="top"/>
      <protection locked="0"/>
    </xf>
    <xf numFmtId="0" fontId="37" fillId="42" borderId="24" xfId="0" applyNumberFormat="1" applyFont="1" applyFill="1" applyBorder="1" applyAlignment="1" applyProtection="1">
      <alignment horizontal="left" vertical="top"/>
      <protection locked="0"/>
    </xf>
    <xf numFmtId="0" fontId="2" fillId="42" borderId="101" xfId="0" applyNumberFormat="1" applyFont="1" applyFill="1" applyBorder="1" applyAlignment="1" applyProtection="1">
      <alignment horizontal="left" vertical="top"/>
      <protection locked="0"/>
    </xf>
    <xf numFmtId="0" fontId="37" fillId="42" borderId="20" xfId="0" applyNumberFormat="1" applyFont="1" applyFill="1" applyBorder="1" applyAlignment="1" applyProtection="1">
      <alignment horizontal="left" vertical="top"/>
      <protection locked="0"/>
    </xf>
    <xf numFmtId="0" fontId="37" fillId="42" borderId="101" xfId="0" applyNumberFormat="1" applyFont="1" applyFill="1" applyBorder="1" applyAlignment="1" applyProtection="1">
      <alignment horizontal="left" vertical="top"/>
      <protection locked="0"/>
    </xf>
    <xf numFmtId="0" fontId="37" fillId="42" borderId="14" xfId="0" applyNumberFormat="1" applyFont="1" applyFill="1" applyBorder="1" applyAlignment="1" applyProtection="1">
      <alignment horizontal="left" vertical="top"/>
      <protection locked="0"/>
    </xf>
    <xf numFmtId="0" fontId="4" fillId="0" borderId="63" xfId="0" applyNumberFormat="1" applyFont="1" applyFill="1" applyBorder="1" applyAlignment="1" applyProtection="1">
      <alignment wrapText="1"/>
    </xf>
    <xf numFmtId="0" fontId="0" fillId="0" borderId="12" xfId="0" applyBorder="1" applyAlignment="1" applyProtection="1">
      <alignment wrapText="1"/>
    </xf>
    <xf numFmtId="49" fontId="37" fillId="42" borderId="99" xfId="0" applyNumberFormat="1" applyFont="1" applyFill="1" applyBorder="1" applyAlignment="1" applyProtection="1">
      <alignment horizontal="left" vertical="top"/>
      <protection locked="0"/>
    </xf>
    <xf numFmtId="49" fontId="37" fillId="42" borderId="16" xfId="0" applyNumberFormat="1" applyFont="1" applyFill="1" applyBorder="1" applyAlignment="1" applyProtection="1">
      <alignment horizontal="left" vertical="top"/>
      <protection locked="0"/>
    </xf>
    <xf numFmtId="49" fontId="37" fillId="42" borderId="101" xfId="0" applyNumberFormat="1" applyFont="1" applyFill="1" applyBorder="1" applyAlignment="1" applyProtection="1">
      <alignment horizontal="left" vertical="top"/>
      <protection locked="0"/>
    </xf>
    <xf numFmtId="49" fontId="37" fillId="42" borderId="14" xfId="0" applyNumberFormat="1" applyFont="1" applyFill="1" applyBorder="1" applyAlignment="1" applyProtection="1">
      <alignment horizontal="left" vertical="top"/>
      <protection locked="0"/>
    </xf>
    <xf numFmtId="0" fontId="37" fillId="29" borderId="99" xfId="0" applyNumberFormat="1" applyFont="1" applyFill="1" applyBorder="1" applyAlignment="1" applyProtection="1">
      <alignment vertical="top"/>
      <protection locked="0"/>
    </xf>
    <xf numFmtId="0" fontId="0" fillId="0" borderId="16" xfId="0" applyBorder="1" applyAlignment="1" applyProtection="1">
      <alignment vertical="top"/>
      <protection locked="0"/>
    </xf>
    <xf numFmtId="0" fontId="2" fillId="42" borderId="99" xfId="0" applyNumberFormat="1" applyFont="1" applyFill="1" applyBorder="1" applyAlignment="1" applyProtection="1">
      <alignment horizontal="left" vertical="top"/>
      <protection locked="0"/>
    </xf>
    <xf numFmtId="0" fontId="2" fillId="42" borderId="100" xfId="0" applyNumberFormat="1" applyFont="1" applyFill="1" applyBorder="1" applyAlignment="1" applyProtection="1">
      <alignment horizontal="left" vertical="top"/>
      <protection locked="0"/>
    </xf>
    <xf numFmtId="0" fontId="2" fillId="42" borderId="70" xfId="0" applyNumberFormat="1" applyFont="1" applyFill="1" applyBorder="1" applyAlignment="1" applyProtection="1">
      <alignment horizontal="left" vertical="top"/>
      <protection locked="0"/>
    </xf>
    <xf numFmtId="0" fontId="2" fillId="42" borderId="26" xfId="0" applyNumberFormat="1" applyFont="1" applyFill="1" applyBorder="1" applyAlignment="1" applyProtection="1">
      <alignment horizontal="left" vertical="top"/>
      <protection locked="0"/>
    </xf>
    <xf numFmtId="0" fontId="2" fillId="42" borderId="27" xfId="0" applyNumberFormat="1" applyFont="1" applyFill="1" applyBorder="1" applyAlignment="1" applyProtection="1">
      <alignment horizontal="left" vertical="top"/>
      <protection locked="0"/>
    </xf>
    <xf numFmtId="0" fontId="2" fillId="27" borderId="70" xfId="0" applyNumberFormat="1" applyFont="1" applyFill="1" applyBorder="1" applyAlignment="1" applyProtection="1">
      <alignment horizontal="left" vertical="top"/>
    </xf>
    <xf numFmtId="0" fontId="2" fillId="27" borderId="26" xfId="0" applyNumberFormat="1" applyFont="1" applyFill="1" applyBorder="1" applyAlignment="1" applyProtection="1">
      <alignment horizontal="left" vertical="top"/>
    </xf>
    <xf numFmtId="0" fontId="2" fillId="27" borderId="27" xfId="0" applyNumberFormat="1" applyFont="1" applyFill="1" applyBorder="1" applyAlignment="1" applyProtection="1">
      <alignment horizontal="left" vertical="top"/>
    </xf>
    <xf numFmtId="0" fontId="2" fillId="25" borderId="26" xfId="0" applyFont="1" applyFill="1" applyBorder="1" applyAlignment="1" applyProtection="1">
      <alignment vertical="top" wrapText="1"/>
    </xf>
    <xf numFmtId="0" fontId="0" fillId="0" borderId="26" xfId="0" applyBorder="1" applyAlignment="1" applyProtection="1">
      <alignment vertical="top" wrapText="1"/>
    </xf>
    <xf numFmtId="0" fontId="2" fillId="25" borderId="0" xfId="0" applyFont="1" applyFill="1" applyAlignment="1" applyProtection="1">
      <alignment horizontal="left" vertical="top" wrapText="1"/>
    </xf>
    <xf numFmtId="0" fontId="2" fillId="25" borderId="18" xfId="0" applyFont="1" applyFill="1" applyBorder="1" applyAlignment="1" applyProtection="1">
      <alignment horizontal="left" vertical="top" wrapText="1"/>
    </xf>
    <xf numFmtId="0" fontId="0" fillId="0" borderId="25" xfId="0" applyBorder="1" applyAlignment="1" applyProtection="1">
      <alignment vertical="top" wrapText="1"/>
    </xf>
    <xf numFmtId="0" fontId="51" fillId="25" borderId="0" xfId="0" applyFont="1" applyFill="1" applyAlignment="1" applyProtection="1">
      <alignment vertical="top" wrapText="1"/>
    </xf>
    <xf numFmtId="0" fontId="2" fillId="25" borderId="24" xfId="0" applyNumberFormat="1" applyFont="1" applyFill="1" applyBorder="1" applyAlignment="1" applyProtection="1">
      <alignment vertical="top" wrapText="1"/>
    </xf>
    <xf numFmtId="0" fontId="2" fillId="29" borderId="101" xfId="0" applyFont="1" applyFill="1"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20" xfId="0" applyBorder="1" applyAlignment="1" applyProtection="1">
      <alignment horizontal="left" vertical="top"/>
      <protection locked="0"/>
    </xf>
    <xf numFmtId="0" fontId="37" fillId="29" borderId="101" xfId="0" applyNumberFormat="1" applyFont="1" applyFill="1" applyBorder="1" applyAlignment="1" applyProtection="1">
      <alignment vertical="top"/>
      <protection locked="0"/>
    </xf>
    <xf numFmtId="0" fontId="0" fillId="0" borderId="14" xfId="0" applyBorder="1" applyAlignment="1" applyProtection="1">
      <alignment vertical="top"/>
      <protection locked="0"/>
    </xf>
    <xf numFmtId="0" fontId="37" fillId="29" borderId="99" xfId="0" applyNumberFormat="1" applyFont="1" applyFill="1" applyBorder="1" applyAlignment="1" applyProtection="1">
      <alignment horizontal="left" wrapText="1"/>
      <protection locked="0"/>
    </xf>
    <xf numFmtId="0" fontId="0" fillId="0" borderId="16" xfId="0" applyBorder="1" applyAlignment="1" applyProtection="1">
      <alignment horizontal="left" wrapText="1"/>
      <protection locked="0"/>
    </xf>
    <xf numFmtId="0" fontId="0" fillId="0" borderId="24" xfId="0" applyBorder="1" applyAlignment="1" applyProtection="1">
      <alignment horizontal="left" wrapText="1"/>
      <protection locked="0"/>
    </xf>
    <xf numFmtId="0" fontId="41" fillId="41" borderId="0" xfId="0" applyFont="1" applyFill="1" applyAlignment="1" applyProtection="1">
      <alignment horizontal="left" vertical="top" wrapText="1"/>
    </xf>
    <xf numFmtId="0" fontId="4" fillId="0" borderId="0" xfId="0" applyFont="1" applyAlignment="1" applyProtection="1">
      <alignment horizontal="left" vertical="top" wrapText="1"/>
    </xf>
    <xf numFmtId="0" fontId="51" fillId="25" borderId="0" xfId="0" applyNumberFormat="1" applyFont="1" applyFill="1" applyBorder="1" applyAlignment="1" applyProtection="1">
      <alignment horizontal="left" vertical="top" wrapText="1"/>
    </xf>
    <xf numFmtId="0" fontId="51" fillId="25" borderId="39" xfId="0" applyNumberFormat="1" applyFont="1" applyFill="1" applyBorder="1" applyAlignment="1" applyProtection="1">
      <alignment horizontal="left" vertical="top" wrapText="1"/>
    </xf>
    <xf numFmtId="0" fontId="37" fillId="29" borderId="101" xfId="0" applyNumberFormat="1" applyFont="1" applyFill="1" applyBorder="1" applyAlignment="1" applyProtection="1">
      <alignment horizontal="left" wrapText="1"/>
      <protection locked="0"/>
    </xf>
    <xf numFmtId="0" fontId="37" fillId="29" borderId="14" xfId="0" applyNumberFormat="1" applyFont="1" applyFill="1" applyBorder="1" applyAlignment="1" applyProtection="1">
      <alignment horizontal="left" wrapText="1"/>
      <protection locked="0"/>
    </xf>
    <xf numFmtId="0" fontId="37" fillId="29" borderId="20" xfId="0" applyNumberFormat="1" applyFont="1" applyFill="1" applyBorder="1" applyAlignment="1" applyProtection="1">
      <alignment horizontal="left" wrapText="1"/>
      <protection locked="0"/>
    </xf>
    <xf numFmtId="0" fontId="37" fillId="40" borderId="70" xfId="0" applyNumberFormat="1" applyFont="1" applyFill="1" applyBorder="1" applyAlignment="1" applyProtection="1">
      <alignment horizontal="left" vertical="top"/>
    </xf>
    <xf numFmtId="0" fontId="37" fillId="40" borderId="26" xfId="0" applyNumberFormat="1" applyFont="1" applyFill="1" applyBorder="1" applyAlignment="1" applyProtection="1">
      <alignment horizontal="left" vertical="top"/>
    </xf>
    <xf numFmtId="0" fontId="37" fillId="40" borderId="51" xfId="0" applyNumberFormat="1" applyFont="1" applyFill="1" applyBorder="1" applyAlignment="1" applyProtection="1">
      <alignment horizontal="left" vertical="top"/>
    </xf>
    <xf numFmtId="0" fontId="37" fillId="29" borderId="70" xfId="0" applyNumberFormat="1" applyFont="1" applyFill="1" applyBorder="1" applyAlignment="1" applyProtection="1">
      <alignment horizontal="left" vertical="top"/>
      <protection locked="0"/>
    </xf>
    <xf numFmtId="0" fontId="37" fillId="29" borderId="26" xfId="0" applyNumberFormat="1" applyFont="1" applyFill="1" applyBorder="1" applyAlignment="1" applyProtection="1">
      <alignment horizontal="left" vertical="top"/>
      <protection locked="0"/>
    </xf>
    <xf numFmtId="0" fontId="37" fillId="29" borderId="51" xfId="0" applyNumberFormat="1" applyFont="1" applyFill="1" applyBorder="1" applyAlignment="1" applyProtection="1">
      <alignment horizontal="left" vertical="top"/>
      <protection locked="0"/>
    </xf>
    <xf numFmtId="0" fontId="4" fillId="29" borderId="84" xfId="0" applyNumberFormat="1" applyFont="1" applyFill="1" applyBorder="1" applyAlignment="1" applyProtection="1">
      <alignment horizontal="center" vertical="top"/>
      <protection locked="0"/>
    </xf>
    <xf numFmtId="0" fontId="4" fillId="29" borderId="86" xfId="0" applyNumberFormat="1" applyFont="1" applyFill="1" applyBorder="1" applyAlignment="1" applyProtection="1">
      <alignment horizontal="center" vertical="top"/>
      <protection locked="0"/>
    </xf>
    <xf numFmtId="0" fontId="37" fillId="25" borderId="22" xfId="0" applyNumberFormat="1" applyFont="1" applyFill="1" applyBorder="1" applyAlignment="1" applyProtection="1">
      <alignment vertical="top" wrapText="1"/>
    </xf>
    <xf numFmtId="0" fontId="0" fillId="0" borderId="106" xfId="0" applyBorder="1" applyAlignment="1" applyProtection="1">
      <alignment vertical="top" wrapText="1"/>
    </xf>
    <xf numFmtId="0" fontId="6" fillId="49" borderId="13" xfId="0" applyFont="1" applyFill="1" applyBorder="1" applyAlignment="1" applyProtection="1">
      <alignment horizontal="left" vertical="top" wrapText="1"/>
    </xf>
    <xf numFmtId="0" fontId="4" fillId="25" borderId="18" xfId="0" applyFont="1" applyFill="1" applyBorder="1" applyAlignment="1" applyProtection="1">
      <alignment horizontal="left" vertical="top" wrapText="1"/>
    </xf>
    <xf numFmtId="0" fontId="2" fillId="27" borderId="13" xfId="0" applyFont="1" applyFill="1" applyBorder="1" applyAlignment="1" applyProtection="1">
      <alignment horizontal="center" vertical="top"/>
    </xf>
    <xf numFmtId="0" fontId="6" fillId="49" borderId="140" xfId="60" applyFill="1" applyBorder="1" applyAlignment="1" applyProtection="1">
      <alignment horizontal="center" vertical="top" wrapText="1"/>
    </xf>
    <xf numFmtId="0" fontId="6" fillId="49" borderId="141" xfId="60" applyFill="1" applyBorder="1" applyAlignment="1" applyProtection="1">
      <alignment horizontal="center" vertical="top" wrapText="1"/>
    </xf>
    <xf numFmtId="0" fontId="9" fillId="25" borderId="0" xfId="0" applyFont="1" applyFill="1" applyAlignment="1" applyProtection="1">
      <alignment horizontal="left" vertical="top" wrapText="1"/>
    </xf>
    <xf numFmtId="0" fontId="9" fillId="25" borderId="18" xfId="0" applyFont="1" applyFill="1" applyBorder="1" applyAlignment="1" applyProtection="1">
      <alignment horizontal="left" vertical="top" wrapText="1"/>
    </xf>
    <xf numFmtId="0" fontId="6" fillId="49" borderId="139" xfId="60" applyFill="1" applyBorder="1" applyAlignment="1" applyProtection="1">
      <alignment horizontal="center" vertical="top" wrapText="1"/>
    </xf>
    <xf numFmtId="0" fontId="6" fillId="49" borderId="90" xfId="60" applyFill="1" applyBorder="1" applyAlignment="1" applyProtection="1">
      <alignment horizontal="center" vertical="top" wrapText="1"/>
    </xf>
    <xf numFmtId="0" fontId="4" fillId="49" borderId="29" xfId="0" applyFont="1" applyFill="1" applyBorder="1" applyAlignment="1" applyProtection="1">
      <alignment horizontal="center" vertical="center" wrapText="1"/>
    </xf>
    <xf numFmtId="0" fontId="4" fillId="49" borderId="31" xfId="0" applyFont="1" applyFill="1" applyBorder="1" applyAlignment="1" applyProtection="1">
      <alignment horizontal="center" vertical="center" wrapText="1"/>
    </xf>
    <xf numFmtId="0" fontId="4" fillId="49" borderId="68" xfId="0" applyFont="1" applyFill="1" applyBorder="1" applyAlignment="1" applyProtection="1">
      <alignment horizontal="center" vertical="center" wrapText="1"/>
    </xf>
    <xf numFmtId="0" fontId="4" fillId="49" borderId="0" xfId="0" applyFont="1" applyFill="1" applyBorder="1" applyAlignment="1" applyProtection="1">
      <alignment horizontal="center" vertical="center" wrapText="1"/>
    </xf>
    <xf numFmtId="0" fontId="4" fillId="49" borderId="39" xfId="0" applyFont="1" applyFill="1" applyBorder="1" applyAlignment="1" applyProtection="1">
      <alignment horizontal="center" vertical="center" wrapText="1"/>
    </xf>
    <xf numFmtId="0" fontId="4" fillId="49" borderId="84" xfId="0" applyFont="1" applyFill="1" applyBorder="1" applyAlignment="1" applyProtection="1">
      <alignment horizontal="center" vertical="top"/>
    </xf>
    <xf numFmtId="0" fontId="4" fillId="49" borderId="85" xfId="0" applyFont="1" applyFill="1" applyBorder="1" applyAlignment="1" applyProtection="1">
      <alignment horizontal="center" vertical="top"/>
    </xf>
    <xf numFmtId="0" fontId="4" fillId="49" borderId="86" xfId="0" applyFont="1" applyFill="1" applyBorder="1" applyAlignment="1" applyProtection="1">
      <alignment horizontal="center" vertical="top"/>
    </xf>
    <xf numFmtId="0" fontId="3" fillId="26" borderId="13" xfId="0" applyFont="1" applyFill="1" applyBorder="1" applyAlignment="1" applyProtection="1">
      <alignment horizontal="center" vertical="top" wrapText="1"/>
    </xf>
    <xf numFmtId="0" fontId="6" fillId="49" borderId="57" xfId="60" applyFill="1" applyBorder="1" applyAlignment="1" applyProtection="1">
      <alignment vertical="top" wrapText="1"/>
    </xf>
    <xf numFmtId="0" fontId="0" fillId="49" borderId="138" xfId="0" applyFill="1" applyBorder="1" applyAlignment="1" applyProtection="1">
      <alignment vertical="top" wrapText="1"/>
    </xf>
    <xf numFmtId="0" fontId="3" fillId="26" borderId="0" xfId="0" applyFont="1" applyFill="1" applyBorder="1" applyAlignment="1" applyProtection="1">
      <alignment horizontal="left" vertical="top" wrapText="1"/>
    </xf>
    <xf numFmtId="0" fontId="39" fillId="0" borderId="69" xfId="60" applyFont="1" applyBorder="1" applyAlignment="1" applyProtection="1">
      <alignment horizontal="center" vertical="top" wrapText="1"/>
    </xf>
    <xf numFmtId="0" fontId="0" fillId="0" borderId="138" xfId="0" applyBorder="1" applyAlignment="1" applyProtection="1">
      <alignment vertical="top" wrapText="1"/>
    </xf>
    <xf numFmtId="0" fontId="6" fillId="50" borderId="70" xfId="0" applyFont="1" applyFill="1" applyBorder="1" applyAlignment="1" applyProtection="1">
      <alignment horizontal="left" vertical="top" wrapText="1"/>
    </xf>
    <xf numFmtId="0" fontId="6" fillId="50" borderId="26" xfId="0" applyFont="1" applyFill="1" applyBorder="1" applyAlignment="1" applyProtection="1">
      <alignment horizontal="left" vertical="top" wrapText="1"/>
    </xf>
    <xf numFmtId="0" fontId="6" fillId="50" borderId="27" xfId="0" applyFont="1" applyFill="1" applyBorder="1" applyAlignment="1" applyProtection="1">
      <alignment horizontal="left" vertical="top" wrapText="1"/>
    </xf>
    <xf numFmtId="0" fontId="6" fillId="50" borderId="13" xfId="0" applyFont="1" applyFill="1" applyBorder="1" applyAlignment="1" applyProtection="1">
      <alignment horizontal="left" vertical="top" wrapText="1"/>
    </xf>
    <xf numFmtId="0" fontId="4" fillId="25" borderId="12" xfId="0" applyNumberFormat="1" applyFont="1" applyFill="1" applyBorder="1" applyAlignment="1" applyProtection="1">
      <alignment vertical="top" wrapText="1"/>
    </xf>
    <xf numFmtId="0" fontId="2" fillId="25" borderId="26" xfId="0" applyNumberFormat="1" applyFont="1" applyFill="1" applyBorder="1" applyAlignment="1" applyProtection="1">
      <alignment vertical="top" wrapText="1"/>
    </xf>
    <xf numFmtId="0" fontId="37" fillId="25" borderId="26" xfId="0" applyNumberFormat="1" applyFont="1" applyFill="1" applyBorder="1" applyAlignment="1" applyProtection="1">
      <alignment vertical="top" wrapText="1"/>
    </xf>
    <xf numFmtId="0" fontId="4" fillId="25" borderId="0" xfId="0" applyNumberFormat="1" applyFont="1" applyFill="1" applyBorder="1" applyAlignment="1" applyProtection="1">
      <alignment horizontal="left" vertical="top" wrapText="1"/>
    </xf>
    <xf numFmtId="0" fontId="39" fillId="49" borderId="0" xfId="60" applyFont="1" applyFill="1" applyAlignment="1" applyProtection="1">
      <alignment vertical="top" wrapText="1"/>
    </xf>
    <xf numFmtId="0" fontId="37" fillId="41" borderId="0" xfId="0" applyNumberFormat="1" applyFont="1" applyFill="1" applyBorder="1" applyAlignment="1" applyProtection="1">
      <alignment vertical="top" wrapText="1"/>
    </xf>
    <xf numFmtId="0" fontId="37" fillId="25" borderId="17" xfId="0" applyNumberFormat="1" applyFont="1" applyFill="1" applyBorder="1" applyAlignment="1" applyProtection="1">
      <alignment vertical="top" wrapText="1"/>
    </xf>
    <xf numFmtId="0" fontId="37" fillId="25" borderId="23" xfId="0" applyNumberFormat="1" applyFont="1" applyFill="1" applyBorder="1" applyAlignment="1" applyProtection="1">
      <alignment vertical="top" wrapText="1"/>
    </xf>
    <xf numFmtId="0" fontId="2" fillId="25" borderId="17" xfId="0" applyNumberFormat="1" applyFont="1" applyFill="1" applyBorder="1" applyAlignment="1" applyProtection="1">
      <alignment vertical="top" wrapText="1"/>
    </xf>
    <xf numFmtId="0" fontId="4" fillId="25" borderId="18" xfId="0" applyFont="1" applyFill="1" applyBorder="1" applyAlignment="1" applyProtection="1">
      <alignment vertical="top" wrapText="1"/>
    </xf>
    <xf numFmtId="0" fontId="2" fillId="29" borderId="107" xfId="0" applyFont="1" applyFill="1" applyBorder="1" applyAlignment="1" applyProtection="1">
      <alignment horizontal="left" vertical="top" wrapText="1"/>
      <protection locked="0"/>
    </xf>
    <xf numFmtId="0" fontId="2" fillId="0" borderId="22" xfId="0" applyFont="1" applyBorder="1" applyAlignment="1" applyProtection="1">
      <alignment horizontal="left" vertical="top" wrapText="1"/>
      <protection locked="0"/>
    </xf>
    <xf numFmtId="0" fontId="2" fillId="0" borderId="106"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25" xfId="0" applyFont="1" applyBorder="1" applyAlignment="1" applyProtection="1">
      <alignment horizontal="left" vertical="top" wrapText="1"/>
      <protection locked="0"/>
    </xf>
    <xf numFmtId="0" fontId="38" fillId="29" borderId="70" xfId="0" applyFont="1" applyFill="1" applyBorder="1" applyAlignment="1" applyProtection="1">
      <alignment horizontal="left"/>
      <protection locked="0"/>
    </xf>
    <xf numFmtId="0" fontId="38" fillId="29" borderId="26" xfId="0" applyFont="1" applyFill="1" applyBorder="1" applyAlignment="1" applyProtection="1">
      <alignment horizontal="left"/>
      <protection locked="0"/>
    </xf>
    <xf numFmtId="0" fontId="38" fillId="29" borderId="27" xfId="0" applyFont="1" applyFill="1" applyBorder="1" applyAlignment="1" applyProtection="1">
      <alignment horizontal="left"/>
      <protection locked="0"/>
    </xf>
    <xf numFmtId="0" fontId="36" fillId="29" borderId="70" xfId="0" applyFont="1" applyFill="1" applyBorder="1" applyAlignment="1" applyProtection="1">
      <alignment horizontal="left"/>
      <protection locked="0"/>
    </xf>
    <xf numFmtId="0" fontId="36" fillId="29" borderId="26" xfId="0" applyFont="1" applyFill="1" applyBorder="1" applyAlignment="1" applyProtection="1">
      <alignment horizontal="left"/>
      <protection locked="0"/>
    </xf>
    <xf numFmtId="0" fontId="36" fillId="29" borderId="27" xfId="0" applyFont="1" applyFill="1" applyBorder="1" applyAlignment="1" applyProtection="1">
      <alignment horizontal="left"/>
      <protection locked="0"/>
    </xf>
    <xf numFmtId="0" fontId="2" fillId="29" borderId="70" xfId="0" applyFont="1" applyFill="1" applyBorder="1" applyAlignment="1" applyProtection="1">
      <alignment horizontal="left" vertical="top"/>
      <protection locked="0"/>
    </xf>
    <xf numFmtId="0" fontId="2" fillId="0" borderId="26" xfId="0" applyFont="1" applyBorder="1" applyAlignment="1" applyProtection="1">
      <alignment horizontal="left" vertical="top"/>
      <protection locked="0"/>
    </xf>
    <xf numFmtId="0" fontId="2" fillId="0" borderId="27" xfId="0" applyFont="1" applyBorder="1" applyAlignment="1" applyProtection="1">
      <alignment horizontal="left" vertical="top"/>
      <protection locked="0"/>
    </xf>
    <xf numFmtId="0" fontId="5" fillId="0" borderId="0" xfId="0" applyFont="1" applyAlignment="1" applyProtection="1">
      <alignment vertical="top" wrapText="1"/>
    </xf>
    <xf numFmtId="0" fontId="37" fillId="25" borderId="14" xfId="0" applyNumberFormat="1" applyFont="1" applyFill="1" applyBorder="1" applyAlignment="1" applyProtection="1">
      <alignment vertical="top" wrapText="1"/>
    </xf>
    <xf numFmtId="0" fontId="2" fillId="25" borderId="22" xfId="0" applyNumberFormat="1" applyFont="1" applyFill="1" applyBorder="1" applyAlignment="1" applyProtection="1">
      <alignment vertical="top" wrapText="1"/>
    </xf>
    <xf numFmtId="0" fontId="4" fillId="25" borderId="84" xfId="0" applyNumberFormat="1" applyFont="1" applyFill="1" applyBorder="1" applyAlignment="1" applyProtection="1">
      <alignment vertical="top" wrapText="1"/>
    </xf>
    <xf numFmtId="0" fontId="4" fillId="25" borderId="85" xfId="0" applyNumberFormat="1" applyFont="1" applyFill="1" applyBorder="1" applyAlignment="1" applyProtection="1">
      <alignment vertical="top" wrapText="1"/>
    </xf>
    <xf numFmtId="0" fontId="57" fillId="25" borderId="15" xfId="0" applyNumberFormat="1" applyFont="1" applyFill="1" applyBorder="1" applyAlignment="1" applyProtection="1">
      <alignment vertical="top" wrapText="1"/>
    </xf>
    <xf numFmtId="0" fontId="28" fillId="0" borderId="0" xfId="0" applyFont="1" applyAlignment="1" applyProtection="1">
      <alignment vertical="top" wrapText="1"/>
    </xf>
    <xf numFmtId="0" fontId="37" fillId="25" borderId="15" xfId="0" applyNumberFormat="1" applyFont="1" applyFill="1" applyBorder="1" applyAlignment="1" applyProtection="1">
      <alignment vertical="top" wrapText="1"/>
    </xf>
    <xf numFmtId="0" fontId="51" fillId="25" borderId="0" xfId="0" applyFont="1" applyFill="1" applyAlignment="1" applyProtection="1">
      <alignment horizontal="left" vertical="top" wrapText="1"/>
    </xf>
    <xf numFmtId="0" fontId="6" fillId="49" borderId="0" xfId="60" applyFill="1" applyAlignment="1" applyProtection="1">
      <alignment horizontal="left" vertical="top" wrapText="1"/>
    </xf>
    <xf numFmtId="0" fontId="37" fillId="25" borderId="16" xfId="0" applyNumberFormat="1" applyFont="1" applyFill="1" applyBorder="1" applyAlignment="1" applyProtection="1">
      <alignment vertical="top" wrapText="1"/>
    </xf>
    <xf numFmtId="0" fontId="39" fillId="49" borderId="0" xfId="60" applyFont="1" applyFill="1" applyAlignment="1" applyProtection="1">
      <alignment horizontal="left" vertical="top" wrapText="1"/>
    </xf>
    <xf numFmtId="0" fontId="2" fillId="25" borderId="84" xfId="0" applyNumberFormat="1" applyFont="1" applyFill="1" applyBorder="1" applyAlignment="1" applyProtection="1">
      <alignment vertical="top" wrapText="1"/>
    </xf>
    <xf numFmtId="0" fontId="2" fillId="25" borderId="85" xfId="0" applyNumberFormat="1" applyFont="1" applyFill="1" applyBorder="1" applyAlignment="1" applyProtection="1">
      <alignment vertical="top" wrapText="1"/>
    </xf>
    <xf numFmtId="0" fontId="2" fillId="25" borderId="26" xfId="0" applyNumberFormat="1" applyFont="1" applyFill="1" applyBorder="1" applyAlignment="1" applyProtection="1">
      <alignment vertical="center" wrapText="1"/>
    </xf>
    <xf numFmtId="0" fontId="0" fillId="0" borderId="26" xfId="0" applyBorder="1" applyAlignment="1" applyProtection="1">
      <alignment vertical="center" wrapText="1"/>
    </xf>
    <xf numFmtId="0" fontId="10" fillId="25" borderId="12" xfId="0" applyFont="1" applyFill="1" applyBorder="1" applyAlignment="1" applyProtection="1">
      <alignment horizontal="left" wrapText="1"/>
    </xf>
    <xf numFmtId="0" fontId="4" fillId="55" borderId="0" xfId="0" applyFont="1" applyFill="1" applyAlignment="1" applyProtection="1">
      <alignment vertical="center" wrapText="1"/>
    </xf>
    <xf numFmtId="0" fontId="0" fillId="0" borderId="0" xfId="0" applyAlignment="1" applyProtection="1">
      <alignment vertical="center" wrapText="1"/>
    </xf>
    <xf numFmtId="0" fontId="75" fillId="25" borderId="34" xfId="0" applyNumberFormat="1" applyFont="1" applyFill="1" applyBorder="1" applyAlignment="1" applyProtection="1">
      <alignment vertical="center"/>
    </xf>
    <xf numFmtId="0" fontId="5" fillId="0" borderId="65" xfId="0" applyFont="1" applyBorder="1" applyAlignment="1" applyProtection="1">
      <alignment vertical="center"/>
    </xf>
    <xf numFmtId="0" fontId="5" fillId="0" borderId="100" xfId="0" applyFont="1" applyBorder="1" applyAlignment="1" applyProtection="1">
      <alignment vertical="center"/>
    </xf>
    <xf numFmtId="0" fontId="75" fillId="25" borderId="109" xfId="0" applyNumberFormat="1" applyFont="1" applyFill="1" applyBorder="1" applyAlignment="1" applyProtection="1">
      <alignment vertical="center"/>
    </xf>
    <xf numFmtId="0" fontId="5" fillId="0" borderId="15" xfId="0" applyFont="1" applyBorder="1" applyAlignment="1" applyProtection="1">
      <alignment vertical="center"/>
    </xf>
    <xf numFmtId="0" fontId="37" fillId="25" borderId="100" xfId="0" applyNumberFormat="1" applyFont="1" applyFill="1" applyBorder="1" applyAlignment="1" applyProtection="1">
      <alignment vertical="center" shrinkToFit="1"/>
    </xf>
    <xf numFmtId="0" fontId="37" fillId="25" borderId="15" xfId="0" applyNumberFormat="1" applyFont="1" applyFill="1" applyBorder="1" applyAlignment="1" applyProtection="1">
      <alignment vertical="center" shrinkToFit="1"/>
    </xf>
    <xf numFmtId="0" fontId="37" fillId="25" borderId="15" xfId="0" applyNumberFormat="1" applyFont="1" applyFill="1" applyBorder="1" applyAlignment="1" applyProtection="1">
      <alignment vertical="top" shrinkToFit="1"/>
    </xf>
    <xf numFmtId="0" fontId="10" fillId="25" borderId="0" xfId="0" applyFont="1" applyFill="1" applyAlignment="1" applyProtection="1">
      <alignment vertical="center" wrapText="1"/>
    </xf>
    <xf numFmtId="0" fontId="4" fillId="25" borderId="0" xfId="0" applyFont="1" applyFill="1" applyBorder="1" applyAlignment="1" applyProtection="1">
      <alignment vertical="center" wrapText="1"/>
    </xf>
    <xf numFmtId="0" fontId="0" fillId="0" borderId="0" xfId="0" applyBorder="1" applyAlignment="1" applyProtection="1">
      <alignment vertical="center" wrapText="1"/>
    </xf>
    <xf numFmtId="0" fontId="4" fillId="25" borderId="12" xfId="0" applyFont="1" applyFill="1" applyBorder="1" applyAlignment="1" applyProtection="1">
      <alignment vertical="center" wrapText="1"/>
    </xf>
    <xf numFmtId="0" fontId="37" fillId="40" borderId="15" xfId="0" applyNumberFormat="1" applyFont="1" applyFill="1" applyBorder="1" applyAlignment="1" applyProtection="1">
      <alignment horizontal="left" vertical="top" wrapText="1"/>
    </xf>
    <xf numFmtId="0" fontId="37" fillId="25" borderId="12" xfId="0" applyNumberFormat="1" applyFont="1" applyFill="1" applyBorder="1" applyAlignment="1" applyProtection="1">
      <alignment vertical="center" wrapText="1"/>
    </xf>
    <xf numFmtId="0" fontId="0" fillId="0" borderId="12" xfId="0" applyBorder="1" applyAlignment="1" applyProtection="1">
      <alignment vertical="center" wrapText="1"/>
    </xf>
    <xf numFmtId="0" fontId="37" fillId="25" borderId="26" xfId="0" applyNumberFormat="1" applyFont="1" applyFill="1" applyBorder="1" applyAlignment="1" applyProtection="1">
      <alignment vertical="center" wrapText="1"/>
    </xf>
    <xf numFmtId="0" fontId="4" fillId="25" borderId="0" xfId="0" applyNumberFormat="1" applyFont="1" applyFill="1" applyBorder="1" applyAlignment="1" applyProtection="1">
      <alignment vertical="center" wrapText="1"/>
    </xf>
    <xf numFmtId="0" fontId="37" fillId="40" borderId="15" xfId="0" applyNumberFormat="1" applyFont="1" applyFill="1" applyBorder="1" applyAlignment="1" applyProtection="1">
      <alignment horizontal="left" vertical="center" wrapText="1"/>
    </xf>
    <xf numFmtId="0" fontId="37" fillId="25" borderId="109" xfId="0" applyNumberFormat="1" applyFont="1" applyFill="1" applyBorder="1" applyAlignment="1" applyProtection="1">
      <alignment vertical="center" shrinkToFit="1"/>
    </xf>
    <xf numFmtId="0" fontId="0" fillId="0" borderId="15" xfId="0" applyBorder="1" applyAlignment="1" applyProtection="1">
      <alignment vertical="center" shrinkToFit="1"/>
    </xf>
    <xf numFmtId="0" fontId="37" fillId="25" borderId="57" xfId="0" applyNumberFormat="1" applyFont="1" applyFill="1" applyBorder="1" applyAlignment="1" applyProtection="1">
      <alignment vertical="center" shrinkToFit="1"/>
    </xf>
    <xf numFmtId="0" fontId="0" fillId="0" borderId="37" xfId="0" applyBorder="1" applyAlignment="1" applyProtection="1">
      <alignment vertical="center" shrinkToFit="1"/>
    </xf>
    <xf numFmtId="0" fontId="6" fillId="49" borderId="70" xfId="0" applyFont="1" applyFill="1" applyBorder="1" applyAlignment="1" applyProtection="1">
      <alignment horizontal="left" vertical="top" wrapText="1"/>
    </xf>
    <xf numFmtId="0" fontId="6" fillId="49" borderId="26" xfId="0" applyFont="1" applyFill="1" applyBorder="1" applyAlignment="1" applyProtection="1">
      <alignment horizontal="left" vertical="top" wrapText="1"/>
    </xf>
    <xf numFmtId="0" fontId="6" fillId="49" borderId="27" xfId="0" applyFont="1" applyFill="1" applyBorder="1" applyAlignment="1" applyProtection="1">
      <alignment horizontal="left" vertical="top" wrapText="1"/>
    </xf>
    <xf numFmtId="0" fontId="10" fillId="25" borderId="12" xfId="0" applyFont="1" applyFill="1" applyBorder="1" applyAlignment="1" applyProtection="1">
      <alignment vertical="center" wrapText="1"/>
    </xf>
    <xf numFmtId="0" fontId="2" fillId="25" borderId="14" xfId="0" applyNumberFormat="1" applyFont="1" applyFill="1" applyBorder="1" applyAlignment="1" applyProtection="1">
      <alignment vertical="center" wrapText="1"/>
    </xf>
    <xf numFmtId="0" fontId="0" fillId="0" borderId="14" xfId="0" applyBorder="1" applyAlignment="1" applyProtection="1">
      <alignment vertical="center" wrapText="1"/>
    </xf>
    <xf numFmtId="0" fontId="4" fillId="25" borderId="42" xfId="0" applyNumberFormat="1" applyFont="1" applyFill="1" applyBorder="1" applyAlignment="1" applyProtection="1">
      <alignment vertical="center" wrapText="1"/>
    </xf>
    <xf numFmtId="0" fontId="0" fillId="0" borderId="42" xfId="0" applyBorder="1" applyAlignment="1" applyProtection="1">
      <alignment vertical="center" wrapText="1"/>
    </xf>
    <xf numFmtId="0" fontId="37" fillId="25" borderId="103" xfId="0" applyNumberFormat="1" applyFont="1" applyFill="1" applyBorder="1" applyAlignment="1" applyProtection="1">
      <alignment vertical="center" shrinkToFit="1"/>
    </xf>
    <xf numFmtId="0" fontId="0" fillId="0" borderId="52" xfId="0" applyBorder="1" applyAlignment="1" applyProtection="1">
      <alignment vertical="center" shrinkToFit="1"/>
    </xf>
    <xf numFmtId="0" fontId="37" fillId="25" borderId="99" xfId="0" applyNumberFormat="1" applyFont="1" applyFill="1" applyBorder="1" applyAlignment="1" applyProtection="1">
      <alignment vertical="center" shrinkToFit="1"/>
    </xf>
    <xf numFmtId="0" fontId="37" fillId="25" borderId="16" xfId="0" applyNumberFormat="1" applyFont="1" applyFill="1" applyBorder="1" applyAlignment="1" applyProtection="1">
      <alignment vertical="center" shrinkToFit="1"/>
    </xf>
    <xf numFmtId="0" fontId="41" fillId="25" borderId="0" xfId="0" applyFont="1" applyFill="1" applyAlignment="1" applyProtection="1">
      <alignment vertical="center" wrapText="1"/>
    </xf>
    <xf numFmtId="0" fontId="35" fillId="25" borderId="0" xfId="0" applyFont="1" applyFill="1" applyAlignment="1" applyProtection="1">
      <alignment vertical="center" wrapText="1"/>
    </xf>
    <xf numFmtId="0" fontId="37" fillId="40" borderId="16" xfId="0" applyNumberFormat="1" applyFont="1" applyFill="1" applyBorder="1" applyAlignment="1" applyProtection="1">
      <alignment horizontal="left" vertical="top" wrapText="1"/>
    </xf>
    <xf numFmtId="0" fontId="3" fillId="26" borderId="0" xfId="0" applyFont="1" applyFill="1" applyBorder="1" applyAlignment="1" applyProtection="1">
      <alignment vertical="center" wrapText="1"/>
    </xf>
    <xf numFmtId="0" fontId="37" fillId="40" borderId="16" xfId="0" applyNumberFormat="1" applyFont="1" applyFill="1" applyBorder="1" applyAlignment="1" applyProtection="1">
      <alignment horizontal="left" vertical="center" wrapText="1"/>
    </xf>
    <xf numFmtId="0" fontId="37" fillId="40" borderId="14" xfId="0" applyNumberFormat="1" applyFont="1" applyFill="1" applyBorder="1" applyAlignment="1" applyProtection="1">
      <alignment horizontal="left" vertical="top" wrapText="1"/>
    </xf>
    <xf numFmtId="0" fontId="4" fillId="25" borderId="18" xfId="0" applyFont="1" applyFill="1" applyBorder="1" applyAlignment="1" applyProtection="1">
      <alignment vertical="center" wrapText="1"/>
    </xf>
    <xf numFmtId="0" fontId="37" fillId="25" borderId="101" xfId="0" applyNumberFormat="1" applyFont="1" applyFill="1" applyBorder="1" applyAlignment="1" applyProtection="1">
      <alignment vertical="center" shrinkToFit="1"/>
    </xf>
    <xf numFmtId="0" fontId="37" fillId="25" borderId="14" xfId="0" applyNumberFormat="1" applyFont="1" applyFill="1" applyBorder="1" applyAlignment="1" applyProtection="1">
      <alignment vertical="center" shrinkToFit="1"/>
    </xf>
    <xf numFmtId="0" fontId="0" fillId="29" borderId="70" xfId="0" applyFill="1" applyBorder="1" applyAlignment="1" applyProtection="1">
      <alignment horizontal="left"/>
      <protection locked="0"/>
    </xf>
    <xf numFmtId="0" fontId="0" fillId="29" borderId="27" xfId="0" applyFill="1" applyBorder="1" applyAlignment="1" applyProtection="1">
      <alignment horizontal="left"/>
      <protection locked="0"/>
    </xf>
    <xf numFmtId="0" fontId="4" fillId="55" borderId="40" xfId="0" applyFont="1" applyFill="1" applyBorder="1" applyAlignment="1" applyProtection="1">
      <alignment vertical="center" wrapText="1"/>
    </xf>
    <xf numFmtId="0" fontId="0" fillId="0" borderId="40" xfId="0" applyBorder="1" applyAlignment="1" applyProtection="1">
      <alignment vertical="center" wrapText="1"/>
    </xf>
    <xf numFmtId="0" fontId="4" fillId="25" borderId="26" xfId="0" applyNumberFormat="1" applyFont="1" applyFill="1" applyBorder="1" applyAlignment="1" applyProtection="1">
      <alignment vertical="center" wrapText="1"/>
    </xf>
    <xf numFmtId="0" fontId="2" fillId="25" borderId="16" xfId="0" applyNumberFormat="1" applyFont="1" applyFill="1" applyBorder="1" applyAlignment="1" applyProtection="1">
      <alignment vertical="center" wrapText="1"/>
    </xf>
    <xf numFmtId="0" fontId="0" fillId="0" borderId="16" xfId="0" applyBorder="1" applyAlignment="1" applyProtection="1">
      <alignment vertical="center" wrapText="1"/>
    </xf>
    <xf numFmtId="0" fontId="0" fillId="0" borderId="0" xfId="0" applyAlignment="1" applyProtection="1">
      <alignment vertical="top"/>
    </xf>
    <xf numFmtId="0" fontId="64" fillId="25" borderId="0" xfId="0" applyFont="1" applyFill="1" applyAlignment="1" applyProtection="1">
      <alignment vertical="top" wrapText="1"/>
    </xf>
    <xf numFmtId="0" fontId="64" fillId="0" borderId="0" xfId="0" applyFont="1" applyAlignment="1" applyProtection="1">
      <alignment vertical="top" wrapText="1"/>
    </xf>
    <xf numFmtId="0" fontId="64" fillId="0" borderId="0" xfId="0" applyFont="1" applyAlignment="1" applyProtection="1">
      <alignment vertical="top"/>
    </xf>
    <xf numFmtId="0" fontId="37" fillId="29" borderId="17" xfId="0" applyNumberFormat="1" applyFont="1" applyFill="1" applyBorder="1" applyAlignment="1" applyProtection="1">
      <alignment horizontal="left" vertical="top"/>
      <protection locked="0"/>
    </xf>
    <xf numFmtId="0" fontId="10" fillId="25" borderId="0" xfId="0" applyFont="1" applyFill="1" applyAlignment="1" applyProtection="1">
      <alignment vertical="top"/>
    </xf>
    <xf numFmtId="0" fontId="6" fillId="49" borderId="143" xfId="60" applyFill="1" applyBorder="1" applyAlignment="1" applyProtection="1">
      <alignment horizontal="center" vertical="top" wrapText="1"/>
    </xf>
    <xf numFmtId="0" fontId="6" fillId="49" borderId="82" xfId="60" applyFill="1" applyBorder="1" applyAlignment="1" applyProtection="1">
      <alignment horizontal="center" vertical="top" wrapText="1"/>
    </xf>
    <xf numFmtId="0" fontId="0" fillId="49" borderId="135" xfId="0" applyFill="1" applyBorder="1" applyAlignment="1" applyProtection="1">
      <alignment horizontal="center" vertical="top" wrapText="1"/>
    </xf>
    <xf numFmtId="0" fontId="2" fillId="41" borderId="42" xfId="0" applyNumberFormat="1" applyFont="1" applyFill="1" applyBorder="1" applyAlignment="1" applyProtection="1">
      <alignment horizontal="left" vertical="top" wrapText="1"/>
    </xf>
    <xf numFmtId="0" fontId="2" fillId="25" borderId="47" xfId="0" applyNumberFormat="1" applyFont="1" applyFill="1" applyBorder="1" applyAlignment="1" applyProtection="1">
      <alignment vertical="center" wrapText="1"/>
    </xf>
    <xf numFmtId="0" fontId="2" fillId="25" borderId="75" xfId="0" applyNumberFormat="1" applyFont="1" applyFill="1" applyBorder="1" applyAlignment="1" applyProtection="1">
      <alignment vertical="center" wrapText="1"/>
    </xf>
    <xf numFmtId="0" fontId="2" fillId="25" borderId="102" xfId="0" applyNumberFormat="1" applyFont="1" applyFill="1" applyBorder="1" applyAlignment="1" applyProtection="1">
      <alignment vertical="center" wrapText="1"/>
    </xf>
    <xf numFmtId="0" fontId="75" fillId="25" borderId="28" xfId="0" applyNumberFormat="1" applyFont="1" applyFill="1" applyBorder="1" applyAlignment="1" applyProtection="1">
      <alignment vertical="center"/>
    </xf>
    <xf numFmtId="0" fontId="5" fillId="0" borderId="56" xfId="0" applyFont="1" applyBorder="1" applyAlignment="1" applyProtection="1">
      <alignment vertical="center"/>
    </xf>
    <xf numFmtId="0" fontId="5" fillId="0" borderId="142" xfId="0" applyFont="1" applyBorder="1" applyAlignment="1" applyProtection="1">
      <alignment vertical="center"/>
    </xf>
    <xf numFmtId="0" fontId="2" fillId="25" borderId="12" xfId="0" applyNumberFormat="1" applyFont="1" applyFill="1" applyBorder="1" applyAlignment="1" applyProtection="1">
      <alignment vertical="center" wrapText="1"/>
    </xf>
    <xf numFmtId="0" fontId="2" fillId="25" borderId="12" xfId="0" applyNumberFormat="1" applyFont="1" applyFill="1" applyBorder="1" applyAlignment="1" applyProtection="1">
      <alignment horizontal="left" vertical="center" wrapText="1"/>
    </xf>
    <xf numFmtId="0" fontId="2" fillId="41" borderId="26" xfId="0" applyNumberFormat="1" applyFont="1" applyFill="1" applyBorder="1" applyAlignment="1" applyProtection="1">
      <alignment horizontal="left" vertical="top" wrapText="1"/>
    </xf>
    <xf numFmtId="0" fontId="62" fillId="49" borderId="0" xfId="60" applyFont="1" applyFill="1" applyAlignment="1" applyProtection="1">
      <alignment horizontal="left" vertical="top" wrapText="1"/>
    </xf>
    <xf numFmtId="0" fontId="2" fillId="25" borderId="27" xfId="0" applyNumberFormat="1" applyFont="1" applyFill="1" applyBorder="1" applyAlignment="1" applyProtection="1">
      <alignment vertical="center" wrapText="1"/>
    </xf>
    <xf numFmtId="0" fontId="2" fillId="25" borderId="13" xfId="0" applyNumberFormat="1" applyFont="1" applyFill="1" applyBorder="1" applyAlignment="1" applyProtection="1">
      <alignment vertical="center" wrapText="1"/>
    </xf>
    <xf numFmtId="0" fontId="2" fillId="25" borderId="70" xfId="0" applyNumberFormat="1" applyFont="1" applyFill="1" applyBorder="1" applyAlignment="1" applyProtection="1">
      <alignment vertical="center" wrapText="1"/>
    </xf>
    <xf numFmtId="0" fontId="75" fillId="25" borderId="58" xfId="0" applyNumberFormat="1" applyFont="1" applyFill="1" applyBorder="1" applyAlignment="1" applyProtection="1">
      <alignment vertical="center"/>
    </xf>
    <xf numFmtId="0" fontId="5" fillId="0" borderId="29" xfId="0" applyFont="1" applyBorder="1" applyAlignment="1" applyProtection="1">
      <alignment vertical="center"/>
    </xf>
    <xf numFmtId="0" fontId="75" fillId="25" borderId="57" xfId="0" applyNumberFormat="1" applyFont="1" applyFill="1" applyBorder="1" applyAlignment="1" applyProtection="1">
      <alignment vertical="center"/>
    </xf>
    <xf numFmtId="0" fontId="5" fillId="0" borderId="37" xfId="0" applyFont="1" applyBorder="1" applyAlignment="1" applyProtection="1">
      <alignment vertical="center"/>
    </xf>
    <xf numFmtId="0" fontId="37" fillId="25" borderId="16" xfId="0" applyNumberFormat="1" applyFont="1" applyFill="1" applyBorder="1" applyAlignment="1" applyProtection="1">
      <alignment vertical="top" shrinkToFit="1"/>
    </xf>
    <xf numFmtId="0" fontId="75" fillId="25" borderId="36" xfId="0" applyNumberFormat="1" applyFont="1" applyFill="1" applyBorder="1" applyAlignment="1" applyProtection="1">
      <alignment vertical="center"/>
    </xf>
    <xf numFmtId="0" fontId="5" fillId="0" borderId="54" xfId="0" applyFont="1" applyBorder="1" applyAlignment="1" applyProtection="1">
      <alignment vertical="center"/>
    </xf>
    <xf numFmtId="0" fontId="5" fillId="0" borderId="123" xfId="0" applyFont="1" applyBorder="1" applyAlignment="1" applyProtection="1">
      <alignment vertical="center"/>
    </xf>
    <xf numFmtId="0" fontId="62" fillId="49" borderId="0" xfId="60" applyFont="1" applyFill="1" applyBorder="1" applyAlignment="1" applyProtection="1">
      <alignment horizontal="left" vertical="top" wrapText="1"/>
    </xf>
    <xf numFmtId="0" fontId="37" fillId="25" borderId="14" xfId="0" applyNumberFormat="1" applyFont="1" applyFill="1" applyBorder="1" applyAlignment="1" applyProtection="1">
      <alignment vertical="top" shrinkToFit="1"/>
    </xf>
    <xf numFmtId="0" fontId="2" fillId="0" borderId="14" xfId="0" applyNumberFormat="1" applyFont="1" applyFill="1" applyBorder="1" applyAlignment="1" applyProtection="1">
      <alignment vertical="center" wrapText="1"/>
    </xf>
    <xf numFmtId="0" fontId="37" fillId="0" borderId="14" xfId="0" applyNumberFormat="1" applyFont="1" applyFill="1" applyBorder="1" applyAlignment="1" applyProtection="1">
      <alignment vertical="center" wrapText="1"/>
    </xf>
    <xf numFmtId="0" fontId="2" fillId="0" borderId="15" xfId="0" applyNumberFormat="1" applyFont="1" applyFill="1" applyBorder="1" applyAlignment="1" applyProtection="1">
      <alignment vertical="center" wrapText="1"/>
    </xf>
    <xf numFmtId="0" fontId="37" fillId="0" borderId="15" xfId="0" applyNumberFormat="1" applyFont="1" applyFill="1" applyBorder="1" applyAlignment="1" applyProtection="1">
      <alignment vertical="center" wrapText="1"/>
    </xf>
    <xf numFmtId="0" fontId="37" fillId="40" borderId="14" xfId="0" applyNumberFormat="1" applyFont="1" applyFill="1" applyBorder="1" applyAlignment="1" applyProtection="1">
      <alignment horizontal="left" vertical="center" wrapText="1"/>
    </xf>
    <xf numFmtId="0" fontId="10" fillId="25" borderId="0" xfId="0" applyNumberFormat="1" applyFont="1" applyFill="1" applyAlignment="1" applyProtection="1">
      <alignment vertical="top" wrapText="1"/>
    </xf>
    <xf numFmtId="0" fontId="90" fillId="25" borderId="26" xfId="0" applyNumberFormat="1" applyFont="1" applyFill="1" applyBorder="1" applyAlignment="1" applyProtection="1">
      <alignment vertical="top" wrapText="1"/>
    </xf>
    <xf numFmtId="0" fontId="2" fillId="25" borderId="70" xfId="0" applyNumberFormat="1" applyFont="1" applyFill="1" applyBorder="1" applyAlignment="1" applyProtection="1">
      <alignment vertical="center" shrinkToFit="1"/>
    </xf>
    <xf numFmtId="0" fontId="37" fillId="25" borderId="26" xfId="0" applyNumberFormat="1" applyFont="1" applyFill="1" applyBorder="1" applyAlignment="1" applyProtection="1">
      <alignment vertical="center" shrinkToFit="1"/>
    </xf>
    <xf numFmtId="0" fontId="2" fillId="43" borderId="26" xfId="0" applyNumberFormat="1" applyFont="1" applyFill="1" applyBorder="1" applyAlignment="1" applyProtection="1">
      <alignment vertical="top" wrapText="1"/>
    </xf>
    <xf numFmtId="0" fontId="37" fillId="43" borderId="26" xfId="0" applyNumberFormat="1" applyFont="1" applyFill="1" applyBorder="1" applyAlignment="1" applyProtection="1">
      <alignment vertical="top" wrapText="1"/>
    </xf>
    <xf numFmtId="0" fontId="4" fillId="43" borderId="12" xfId="0" applyFont="1" applyFill="1" applyBorder="1" applyAlignment="1" applyProtection="1">
      <alignment vertical="top" wrapText="1"/>
    </xf>
    <xf numFmtId="0" fontId="4" fillId="43" borderId="0" xfId="0" applyFont="1" applyFill="1" applyBorder="1" applyAlignment="1" applyProtection="1">
      <alignment vertical="top" wrapText="1"/>
    </xf>
    <xf numFmtId="0" fontId="0" fillId="43" borderId="0" xfId="0" applyFill="1" applyBorder="1" applyAlignment="1" applyProtection="1">
      <alignment vertical="top" wrapText="1"/>
    </xf>
    <xf numFmtId="0" fontId="0" fillId="43" borderId="39" xfId="0" applyFill="1" applyBorder="1" applyAlignment="1" applyProtection="1">
      <alignment vertical="top" wrapText="1"/>
    </xf>
    <xf numFmtId="0" fontId="0" fillId="43" borderId="12" xfId="0" applyFill="1" applyBorder="1" applyAlignment="1" applyProtection="1">
      <alignment vertical="top" wrapText="1"/>
    </xf>
    <xf numFmtId="0" fontId="37" fillId="43" borderId="15" xfId="0" applyNumberFormat="1" applyFont="1" applyFill="1" applyBorder="1" applyAlignment="1" applyProtection="1">
      <alignment vertical="top" wrapText="1"/>
    </xf>
    <xf numFmtId="0" fontId="37" fillId="43" borderId="16" xfId="0" applyNumberFormat="1" applyFont="1" applyFill="1" applyBorder="1" applyAlignment="1" applyProtection="1">
      <alignment vertical="top" wrapText="1"/>
    </xf>
    <xf numFmtId="0" fontId="37" fillId="43" borderId="14" xfId="0" applyNumberFormat="1" applyFont="1" applyFill="1" applyBorder="1" applyAlignment="1" applyProtection="1">
      <alignment vertical="top" wrapText="1"/>
    </xf>
    <xf numFmtId="0" fontId="57" fillId="43" borderId="15" xfId="0" applyNumberFormat="1" applyFont="1" applyFill="1" applyBorder="1" applyAlignment="1" applyProtection="1">
      <alignment vertical="top" wrapText="1"/>
    </xf>
    <xf numFmtId="0" fontId="37" fillId="43" borderId="22" xfId="0" applyNumberFormat="1" applyFont="1" applyFill="1" applyBorder="1" applyAlignment="1" applyProtection="1">
      <alignment vertical="top" wrapText="1"/>
    </xf>
    <xf numFmtId="0" fontId="4" fillId="43" borderId="0" xfId="0" applyFont="1" applyFill="1" applyBorder="1" applyAlignment="1" applyProtection="1">
      <alignment horizontal="left" vertical="top" wrapText="1"/>
    </xf>
    <xf numFmtId="0" fontId="2" fillId="42" borderId="70" xfId="0" applyFont="1" applyFill="1" applyBorder="1" applyAlignment="1" applyProtection="1">
      <alignment horizontal="left" vertical="top" wrapText="1"/>
      <protection locked="0"/>
    </xf>
    <xf numFmtId="0" fontId="0" fillId="42" borderId="26" xfId="0" applyFill="1" applyBorder="1" applyAlignment="1" applyProtection="1">
      <alignment horizontal="left" vertical="top" wrapText="1"/>
      <protection locked="0"/>
    </xf>
    <xf numFmtId="0" fontId="0" fillId="42" borderId="27" xfId="0" applyFill="1" applyBorder="1" applyAlignment="1" applyProtection="1">
      <alignment horizontal="left" vertical="top" wrapText="1"/>
      <protection locked="0"/>
    </xf>
    <xf numFmtId="0" fontId="2" fillId="43" borderId="14" xfId="0" applyNumberFormat="1" applyFont="1" applyFill="1" applyBorder="1" applyAlignment="1" applyProtection="1">
      <alignment vertical="top" wrapText="1"/>
    </xf>
    <xf numFmtId="0" fontId="67" fillId="49" borderId="135" xfId="0" applyFont="1" applyFill="1" applyBorder="1" applyAlignment="1" applyProtection="1">
      <alignment horizontal="left" vertical="top" wrapText="1"/>
    </xf>
    <xf numFmtId="0" fontId="67" fillId="49" borderId="135" xfId="0" applyFont="1" applyFill="1" applyBorder="1" applyAlignment="1" applyProtection="1">
      <alignment horizontal="left" vertical="top"/>
    </xf>
    <xf numFmtId="0" fontId="82" fillId="57" borderId="0" xfId="0" quotePrefix="1" applyFont="1" applyFill="1" applyAlignment="1" applyProtection="1">
      <alignment horizontal="left" vertical="top" wrapText="1"/>
    </xf>
    <xf numFmtId="0" fontId="4" fillId="49" borderId="58" xfId="0" applyFont="1" applyFill="1" applyBorder="1" applyAlignment="1" applyProtection="1">
      <alignment horizontal="center" vertical="top" wrapText="1"/>
    </xf>
    <xf numFmtId="0" fontId="28" fillId="49" borderId="29" xfId="0" applyFont="1" applyFill="1" applyBorder="1" applyAlignment="1" applyProtection="1">
      <alignment horizontal="center" vertical="top" wrapText="1"/>
    </xf>
    <xf numFmtId="0" fontId="28" fillId="49" borderId="31" xfId="0" applyFont="1" applyFill="1" applyBorder="1" applyAlignment="1" applyProtection="1">
      <alignment horizontal="center" vertical="top" wrapText="1"/>
    </xf>
    <xf numFmtId="0" fontId="0" fillId="49" borderId="0" xfId="0" applyFill="1" applyAlignment="1" applyProtection="1">
      <alignment horizontal="center" vertical="top" wrapText="1"/>
    </xf>
    <xf numFmtId="0" fontId="0" fillId="49" borderId="39" xfId="0" applyFill="1" applyBorder="1" applyAlignment="1" applyProtection="1">
      <alignment horizontal="center" vertical="top" wrapText="1"/>
    </xf>
    <xf numFmtId="0" fontId="0" fillId="49" borderId="67" xfId="0" applyFill="1" applyBorder="1" applyAlignment="1" applyProtection="1">
      <alignment horizontal="center" vertical="top" wrapText="1"/>
    </xf>
    <xf numFmtId="0" fontId="0" fillId="49" borderId="40" xfId="0" applyFill="1" applyBorder="1" applyAlignment="1" applyProtection="1">
      <alignment horizontal="center" vertical="top" wrapText="1"/>
    </xf>
    <xf numFmtId="0" fontId="0" fillId="49" borderId="41" xfId="0" applyFill="1" applyBorder="1" applyAlignment="1" applyProtection="1">
      <alignment horizontal="center" vertical="top" wrapText="1"/>
    </xf>
    <xf numFmtId="0" fontId="0" fillId="49" borderId="145" xfId="0" applyFill="1" applyBorder="1" applyAlignment="1" applyProtection="1">
      <alignment horizontal="center" vertical="top" wrapText="1"/>
    </xf>
    <xf numFmtId="0" fontId="0" fillId="49" borderId="126" xfId="0" applyFill="1" applyBorder="1" applyAlignment="1" applyProtection="1">
      <alignment horizontal="center" vertical="top" wrapText="1"/>
    </xf>
    <xf numFmtId="0" fontId="67" fillId="49" borderId="143" xfId="0" applyFont="1" applyFill="1" applyBorder="1" applyAlignment="1" applyProtection="1">
      <alignment horizontal="left" vertical="top"/>
    </xf>
    <xf numFmtId="0" fontId="67" fillId="49" borderId="134" xfId="0" applyFont="1" applyFill="1" applyBorder="1" applyAlignment="1" applyProtection="1">
      <alignment horizontal="left" vertical="top"/>
    </xf>
    <xf numFmtId="0" fontId="6" fillId="49" borderId="144" xfId="60" applyFill="1" applyBorder="1" applyAlignment="1" applyProtection="1">
      <alignment horizontal="left" vertical="top"/>
    </xf>
    <xf numFmtId="0" fontId="0" fillId="49" borderId="134" xfId="0" applyFill="1" applyBorder="1" applyAlignment="1" applyProtection="1">
      <alignment horizontal="center" vertical="top" wrapText="1"/>
    </xf>
    <xf numFmtId="0" fontId="0" fillId="49" borderId="143" xfId="0" applyFill="1" applyBorder="1" applyAlignment="1" applyProtection="1">
      <alignment horizontal="center" vertical="top" wrapText="1"/>
    </xf>
    <xf numFmtId="0" fontId="0" fillId="49" borderId="17" xfId="0" applyFill="1" applyBorder="1" applyAlignment="1" applyProtection="1">
      <alignment horizontal="center" vertical="top"/>
    </xf>
    <xf numFmtId="0" fontId="0" fillId="49" borderId="144" xfId="0" applyFill="1" applyBorder="1" applyAlignment="1" applyProtection="1">
      <alignment horizontal="center" vertical="top"/>
    </xf>
    <xf numFmtId="0" fontId="6" fillId="49" borderId="135" xfId="60" applyFill="1" applyBorder="1" applyAlignment="1" applyProtection="1">
      <alignment horizontal="left" vertical="top"/>
    </xf>
    <xf numFmtId="0" fontId="2" fillId="40" borderId="26" xfId="0" applyNumberFormat="1" applyFont="1" applyFill="1" applyBorder="1" applyAlignment="1" applyProtection="1">
      <alignment vertical="top" wrapText="1"/>
    </xf>
    <xf numFmtId="0" fontId="4" fillId="43" borderId="39" xfId="0" applyFont="1" applyFill="1" applyBorder="1" applyAlignment="1" applyProtection="1">
      <alignment horizontal="left" vertical="top" wrapText="1"/>
    </xf>
    <xf numFmtId="0" fontId="37" fillId="42" borderId="100" xfId="0" applyNumberFormat="1" applyFont="1" applyFill="1" applyBorder="1" applyAlignment="1" applyProtection="1">
      <alignment horizontal="left" vertical="top" wrapText="1"/>
      <protection locked="0"/>
    </xf>
    <xf numFmtId="0" fontId="37" fillId="42" borderId="21" xfId="0" applyNumberFormat="1" applyFont="1" applyFill="1" applyBorder="1" applyAlignment="1" applyProtection="1">
      <alignment horizontal="left" vertical="top" wrapText="1"/>
      <protection locked="0"/>
    </xf>
    <xf numFmtId="0" fontId="65" fillId="49" borderId="0" xfId="60" applyFont="1" applyFill="1" applyAlignment="1" applyProtection="1">
      <alignment horizontal="left" vertical="top" wrapText="1"/>
    </xf>
    <xf numFmtId="0" fontId="37" fillId="42" borderId="99" xfId="0" applyNumberFormat="1" applyFont="1" applyFill="1" applyBorder="1" applyAlignment="1" applyProtection="1">
      <alignment horizontal="left" vertical="top" wrapText="1"/>
      <protection locked="0"/>
    </xf>
    <xf numFmtId="0" fontId="37" fillId="42" borderId="24" xfId="0" applyNumberFormat="1" applyFont="1" applyFill="1" applyBorder="1" applyAlignment="1" applyProtection="1">
      <alignment horizontal="left" vertical="top" wrapText="1"/>
      <protection locked="0"/>
    </xf>
    <xf numFmtId="0" fontId="37" fillId="25" borderId="13" xfId="0" applyNumberFormat="1" applyFont="1" applyFill="1" applyBorder="1" applyAlignment="1" applyProtection="1">
      <alignment horizontal="left" vertical="top" wrapText="1"/>
    </xf>
    <xf numFmtId="0" fontId="35" fillId="43" borderId="0" xfId="0" applyFont="1" applyFill="1" applyBorder="1" applyAlignment="1" applyProtection="1">
      <alignment vertical="top" wrapText="1"/>
    </xf>
    <xf numFmtId="0" fontId="59" fillId="43" borderId="0" xfId="0" applyFont="1" applyFill="1" applyAlignment="1" applyProtection="1">
      <alignment vertical="top" wrapText="1"/>
    </xf>
    <xf numFmtId="0" fontId="2" fillId="43" borderId="0" xfId="0" applyFont="1" applyFill="1" applyAlignment="1" applyProtection="1">
      <alignment vertical="top" wrapText="1"/>
    </xf>
    <xf numFmtId="0" fontId="2" fillId="43" borderId="18" xfId="0" applyFont="1" applyFill="1" applyBorder="1" applyAlignment="1" applyProtection="1">
      <alignment vertical="top" wrapText="1"/>
    </xf>
    <xf numFmtId="0" fontId="38" fillId="27" borderId="70" xfId="0" applyFont="1" applyFill="1" applyBorder="1" applyAlignment="1" applyProtection="1">
      <alignment vertical="top" wrapText="1"/>
    </xf>
    <xf numFmtId="0" fontId="0" fillId="0" borderId="51" xfId="0" applyBorder="1" applyAlignment="1" applyProtection="1">
      <alignment vertical="top" wrapText="1"/>
    </xf>
    <xf numFmtId="0" fontId="4" fillId="25" borderId="63" xfId="0" applyFont="1" applyFill="1" applyBorder="1" applyAlignment="1" applyProtection="1">
      <alignment horizontal="left" wrapText="1"/>
    </xf>
    <xf numFmtId="0" fontId="4" fillId="25" borderId="25" xfId="0" applyFont="1" applyFill="1" applyBorder="1" applyAlignment="1" applyProtection="1">
      <alignment horizontal="left" wrapText="1"/>
    </xf>
    <xf numFmtId="0" fontId="2" fillId="42" borderId="101" xfId="0" applyNumberFormat="1" applyFont="1" applyFill="1" applyBorder="1" applyAlignment="1" applyProtection="1">
      <alignment horizontal="left" vertical="top" wrapText="1"/>
      <protection locked="0"/>
    </xf>
    <xf numFmtId="0" fontId="37" fillId="42" borderId="20" xfId="0" applyNumberFormat="1" applyFont="1" applyFill="1" applyBorder="1" applyAlignment="1" applyProtection="1">
      <alignment horizontal="left" vertical="top" wrapText="1"/>
      <protection locked="0"/>
    </xf>
    <xf numFmtId="0" fontId="2" fillId="42" borderId="100" xfId="0" applyNumberFormat="1" applyFont="1" applyFill="1" applyBorder="1" applyAlignment="1" applyProtection="1">
      <alignment horizontal="left" vertical="top" wrapText="1"/>
      <protection locked="0"/>
    </xf>
    <xf numFmtId="0" fontId="2" fillId="42" borderId="21" xfId="0" applyNumberFormat="1" applyFont="1" applyFill="1" applyBorder="1" applyAlignment="1" applyProtection="1">
      <alignment horizontal="left" vertical="top" wrapText="1"/>
      <protection locked="0"/>
    </xf>
    <xf numFmtId="0" fontId="2" fillId="43" borderId="12" xfId="0" applyNumberFormat="1" applyFont="1" applyFill="1" applyBorder="1" applyAlignment="1" applyProtection="1">
      <alignment vertical="top" wrapText="1"/>
    </xf>
    <xf numFmtId="0" fontId="37" fillId="43" borderId="12" xfId="0" applyNumberFormat="1" applyFont="1" applyFill="1" applyBorder="1" applyAlignment="1" applyProtection="1">
      <alignment vertical="top" wrapText="1"/>
    </xf>
    <xf numFmtId="0" fontId="2" fillId="41" borderId="12" xfId="0" applyNumberFormat="1" applyFont="1" applyFill="1" applyBorder="1" applyAlignment="1" applyProtection="1">
      <alignment vertical="top" wrapText="1"/>
    </xf>
    <xf numFmtId="0" fontId="37" fillId="41" borderId="12" xfId="0" applyNumberFormat="1" applyFont="1" applyFill="1" applyBorder="1" applyAlignment="1" applyProtection="1">
      <alignment vertical="top" wrapText="1"/>
    </xf>
    <xf numFmtId="0" fontId="6" fillId="49" borderId="70" xfId="0" applyFont="1" applyFill="1" applyBorder="1" applyAlignment="1" applyProtection="1">
      <alignment vertical="top" wrapText="1"/>
    </xf>
    <xf numFmtId="0" fontId="0" fillId="49" borderId="26" xfId="0" applyFill="1" applyBorder="1" applyAlignment="1" applyProtection="1">
      <alignment vertical="top" wrapText="1"/>
    </xf>
    <xf numFmtId="0" fontId="0" fillId="49" borderId="27" xfId="0" applyFill="1" applyBorder="1" applyAlignment="1" applyProtection="1">
      <alignment vertical="top" wrapText="1"/>
    </xf>
    <xf numFmtId="0" fontId="37" fillId="27" borderId="26" xfId="0" applyNumberFormat="1" applyFont="1" applyFill="1" applyBorder="1" applyAlignment="1" applyProtection="1">
      <alignment vertical="top" wrapText="1"/>
    </xf>
    <xf numFmtId="0" fontId="4" fillId="25" borderId="0" xfId="0" applyFont="1" applyFill="1" applyBorder="1" applyAlignment="1" applyProtection="1">
      <alignment horizontal="left" vertical="top" wrapText="1"/>
    </xf>
    <xf numFmtId="0" fontId="6" fillId="49" borderId="26" xfId="0" applyFont="1" applyFill="1" applyBorder="1" applyAlignment="1" applyProtection="1">
      <alignment vertical="top" wrapText="1"/>
    </xf>
    <xf numFmtId="0" fontId="6" fillId="49" borderId="27" xfId="0" applyFont="1" applyFill="1" applyBorder="1" applyAlignment="1" applyProtection="1">
      <alignment vertical="top" wrapText="1"/>
    </xf>
    <xf numFmtId="0" fontId="41" fillId="41" borderId="0" xfId="0" applyFont="1" applyFill="1" applyAlignment="1" applyProtection="1">
      <alignment vertical="top" wrapText="1"/>
    </xf>
    <xf numFmtId="0" fontId="4" fillId="41" borderId="0" xfId="0" applyFont="1" applyFill="1" applyAlignment="1" applyProtection="1">
      <alignment vertical="top" wrapText="1"/>
    </xf>
    <xf numFmtId="0" fontId="62" fillId="25" borderId="0" xfId="0" applyFont="1" applyFill="1" applyAlignment="1" applyProtection="1">
      <alignment horizontal="left" vertical="top"/>
    </xf>
    <xf numFmtId="0" fontId="41" fillId="43" borderId="0" xfId="0" applyFont="1" applyFill="1" applyBorder="1" applyAlignment="1" applyProtection="1">
      <alignment vertical="top" wrapText="1"/>
    </xf>
    <xf numFmtId="0" fontId="4" fillId="43" borderId="39" xfId="0" applyFont="1" applyFill="1" applyBorder="1" applyAlignment="1" applyProtection="1">
      <alignment vertical="top" wrapText="1"/>
    </xf>
    <xf numFmtId="0" fontId="10" fillId="43" borderId="0" xfId="0" quotePrefix="1" applyFont="1" applyFill="1" applyAlignment="1" applyProtection="1">
      <alignment horizontal="left" vertical="top" wrapText="1"/>
    </xf>
    <xf numFmtId="0" fontId="10" fillId="43" borderId="39" xfId="0" quotePrefix="1" applyFont="1" applyFill="1" applyBorder="1" applyAlignment="1" applyProtection="1">
      <alignment horizontal="left" vertical="top" wrapText="1"/>
    </xf>
    <xf numFmtId="0" fontId="10" fillId="43" borderId="0" xfId="0" applyFont="1" applyFill="1" applyBorder="1" applyAlignment="1" applyProtection="1">
      <alignment vertical="top" wrapText="1"/>
    </xf>
    <xf numFmtId="0" fontId="2" fillId="43" borderId="0" xfId="0" applyFont="1" applyFill="1" applyBorder="1" applyAlignment="1" applyProtection="1">
      <alignment vertical="top" wrapText="1"/>
    </xf>
    <xf numFmtId="0" fontId="2" fillId="43" borderId="39" xfId="0" applyFont="1" applyFill="1" applyBorder="1" applyAlignment="1" applyProtection="1">
      <alignment vertical="top" wrapText="1"/>
    </xf>
    <xf numFmtId="0" fontId="10" fillId="43" borderId="0" xfId="0" applyFont="1" applyFill="1" applyBorder="1" applyAlignment="1" applyProtection="1">
      <alignment horizontal="left" vertical="top" wrapText="1"/>
    </xf>
    <xf numFmtId="0" fontId="0" fillId="0" borderId="39" xfId="0" applyBorder="1" applyAlignment="1" applyProtection="1">
      <alignment horizontal="left" vertical="top" wrapText="1"/>
    </xf>
    <xf numFmtId="0" fontId="2" fillId="43" borderId="0" xfId="0" applyFont="1" applyFill="1" applyAlignment="1" applyProtection="1">
      <alignment horizontal="left" vertical="top"/>
    </xf>
    <xf numFmtId="0" fontId="2" fillId="43" borderId="18" xfId="0" applyFont="1" applyFill="1" applyBorder="1" applyAlignment="1" applyProtection="1">
      <alignment horizontal="left" vertical="top"/>
    </xf>
    <xf numFmtId="0" fontId="10" fillId="43" borderId="39" xfId="0" applyFont="1" applyFill="1" applyBorder="1" applyAlignment="1" applyProtection="1">
      <alignment vertical="top" wrapText="1"/>
    </xf>
    <xf numFmtId="0" fontId="4" fillId="43" borderId="0" xfId="0" applyFont="1" applyFill="1" applyAlignment="1" applyProtection="1">
      <alignment horizontal="left" vertical="top"/>
    </xf>
    <xf numFmtId="0" fontId="4" fillId="43" borderId="18" xfId="0" applyFont="1" applyFill="1" applyBorder="1" applyAlignment="1" applyProtection="1">
      <alignment horizontal="left" vertical="top"/>
    </xf>
    <xf numFmtId="0" fontId="2" fillId="43" borderId="16" xfId="0" applyNumberFormat="1" applyFont="1" applyFill="1" applyBorder="1" applyAlignment="1" applyProtection="1">
      <alignment vertical="top" wrapText="1"/>
    </xf>
    <xf numFmtId="0" fontId="2" fillId="43" borderId="0" xfId="0" applyNumberFormat="1" applyFont="1" applyFill="1" applyBorder="1" applyAlignment="1" applyProtection="1">
      <alignment horizontal="left" vertical="top"/>
    </xf>
    <xf numFmtId="0" fontId="2" fillId="42" borderId="107" xfId="0" applyFont="1" applyFill="1" applyBorder="1" applyAlignment="1" applyProtection="1">
      <alignment horizontal="left" vertical="top"/>
      <protection locked="0"/>
    </xf>
    <xf numFmtId="0" fontId="2" fillId="42" borderId="22" xfId="0" applyFont="1" applyFill="1" applyBorder="1" applyAlignment="1" applyProtection="1">
      <alignment horizontal="left" vertical="top"/>
      <protection locked="0"/>
    </xf>
    <xf numFmtId="0" fontId="2" fillId="42" borderId="106" xfId="0" applyFont="1" applyFill="1" applyBorder="1" applyAlignment="1" applyProtection="1">
      <alignment horizontal="left" vertical="top"/>
      <protection locked="0"/>
    </xf>
    <xf numFmtId="0" fontId="2" fillId="42" borderId="63" xfId="0" applyFont="1" applyFill="1" applyBorder="1" applyAlignment="1" applyProtection="1">
      <alignment horizontal="left" vertical="top"/>
      <protection locked="0"/>
    </xf>
    <xf numFmtId="0" fontId="2" fillId="42" borderId="12" xfId="0" applyFont="1" applyFill="1" applyBorder="1" applyAlignment="1" applyProtection="1">
      <alignment horizontal="left" vertical="top"/>
      <protection locked="0"/>
    </xf>
    <xf numFmtId="0" fontId="2" fillId="42" borderId="25" xfId="0" applyFont="1" applyFill="1" applyBorder="1" applyAlignment="1" applyProtection="1">
      <alignment horizontal="left" vertical="top"/>
      <protection locked="0"/>
    </xf>
    <xf numFmtId="0" fontId="37" fillId="42" borderId="14" xfId="0" applyNumberFormat="1" applyFont="1" applyFill="1" applyBorder="1" applyAlignment="1" applyProtection="1">
      <alignment vertical="top" wrapText="1"/>
      <protection locked="0"/>
    </xf>
    <xf numFmtId="0" fontId="37" fillId="42" borderId="16" xfId="0" applyNumberFormat="1" applyFont="1" applyFill="1" applyBorder="1" applyAlignment="1" applyProtection="1">
      <alignment vertical="top" wrapText="1"/>
      <protection locked="0"/>
    </xf>
    <xf numFmtId="0" fontId="4" fillId="25" borderId="25" xfId="0" applyNumberFormat="1" applyFont="1" applyFill="1" applyBorder="1" applyAlignment="1" applyProtection="1">
      <alignment wrapText="1"/>
    </xf>
    <xf numFmtId="0" fontId="37" fillId="27" borderId="101" xfId="0" applyNumberFormat="1" applyFont="1" applyFill="1" applyBorder="1" applyAlignment="1" applyProtection="1">
      <alignment horizontal="left" vertical="top" wrapText="1"/>
    </xf>
    <xf numFmtId="0" fontId="37" fillId="27" borderId="20" xfId="0" applyNumberFormat="1" applyFont="1" applyFill="1" applyBorder="1" applyAlignment="1" applyProtection="1">
      <alignment horizontal="left" vertical="top" wrapText="1"/>
    </xf>
    <xf numFmtId="0" fontId="37" fillId="41" borderId="99" xfId="0" applyNumberFormat="1" applyFont="1" applyFill="1" applyBorder="1" applyAlignment="1" applyProtection="1">
      <alignment horizontal="left" vertical="top"/>
    </xf>
    <xf numFmtId="0" fontId="37" fillId="41" borderId="24" xfId="0" applyNumberFormat="1" applyFont="1" applyFill="1" applyBorder="1" applyAlignment="1" applyProtection="1">
      <alignment horizontal="left" vertical="top"/>
    </xf>
    <xf numFmtId="0" fontId="37" fillId="41" borderId="100" xfId="0" applyNumberFormat="1" applyFont="1" applyFill="1" applyBorder="1" applyAlignment="1" applyProtection="1">
      <alignment horizontal="left" vertical="top"/>
    </xf>
    <xf numFmtId="0" fontId="37" fillId="41" borderId="21" xfId="0" applyNumberFormat="1" applyFont="1" applyFill="1" applyBorder="1" applyAlignment="1" applyProtection="1">
      <alignment horizontal="left" vertical="top"/>
    </xf>
    <xf numFmtId="0" fontId="37" fillId="27" borderId="100" xfId="0" applyNumberFormat="1" applyFont="1" applyFill="1" applyBorder="1" applyAlignment="1" applyProtection="1">
      <alignment horizontal="left" vertical="top" wrapText="1"/>
    </xf>
    <xf numFmtId="0" fontId="0" fillId="0" borderId="15" xfId="0" applyBorder="1" applyAlignment="1" applyProtection="1">
      <alignment horizontal="left" vertical="top" wrapText="1"/>
    </xf>
    <xf numFmtId="0" fontId="0" fillId="0" borderId="21" xfId="0" applyBorder="1" applyAlignment="1" applyProtection="1">
      <alignment horizontal="left" vertical="top" wrapText="1"/>
    </xf>
    <xf numFmtId="0" fontId="37" fillId="27" borderId="99" xfId="0" applyNumberFormat="1" applyFont="1" applyFill="1" applyBorder="1" applyAlignment="1" applyProtection="1">
      <alignment horizontal="left" vertical="top" wrapText="1"/>
    </xf>
    <xf numFmtId="0" fontId="0" fillId="0" borderId="16" xfId="0" applyBorder="1" applyAlignment="1" applyProtection="1">
      <alignment horizontal="left" vertical="top" wrapText="1"/>
    </xf>
    <xf numFmtId="0" fontId="0" fillId="0" borderId="24" xfId="0" applyBorder="1" applyAlignment="1" applyProtection="1">
      <alignment horizontal="left" vertical="top" wrapText="1"/>
    </xf>
    <xf numFmtId="0" fontId="37" fillId="25" borderId="70" xfId="0" applyNumberFormat="1" applyFont="1" applyFill="1" applyBorder="1" applyAlignment="1" applyProtection="1">
      <alignment vertical="top" wrapText="1"/>
    </xf>
    <xf numFmtId="0" fontId="74" fillId="49" borderId="135" xfId="0" applyFont="1" applyFill="1" applyBorder="1" applyAlignment="1" applyProtection="1">
      <alignment horizontal="left" vertical="top"/>
    </xf>
    <xf numFmtId="0" fontId="2" fillId="42" borderId="99" xfId="0" applyNumberFormat="1" applyFont="1" applyFill="1" applyBorder="1" applyAlignment="1" applyProtection="1">
      <alignment horizontal="left" vertical="top" wrapText="1"/>
      <protection locked="0"/>
    </xf>
    <xf numFmtId="0" fontId="0" fillId="42" borderId="16" xfId="0" applyFill="1" applyBorder="1" applyAlignment="1" applyProtection="1">
      <alignment horizontal="left" vertical="top" wrapText="1"/>
      <protection locked="0"/>
    </xf>
    <xf numFmtId="0" fontId="0" fillId="42" borderId="24" xfId="0" applyFill="1" applyBorder="1" applyAlignment="1" applyProtection="1">
      <alignment horizontal="left" vertical="top" wrapText="1"/>
      <protection locked="0"/>
    </xf>
    <xf numFmtId="49" fontId="2" fillId="29" borderId="16" xfId="0" applyNumberFormat="1" applyFont="1" applyFill="1" applyBorder="1" applyAlignment="1" applyProtection="1">
      <alignment horizontal="left" vertical="top"/>
      <protection locked="0"/>
    </xf>
    <xf numFmtId="49" fontId="2" fillId="29" borderId="24" xfId="0" applyNumberFormat="1" applyFont="1" applyFill="1" applyBorder="1" applyAlignment="1" applyProtection="1">
      <alignment horizontal="left" vertical="top"/>
      <protection locked="0"/>
    </xf>
    <xf numFmtId="0" fontId="4" fillId="25" borderId="63" xfId="0" applyFont="1" applyFill="1" applyBorder="1" applyAlignment="1" applyProtection="1">
      <alignment vertical="top" wrapText="1"/>
    </xf>
    <xf numFmtId="0" fontId="0" fillId="0" borderId="14" xfId="0" applyBorder="1" applyAlignment="1" applyProtection="1">
      <alignment horizontal="left" vertical="top" wrapText="1"/>
    </xf>
    <xf numFmtId="0" fontId="0" fillId="0" borderId="20" xfId="0" applyBorder="1" applyAlignment="1" applyProtection="1">
      <alignment horizontal="left" vertical="top" wrapText="1"/>
    </xf>
    <xf numFmtId="0" fontId="0" fillId="42" borderId="15" xfId="0" applyFill="1" applyBorder="1" applyAlignment="1" applyProtection="1">
      <alignment horizontal="left" vertical="top" wrapText="1"/>
      <protection locked="0"/>
    </xf>
    <xf numFmtId="0" fontId="0" fillId="42" borderId="21" xfId="0" applyFill="1" applyBorder="1" applyAlignment="1" applyProtection="1">
      <alignment horizontal="left" vertical="top" wrapText="1"/>
      <protection locked="0"/>
    </xf>
    <xf numFmtId="49" fontId="2" fillId="29" borderId="15" xfId="0" applyNumberFormat="1" applyFont="1" applyFill="1" applyBorder="1" applyAlignment="1" applyProtection="1">
      <alignment horizontal="left" vertical="top"/>
      <protection locked="0"/>
    </xf>
    <xf numFmtId="49" fontId="2" fillId="29" borderId="21" xfId="0" applyNumberFormat="1" applyFont="1" applyFill="1" applyBorder="1" applyAlignment="1" applyProtection="1">
      <alignment horizontal="left" vertical="top"/>
      <protection locked="0"/>
    </xf>
    <xf numFmtId="0" fontId="4" fillId="25" borderId="19" xfId="0" applyFont="1" applyFill="1" applyBorder="1" applyAlignment="1" applyProtection="1">
      <alignment horizontal="left" wrapText="1"/>
    </xf>
    <xf numFmtId="0" fontId="4" fillId="25" borderId="0" xfId="0" applyFont="1" applyFill="1" applyBorder="1" applyAlignment="1" applyProtection="1">
      <alignment horizontal="left" wrapText="1"/>
    </xf>
    <xf numFmtId="0" fontId="4" fillId="25" borderId="18" xfId="0" applyFont="1" applyFill="1" applyBorder="1" applyAlignment="1" applyProtection="1">
      <alignment horizontal="left" wrapText="1"/>
    </xf>
    <xf numFmtId="0" fontId="0" fillId="42" borderId="14" xfId="0" applyFill="1" applyBorder="1" applyAlignment="1" applyProtection="1">
      <alignment horizontal="left" vertical="top" wrapText="1"/>
      <protection locked="0"/>
    </xf>
    <xf numFmtId="0" fontId="0" fillId="42" borderId="20" xfId="0" applyFill="1" applyBorder="1" applyAlignment="1" applyProtection="1">
      <alignment horizontal="left" vertical="top" wrapText="1"/>
      <protection locked="0"/>
    </xf>
    <xf numFmtId="49" fontId="2" fillId="29" borderId="14" xfId="0" applyNumberFormat="1" applyFont="1" applyFill="1" applyBorder="1" applyAlignment="1" applyProtection="1">
      <alignment horizontal="left" vertical="top"/>
      <protection locked="0"/>
    </xf>
    <xf numFmtId="49" fontId="2" fillId="29" borderId="20" xfId="0" applyNumberFormat="1" applyFont="1" applyFill="1" applyBorder="1" applyAlignment="1" applyProtection="1">
      <alignment horizontal="left" vertical="top"/>
      <protection locked="0"/>
    </xf>
    <xf numFmtId="0" fontId="6" fillId="49" borderId="0" xfId="60" applyFill="1" applyAlignment="1" applyProtection="1">
      <alignment vertical="top" wrapText="1"/>
    </xf>
    <xf numFmtId="0" fontId="5" fillId="40" borderId="26" xfId="0" applyNumberFormat="1" applyFont="1" applyFill="1" applyBorder="1" applyAlignment="1" applyProtection="1">
      <alignment vertical="top" wrapText="1"/>
    </xf>
    <xf numFmtId="0" fontId="38" fillId="27" borderId="84" xfId="0" applyFont="1" applyFill="1" applyBorder="1" applyAlignment="1" applyProtection="1">
      <alignment horizontal="center"/>
    </xf>
    <xf numFmtId="0" fontId="38" fillId="27" borderId="86" xfId="0" applyFont="1" applyFill="1" applyBorder="1" applyAlignment="1" applyProtection="1">
      <alignment horizontal="center"/>
    </xf>
    <xf numFmtId="0" fontId="2" fillId="49" borderId="70" xfId="0" applyNumberFormat="1" applyFont="1" applyFill="1" applyBorder="1" applyAlignment="1" applyProtection="1">
      <alignment horizontal="left" vertical="top"/>
    </xf>
    <xf numFmtId="0" fontId="2" fillId="49" borderId="26" xfId="0" applyFont="1" applyFill="1" applyBorder="1" applyAlignment="1" applyProtection="1">
      <alignment horizontal="left" vertical="top"/>
    </xf>
    <xf numFmtId="0" fontId="2" fillId="49" borderId="12" xfId="0" applyFont="1" applyFill="1" applyBorder="1" applyAlignment="1" applyProtection="1">
      <alignment horizontal="left" vertical="top"/>
    </xf>
    <xf numFmtId="0" fontId="2" fillId="49" borderId="25" xfId="0" applyFont="1" applyFill="1" applyBorder="1" applyAlignment="1" applyProtection="1">
      <alignment horizontal="left" vertical="top"/>
    </xf>
    <xf numFmtId="0" fontId="4" fillId="43" borderId="26" xfId="0" applyNumberFormat="1" applyFont="1" applyFill="1" applyBorder="1" applyAlignment="1" applyProtection="1">
      <alignment vertical="top" wrapText="1"/>
    </xf>
    <xf numFmtId="0" fontId="72" fillId="42" borderId="99" xfId="0" applyNumberFormat="1" applyFont="1" applyFill="1" applyBorder="1" applyAlignment="1" applyProtection="1">
      <alignment horizontal="left" vertical="top"/>
      <protection locked="0"/>
    </xf>
    <xf numFmtId="0" fontId="72" fillId="42" borderId="24" xfId="0" applyNumberFormat="1" applyFont="1" applyFill="1" applyBorder="1" applyAlignment="1" applyProtection="1">
      <alignment horizontal="left" vertical="top"/>
      <protection locked="0"/>
    </xf>
    <xf numFmtId="49" fontId="72" fillId="42" borderId="99" xfId="0" applyNumberFormat="1" applyFont="1" applyFill="1" applyBorder="1" applyAlignment="1" applyProtection="1">
      <alignment horizontal="left" vertical="top"/>
      <protection locked="0"/>
    </xf>
    <xf numFmtId="49" fontId="72" fillId="42" borderId="16" xfId="0" applyNumberFormat="1" applyFont="1" applyFill="1" applyBorder="1" applyAlignment="1" applyProtection="1">
      <alignment horizontal="left" vertical="top"/>
      <protection locked="0"/>
    </xf>
    <xf numFmtId="49" fontId="72" fillId="42" borderId="24" xfId="0" applyNumberFormat="1" applyFont="1" applyFill="1" applyBorder="1" applyAlignment="1" applyProtection="1">
      <alignment horizontal="left" vertical="top"/>
      <protection locked="0"/>
    </xf>
    <xf numFmtId="0" fontId="72" fillId="42" borderId="100" xfId="0" applyNumberFormat="1" applyFont="1" applyFill="1" applyBorder="1" applyAlignment="1" applyProtection="1">
      <alignment horizontal="left" vertical="top"/>
      <protection locked="0"/>
    </xf>
    <xf numFmtId="0" fontId="72" fillId="42" borderId="21" xfId="0" applyNumberFormat="1" applyFont="1" applyFill="1" applyBorder="1" applyAlignment="1" applyProtection="1">
      <alignment horizontal="left" vertical="top"/>
      <protection locked="0"/>
    </xf>
    <xf numFmtId="49" fontId="72" fillId="42" borderId="100" xfId="0" applyNumberFormat="1" applyFont="1" applyFill="1" applyBorder="1" applyAlignment="1" applyProtection="1">
      <alignment horizontal="left" vertical="top"/>
      <protection locked="0"/>
    </xf>
    <xf numFmtId="49" fontId="72" fillId="42" borderId="15" xfId="0" applyNumberFormat="1" applyFont="1" applyFill="1" applyBorder="1" applyAlignment="1" applyProtection="1">
      <alignment horizontal="left" vertical="top"/>
      <protection locked="0"/>
    </xf>
    <xf numFmtId="49" fontId="72" fillId="42" borderId="21" xfId="0" applyNumberFormat="1" applyFont="1" applyFill="1" applyBorder="1" applyAlignment="1" applyProtection="1">
      <alignment horizontal="left" vertical="top"/>
      <protection locked="0"/>
    </xf>
    <xf numFmtId="0" fontId="72" fillId="42" borderId="101" xfId="0" applyNumberFormat="1" applyFont="1" applyFill="1" applyBorder="1" applyAlignment="1" applyProtection="1">
      <alignment horizontal="left" vertical="top"/>
      <protection locked="0"/>
    </xf>
    <xf numFmtId="0" fontId="72" fillId="42" borderId="20" xfId="0" applyNumberFormat="1" applyFont="1" applyFill="1" applyBorder="1" applyAlignment="1" applyProtection="1">
      <alignment horizontal="left" vertical="top"/>
      <protection locked="0"/>
    </xf>
    <xf numFmtId="49" fontId="72" fillId="42" borderId="14" xfId="0" applyNumberFormat="1" applyFont="1" applyFill="1" applyBorder="1" applyAlignment="1" applyProtection="1">
      <alignment horizontal="left" vertical="top"/>
      <protection locked="0"/>
    </xf>
    <xf numFmtId="49" fontId="72" fillId="42" borderId="20" xfId="0" applyNumberFormat="1" applyFont="1" applyFill="1" applyBorder="1" applyAlignment="1" applyProtection="1">
      <alignment horizontal="left" vertical="top"/>
      <protection locked="0"/>
    </xf>
    <xf numFmtId="0" fontId="2" fillId="49" borderId="63" xfId="0" applyNumberFormat="1" applyFont="1" applyFill="1" applyBorder="1" applyAlignment="1" applyProtection="1">
      <alignment horizontal="left" vertical="top"/>
    </xf>
    <xf numFmtId="0" fontId="2" fillId="49" borderId="12" xfId="0" applyNumberFormat="1" applyFont="1" applyFill="1" applyBorder="1" applyAlignment="1" applyProtection="1">
      <alignment horizontal="left" vertical="top"/>
    </xf>
    <xf numFmtId="0" fontId="2" fillId="49" borderId="25" xfId="0" applyNumberFormat="1" applyFont="1" applyFill="1" applyBorder="1" applyAlignment="1" applyProtection="1">
      <alignment horizontal="left" vertical="top"/>
    </xf>
    <xf numFmtId="0" fontId="38" fillId="27" borderId="26" xfId="0" applyFont="1" applyFill="1" applyBorder="1" applyAlignment="1" applyProtection="1">
      <alignment vertical="top" wrapText="1"/>
    </xf>
    <xf numFmtId="0" fontId="38" fillId="27" borderId="51" xfId="0" applyFont="1" applyFill="1" applyBorder="1" applyAlignment="1" applyProtection="1">
      <alignment vertical="top" wrapText="1"/>
    </xf>
    <xf numFmtId="0" fontId="35" fillId="25" borderId="18" xfId="0" applyFont="1" applyFill="1" applyBorder="1" applyAlignment="1" applyProtection="1">
      <alignment vertical="top" wrapText="1"/>
    </xf>
    <xf numFmtId="0" fontId="37" fillId="27" borderId="21" xfId="0" applyNumberFormat="1" applyFont="1" applyFill="1" applyBorder="1" applyAlignment="1" applyProtection="1">
      <alignment horizontal="left" vertical="top" wrapText="1"/>
    </xf>
    <xf numFmtId="0" fontId="37" fillId="27" borderId="24" xfId="0" applyNumberFormat="1" applyFont="1" applyFill="1" applyBorder="1" applyAlignment="1" applyProtection="1">
      <alignment horizontal="left" vertical="top" wrapText="1"/>
    </xf>
    <xf numFmtId="0" fontId="37" fillId="25" borderId="27" xfId="0" applyNumberFormat="1" applyFont="1" applyFill="1" applyBorder="1" applyAlignment="1" applyProtection="1">
      <alignment vertical="top" wrapText="1"/>
    </xf>
    <xf numFmtId="0" fontId="35" fillId="43" borderId="39" xfId="0" applyFont="1" applyFill="1" applyBorder="1" applyAlignment="1" applyProtection="1">
      <alignment vertical="top" wrapText="1"/>
    </xf>
    <xf numFmtId="0" fontId="37" fillId="42" borderId="100" xfId="0" applyNumberFormat="1" applyFont="1" applyFill="1" applyBorder="1" applyAlignment="1" applyProtection="1">
      <alignment vertical="top"/>
      <protection locked="0"/>
    </xf>
    <xf numFmtId="0" fontId="0" fillId="42" borderId="15" xfId="0" applyFill="1" applyBorder="1" applyAlignment="1" applyProtection="1">
      <alignment vertical="top"/>
      <protection locked="0"/>
    </xf>
    <xf numFmtId="49" fontId="0" fillId="29" borderId="15" xfId="0" applyNumberFormat="1" applyFill="1" applyBorder="1" applyAlignment="1" applyProtection="1">
      <alignment vertical="top"/>
      <protection locked="0"/>
    </xf>
    <xf numFmtId="49" fontId="0" fillId="29" borderId="21" xfId="0" applyNumberFormat="1" applyFill="1" applyBorder="1" applyAlignment="1" applyProtection="1">
      <alignment vertical="top"/>
      <protection locked="0"/>
    </xf>
    <xf numFmtId="0" fontId="37" fillId="42" borderId="99" xfId="0" applyNumberFormat="1" applyFont="1" applyFill="1" applyBorder="1" applyAlignment="1" applyProtection="1">
      <alignment vertical="top"/>
      <protection locked="0"/>
    </xf>
    <xf numFmtId="0" fontId="0" fillId="42" borderId="16" xfId="0" applyFill="1" applyBorder="1" applyAlignment="1" applyProtection="1">
      <alignment vertical="top"/>
      <protection locked="0"/>
    </xf>
    <xf numFmtId="49" fontId="0" fillId="29" borderId="16" xfId="0" applyNumberFormat="1" applyFill="1" applyBorder="1" applyAlignment="1" applyProtection="1">
      <alignment vertical="top"/>
      <protection locked="0"/>
    </xf>
    <xf numFmtId="49" fontId="0" fillId="29" borderId="24" xfId="0" applyNumberFormat="1" applyFill="1" applyBorder="1" applyAlignment="1" applyProtection="1">
      <alignment vertical="top"/>
      <protection locked="0"/>
    </xf>
    <xf numFmtId="0" fontId="62" fillId="49" borderId="0" xfId="60" applyFont="1" applyFill="1" applyAlignment="1" applyProtection="1">
      <alignment vertical="top" wrapText="1"/>
    </xf>
    <xf numFmtId="0" fontId="37" fillId="42" borderId="101" xfId="0" applyNumberFormat="1" applyFont="1" applyFill="1" applyBorder="1" applyAlignment="1" applyProtection="1">
      <alignment vertical="top"/>
      <protection locked="0"/>
    </xf>
    <xf numFmtId="0" fontId="0" fillId="42" borderId="14" xfId="0" applyFill="1" applyBorder="1" applyAlignment="1" applyProtection="1">
      <alignment vertical="top"/>
      <protection locked="0"/>
    </xf>
    <xf numFmtId="49" fontId="37" fillId="29" borderId="107" xfId="0" applyNumberFormat="1" applyFont="1" applyFill="1" applyBorder="1" applyAlignment="1" applyProtection="1">
      <alignment horizontal="left" vertical="top"/>
      <protection locked="0"/>
    </xf>
    <xf numFmtId="49" fontId="0" fillId="29" borderId="22" xfId="0" applyNumberFormat="1" applyFill="1" applyBorder="1" applyAlignment="1" applyProtection="1">
      <alignment vertical="top"/>
      <protection locked="0"/>
    </xf>
    <xf numFmtId="49" fontId="0" fillId="29" borderId="106" xfId="0" applyNumberFormat="1" applyFill="1" applyBorder="1" applyAlignment="1" applyProtection="1">
      <alignment vertical="top"/>
      <protection locked="0"/>
    </xf>
    <xf numFmtId="0" fontId="41" fillId="43" borderId="0" xfId="0" quotePrefix="1" applyFont="1" applyFill="1" applyAlignment="1" applyProtection="1">
      <alignment horizontal="left" vertical="top" wrapText="1"/>
    </xf>
    <xf numFmtId="0" fontId="41" fillId="43" borderId="39" xfId="0" quotePrefix="1" applyFont="1" applyFill="1" applyBorder="1" applyAlignment="1" applyProtection="1">
      <alignment horizontal="left" vertical="top" wrapText="1"/>
    </xf>
    <xf numFmtId="0" fontId="4" fillId="25" borderId="63" xfId="0" applyFont="1" applyFill="1" applyBorder="1" applyAlignment="1" applyProtection="1">
      <alignment wrapText="1"/>
    </xf>
    <xf numFmtId="0" fontId="82" fillId="57" borderId="0" xfId="0" quotePrefix="1" applyFont="1" applyFill="1" applyAlignment="1" applyProtection="1">
      <alignment horizontal="left" vertical="center" wrapText="1"/>
    </xf>
    <xf numFmtId="0" fontId="62" fillId="25" borderId="0" xfId="60" applyFont="1" applyFill="1" applyAlignment="1" applyProtection="1">
      <alignment horizontal="left" vertical="top"/>
    </xf>
    <xf numFmtId="0" fontId="77" fillId="0" borderId="0" xfId="0" applyFont="1" applyAlignment="1" applyProtection="1"/>
    <xf numFmtId="0" fontId="74" fillId="49" borderId="134" xfId="0" applyFont="1" applyFill="1" applyBorder="1" applyAlignment="1" applyProtection="1">
      <alignment horizontal="left"/>
    </xf>
    <xf numFmtId="0" fontId="74" fillId="49" borderId="135" xfId="0" applyFont="1" applyFill="1" applyBorder="1" applyAlignment="1" applyProtection="1">
      <alignment horizontal="left"/>
    </xf>
    <xf numFmtId="0" fontId="36" fillId="0" borderId="26" xfId="0" applyFont="1" applyBorder="1" applyAlignment="1" applyProtection="1">
      <alignment vertical="top" wrapText="1"/>
    </xf>
    <xf numFmtId="0" fontId="36" fillId="0" borderId="51" xfId="0" applyFont="1" applyBorder="1" applyAlignment="1" applyProtection="1">
      <alignment vertical="top" wrapText="1"/>
    </xf>
    <xf numFmtId="0" fontId="4" fillId="25" borderId="25" xfId="0" applyFont="1" applyFill="1" applyBorder="1" applyAlignment="1" applyProtection="1">
      <alignment vertical="top" wrapText="1"/>
    </xf>
    <xf numFmtId="0" fontId="2" fillId="41" borderId="101" xfId="0" applyNumberFormat="1" applyFont="1" applyFill="1" applyBorder="1" applyAlignment="1" applyProtection="1">
      <alignment horizontal="left" vertical="top"/>
    </xf>
    <xf numFmtId="0" fontId="2" fillId="41" borderId="20" xfId="0" applyNumberFormat="1" applyFont="1" applyFill="1" applyBorder="1" applyAlignment="1" applyProtection="1">
      <alignment horizontal="left" vertical="top"/>
    </xf>
    <xf numFmtId="0" fontId="4" fillId="25" borderId="63" xfId="0" applyNumberFormat="1" applyFont="1" applyFill="1" applyBorder="1" applyAlignment="1" applyProtection="1">
      <alignment horizontal="left" wrapText="1"/>
    </xf>
    <xf numFmtId="0" fontId="4" fillId="25" borderId="12" xfId="0" applyNumberFormat="1" applyFont="1" applyFill="1" applyBorder="1" applyAlignment="1" applyProtection="1">
      <alignment horizontal="left" wrapText="1"/>
    </xf>
    <xf numFmtId="0" fontId="4" fillId="25" borderId="25" xfId="0" applyNumberFormat="1" applyFont="1" applyFill="1" applyBorder="1" applyAlignment="1" applyProtection="1">
      <alignment horizontal="left" wrapText="1"/>
    </xf>
    <xf numFmtId="49" fontId="2" fillId="42" borderId="100" xfId="0" applyNumberFormat="1" applyFont="1" applyFill="1" applyBorder="1" applyAlignment="1" applyProtection="1">
      <alignment horizontal="left" vertical="top"/>
      <protection locked="0"/>
    </xf>
    <xf numFmtId="0" fontId="59" fillId="43" borderId="18" xfId="0" applyFont="1" applyFill="1" applyBorder="1" applyAlignment="1" applyProtection="1">
      <alignment vertical="top" wrapText="1"/>
    </xf>
    <xf numFmtId="0" fontId="66" fillId="49" borderId="70" xfId="0" applyFont="1" applyFill="1" applyBorder="1" applyAlignment="1" applyProtection="1">
      <alignment vertical="top" wrapText="1"/>
    </xf>
    <xf numFmtId="0" fontId="66" fillId="49" borderId="26" xfId="0" applyFont="1" applyFill="1" applyBorder="1" applyAlignment="1" applyProtection="1">
      <alignment vertical="top" wrapText="1"/>
    </xf>
    <xf numFmtId="0" fontId="66" fillId="49" borderId="27" xfId="0" applyFont="1" applyFill="1" applyBorder="1" applyAlignment="1" applyProtection="1">
      <alignment vertical="top" wrapText="1"/>
    </xf>
    <xf numFmtId="0" fontId="38" fillId="27" borderId="70" xfId="0" applyFont="1" applyFill="1" applyBorder="1" applyAlignment="1" applyProtection="1">
      <alignment horizontal="left"/>
    </xf>
    <xf numFmtId="0" fontId="38" fillId="27" borderId="26" xfId="0" applyFont="1" applyFill="1" applyBorder="1" applyAlignment="1" applyProtection="1">
      <alignment horizontal="left"/>
    </xf>
    <xf numFmtId="0" fontId="38" fillId="27" borderId="27" xfId="0" applyFont="1" applyFill="1" applyBorder="1" applyAlignment="1" applyProtection="1">
      <alignment horizontal="left"/>
    </xf>
    <xf numFmtId="0" fontId="37" fillId="25" borderId="24" xfId="0" applyNumberFormat="1" applyFont="1" applyFill="1" applyBorder="1" applyAlignment="1" applyProtection="1">
      <alignment vertical="top" wrapText="1"/>
    </xf>
    <xf numFmtId="0" fontId="37" fillId="25" borderId="20" xfId="0" applyNumberFormat="1" applyFont="1" applyFill="1" applyBorder="1" applyAlignment="1" applyProtection="1">
      <alignment vertical="top" wrapText="1"/>
    </xf>
    <xf numFmtId="0" fontId="37" fillId="25" borderId="21" xfId="0" applyNumberFormat="1" applyFont="1" applyFill="1" applyBorder="1" applyAlignment="1" applyProtection="1">
      <alignment vertical="top" wrapText="1"/>
    </xf>
    <xf numFmtId="0" fontId="39" fillId="49" borderId="0" xfId="60" applyNumberFormat="1" applyFont="1" applyFill="1" applyAlignment="1" applyProtection="1">
      <alignment vertical="top" wrapText="1"/>
    </xf>
    <xf numFmtId="0" fontId="6" fillId="49" borderId="144" xfId="60" applyFill="1" applyBorder="1" applyAlignment="1" applyProtection="1">
      <alignment horizontal="center" vertical="top" wrapText="1"/>
    </xf>
    <xf numFmtId="0" fontId="39" fillId="49" borderId="0" xfId="60" applyNumberFormat="1" applyFont="1" applyFill="1" applyBorder="1" applyAlignment="1" applyProtection="1">
      <alignment vertical="top" wrapText="1"/>
    </xf>
    <xf numFmtId="0" fontId="0" fillId="42" borderId="13" xfId="0" applyFill="1" applyBorder="1" applyAlignment="1" applyProtection="1">
      <alignment horizontal="left"/>
      <protection locked="0"/>
    </xf>
    <xf numFmtId="0" fontId="0" fillId="42" borderId="70" xfId="0" applyFill="1" applyBorder="1" applyAlignment="1" applyProtection="1">
      <alignment horizontal="left"/>
      <protection locked="0"/>
    </xf>
    <xf numFmtId="0" fontId="0" fillId="42" borderId="27" xfId="0" applyFill="1" applyBorder="1" applyAlignment="1" applyProtection="1">
      <alignment horizontal="left"/>
      <protection locked="0"/>
    </xf>
    <xf numFmtId="0" fontId="10" fillId="41" borderId="0" xfId="0" applyFont="1" applyFill="1" applyBorder="1" applyAlignment="1" applyProtection="1">
      <alignment vertical="top" wrapText="1"/>
    </xf>
    <xf numFmtId="0" fontId="4" fillId="25" borderId="11" xfId="0" applyFont="1" applyFill="1" applyBorder="1" applyAlignment="1" applyProtection="1">
      <alignment horizontal="center" wrapText="1"/>
    </xf>
    <xf numFmtId="0" fontId="2" fillId="30" borderId="15" xfId="0" applyFont="1" applyFill="1" applyBorder="1" applyAlignment="1" applyProtection="1">
      <alignment horizontal="left" vertical="top"/>
      <protection locked="0"/>
    </xf>
    <xf numFmtId="0" fontId="0" fillId="30" borderId="21" xfId="0" applyFill="1" applyBorder="1" applyAlignment="1" applyProtection="1">
      <alignment horizontal="left" vertical="top"/>
      <protection locked="0"/>
    </xf>
    <xf numFmtId="0" fontId="2" fillId="30" borderId="100" xfId="0" applyFont="1" applyFill="1" applyBorder="1" applyAlignment="1" applyProtection="1">
      <alignment horizontal="left" vertical="top"/>
      <protection locked="0"/>
    </xf>
    <xf numFmtId="0" fontId="0" fillId="30" borderId="15" xfId="0" applyFill="1" applyBorder="1" applyAlignment="1" applyProtection="1">
      <alignment horizontal="left" vertical="top"/>
      <protection locked="0"/>
    </xf>
    <xf numFmtId="0" fontId="2" fillId="30" borderId="16" xfId="0" applyFont="1" applyFill="1" applyBorder="1" applyAlignment="1" applyProtection="1">
      <alignment horizontal="left" vertical="top"/>
      <protection locked="0"/>
    </xf>
    <xf numFmtId="0" fontId="0" fillId="30" borderId="24" xfId="0" applyFill="1" applyBorder="1" applyAlignment="1" applyProtection="1">
      <alignment horizontal="left" vertical="top"/>
      <protection locked="0"/>
    </xf>
    <xf numFmtId="0" fontId="2" fillId="30" borderId="99" xfId="0" applyFont="1" applyFill="1" applyBorder="1" applyAlignment="1" applyProtection="1">
      <alignment horizontal="left" vertical="top"/>
      <protection locked="0"/>
    </xf>
    <xf numFmtId="0" fontId="0" fillId="30" borderId="16" xfId="0" applyFill="1" applyBorder="1" applyAlignment="1" applyProtection="1">
      <alignment horizontal="left" vertical="top"/>
      <protection locked="0"/>
    </xf>
    <xf numFmtId="0" fontId="2" fillId="29" borderId="14" xfId="0" applyFont="1" applyFill="1" applyBorder="1" applyAlignment="1" applyProtection="1">
      <alignment horizontal="left" vertical="top"/>
      <protection locked="0"/>
    </xf>
    <xf numFmtId="0" fontId="35" fillId="25" borderId="12" xfId="0" applyFont="1" applyFill="1" applyBorder="1" applyAlignment="1" applyProtection="1">
      <alignment horizontal="left" vertical="top" wrapText="1"/>
    </xf>
    <xf numFmtId="0" fontId="2" fillId="30" borderId="14" xfId="0" applyFont="1" applyFill="1" applyBorder="1" applyAlignment="1" applyProtection="1">
      <alignment horizontal="left" vertical="top"/>
      <protection locked="0"/>
    </xf>
    <xf numFmtId="0" fontId="0" fillId="30" borderId="20" xfId="0" applyFill="1" applyBorder="1" applyAlignment="1" applyProtection="1">
      <alignment horizontal="left" vertical="top"/>
      <protection locked="0"/>
    </xf>
    <xf numFmtId="0" fontId="2" fillId="30" borderId="101" xfId="0" applyFont="1" applyFill="1" applyBorder="1" applyAlignment="1" applyProtection="1">
      <alignment horizontal="left" vertical="top"/>
      <protection locked="0"/>
    </xf>
    <xf numFmtId="0" fontId="0" fillId="30" borderId="14" xfId="0" applyFill="1" applyBorder="1" applyAlignment="1" applyProtection="1">
      <alignment horizontal="left" vertical="top"/>
      <protection locked="0"/>
    </xf>
    <xf numFmtId="0" fontId="38" fillId="27" borderId="70" xfId="0" applyFont="1" applyFill="1" applyBorder="1" applyAlignment="1" applyProtection="1">
      <alignment horizontal="left" vertical="top" shrinkToFit="1"/>
    </xf>
    <xf numFmtId="0" fontId="38" fillId="27" borderId="26" xfId="0" applyFont="1" applyFill="1" applyBorder="1" applyAlignment="1" applyProtection="1">
      <alignment horizontal="left" vertical="top" shrinkToFit="1"/>
    </xf>
    <xf numFmtId="0" fontId="38" fillId="27" borderId="51" xfId="0" applyFont="1" applyFill="1" applyBorder="1" applyAlignment="1" applyProtection="1">
      <alignment horizontal="left" vertical="top" shrinkToFit="1"/>
    </xf>
    <xf numFmtId="0" fontId="2" fillId="25" borderId="13" xfId="0" applyNumberFormat="1" applyFont="1" applyFill="1" applyBorder="1" applyAlignment="1" applyProtection="1">
      <alignment horizontal="left" vertical="top"/>
    </xf>
    <xf numFmtId="0" fontId="88" fillId="43" borderId="12" xfId="0" applyNumberFormat="1" applyFont="1" applyFill="1" applyBorder="1" applyAlignment="1" applyProtection="1">
      <alignment horizontal="left" vertical="top"/>
    </xf>
    <xf numFmtId="0" fontId="10" fillId="25" borderId="0" xfId="0" applyNumberFormat="1" applyFont="1" applyFill="1" applyBorder="1" applyAlignment="1" applyProtection="1">
      <alignment vertical="top" wrapText="1"/>
    </xf>
    <xf numFmtId="0" fontId="2" fillId="25" borderId="75" xfId="0" applyNumberFormat="1" applyFont="1" applyFill="1" applyBorder="1" applyAlignment="1" applyProtection="1">
      <alignment horizontal="left" vertical="top"/>
    </xf>
    <xf numFmtId="0" fontId="2" fillId="25" borderId="61" xfId="0" applyNumberFormat="1" applyFont="1" applyFill="1" applyBorder="1" applyAlignment="1" applyProtection="1">
      <alignment horizontal="left" vertical="top"/>
    </xf>
    <xf numFmtId="0" fontId="5" fillId="25" borderId="17" xfId="0" applyNumberFormat="1" applyFont="1" applyFill="1" applyBorder="1" applyAlignment="1" applyProtection="1">
      <alignment vertical="top" wrapText="1"/>
    </xf>
    <xf numFmtId="0" fontId="5" fillId="25" borderId="126" xfId="0" applyNumberFormat="1" applyFont="1" applyFill="1" applyBorder="1" applyAlignment="1" applyProtection="1">
      <alignment vertical="top" wrapText="1"/>
    </xf>
    <xf numFmtId="0" fontId="38" fillId="27" borderId="70" xfId="0" applyFont="1" applyFill="1" applyBorder="1" applyAlignment="1" applyProtection="1">
      <alignment wrapText="1"/>
    </xf>
    <xf numFmtId="0" fontId="38" fillId="27" borderId="26" xfId="0" applyFont="1" applyFill="1" applyBorder="1" applyAlignment="1" applyProtection="1">
      <alignment wrapText="1"/>
    </xf>
    <xf numFmtId="0" fontId="38" fillId="27" borderId="27" xfId="0" applyFont="1" applyFill="1" applyBorder="1" applyAlignment="1" applyProtection="1">
      <alignment wrapText="1"/>
    </xf>
    <xf numFmtId="0" fontId="35" fillId="25" borderId="0" xfId="0" applyFont="1" applyFill="1" applyAlignment="1" applyProtection="1">
      <alignment wrapText="1"/>
    </xf>
    <xf numFmtId="0" fontId="35" fillId="25" borderId="18" xfId="0" applyFont="1" applyFill="1" applyBorder="1" applyAlignment="1" applyProtection="1">
      <alignment wrapText="1"/>
    </xf>
    <xf numFmtId="0" fontId="2" fillId="41" borderId="13" xfId="0" applyNumberFormat="1" applyFont="1" applyFill="1" applyBorder="1" applyAlignment="1" applyProtection="1">
      <alignment vertical="top" wrapText="1"/>
    </xf>
    <xf numFmtId="0" fontId="2" fillId="43" borderId="26" xfId="0" applyFont="1" applyFill="1" applyBorder="1" applyAlignment="1" applyProtection="1">
      <alignment vertical="top" wrapText="1"/>
    </xf>
    <xf numFmtId="0" fontId="10" fillId="51" borderId="15" xfId="0" applyFont="1" applyFill="1" applyBorder="1" applyAlignment="1" applyProtection="1">
      <alignment vertical="top" wrapText="1"/>
    </xf>
    <xf numFmtId="0" fontId="10" fillId="25" borderId="15" xfId="0" applyFont="1" applyFill="1" applyBorder="1" applyAlignment="1" applyProtection="1">
      <alignment vertical="top" wrapText="1"/>
    </xf>
    <xf numFmtId="0" fontId="10" fillId="25" borderId="17" xfId="0" applyFont="1" applyFill="1" applyBorder="1" applyAlignment="1" applyProtection="1">
      <alignment vertical="top" wrapText="1"/>
    </xf>
    <xf numFmtId="0" fontId="10" fillId="25" borderId="15" xfId="0" applyFont="1" applyFill="1" applyBorder="1" applyAlignment="1" applyProtection="1">
      <alignment vertical="top"/>
    </xf>
    <xf numFmtId="0" fontId="2" fillId="40" borderId="70" xfId="0" applyNumberFormat="1" applyFont="1" applyFill="1" applyBorder="1" applyAlignment="1" applyProtection="1">
      <alignment horizontal="center" vertical="top"/>
    </xf>
    <xf numFmtId="0" fontId="2" fillId="40" borderId="27" xfId="0" applyNumberFormat="1" applyFont="1" applyFill="1" applyBorder="1" applyAlignment="1" applyProtection="1">
      <alignment horizontal="center" vertical="top"/>
    </xf>
    <xf numFmtId="0" fontId="37" fillId="40" borderId="14" xfId="0" applyNumberFormat="1" applyFont="1" applyFill="1" applyBorder="1" applyAlignment="1" applyProtection="1">
      <alignment horizontal="left" vertical="top"/>
    </xf>
    <xf numFmtId="0" fontId="37" fillId="40" borderId="15" xfId="0" applyNumberFormat="1" applyFont="1" applyFill="1" applyBorder="1" applyAlignment="1" applyProtection="1">
      <alignment horizontal="left" vertical="top"/>
    </xf>
    <xf numFmtId="0" fontId="37" fillId="40" borderId="16" xfId="0" applyNumberFormat="1" applyFont="1" applyFill="1" applyBorder="1" applyAlignment="1" applyProtection="1">
      <alignment horizontal="left" vertical="top"/>
    </xf>
    <xf numFmtId="0" fontId="37" fillId="40" borderId="17" xfId="0" applyNumberFormat="1" applyFont="1" applyFill="1" applyBorder="1" applyAlignment="1" applyProtection="1">
      <alignment horizontal="left" vertical="top"/>
    </xf>
    <xf numFmtId="0" fontId="5" fillId="25" borderId="15" xfId="0" applyNumberFormat="1" applyFont="1" applyFill="1" applyBorder="1" applyAlignment="1" applyProtection="1">
      <alignment vertical="top" wrapText="1"/>
    </xf>
    <xf numFmtId="0" fontId="5" fillId="25" borderId="15" xfId="0" applyNumberFormat="1" applyFont="1" applyFill="1" applyBorder="1" applyAlignment="1" applyProtection="1">
      <alignment horizontal="left" vertical="top" wrapText="1"/>
    </xf>
    <xf numFmtId="0" fontId="5" fillId="0" borderId="15" xfId="0" applyFont="1" applyBorder="1" applyAlignment="1" applyProtection="1">
      <alignment horizontal="left" vertical="top" wrapText="1"/>
    </xf>
    <xf numFmtId="0" fontId="75" fillId="25" borderId="103" xfId="0" applyNumberFormat="1" applyFont="1" applyFill="1" applyBorder="1" applyAlignment="1" applyProtection="1">
      <alignment vertical="top" wrapText="1"/>
    </xf>
    <xf numFmtId="0" fontId="75" fillId="25" borderId="52" xfId="0" applyNumberFormat="1" applyFont="1" applyFill="1" applyBorder="1" applyAlignment="1" applyProtection="1">
      <alignment vertical="top" wrapText="1"/>
    </xf>
    <xf numFmtId="0" fontId="5" fillId="40" borderId="15" xfId="0" applyNumberFormat="1" applyFont="1" applyFill="1" applyBorder="1" applyAlignment="1" applyProtection="1">
      <alignment horizontal="left" vertical="top" wrapText="1"/>
    </xf>
    <xf numFmtId="0" fontId="75" fillId="25" borderId="57" xfId="0" applyNumberFormat="1" applyFont="1" applyFill="1" applyBorder="1" applyAlignment="1" applyProtection="1">
      <alignment vertical="top" wrapText="1"/>
    </xf>
    <xf numFmtId="0" fontId="75" fillId="0" borderId="37" xfId="0" applyFont="1" applyBorder="1" applyAlignment="1" applyProtection="1">
      <alignment vertical="top" wrapText="1"/>
    </xf>
    <xf numFmtId="0" fontId="5" fillId="40" borderId="16" xfId="0" applyNumberFormat="1" applyFont="1" applyFill="1" applyBorder="1" applyAlignment="1" applyProtection="1">
      <alignment horizontal="left" vertical="top" wrapText="1"/>
    </xf>
    <xf numFmtId="0" fontId="0" fillId="40" borderId="70" xfId="0" applyFill="1" applyBorder="1" applyAlignment="1" applyProtection="1">
      <alignment horizontal="center" vertical="top" wrapText="1"/>
    </xf>
    <xf numFmtId="0" fontId="0" fillId="40" borderId="27" xfId="0" applyFill="1" applyBorder="1" applyAlignment="1" applyProtection="1">
      <alignment horizontal="center" vertical="top" wrapText="1"/>
    </xf>
    <xf numFmtId="0" fontId="2" fillId="27" borderId="10" xfId="0" applyNumberFormat="1" applyFont="1" applyFill="1" applyBorder="1" applyAlignment="1" applyProtection="1">
      <alignment horizontal="left" vertical="top"/>
    </xf>
    <xf numFmtId="0" fontId="2" fillId="40" borderId="70" xfId="0" applyNumberFormat="1" applyFont="1" applyFill="1" applyBorder="1" applyAlignment="1" applyProtection="1">
      <alignment horizontal="left" vertical="top"/>
    </xf>
    <xf numFmtId="49" fontId="2" fillId="40" borderId="27" xfId="0" applyNumberFormat="1" applyFont="1" applyFill="1" applyBorder="1" applyAlignment="1" applyProtection="1">
      <alignment horizontal="left" vertical="top"/>
    </xf>
    <xf numFmtId="0" fontId="2" fillId="40" borderId="13" xfId="0" applyNumberFormat="1" applyFont="1" applyFill="1" applyBorder="1" applyAlignment="1" applyProtection="1">
      <alignment horizontal="left" vertical="top"/>
    </xf>
    <xf numFmtId="49" fontId="2" fillId="40" borderId="13" xfId="0" applyNumberFormat="1" applyFont="1" applyFill="1" applyBorder="1" applyAlignment="1" applyProtection="1">
      <alignment horizontal="left" vertical="top"/>
    </xf>
    <xf numFmtId="0" fontId="2" fillId="27" borderId="70" xfId="0" applyNumberFormat="1" applyFont="1" applyFill="1" applyBorder="1" applyAlignment="1" applyProtection="1">
      <alignment vertical="top" wrapText="1"/>
    </xf>
    <xf numFmtId="0" fontId="0" fillId="0" borderId="26" xfId="0" applyNumberFormat="1" applyBorder="1" applyAlignment="1" applyProtection="1">
      <alignment vertical="top" wrapText="1"/>
    </xf>
    <xf numFmtId="0" fontId="0" fillId="0" borderId="27" xfId="0" applyNumberFormat="1" applyBorder="1" applyAlignment="1" applyProtection="1">
      <alignment vertical="top" wrapText="1"/>
    </xf>
    <xf numFmtId="0" fontId="2" fillId="27" borderId="70" xfId="0" applyNumberFormat="1" applyFont="1" applyFill="1" applyBorder="1" applyAlignment="1" applyProtection="1">
      <alignment horizontal="left" vertical="top" wrapText="1"/>
    </xf>
    <xf numFmtId="0" fontId="0" fillId="0" borderId="26" xfId="0" applyNumberFormat="1" applyBorder="1" applyAlignment="1" applyProtection="1">
      <alignment horizontal="left" vertical="top" wrapText="1"/>
    </xf>
    <xf numFmtId="0" fontId="0" fillId="0" borderId="27" xfId="0" applyNumberFormat="1" applyBorder="1" applyAlignment="1" applyProtection="1">
      <alignment horizontal="left" vertical="top" wrapText="1"/>
    </xf>
    <xf numFmtId="0" fontId="2" fillId="27" borderId="27" xfId="0" applyNumberFormat="1" applyFont="1" applyFill="1" applyBorder="1" applyAlignment="1" applyProtection="1">
      <alignment vertical="top" wrapText="1"/>
    </xf>
    <xf numFmtId="0" fontId="5" fillId="25" borderId="14" xfId="0" applyNumberFormat="1" applyFont="1" applyFill="1" applyBorder="1" applyAlignment="1" applyProtection="1">
      <alignment vertical="top" wrapText="1"/>
    </xf>
    <xf numFmtId="0" fontId="5" fillId="40" borderId="14" xfId="0" applyNumberFormat="1" applyFont="1" applyFill="1" applyBorder="1" applyAlignment="1" applyProtection="1">
      <alignment vertical="top" wrapText="1"/>
    </xf>
    <xf numFmtId="0" fontId="2" fillId="40" borderId="13" xfId="0" applyNumberFormat="1" applyFont="1" applyFill="1" applyBorder="1" applyAlignment="1" applyProtection="1">
      <alignment horizontal="center" vertical="top"/>
    </xf>
    <xf numFmtId="0" fontId="35" fillId="25" borderId="0" xfId="0" applyFont="1" applyFill="1" applyAlignment="1" applyProtection="1">
      <alignment horizontal="left" vertical="top" wrapText="1"/>
    </xf>
    <xf numFmtId="0" fontId="75" fillId="25" borderId="109" xfId="0" applyNumberFormat="1" applyFont="1" applyFill="1" applyBorder="1" applyAlignment="1" applyProtection="1">
      <alignment vertical="top" wrapText="1"/>
    </xf>
    <xf numFmtId="0" fontId="75" fillId="25" borderId="15" xfId="0" applyNumberFormat="1" applyFont="1" applyFill="1" applyBorder="1" applyAlignment="1" applyProtection="1">
      <alignment vertical="top" wrapText="1"/>
    </xf>
    <xf numFmtId="0" fontId="39" fillId="49" borderId="84" xfId="60" applyFont="1" applyFill="1" applyBorder="1" applyAlignment="1" applyProtection="1">
      <alignment horizontal="center" vertical="center" wrapText="1"/>
    </xf>
    <xf numFmtId="0" fontId="39" fillId="49" borderId="85" xfId="60" applyFont="1" applyFill="1" applyBorder="1" applyAlignment="1" applyProtection="1">
      <alignment horizontal="center" vertical="center" wrapText="1"/>
    </xf>
    <xf numFmtId="0" fontId="39" fillId="49" borderId="86" xfId="60" applyFont="1" applyFill="1" applyBorder="1" applyAlignment="1" applyProtection="1">
      <alignment horizontal="center" vertical="center" wrapText="1"/>
    </xf>
    <xf numFmtId="0" fontId="0" fillId="0" borderId="15" xfId="0" applyBorder="1" applyAlignment="1" applyProtection="1">
      <alignment vertical="top"/>
    </xf>
    <xf numFmtId="0" fontId="75" fillId="0" borderId="15" xfId="0" applyFont="1" applyBorder="1" applyAlignment="1" applyProtection="1">
      <alignment vertical="top" wrapText="1"/>
    </xf>
    <xf numFmtId="0" fontId="2" fillId="25" borderId="42" xfId="0" applyNumberFormat="1" applyFont="1" applyFill="1" applyBorder="1" applyAlignment="1" applyProtection="1">
      <alignment vertical="top" wrapText="1"/>
    </xf>
    <xf numFmtId="49" fontId="2" fillId="25" borderId="63" xfId="0" applyNumberFormat="1" applyFont="1" applyFill="1" applyBorder="1" applyAlignment="1" applyProtection="1">
      <alignment horizontal="center" vertical="top"/>
    </xf>
    <xf numFmtId="49" fontId="2" fillId="25" borderId="12" xfId="0" applyNumberFormat="1" applyFont="1" applyFill="1" applyBorder="1" applyAlignment="1" applyProtection="1">
      <alignment horizontal="center" vertical="top"/>
    </xf>
    <xf numFmtId="0" fontId="2" fillId="27" borderId="26" xfId="0" applyNumberFormat="1" applyFont="1" applyFill="1" applyBorder="1" applyAlignment="1" applyProtection="1">
      <alignment horizontal="left" vertical="top" wrapText="1"/>
    </xf>
    <xf numFmtId="0" fontId="4" fillId="49" borderId="69" xfId="0" applyFont="1" applyFill="1" applyBorder="1" applyAlignment="1" applyProtection="1">
      <alignment horizontal="center" vertical="top" wrapText="1"/>
    </xf>
    <xf numFmtId="0" fontId="75" fillId="25" borderId="37" xfId="0" applyNumberFormat="1" applyFont="1" applyFill="1" applyBorder="1" applyAlignment="1" applyProtection="1">
      <alignment vertical="top" wrapText="1"/>
    </xf>
    <xf numFmtId="0" fontId="4" fillId="25" borderId="57" xfId="0" applyNumberFormat="1" applyFont="1" applyFill="1" applyBorder="1" applyAlignment="1" applyProtection="1">
      <alignment vertical="center" wrapText="1"/>
    </xf>
    <xf numFmtId="0" fontId="0" fillId="0" borderId="37" xfId="0" applyBorder="1" applyAlignment="1" applyProtection="1">
      <alignment vertical="center" wrapText="1"/>
    </xf>
    <xf numFmtId="0" fontId="48" fillId="34" borderId="84" xfId="0" applyFont="1" applyFill="1" applyBorder="1" applyAlignment="1" applyProtection="1">
      <alignment horizontal="left" vertical="center" wrapText="1"/>
    </xf>
    <xf numFmtId="0" fontId="48" fillId="34" borderId="85" xfId="0" applyFont="1" applyFill="1" applyBorder="1" applyAlignment="1" applyProtection="1">
      <alignment horizontal="left" vertical="center" wrapText="1"/>
    </xf>
    <xf numFmtId="0" fontId="48" fillId="34" borderId="86" xfId="0" applyFont="1" applyFill="1" applyBorder="1" applyAlignment="1" applyProtection="1">
      <alignment horizontal="left" vertical="center" wrapText="1"/>
    </xf>
    <xf numFmtId="0" fontId="2" fillId="40" borderId="26" xfId="0" applyFont="1" applyFill="1" applyBorder="1" applyAlignment="1" applyProtection="1">
      <alignment horizontal="left" vertical="top"/>
    </xf>
    <xf numFmtId="0" fontId="2" fillId="40" borderId="27" xfId="0" applyFont="1" applyFill="1" applyBorder="1" applyAlignment="1" applyProtection="1">
      <alignment horizontal="left" vertical="top"/>
    </xf>
    <xf numFmtId="0" fontId="4" fillId="25" borderId="103" xfId="0" applyNumberFormat="1" applyFont="1" applyFill="1" applyBorder="1" applyAlignment="1" applyProtection="1">
      <alignment vertical="center" wrapText="1"/>
    </xf>
    <xf numFmtId="0" fontId="0" fillId="0" borderId="52" xfId="0" applyBorder="1" applyAlignment="1" applyProtection="1">
      <alignment vertical="center" wrapText="1"/>
    </xf>
    <xf numFmtId="0" fontId="4" fillId="25" borderId="26" xfId="0" applyNumberFormat="1" applyFont="1" applyFill="1" applyBorder="1" applyAlignment="1" applyProtection="1">
      <alignment vertical="top" wrapText="1"/>
    </xf>
    <xf numFmtId="0" fontId="2" fillId="40" borderId="70" xfId="0" applyNumberFormat="1" applyFont="1" applyFill="1" applyBorder="1" applyAlignment="1" applyProtection="1">
      <alignment horizontal="left"/>
    </xf>
    <xf numFmtId="0" fontId="2" fillId="40" borderId="26" xfId="0" applyFont="1" applyFill="1" applyBorder="1" applyAlignment="1" applyProtection="1">
      <alignment horizontal="left"/>
    </xf>
    <xf numFmtId="0" fontId="2" fillId="40" borderId="27" xfId="0" applyFont="1" applyFill="1" applyBorder="1" applyAlignment="1" applyProtection="1">
      <alignment horizontal="left"/>
    </xf>
    <xf numFmtId="0" fontId="2" fillId="41" borderId="0" xfId="0" applyNumberFormat="1" applyFont="1" applyFill="1" applyBorder="1" applyAlignment="1" applyProtection="1">
      <alignment horizontal="left" vertical="top" wrapText="1"/>
    </xf>
    <xf numFmtId="0" fontId="2" fillId="41" borderId="12" xfId="0" applyNumberFormat="1" applyFont="1" applyFill="1" applyBorder="1" applyAlignment="1" applyProtection="1">
      <alignment horizontal="left" vertical="top" wrapText="1"/>
    </xf>
    <xf numFmtId="0" fontId="2" fillId="25" borderId="11" xfId="0" applyNumberFormat="1" applyFont="1" applyFill="1" applyBorder="1" applyAlignment="1" applyProtection="1">
      <alignment horizontal="left" vertical="top"/>
    </xf>
    <xf numFmtId="0" fontId="2" fillId="25" borderId="10" xfId="0" applyNumberFormat="1" applyFont="1" applyFill="1" applyBorder="1" applyAlignment="1" applyProtection="1">
      <alignment horizontal="left" vertical="top"/>
    </xf>
    <xf numFmtId="0" fontId="4" fillId="25" borderId="12" xfId="0" applyNumberFormat="1" applyFont="1" applyFill="1" applyBorder="1" applyAlignment="1" applyProtection="1">
      <alignment horizontal="left" vertical="top" wrapText="1"/>
    </xf>
    <xf numFmtId="0" fontId="4" fillId="25" borderId="25" xfId="0" applyNumberFormat="1" applyFont="1" applyFill="1" applyBorder="1" applyAlignment="1" applyProtection="1">
      <alignment horizontal="left" vertical="top" wrapText="1"/>
    </xf>
    <xf numFmtId="0" fontId="4" fillId="25" borderId="0" xfId="0" applyFont="1" applyFill="1" applyAlignment="1" applyProtection="1">
      <alignment horizontal="left" vertical="top"/>
    </xf>
    <xf numFmtId="0" fontId="4" fillId="25" borderId="18" xfId="0" applyFont="1" applyFill="1" applyBorder="1" applyAlignment="1" applyProtection="1">
      <alignment horizontal="left" vertical="top"/>
    </xf>
    <xf numFmtId="0" fontId="35" fillId="25" borderId="0" xfId="0" applyFont="1" applyFill="1" applyBorder="1" applyAlignment="1" applyProtection="1">
      <alignment horizontal="left" vertical="top" wrapText="1"/>
    </xf>
    <xf numFmtId="0" fontId="2" fillId="25" borderId="26" xfId="0" applyNumberFormat="1" applyFont="1" applyFill="1" applyBorder="1" applyAlignment="1" applyProtection="1">
      <alignment horizontal="left" vertical="top"/>
    </xf>
    <xf numFmtId="0" fontId="0" fillId="0" borderId="26" xfId="0" applyBorder="1" applyAlignment="1" applyProtection="1">
      <alignment horizontal="left" vertical="top"/>
    </xf>
    <xf numFmtId="0" fontId="0" fillId="0" borderId="27" xfId="0" applyBorder="1" applyAlignment="1" applyProtection="1">
      <alignment horizontal="left" vertical="top"/>
    </xf>
    <xf numFmtId="0" fontId="2" fillId="25" borderId="27" xfId="0" applyNumberFormat="1" applyFont="1" applyFill="1" applyBorder="1" applyAlignment="1" applyProtection="1">
      <alignment horizontal="left" vertical="top"/>
    </xf>
    <xf numFmtId="0" fontId="2" fillId="25" borderId="0" xfId="0" applyNumberFormat="1" applyFont="1" applyFill="1" applyBorder="1" applyAlignment="1" applyProtection="1">
      <alignment horizontal="center" wrapText="1"/>
    </xf>
    <xf numFmtId="0" fontId="4" fillId="25" borderId="0" xfId="0" applyNumberFormat="1" applyFont="1" applyFill="1" applyBorder="1" applyAlignment="1" applyProtection="1">
      <alignment horizontal="left" vertical="top"/>
    </xf>
    <xf numFmtId="0" fontId="4" fillId="25" borderId="18" xfId="0" applyNumberFormat="1" applyFont="1" applyFill="1" applyBorder="1" applyAlignment="1" applyProtection="1">
      <alignment horizontal="left" vertical="top"/>
    </xf>
    <xf numFmtId="0" fontId="2" fillId="27" borderId="13" xfId="0" applyNumberFormat="1" applyFont="1" applyFill="1" applyBorder="1" applyAlignment="1" applyProtection="1">
      <alignment horizontal="left" vertical="top" wrapText="1"/>
    </xf>
    <xf numFmtId="0" fontId="4" fillId="25" borderId="109" xfId="0" applyNumberFormat="1" applyFont="1" applyFill="1" applyBorder="1" applyAlignment="1" applyProtection="1">
      <alignment horizontal="left" vertical="center" wrapText="1"/>
    </xf>
    <xf numFmtId="0" fontId="4" fillId="25" borderId="15" xfId="0" applyNumberFormat="1" applyFont="1" applyFill="1" applyBorder="1" applyAlignment="1" applyProtection="1">
      <alignment horizontal="left" vertical="center" wrapText="1"/>
    </xf>
    <xf numFmtId="0" fontId="0" fillId="0" borderId="0" xfId="0" applyAlignment="1">
      <alignment vertical="top"/>
    </xf>
    <xf numFmtId="0" fontId="29" fillId="25" borderId="0" xfId="0" applyFont="1" applyFill="1" applyAlignment="1">
      <alignment horizontal="left" vertical="top"/>
    </xf>
    <xf numFmtId="0" fontId="9" fillId="25" borderId="0" xfId="0" applyFont="1" applyFill="1" applyAlignment="1">
      <alignment horizontal="left" vertical="top"/>
    </xf>
    <xf numFmtId="0" fontId="0" fillId="25" borderId="103" xfId="0" applyFill="1" applyBorder="1" applyAlignment="1">
      <alignment horizontal="left" vertical="top"/>
    </xf>
    <xf numFmtId="0" fontId="0" fillId="25" borderId="67" xfId="0" applyFill="1" applyBorder="1" applyAlignment="1">
      <alignment horizontal="left" vertical="top"/>
    </xf>
    <xf numFmtId="0" fontId="4" fillId="25" borderId="0" xfId="0" applyFont="1" applyFill="1" applyAlignment="1">
      <alignment horizontal="left" vertical="top"/>
    </xf>
    <xf numFmtId="0" fontId="0" fillId="25" borderId="109" xfId="0" applyFill="1" applyBorder="1" applyAlignment="1">
      <alignment horizontal="left" vertical="top"/>
    </xf>
    <xf numFmtId="0" fontId="2" fillId="25" borderId="57" xfId="0" applyFont="1" applyFill="1" applyBorder="1" applyAlignment="1">
      <alignment horizontal="left" vertical="top"/>
    </xf>
    <xf numFmtId="0" fontId="4" fillId="25" borderId="0" xfId="0" applyFont="1" applyFill="1" applyAlignment="1">
      <alignment horizontal="left" vertical="top" wrapText="1"/>
    </xf>
    <xf numFmtId="0" fontId="0" fillId="25" borderId="22" xfId="0" applyFill="1" applyBorder="1" applyAlignment="1">
      <alignment horizontal="left" vertical="top" wrapText="1"/>
    </xf>
    <xf numFmtId="0" fontId="9" fillId="25" borderId="0" xfId="0" applyFont="1" applyFill="1" applyAlignment="1">
      <alignment horizontal="left" vertical="top" wrapText="1"/>
    </xf>
    <xf numFmtId="0" fontId="3" fillId="26" borderId="0" xfId="0" applyFont="1" applyFill="1" applyAlignment="1">
      <alignment horizontal="left" vertical="top" wrapText="1"/>
    </xf>
    <xf numFmtId="0" fontId="52" fillId="25" borderId="0" xfId="0" applyFont="1" applyFill="1" applyAlignment="1">
      <alignment horizontal="left" vertical="top" wrapText="1"/>
    </xf>
    <xf numFmtId="0" fontId="0" fillId="0" borderId="0" xfId="0" applyAlignment="1">
      <alignment wrapText="1"/>
    </xf>
    <xf numFmtId="0" fontId="81" fillId="24" borderId="0" xfId="0" applyFont="1" applyFill="1" applyAlignment="1">
      <alignment horizontal="left" vertical="top" wrapText="1"/>
    </xf>
    <xf numFmtId="0" fontId="52" fillId="25" borderId="0" xfId="0" applyFont="1" applyFill="1" applyAlignment="1">
      <alignment horizontal="left" vertical="top"/>
    </xf>
    <xf numFmtId="0" fontId="52" fillId="25" borderId="70" xfId="0" applyFont="1" applyFill="1" applyBorder="1" applyAlignment="1">
      <alignment horizontal="left" vertical="top" wrapText="1"/>
    </xf>
    <xf numFmtId="0" fontId="61" fillId="25" borderId="0" xfId="0" applyFont="1" applyFill="1" applyAlignment="1">
      <alignment horizontal="left" vertical="top" wrapText="1"/>
    </xf>
    <xf numFmtId="0" fontId="60" fillId="25" borderId="0" xfId="0" applyFont="1" applyFill="1" applyAlignment="1">
      <alignment horizontal="left" vertical="top" wrapText="1"/>
    </xf>
    <xf numFmtId="0" fontId="10" fillId="25" borderId="12" xfId="0" applyFont="1" applyFill="1" applyBorder="1" applyAlignment="1">
      <alignment horizontal="left" vertical="top" wrapText="1"/>
    </xf>
    <xf numFmtId="0" fontId="60" fillId="25" borderId="19" xfId="0" applyFont="1" applyFill="1" applyBorder="1" applyAlignment="1">
      <alignment horizontal="left" vertical="top" wrapText="1"/>
    </xf>
    <xf numFmtId="0" fontId="40" fillId="25" borderId="0" xfId="0" applyFont="1" applyFill="1" applyAlignment="1">
      <alignment horizontal="left" vertical="top" wrapText="1"/>
    </xf>
    <xf numFmtId="0" fontId="4" fillId="34" borderId="84" xfId="0" applyFont="1" applyFill="1" applyBorder="1" applyAlignment="1">
      <alignment horizontal="left" vertical="top" wrapText="1"/>
    </xf>
    <xf numFmtId="0" fontId="0" fillId="25" borderId="0" xfId="0" applyFill="1" applyAlignment="1">
      <alignment horizontal="left" vertical="top" wrapText="1"/>
    </xf>
    <xf numFmtId="0" fontId="0" fillId="50" borderId="107" xfId="0" applyFill="1" applyBorder="1" applyAlignment="1">
      <alignment horizontal="left" vertical="top" wrapText="1"/>
    </xf>
    <xf numFmtId="0" fontId="32" fillId="25" borderId="0" xfId="0" applyFont="1" applyFill="1" applyAlignment="1">
      <alignment horizontal="left" vertical="top" wrapText="1"/>
    </xf>
    <xf numFmtId="0" fontId="4" fillId="49" borderId="58" xfId="0" applyFont="1" applyFill="1" applyBorder="1" applyAlignment="1">
      <alignment horizontal="left" vertical="top" wrapText="1"/>
    </xf>
    <xf numFmtId="0" fontId="35" fillId="25" borderId="0" xfId="0" applyFont="1" applyFill="1" applyAlignment="1">
      <alignment horizontal="left" vertical="top" wrapText="1"/>
    </xf>
    <xf numFmtId="0" fontId="10" fillId="25" borderId="0" xfId="0" applyFont="1" applyFill="1" applyAlignment="1">
      <alignment horizontal="left" vertical="top" wrapText="1"/>
    </xf>
    <xf numFmtId="0" fontId="2" fillId="25" borderId="0" xfId="0" applyFont="1" applyFill="1" applyAlignment="1">
      <alignment horizontal="left" vertical="top" wrapText="1"/>
    </xf>
    <xf numFmtId="0" fontId="4" fillId="25" borderId="12" xfId="0" applyFont="1" applyFill="1" applyBorder="1" applyAlignment="1">
      <alignment horizontal="left" vertical="top" wrapText="1"/>
    </xf>
    <xf numFmtId="0" fontId="2" fillId="25" borderId="14" xfId="0" applyFont="1" applyFill="1" applyBorder="1" applyAlignment="1">
      <alignment horizontal="left" vertical="top" wrapText="1"/>
    </xf>
    <xf numFmtId="0" fontId="2" fillId="25" borderId="16" xfId="0" applyFont="1" applyFill="1" applyBorder="1" applyAlignment="1">
      <alignment horizontal="left" vertical="top" wrapText="1"/>
    </xf>
    <xf numFmtId="0" fontId="2" fillId="25" borderId="15" xfId="0" applyFont="1" applyFill="1" applyBorder="1" applyAlignment="1">
      <alignment horizontal="left" vertical="top" wrapText="1"/>
    </xf>
    <xf numFmtId="0" fontId="4" fillId="25" borderId="25" xfId="0" applyFont="1" applyFill="1" applyBorder="1" applyAlignment="1">
      <alignment horizontal="left" vertical="top"/>
    </xf>
    <xf numFmtId="0" fontId="4" fillId="25" borderId="12" xfId="0" applyFont="1" applyFill="1" applyBorder="1" applyAlignment="1">
      <alignment horizontal="left" vertical="top"/>
    </xf>
    <xf numFmtId="0" fontId="41" fillId="25" borderId="0" xfId="0" applyFont="1" applyFill="1" applyAlignment="1">
      <alignment horizontal="left" vertical="top" wrapText="1"/>
    </xf>
    <xf numFmtId="0" fontId="2" fillId="25" borderId="12" xfId="0" applyFont="1" applyFill="1" applyBorder="1" applyAlignment="1">
      <alignment horizontal="left" vertical="top"/>
    </xf>
    <xf numFmtId="0" fontId="51" fillId="25" borderId="0" xfId="0" applyFont="1" applyFill="1" applyAlignment="1">
      <alignment horizontal="left" vertical="top" wrapText="1"/>
    </xf>
    <xf numFmtId="0" fontId="56" fillId="25" borderId="0" xfId="0" applyFont="1" applyFill="1" applyAlignment="1">
      <alignment horizontal="left" vertical="top" wrapText="1"/>
    </xf>
    <xf numFmtId="0" fontId="2" fillId="25" borderId="22" xfId="0" applyFont="1" applyFill="1" applyBorder="1" applyAlignment="1">
      <alignment horizontal="left" vertical="top" wrapText="1"/>
    </xf>
    <xf numFmtId="0" fontId="2" fillId="41" borderId="16" xfId="0" applyFont="1" applyFill="1" applyBorder="1" applyAlignment="1">
      <alignment horizontal="left" vertical="top"/>
    </xf>
    <xf numFmtId="0" fontId="4" fillId="25" borderId="18" xfId="0" applyFont="1" applyFill="1" applyBorder="1" applyAlignment="1">
      <alignment horizontal="left" vertical="top" wrapText="1"/>
    </xf>
    <xf numFmtId="0" fontId="4" fillId="25" borderId="63" xfId="0" applyFont="1" applyFill="1" applyBorder="1" applyAlignment="1">
      <alignment horizontal="left" vertical="top" wrapText="1"/>
    </xf>
    <xf numFmtId="0" fontId="4" fillId="0" borderId="11" xfId="0" applyFont="1" applyBorder="1" applyAlignment="1">
      <alignment horizontal="left" vertical="top" wrapText="1"/>
    </xf>
    <xf numFmtId="0" fontId="4" fillId="25" borderId="11" xfId="0" applyFont="1" applyFill="1" applyBorder="1" applyAlignment="1">
      <alignment horizontal="left" vertical="top" wrapText="1"/>
    </xf>
    <xf numFmtId="0" fontId="4" fillId="0" borderId="63" xfId="0" applyFont="1" applyBorder="1" applyAlignment="1">
      <alignment horizontal="left" vertical="top" wrapText="1"/>
    </xf>
    <xf numFmtId="0" fontId="69" fillId="25" borderId="0" xfId="0" applyFont="1" applyFill="1" applyAlignment="1">
      <alignment horizontal="left" vertical="top"/>
    </xf>
    <xf numFmtId="0" fontId="70" fillId="26" borderId="78" xfId="0" applyFont="1" applyFill="1" applyBorder="1" applyAlignment="1">
      <alignment horizontal="left" vertical="top"/>
    </xf>
    <xf numFmtId="0" fontId="70" fillId="26" borderId="78" xfId="0" applyFont="1" applyFill="1" applyBorder="1" applyAlignment="1">
      <alignment horizontal="left" vertical="top" wrapText="1"/>
    </xf>
    <xf numFmtId="0" fontId="70" fillId="26" borderId="79" xfId="0" applyFont="1" applyFill="1" applyBorder="1" applyAlignment="1">
      <alignment horizontal="left" vertical="top" wrapText="1"/>
    </xf>
    <xf numFmtId="0" fontId="0" fillId="41" borderId="11" xfId="0" applyFill="1" applyBorder="1" applyAlignment="1">
      <alignment horizontal="left" vertical="top"/>
    </xf>
    <xf numFmtId="0" fontId="2" fillId="25" borderId="11" xfId="0" applyFont="1" applyFill="1" applyBorder="1" applyAlignment="1">
      <alignment horizontal="left" vertical="top"/>
    </xf>
    <xf numFmtId="0" fontId="57" fillId="25" borderId="15" xfId="0" applyFont="1" applyFill="1" applyBorder="1" applyAlignment="1">
      <alignment horizontal="left" vertical="top" wrapText="1"/>
    </xf>
    <xf numFmtId="0" fontId="2" fillId="41" borderId="26" xfId="0" applyFont="1" applyFill="1" applyBorder="1" applyAlignment="1">
      <alignment horizontal="left" vertical="top" wrapText="1"/>
    </xf>
    <xf numFmtId="0" fontId="4" fillId="25" borderId="84" xfId="0" applyFont="1" applyFill="1" applyBorder="1" applyAlignment="1">
      <alignment horizontal="left" vertical="top" wrapText="1"/>
    </xf>
    <xf numFmtId="0" fontId="2" fillId="25" borderId="18" xfId="0" applyFont="1" applyFill="1" applyBorder="1" applyAlignment="1">
      <alignment horizontal="left" vertical="top"/>
    </xf>
    <xf numFmtId="0" fontId="2" fillId="25" borderId="26" xfId="0" applyFont="1" applyFill="1" applyBorder="1" applyAlignment="1">
      <alignment horizontal="left" vertical="top" wrapText="1"/>
    </xf>
    <xf numFmtId="0" fontId="2" fillId="41" borderId="0" xfId="0" applyFont="1" applyFill="1" applyAlignment="1">
      <alignment horizontal="left" vertical="top" wrapText="1"/>
    </xf>
    <xf numFmtId="0" fontId="2" fillId="25" borderId="17" xfId="0" applyFont="1" applyFill="1" applyBorder="1" applyAlignment="1">
      <alignment horizontal="left" vertical="top"/>
    </xf>
    <xf numFmtId="0" fontId="2" fillId="25" borderId="17" xfId="0" applyFont="1" applyFill="1" applyBorder="1" applyAlignment="1">
      <alignment horizontal="left" vertical="top" wrapText="1"/>
    </xf>
    <xf numFmtId="0" fontId="2" fillId="25" borderId="27" xfId="0" applyFont="1" applyFill="1" applyBorder="1" applyAlignment="1">
      <alignment horizontal="left" vertical="top" wrapText="1"/>
    </xf>
    <xf numFmtId="0" fontId="2" fillId="41" borderId="12" xfId="0" applyFont="1" applyFill="1" applyBorder="1" applyAlignment="1">
      <alignment horizontal="left" vertical="top" wrapText="1"/>
    </xf>
    <xf numFmtId="0" fontId="10" fillId="25" borderId="0" xfId="0" applyFont="1" applyFill="1" applyAlignment="1">
      <alignment horizontal="left" vertical="top"/>
    </xf>
    <xf numFmtId="0" fontId="4" fillId="25" borderId="26" xfId="0" applyFont="1" applyFill="1" applyBorder="1" applyAlignment="1">
      <alignment horizontal="left" vertical="top" wrapText="1"/>
    </xf>
    <xf numFmtId="0" fontId="4" fillId="25" borderId="42" xfId="0" applyFont="1" applyFill="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82" fillId="57" borderId="0" xfId="0" quotePrefix="1" applyFont="1" applyFill="1" applyAlignment="1">
      <alignment horizontal="left" vertical="top" wrapText="1"/>
    </xf>
    <xf numFmtId="0" fontId="41" fillId="41" borderId="0" xfId="0" applyFont="1" applyFill="1" applyAlignment="1">
      <alignment horizontal="left" vertical="top" wrapText="1"/>
    </xf>
    <xf numFmtId="0" fontId="2" fillId="27" borderId="26" xfId="0" applyFont="1" applyFill="1" applyBorder="1" applyAlignment="1">
      <alignment horizontal="left" vertical="top" wrapText="1"/>
    </xf>
    <xf numFmtId="0" fontId="2" fillId="25" borderId="13" xfId="0" applyFont="1" applyFill="1" applyBorder="1" applyAlignment="1">
      <alignment horizontal="left" vertical="top" wrapText="1"/>
    </xf>
    <xf numFmtId="0" fontId="35" fillId="43" borderId="0" xfId="0" applyFont="1" applyFill="1" applyAlignment="1">
      <alignment horizontal="left" vertical="top" wrapText="1"/>
    </xf>
    <xf numFmtId="0" fontId="4" fillId="43" borderId="0" xfId="0" applyFont="1" applyFill="1" applyAlignment="1">
      <alignment horizontal="left" vertical="top" wrapText="1"/>
    </xf>
    <xf numFmtId="0" fontId="41" fillId="43" borderId="0" xfId="0" applyFont="1" applyFill="1" applyAlignment="1">
      <alignment horizontal="left" vertical="top" wrapText="1"/>
    </xf>
    <xf numFmtId="0" fontId="10" fillId="43" borderId="0" xfId="0" quotePrefix="1" applyFont="1" applyFill="1" applyAlignment="1">
      <alignment horizontal="left" vertical="top" wrapText="1"/>
    </xf>
    <xf numFmtId="0" fontId="10" fillId="43" borderId="0" xfId="0" applyFont="1" applyFill="1" applyAlignment="1">
      <alignment horizontal="left" vertical="top" wrapText="1"/>
    </xf>
    <xf numFmtId="0" fontId="4" fillId="43" borderId="12" xfId="0" applyFont="1" applyFill="1" applyBorder="1" applyAlignment="1">
      <alignment horizontal="left" vertical="top" wrapText="1"/>
    </xf>
    <xf numFmtId="0" fontId="2" fillId="43" borderId="26" xfId="0" applyFont="1" applyFill="1" applyBorder="1" applyAlignment="1">
      <alignment horizontal="left" vertical="top" wrapText="1"/>
    </xf>
    <xf numFmtId="0" fontId="2" fillId="43" borderId="12" xfId="0" applyFont="1" applyFill="1" applyBorder="1" applyAlignment="1">
      <alignment horizontal="left" vertical="top" wrapText="1"/>
    </xf>
    <xf numFmtId="0" fontId="2" fillId="43" borderId="0" xfId="0" applyFont="1" applyFill="1" applyAlignment="1">
      <alignment horizontal="left" vertical="top"/>
    </xf>
    <xf numFmtId="0" fontId="2" fillId="43" borderId="14" xfId="0" applyFont="1" applyFill="1" applyBorder="1" applyAlignment="1">
      <alignment horizontal="left" vertical="top" wrapText="1"/>
    </xf>
    <xf numFmtId="0" fontId="2" fillId="43" borderId="15" xfId="0" applyFont="1" applyFill="1" applyBorder="1" applyAlignment="1">
      <alignment horizontal="left" vertical="top" wrapText="1"/>
    </xf>
    <xf numFmtId="0" fontId="2" fillId="43" borderId="16" xfId="0" applyFont="1" applyFill="1" applyBorder="1" applyAlignment="1">
      <alignment horizontal="left" vertical="top" wrapText="1"/>
    </xf>
    <xf numFmtId="0" fontId="57" fillId="43" borderId="15" xfId="0" applyFont="1" applyFill="1" applyBorder="1" applyAlignment="1">
      <alignment horizontal="left" vertical="top" wrapText="1"/>
    </xf>
    <xf numFmtId="0" fontId="2" fillId="43" borderId="22" xfId="0" applyFont="1" applyFill="1" applyBorder="1" applyAlignment="1">
      <alignment horizontal="left" vertical="top" wrapText="1"/>
    </xf>
    <xf numFmtId="0" fontId="4" fillId="43" borderId="0" xfId="0" applyFont="1" applyFill="1" applyAlignment="1">
      <alignment horizontal="left" vertical="top"/>
    </xf>
    <xf numFmtId="0" fontId="2" fillId="41" borderId="14" xfId="0" applyFont="1" applyFill="1" applyBorder="1" applyAlignment="1">
      <alignment horizontal="left" vertical="top"/>
    </xf>
    <xf numFmtId="0" fontId="4" fillId="25" borderId="19" xfId="0" applyFont="1" applyFill="1" applyBorder="1" applyAlignment="1">
      <alignment horizontal="left" vertical="top" wrapText="1"/>
    </xf>
    <xf numFmtId="0" fontId="4" fillId="25" borderId="63" xfId="0" applyFont="1" applyFill="1" applyBorder="1" applyAlignment="1">
      <alignment horizontal="left" vertical="top"/>
    </xf>
    <xf numFmtId="0" fontId="3" fillId="26" borderId="0" xfId="0" applyFont="1" applyFill="1" applyAlignment="1">
      <alignment horizontal="left" vertical="top"/>
    </xf>
    <xf numFmtId="0" fontId="10" fillId="41" borderId="0" xfId="0" applyFont="1" applyFill="1" applyAlignment="1">
      <alignment horizontal="left" vertical="top" wrapText="1"/>
    </xf>
    <xf numFmtId="0" fontId="35" fillId="25" borderId="12" xfId="0" applyFont="1" applyFill="1" applyBorder="1" applyAlignment="1">
      <alignment horizontal="left" vertical="top" wrapText="1"/>
    </xf>
    <xf numFmtId="0" fontId="2" fillId="25" borderId="63" xfId="0" applyFont="1" applyFill="1" applyBorder="1" applyAlignment="1">
      <alignment horizontal="left" vertical="top" wrapText="1"/>
    </xf>
    <xf numFmtId="0" fontId="35" fillId="25" borderId="0" xfId="0" applyFont="1" applyFill="1" applyAlignment="1">
      <alignment horizontal="left" vertical="top"/>
    </xf>
    <xf numFmtId="0" fontId="2" fillId="25" borderId="26" xfId="0" applyFont="1" applyFill="1" applyBorder="1" applyAlignment="1">
      <alignment horizontal="left" vertical="top"/>
    </xf>
    <xf numFmtId="0" fontId="4" fillId="25" borderId="18" xfId="0" applyFont="1" applyFill="1" applyBorder="1" applyAlignment="1">
      <alignment horizontal="left" vertical="top"/>
    </xf>
    <xf numFmtId="0" fontId="10" fillId="25" borderId="17" xfId="0" applyFont="1" applyFill="1" applyBorder="1" applyAlignment="1">
      <alignment horizontal="left" vertical="top" wrapText="1"/>
    </xf>
    <xf numFmtId="0" fontId="10" fillId="25" borderId="15" xfId="0" applyFont="1" applyFill="1" applyBorder="1" applyAlignment="1">
      <alignment horizontal="left" vertical="top"/>
    </xf>
    <xf numFmtId="0" fontId="10" fillId="25" borderId="15" xfId="0" applyFont="1" applyFill="1" applyBorder="1" applyAlignment="1">
      <alignment horizontal="left" vertical="top" wrapText="1"/>
    </xf>
    <xf numFmtId="0" fontId="10" fillId="51" borderId="15" xfId="0" applyFont="1" applyFill="1" applyBorder="1" applyAlignment="1">
      <alignment horizontal="left" vertical="top" wrapText="1"/>
    </xf>
    <xf numFmtId="0" fontId="48" fillId="34" borderId="84" xfId="0" applyFont="1" applyFill="1" applyBorder="1" applyAlignment="1">
      <alignment horizontal="left" vertical="top" wrapText="1"/>
    </xf>
    <xf numFmtId="0" fontId="2" fillId="25" borderId="111" xfId="0" applyFont="1" applyFill="1" applyBorder="1" applyAlignment="1">
      <alignment horizontal="left" vertical="top"/>
    </xf>
    <xf numFmtId="0" fontId="2" fillId="25" borderId="13" xfId="0" applyFont="1" applyFill="1" applyBorder="1" applyAlignment="1">
      <alignment horizontal="left" vertical="top"/>
    </xf>
    <xf numFmtId="0" fontId="2" fillId="25" borderId="70" xfId="0" applyFont="1" applyFill="1" applyBorder="1" applyAlignment="1">
      <alignment horizontal="left" vertical="top"/>
    </xf>
    <xf numFmtId="0" fontId="4" fillId="43" borderId="26" xfId="0" applyFont="1" applyFill="1" applyBorder="1" applyAlignment="1">
      <alignment horizontal="left" vertical="top" wrapText="1"/>
    </xf>
    <xf numFmtId="0" fontId="4" fillId="0" borderId="12" xfId="0" applyFont="1" applyBorder="1" applyAlignment="1">
      <alignment horizontal="left" vertical="top"/>
    </xf>
    <xf numFmtId="0" fontId="0" fillId="24" borderId="0" xfId="0" applyFill="1" applyAlignment="1">
      <alignment horizontal="left" vertical="top"/>
    </xf>
    <xf numFmtId="0" fontId="2" fillId="24" borderId="0" xfId="0" applyFont="1" applyFill="1" applyAlignment="1">
      <alignment horizontal="left" vertical="top"/>
    </xf>
    <xf numFmtId="0" fontId="2" fillId="39" borderId="0" xfId="0" applyFont="1" applyFill="1" applyAlignment="1">
      <alignment horizontal="left" vertical="top"/>
    </xf>
    <xf numFmtId="0" fontId="43" fillId="26" borderId="0" xfId="0" applyFont="1" applyFill="1" applyAlignment="1">
      <alignment horizontal="left" vertical="top"/>
    </xf>
    <xf numFmtId="0" fontId="44" fillId="24" borderId="0" xfId="0" applyFont="1" applyFill="1" applyAlignment="1">
      <alignment horizontal="left" vertical="top"/>
    </xf>
    <xf numFmtId="0" fontId="0" fillId="39" borderId="13" xfId="0" applyFill="1" applyBorder="1" applyAlignment="1">
      <alignment horizontal="left" vertical="top" wrapText="1"/>
    </xf>
    <xf numFmtId="0" fontId="27" fillId="39" borderId="13" xfId="0" applyFont="1" applyFill="1" applyBorder="1" applyAlignment="1">
      <alignment horizontal="left" vertical="top" wrapText="1"/>
    </xf>
    <xf numFmtId="0" fontId="0" fillId="44" borderId="13" xfId="0" applyFill="1" applyBorder="1" applyAlignment="1">
      <alignment horizontal="left" vertical="top" wrapText="1"/>
    </xf>
    <xf numFmtId="0" fontId="2" fillId="39" borderId="13" xfId="0" applyFont="1" applyFill="1" applyBorder="1" applyAlignment="1">
      <alignment horizontal="left" vertical="top" wrapText="1"/>
    </xf>
    <xf numFmtId="0" fontId="0" fillId="39" borderId="13" xfId="0" applyFill="1" applyBorder="1" applyAlignment="1">
      <alignment horizontal="left" vertical="top"/>
    </xf>
    <xf numFmtId="0" fontId="40" fillId="39" borderId="13" xfId="0" applyFont="1" applyFill="1" applyBorder="1" applyAlignment="1">
      <alignment horizontal="left" vertical="top"/>
    </xf>
    <xf numFmtId="0" fontId="2" fillId="39" borderId="13" xfId="0" applyFont="1" applyFill="1" applyBorder="1" applyAlignment="1">
      <alignment horizontal="left" vertical="top"/>
    </xf>
    <xf numFmtId="0" fontId="4" fillId="52" borderId="11" xfId="0" applyFont="1" applyFill="1" applyBorder="1" applyAlignment="1">
      <alignment horizontal="left" vertical="top" wrapText="1"/>
    </xf>
    <xf numFmtId="0" fontId="91" fillId="55" borderId="0" xfId="0" applyFont="1" applyFill="1" applyAlignment="1">
      <alignment vertical="center" wrapText="1"/>
    </xf>
    <xf numFmtId="0" fontId="92" fillId="55" borderId="0" xfId="0" applyFont="1" applyFill="1" applyAlignment="1">
      <alignment vertical="center" wrapText="1"/>
    </xf>
    <xf numFmtId="0" fontId="92" fillId="55" borderId="117" xfId="0" applyFont="1" applyFill="1" applyBorder="1" applyAlignment="1">
      <alignment vertical="center" wrapText="1"/>
    </xf>
    <xf numFmtId="0" fontId="96" fillId="55" borderId="0" xfId="0" applyFont="1" applyFill="1" applyAlignment="1">
      <alignment vertical="center" wrapText="1"/>
    </xf>
    <xf numFmtId="0" fontId="97" fillId="55" borderId="0" xfId="0" applyFont="1" applyFill="1" applyAlignment="1">
      <alignment vertical="center" wrapText="1"/>
    </xf>
    <xf numFmtId="0" fontId="94" fillId="0" borderId="117" xfId="0" applyFont="1" applyBorder="1" applyAlignment="1">
      <alignment vertical="center" wrapText="1"/>
    </xf>
    <xf numFmtId="0" fontId="92" fillId="55" borderId="67" xfId="0" applyFont="1" applyFill="1" applyBorder="1" applyAlignment="1">
      <alignment vertical="center" wrapText="1"/>
    </xf>
    <xf numFmtId="0" fontId="98" fillId="55" borderId="85" xfId="0" applyFont="1" applyFill="1" applyBorder="1" applyAlignment="1">
      <alignment vertical="center" wrapText="1"/>
    </xf>
    <xf numFmtId="0" fontId="92" fillId="55" borderId="40" xfId="0" applyFont="1" applyFill="1" applyBorder="1" applyAlignment="1">
      <alignment vertical="center" wrapText="1"/>
    </xf>
    <xf numFmtId="0" fontId="99" fillId="58" borderId="0" xfId="0" applyFont="1" applyFill="1" applyAlignment="1">
      <alignment vertical="center" wrapText="1"/>
    </xf>
    <xf numFmtId="0" fontId="100" fillId="55" borderId="85" xfId="0" applyFont="1" applyFill="1" applyBorder="1" applyAlignment="1">
      <alignment vertical="center" wrapText="1"/>
    </xf>
    <xf numFmtId="0" fontId="100" fillId="55" borderId="40" xfId="0" applyFont="1" applyFill="1" applyBorder="1" applyAlignment="1">
      <alignment vertical="center" wrapText="1"/>
    </xf>
    <xf numFmtId="0" fontId="100" fillId="55" borderId="86" xfId="0" applyFont="1" applyFill="1" applyBorder="1" applyAlignment="1">
      <alignment vertical="center" wrapText="1"/>
    </xf>
    <xf numFmtId="0" fontId="100" fillId="55" borderId="41" xfId="0" applyFont="1" applyFill="1" applyBorder="1" applyAlignment="1">
      <alignment vertical="center" wrapText="1"/>
    </xf>
    <xf numFmtId="0" fontId="101" fillId="55" borderId="85" xfId="0" applyFont="1" applyFill="1" applyBorder="1" applyAlignment="1">
      <alignment vertical="center" wrapText="1"/>
    </xf>
    <xf numFmtId="0" fontId="100" fillId="55" borderId="84" xfId="0" applyFont="1" applyFill="1" applyBorder="1" applyAlignment="1">
      <alignment vertical="center"/>
    </xf>
    <xf numFmtId="0" fontId="91" fillId="55" borderId="40" xfId="0" applyFont="1" applyFill="1" applyBorder="1" applyAlignment="1">
      <alignment vertical="center" wrapText="1"/>
    </xf>
    <xf numFmtId="0" fontId="93" fillId="55" borderId="68" xfId="0" applyFont="1" applyFill="1" applyBorder="1" applyAlignment="1">
      <alignment vertical="center" wrapText="1"/>
    </xf>
    <xf numFmtId="0" fontId="92" fillId="55" borderId="110" xfId="0" applyFont="1" applyFill="1" applyBorder="1" applyAlignment="1">
      <alignment vertical="center"/>
    </xf>
    <xf numFmtId="0" fontId="92" fillId="59" borderId="0" xfId="0" applyFont="1" applyFill="1" applyAlignment="1">
      <alignment vertical="center" wrapText="1"/>
    </xf>
    <xf numFmtId="0" fontId="91" fillId="59" borderId="0" xfId="0" applyFont="1" applyFill="1" applyAlignment="1">
      <alignment vertical="center" wrapText="1"/>
    </xf>
    <xf numFmtId="0" fontId="100" fillId="59" borderId="85" xfId="0" applyFont="1" applyFill="1" applyBorder="1" applyAlignment="1">
      <alignment vertical="center" wrapText="1"/>
    </xf>
    <xf numFmtId="0" fontId="94" fillId="0" borderId="0" xfId="0" applyFont="1" applyAlignment="1">
      <alignment vertical="center"/>
    </xf>
    <xf numFmtId="0" fontId="94" fillId="0" borderId="69" xfId="0" applyFont="1" applyBorder="1" applyAlignment="1">
      <alignment vertical="center"/>
    </xf>
    <xf numFmtId="0" fontId="100" fillId="59" borderId="40" xfId="0" applyFont="1" applyFill="1" applyBorder="1" applyAlignment="1">
      <alignment vertical="center" wrapText="1"/>
    </xf>
    <xf numFmtId="0" fontId="94" fillId="0" borderId="0" xfId="0" applyFont="1"/>
    <xf numFmtId="0" fontId="98" fillId="55" borderId="40" xfId="0" applyFont="1" applyFill="1" applyBorder="1" applyAlignment="1">
      <alignment vertical="center" wrapText="1"/>
    </xf>
    <xf numFmtId="0" fontId="100" fillId="55" borderId="67" xfId="0" applyFont="1" applyFill="1" applyBorder="1" applyAlignment="1">
      <alignment vertical="center"/>
    </xf>
    <xf numFmtId="0" fontId="100" fillId="55" borderId="0" xfId="0" applyFont="1" applyFill="1" applyAlignment="1">
      <alignment vertical="center"/>
    </xf>
    <xf numFmtId="0" fontId="92" fillId="55" borderId="0" xfId="0" applyFont="1" applyFill="1" applyAlignment="1">
      <alignment vertical="center"/>
    </xf>
    <xf numFmtId="0" fontId="96" fillId="55" borderId="0" xfId="0" applyFont="1" applyFill="1" applyAlignment="1">
      <alignment vertical="center"/>
    </xf>
    <xf numFmtId="0" fontId="93" fillId="60" borderId="67" xfId="0" applyFont="1" applyFill="1" applyBorder="1" applyAlignment="1">
      <alignment vertical="center" wrapText="1"/>
    </xf>
    <xf numFmtId="0" fontId="102" fillId="59" borderId="40" xfId="0" applyFont="1" applyFill="1" applyBorder="1" applyAlignment="1">
      <alignment vertical="center"/>
    </xf>
    <xf numFmtId="0" fontId="98" fillId="59" borderId="40" xfId="0" applyFont="1" applyFill="1" applyBorder="1" applyAlignment="1">
      <alignment vertical="center" wrapText="1"/>
    </xf>
    <xf numFmtId="0" fontId="92" fillId="59" borderId="40" xfId="0" applyFont="1" applyFill="1" applyBorder="1" applyAlignment="1">
      <alignment vertical="center" wrapText="1"/>
    </xf>
    <xf numFmtId="0" fontId="100" fillId="55" borderId="69" xfId="0" applyFont="1" applyFill="1" applyBorder="1" applyAlignment="1">
      <alignment vertical="center"/>
    </xf>
    <xf numFmtId="0" fontId="100" fillId="55" borderId="117" xfId="0" applyFont="1" applyFill="1" applyBorder="1" applyAlignment="1">
      <alignment vertical="center"/>
    </xf>
    <xf numFmtId="0" fontId="92" fillId="55" borderId="117" xfId="0" applyFont="1" applyFill="1" applyBorder="1" applyAlignment="1">
      <alignment vertical="center"/>
    </xf>
    <xf numFmtId="0" fontId="100" fillId="55" borderId="85" xfId="0" applyFont="1" applyFill="1" applyBorder="1" applyAlignment="1">
      <alignment vertical="center"/>
    </xf>
    <xf numFmtId="0" fontId="100" fillId="55" borderId="40" xfId="0" applyFont="1" applyFill="1" applyBorder="1" applyAlignment="1">
      <alignment vertical="center"/>
    </xf>
    <xf numFmtId="0" fontId="100" fillId="39" borderId="0" xfId="0" applyFont="1" applyFill="1" applyAlignment="1">
      <alignment vertical="center"/>
    </xf>
    <xf numFmtId="0" fontId="104" fillId="39" borderId="0" xfId="0" applyFont="1" applyFill="1" applyAlignment="1">
      <alignment vertical="center"/>
    </xf>
    <xf numFmtId="0" fontId="100" fillId="39" borderId="69" xfId="0" applyFont="1" applyFill="1" applyBorder="1" applyAlignment="1">
      <alignment vertical="center"/>
    </xf>
    <xf numFmtId="0" fontId="100" fillId="39" borderId="117" xfId="0" applyFont="1" applyFill="1" applyBorder="1" applyAlignment="1">
      <alignment vertical="center"/>
    </xf>
    <xf numFmtId="0" fontId="6" fillId="50" borderId="0" xfId="60" applyFill="1" applyAlignment="1" applyProtection="1">
      <alignment horizontal="left" vertical="top" wrapText="1"/>
    </xf>
  </cellXfs>
  <cellStyles count="83">
    <cellStyle name="20% - Accent1 2" xfId="1"/>
    <cellStyle name="20% - Accent2 2" xfId="2"/>
    <cellStyle name="20% - Accent3 2" xfId="3"/>
    <cellStyle name="20% - Accent4 2" xfId="4"/>
    <cellStyle name="20% - Accent5 2" xfId="5"/>
    <cellStyle name="20% - Accent6 2" xfId="6"/>
    <cellStyle name="20% - Akzent1" xfId="7"/>
    <cellStyle name="20% - Akzent2" xfId="8"/>
    <cellStyle name="20% - Akzent3" xfId="9"/>
    <cellStyle name="20% - Akzent4" xfId="10"/>
    <cellStyle name="20% - Akzent5" xfId="11"/>
    <cellStyle name="20% - Akzent6" xfId="12"/>
    <cellStyle name="40% - Accent1 2" xfId="13"/>
    <cellStyle name="40% - Accent2 2" xfId="14"/>
    <cellStyle name="40% - Accent3 2" xfId="15"/>
    <cellStyle name="40% - Accent4 2" xfId="16"/>
    <cellStyle name="40% - Accent5 2" xfId="17"/>
    <cellStyle name="40% - Accent6 2" xfId="18"/>
    <cellStyle name="40% - Akzent1" xfId="19"/>
    <cellStyle name="40% - Akzent2" xfId="20"/>
    <cellStyle name="40% - Akzent3" xfId="21"/>
    <cellStyle name="40% - Akzent4" xfId="22"/>
    <cellStyle name="40% - Akzent5" xfId="23"/>
    <cellStyle name="40% - Akzent6" xfId="24"/>
    <cellStyle name="5x indented GHG Textfiels" xfId="25"/>
    <cellStyle name="60% - Akzent1" xfId="26"/>
    <cellStyle name="60% - Akzent2" xfId="27"/>
    <cellStyle name="60% - Akzent3" xfId="28"/>
    <cellStyle name="60% - Akzent4" xfId="29"/>
    <cellStyle name="60% - Akzent5" xfId="30"/>
    <cellStyle name="60% - Akzent6" xfId="31"/>
    <cellStyle name="Accent1" xfId="32"/>
    <cellStyle name="Accent2" xfId="33"/>
    <cellStyle name="Accent3" xfId="34"/>
    <cellStyle name="Accent4" xfId="35"/>
    <cellStyle name="Accent5" xfId="36"/>
    <cellStyle name="Accent6" xfId="37"/>
    <cellStyle name="Akzent1" xfId="38"/>
    <cellStyle name="Akzent2" xfId="39"/>
    <cellStyle name="Akzent3" xfId="40"/>
    <cellStyle name="Akzent4" xfId="41"/>
    <cellStyle name="Akzent5" xfId="42"/>
    <cellStyle name="Akzent6" xfId="43"/>
    <cellStyle name="Ausgabe" xfId="44"/>
    <cellStyle name="Bad" xfId="45"/>
    <cellStyle name="Berechnung" xfId="46"/>
    <cellStyle name="Calculation" xfId="47"/>
    <cellStyle name="Check Cell" xfId="48"/>
    <cellStyle name="Eingabe" xfId="49"/>
    <cellStyle name="Ergebnis" xfId="50"/>
    <cellStyle name="Erklärender Text" xfId="51"/>
    <cellStyle name="Explanatory Text" xfId="52"/>
    <cellStyle name="Good" xfId="53"/>
    <cellStyle name="Gut" xfId="54"/>
    <cellStyle name="Heading 1" xfId="55"/>
    <cellStyle name="Heading 2" xfId="56"/>
    <cellStyle name="Heading 3" xfId="57"/>
    <cellStyle name="Heading 4" xfId="58"/>
    <cellStyle name="Hyperlink" xfId="60" builtinId="8"/>
    <cellStyle name="Input" xfId="59"/>
    <cellStyle name="Linked Cell" xfId="61"/>
    <cellStyle name="Neutral" xfId="62"/>
    <cellStyle name="Normal" xfId="0" builtinId="0"/>
    <cellStyle name="Note" xfId="63"/>
    <cellStyle name="Notiz" xfId="64"/>
    <cellStyle name="Output" xfId="65"/>
    <cellStyle name="Percent" xfId="66" builtinId="5"/>
    <cellStyle name="Schlecht" xfId="67"/>
    <cellStyle name="Standard 2" xfId="68"/>
    <cellStyle name="Standard 3" xfId="69"/>
    <cellStyle name="Standard_Outline NIMs template 10-09-30" xfId="70"/>
    <cellStyle name="Title" xfId="71"/>
    <cellStyle name="Total" xfId="72"/>
    <cellStyle name="Überschrift" xfId="73"/>
    <cellStyle name="Überschrift 1" xfId="74"/>
    <cellStyle name="Überschrift 2" xfId="75"/>
    <cellStyle name="Überschrift 3" xfId="76"/>
    <cellStyle name="Überschrift 4" xfId="77"/>
    <cellStyle name="Verknüpfte Zelle" xfId="78"/>
    <cellStyle name="Warnender Text" xfId="79"/>
    <cellStyle name="Warning Text" xfId="80"/>
    <cellStyle name="Zelle überprüfen" xfId="81"/>
    <cellStyle name="Обычный_CRF2002 (1)" xfId="82"/>
  </cellStyles>
  <dxfs count="351">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patternType="lightUp">
          <bgColor indexed="65"/>
        </patternFill>
      </fill>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rgb="FFFF0000"/>
      </font>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bgColor indexed="53"/>
        </patternFill>
      </fill>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ndense val="0"/>
        <extend val="0"/>
        <color indexed="10"/>
      </font>
    </dxf>
    <dxf>
      <font>
        <condense val="0"/>
        <extend val="0"/>
        <color indexed="10"/>
      </font>
    </dxf>
    <dxf>
      <fill>
        <patternFill patternType="lightUp">
          <bgColor indexed="9"/>
        </patternFill>
      </fill>
    </dxf>
    <dxf>
      <fill>
        <patternFill patternType="lightUp">
          <bgColor indexed="9"/>
        </patternFill>
      </fill>
    </dxf>
    <dxf>
      <fill>
        <patternFill patternType="lightUp">
          <bgColor indexed="9"/>
        </patternFill>
      </fill>
    </dxf>
    <dxf>
      <fill>
        <patternFill patternType="lightUp">
          <bgColor indexed="9"/>
        </patternFill>
      </fill>
    </dxf>
    <dxf>
      <fill>
        <patternFill patternType="lightUp">
          <bgColor indexed="9"/>
        </patternFill>
      </fill>
    </dxf>
    <dxf>
      <fill>
        <patternFill patternType="lightUp">
          <bgColor indexed="9"/>
        </patternFill>
      </fill>
    </dxf>
    <dxf>
      <fill>
        <patternFill patternType="lightUp">
          <bgColor indexed="9"/>
        </patternFill>
      </fill>
    </dxf>
    <dxf>
      <fill>
        <patternFill patternType="lightUp">
          <bgColor indexed="9"/>
        </patternFill>
      </fill>
    </dxf>
    <dxf>
      <fill>
        <patternFill patternType="lightUp">
          <bgColor indexed="9"/>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00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1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bgColor rgb="FFFF0000"/>
        </patternFill>
      </fill>
    </dxf>
    <dxf>
      <fill>
        <patternFill>
          <bgColor indexed="10"/>
        </patternFill>
      </fill>
    </dxf>
    <dxf>
      <font>
        <b/>
        <i val="0"/>
        <color rgb="FFFF0000"/>
      </font>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9"/>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ont>
        <b/>
        <i val="0"/>
        <condense val="0"/>
        <extend val="0"/>
        <color indexed="10"/>
      </font>
    </dxf>
    <dxf>
      <fill>
        <patternFill patternType="lightUp">
          <fgColor indexed="64"/>
          <bgColor indexed="65"/>
        </patternFill>
      </fill>
    </dxf>
    <dxf>
      <fill>
        <patternFill>
          <bgColor indexed="26"/>
        </patternFill>
      </fill>
    </dxf>
    <dxf>
      <font>
        <b/>
        <i val="0"/>
        <condense val="0"/>
        <extend val="0"/>
        <color indexed="10"/>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bgColor indexed="2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26"/>
        </patternFill>
      </fill>
    </dxf>
    <dxf>
      <fill>
        <patternFill>
          <bgColor indexed="13"/>
        </patternFill>
      </fill>
    </dxf>
    <dxf>
      <fill>
        <patternFill patternType="lightUp">
          <fgColor indexed="64"/>
          <bgColor indexed="9"/>
        </patternFill>
      </fill>
    </dxf>
    <dxf>
      <fill>
        <patternFill>
          <bgColor indexed="26"/>
        </patternFill>
      </fill>
    </dxf>
    <dxf>
      <fill>
        <patternFill patternType="lightUp">
          <fgColor indexed="64"/>
          <bgColor indexed="9"/>
        </patternFill>
      </fill>
    </dxf>
    <dxf>
      <fill>
        <patternFill>
          <bgColor indexed="2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E_Fall-backApproach"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Fall-backApproach"/>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https://ec.europa.eu/clima/policies/ets/allowances_en" TargetMode="External"/><Relationship Id="rId13" Type="http://schemas.openxmlformats.org/officeDocument/2006/relationships/printerSettings" Target="../printerSettings/printerSettings11.bin"/><Relationship Id="rId3" Type="http://schemas.openxmlformats.org/officeDocument/2006/relationships/hyperlink" Target="https://eur-lex.europa.eu/eli/reg/1987/2658/2023-06-17" TargetMode="External"/><Relationship Id="rId7" Type="http://schemas.openxmlformats.org/officeDocument/2006/relationships/hyperlink" Target="https://ec.europa.eu/clima/policies/ets/allowances_en" TargetMode="External"/><Relationship Id="rId12" Type="http://schemas.openxmlformats.org/officeDocument/2006/relationships/hyperlink" Target="https://ec.europa.eu/clima/policies/ets/allowances_en" TargetMode="External"/><Relationship Id="rId2" Type="http://schemas.openxmlformats.org/officeDocument/2006/relationships/hyperlink" Target="https://ec.europa.eu/clima/policies/ets/allowances_en" TargetMode="External"/><Relationship Id="rId1" Type="http://schemas.openxmlformats.org/officeDocument/2006/relationships/hyperlink" Target="https://eur-lex.europa.eu/eli/reg/2010/860/oj" TargetMode="External"/><Relationship Id="rId6" Type="http://schemas.openxmlformats.org/officeDocument/2006/relationships/hyperlink" Target="https://ec.europa.eu/clima/policies/ets/allowances_en" TargetMode="External"/><Relationship Id="rId11" Type="http://schemas.openxmlformats.org/officeDocument/2006/relationships/hyperlink" Target="https://ec.europa.eu/clima/policies/ets/allowances_en" TargetMode="External"/><Relationship Id="rId5" Type="http://schemas.openxmlformats.org/officeDocument/2006/relationships/hyperlink" Target="https://ec.europa.eu/clima/policies/ets/allowances_en" TargetMode="External"/><Relationship Id="rId15" Type="http://schemas.openxmlformats.org/officeDocument/2006/relationships/comments" Target="../comments2.xml"/><Relationship Id="rId10" Type="http://schemas.openxmlformats.org/officeDocument/2006/relationships/hyperlink" Target="https://ec.europa.eu/clima/policies/ets/allowances_en" TargetMode="External"/><Relationship Id="rId4" Type="http://schemas.openxmlformats.org/officeDocument/2006/relationships/hyperlink" Target="https://ec.europa.eu/clima/policies/ets/allowances_en" TargetMode="External"/><Relationship Id="rId9" Type="http://schemas.openxmlformats.org/officeDocument/2006/relationships/hyperlink" Target="https://ec.europa.eu/clima/policies/ets/allowances_en" TargetMode="External"/><Relationship Id="rId14"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3" Type="http://schemas.openxmlformats.org/officeDocument/2006/relationships/hyperlink" Target="https://eur-lex.europa.eu/eli/reg/1987/2658/2023-06-17" TargetMode="External"/><Relationship Id="rId2" Type="http://schemas.openxmlformats.org/officeDocument/2006/relationships/hyperlink" Target="https://ec.europa.eu/clima/policies/ets/allowances_en" TargetMode="External"/><Relationship Id="rId1" Type="http://schemas.openxmlformats.org/officeDocument/2006/relationships/hyperlink" Target="https://eur-lex.europa.eu/eli/reg/2010/860/oj"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file:///C:\Users\heller\AppData\Local\Microsoft\Windows\INetCache\Content.MSO\7060E76A.xls" TargetMode="External"/><Relationship Id="rId7" Type="http://schemas.openxmlformats.org/officeDocument/2006/relationships/hyperlink" Target="mailto:es.ets@kem.gov.lv" TargetMode="External"/><Relationship Id="rId2" Type="http://schemas.openxmlformats.org/officeDocument/2006/relationships/hyperlink" Target="file:///C:\Users\heller\AppData\Local\Microsoft\Windows\INetCache\Content.MSO\7060E76A.xls" TargetMode="External"/><Relationship Id="rId1" Type="http://schemas.openxmlformats.org/officeDocument/2006/relationships/hyperlink" Target="https://ec.europa.eu/info/law/better-regulation/initiatives/ares-2018-5486983_en" TargetMode="External"/><Relationship Id="rId6" Type="http://schemas.openxmlformats.org/officeDocument/2006/relationships/hyperlink" Target="https://www.kem.gov.lv/lv/eiropas-savienibas-emisiju-kvotu-tirdzniecibas-sistemas-4-periods" TargetMode="External"/><Relationship Id="rId5" Type="http://schemas.openxmlformats.org/officeDocument/2006/relationships/hyperlink" Target="https://eur-lex.europa.eu/eli/reg/1987/2658/2023-06-17" TargetMode="External"/><Relationship Id="rId4" Type="http://schemas.openxmlformats.org/officeDocument/2006/relationships/hyperlink" Target="https://eur-lex.europa.eu/eli/reg/2010/860/oj?locale=l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ec.europa.eu/clima/documentation/ets/docs/decision_benchmarking_15_dec_en.pdf." TargetMode="External"/><Relationship Id="rId7" Type="http://schemas.openxmlformats.org/officeDocument/2006/relationships/printerSettings" Target="../printerSettings/printerSettings2.bin"/><Relationship Id="rId2" Type="http://schemas.openxmlformats.org/officeDocument/2006/relationships/hyperlink" Target="http://ec.europa.eu/clima/policies/ets/index_en.htm" TargetMode="External"/><Relationship Id="rId1" Type="http://schemas.openxmlformats.org/officeDocument/2006/relationships/hyperlink" Target="http://eur-lex.europa.eu/en/index.htm" TargetMode="External"/><Relationship Id="rId6" Type="http://schemas.openxmlformats.org/officeDocument/2006/relationships/hyperlink" Target="http://data.europa.eu/eli/reg_del/2019/331/oj" TargetMode="External"/><Relationship Id="rId5" Type="http://schemas.openxmlformats.org/officeDocument/2006/relationships/hyperlink" Target="https://ec.europa.eu/info/law/better-regulation/initiatives/ares-2018-5486983_en" TargetMode="External"/><Relationship Id="rId4" Type="http://schemas.openxmlformats.org/officeDocument/2006/relationships/hyperlink" Target="https://eur-lex.europa.eu/eli/dir/2003/87/2023-06-0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ec.europa.eu/eurostat/ramon/nomenclatures/index.cfm?TargetUrl=LST_CLS_DLD&amp;StrNom=NACE_REV2&amp;StrLanguageCode=EN&amp;StrLayoutCode=HIERARCHIC"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ur-lex.europa.eu/eli/reg_del/2015/240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L71"/>
  <sheetViews>
    <sheetView zoomScaleNormal="100" workbookViewId="0">
      <pane ySplit="3" topLeftCell="A30" activePane="bottomLeft" state="frozen"/>
      <selection sqref="B2:D4"/>
      <selection pane="bottomLeft" activeCell="N68" sqref="N68"/>
    </sheetView>
  </sheetViews>
  <sheetFormatPr defaultRowHeight="12.75" x14ac:dyDescent="0.2"/>
  <cols>
    <col min="1" max="1" width="4.7109375" style="24" customWidth="1"/>
    <col min="2" max="3" width="4.7109375" style="216" customWidth="1"/>
    <col min="4" max="12" width="12.7109375" style="216" customWidth="1"/>
    <col min="13" max="256" width="11.42578125" style="216" customWidth="1"/>
    <col min="257" max="16384" width="9.140625" style="216"/>
  </cols>
  <sheetData>
    <row r="1" spans="1:12" ht="13.5" customHeight="1" thickBot="1" x14ac:dyDescent="0.25">
      <c r="A1" s="10" t="s">
        <v>80</v>
      </c>
      <c r="B1" s="789" t="str">
        <f>Translations!$B$2</f>
        <v>Navigācijas josla:</v>
      </c>
      <c r="C1" s="787"/>
      <c r="D1" s="787"/>
      <c r="E1" s="7"/>
      <c r="F1" s="7"/>
      <c r="G1" s="7"/>
      <c r="H1" s="7"/>
      <c r="I1" s="7" t="str">
        <f>Translations!$B$3</f>
        <v>Nākamā lapa</v>
      </c>
      <c r="J1" s="7"/>
      <c r="K1" s="7" t="str">
        <f>Translations!$B$4</f>
        <v>Kopsavilkums</v>
      </c>
      <c r="L1" s="7"/>
    </row>
    <row r="2" spans="1:12" x14ac:dyDescent="0.2">
      <c r="A2" s="9"/>
      <c r="B2" s="1242" t="str">
        <f>Translations!$B$5</f>
        <v>Lapas sākums</v>
      </c>
      <c r="C2" s="1243"/>
      <c r="D2" s="1244"/>
      <c r="E2" s="4"/>
      <c r="F2" s="3"/>
      <c r="G2" s="3"/>
      <c r="H2" s="3"/>
      <c r="I2" s="3"/>
      <c r="J2" s="3"/>
      <c r="K2" s="3"/>
      <c r="L2" s="3"/>
    </row>
    <row r="3" spans="1:12" ht="13.5" thickBot="1" x14ac:dyDescent="0.25">
      <c r="A3" s="8"/>
      <c r="B3" s="1245" t="str">
        <f>Translations!$B$6</f>
        <v>Lapas beigas</v>
      </c>
      <c r="C3" s="1246"/>
      <c r="D3" s="1247"/>
      <c r="E3" s="6"/>
      <c r="F3" s="5"/>
      <c r="G3" s="5"/>
      <c r="H3" s="5"/>
      <c r="I3" s="5"/>
      <c r="J3" s="5"/>
      <c r="K3" s="5"/>
      <c r="L3" s="5"/>
    </row>
    <row r="4" spans="1:12" x14ac:dyDescent="0.2">
      <c r="B4" s="372"/>
      <c r="E4" s="372"/>
    </row>
    <row r="5" spans="1:12" ht="35.25" customHeight="1" x14ac:dyDescent="0.4">
      <c r="B5" s="373" t="str">
        <f>Translations!$B$7</f>
        <v>ETS 4.perioda BĀZLĪNIJAS DATU ZIŅOJUMS</v>
      </c>
      <c r="E5" s="373"/>
    </row>
    <row r="6" spans="1:12" x14ac:dyDescent="0.2">
      <c r="B6" s="372"/>
      <c r="E6" s="372"/>
    </row>
    <row r="7" spans="1:12" ht="29.25" customHeight="1" x14ac:dyDescent="0.2">
      <c r="A7" s="381"/>
      <c r="B7" s="374" t="str">
        <f>Translations!$B$8</f>
        <v>SATURS</v>
      </c>
      <c r="C7" s="225"/>
      <c r="D7" s="225"/>
      <c r="E7" s="374"/>
      <c r="F7" s="374"/>
      <c r="G7" s="374"/>
      <c r="H7" s="374"/>
      <c r="I7" s="374"/>
      <c r="J7" s="374"/>
      <c r="K7" s="374"/>
      <c r="L7" s="374"/>
    </row>
    <row r="8" spans="1:12" x14ac:dyDescent="0.2">
      <c r="A8" s="421"/>
      <c r="B8" s="422"/>
      <c r="C8" s="18" t="str">
        <f>'b_Guidelines &amp; conditions'!B5</f>
        <v>VADLĪNIJAS UN NOSACĪJUMI</v>
      </c>
      <c r="D8" s="18"/>
      <c r="E8" s="1248"/>
      <c r="F8" s="1248"/>
      <c r="G8" s="1248"/>
      <c r="H8" s="1248"/>
      <c r="I8" s="1248"/>
      <c r="J8" s="1248"/>
      <c r="K8" s="1248"/>
      <c r="L8" s="44"/>
    </row>
    <row r="9" spans="1:12" x14ac:dyDescent="0.2">
      <c r="A9" s="370"/>
      <c r="B9" s="370" t="s">
        <v>252</v>
      </c>
      <c r="C9" s="16" t="str">
        <f>A_InstallationData!D6</f>
        <v>Lapa “InstallationData” — VISPĀRĪGA INFORMĀCIJA PAR OPERATORU, IEKĀRTĀM UN VERIFICĒTĀJU</v>
      </c>
      <c r="D9" s="16"/>
      <c r="E9" s="15"/>
      <c r="F9" s="15"/>
      <c r="G9" s="15"/>
      <c r="H9" s="15"/>
      <c r="I9" s="15"/>
      <c r="J9" s="15"/>
      <c r="K9" s="15"/>
      <c r="L9" s="44"/>
    </row>
    <row r="10" spans="1:12" x14ac:dyDescent="0.2">
      <c r="A10" s="423"/>
      <c r="B10" s="424" t="s">
        <v>391</v>
      </c>
      <c r="C10" s="18" t="str">
        <f>A_InstallationData!D8</f>
        <v>Iekārtas identifikācija</v>
      </c>
      <c r="D10" s="18"/>
      <c r="E10" s="11"/>
      <c r="F10" s="11"/>
      <c r="G10" s="11"/>
      <c r="H10" s="11"/>
      <c r="I10" s="11"/>
      <c r="J10" s="11"/>
      <c r="K10" s="384"/>
    </row>
    <row r="11" spans="1:12" x14ac:dyDescent="0.2">
      <c r="A11" s="423"/>
      <c r="B11" s="424" t="s">
        <v>338</v>
      </c>
      <c r="C11" s="18" t="str">
        <f>A_InstallationData!D173</f>
        <v>Informācija par šo bāzlīnijas datu ziņojumu un bezmaksas kvotu iedales nosacījumiem</v>
      </c>
      <c r="D11" s="18"/>
      <c r="E11" s="11"/>
      <c r="F11" s="11"/>
      <c r="G11" s="11"/>
      <c r="H11" s="11"/>
      <c r="I11" s="11"/>
      <c r="J11" s="11"/>
      <c r="K11" s="384"/>
    </row>
    <row r="12" spans="1:12" x14ac:dyDescent="0.2">
      <c r="A12" s="423"/>
      <c r="B12" s="424" t="s">
        <v>343</v>
      </c>
      <c r="C12" s="18" t="str">
        <f>A_InstallationData!D256</f>
        <v>Apakšiekārtu saraksts</v>
      </c>
      <c r="D12" s="18"/>
      <c r="E12" s="11"/>
      <c r="F12" s="11"/>
      <c r="G12" s="11"/>
      <c r="H12" s="11"/>
      <c r="I12" s="11"/>
      <c r="J12" s="11"/>
      <c r="K12" s="384"/>
    </row>
    <row r="13" spans="1:12" x14ac:dyDescent="0.2">
      <c r="A13" s="423"/>
      <c r="B13" s="424" t="s">
        <v>5</v>
      </c>
      <c r="C13" s="18" t="str">
        <f>A_InstallationData!D309</f>
        <v>Tehnisko savienojumu saraksts</v>
      </c>
      <c r="D13" s="18"/>
      <c r="E13" s="11"/>
      <c r="F13" s="11"/>
      <c r="G13" s="11"/>
      <c r="H13" s="11"/>
      <c r="I13" s="11"/>
      <c r="J13" s="11"/>
      <c r="K13" s="384"/>
    </row>
    <row r="14" spans="1:12" x14ac:dyDescent="0.2">
      <c r="A14" s="370"/>
      <c r="B14" s="370" t="s">
        <v>609</v>
      </c>
      <c r="C14" s="16" t="str">
        <f>'B+C_Emissions_Y1'!D6</f>
        <v>Lapa “Ikgadējie emisiju dati” par šo gadu:</v>
      </c>
      <c r="D14" s="16"/>
      <c r="E14" s="15"/>
      <c r="F14" s="15"/>
      <c r="G14" s="15"/>
      <c r="H14" s="15"/>
      <c r="I14" s="15"/>
      <c r="J14" s="15"/>
      <c r="K14" s="15"/>
      <c r="L14" s="44"/>
    </row>
    <row r="15" spans="1:12" x14ac:dyDescent="0.2">
      <c r="A15" s="423"/>
      <c r="B15" s="424"/>
      <c r="C15" s="13">
        <f>A_InstallationData!I252</f>
        <v>2019</v>
      </c>
      <c r="D15" s="13"/>
      <c r="E15" s="12"/>
      <c r="F15" s="12"/>
      <c r="G15" s="12"/>
      <c r="H15" s="12"/>
      <c r="I15" s="12"/>
      <c r="J15" s="12"/>
      <c r="K15" s="384"/>
    </row>
    <row r="16" spans="1:12" x14ac:dyDescent="0.2">
      <c r="A16" s="423"/>
      <c r="B16" s="424"/>
      <c r="C16" s="13">
        <f>A_InstallationData!J252</f>
        <v>2020</v>
      </c>
      <c r="D16" s="13"/>
      <c r="E16" s="12"/>
      <c r="F16" s="12"/>
      <c r="G16" s="12"/>
      <c r="H16" s="12"/>
      <c r="I16" s="12"/>
      <c r="J16" s="12"/>
      <c r="K16" s="384"/>
    </row>
    <row r="17" spans="1:12" x14ac:dyDescent="0.2">
      <c r="A17" s="423"/>
      <c r="B17" s="424"/>
      <c r="C17" s="13">
        <f>A_InstallationData!K252</f>
        <v>2021</v>
      </c>
      <c r="D17" s="13"/>
      <c r="E17" s="12"/>
      <c r="F17" s="12"/>
      <c r="G17" s="12"/>
      <c r="H17" s="12"/>
      <c r="I17" s="12"/>
      <c r="J17" s="12"/>
      <c r="K17" s="384"/>
    </row>
    <row r="18" spans="1:12" x14ac:dyDescent="0.2">
      <c r="A18" s="423"/>
      <c r="B18" s="424"/>
      <c r="C18" s="13">
        <f>A_InstallationData!L252</f>
        <v>2022</v>
      </c>
      <c r="D18" s="13"/>
      <c r="E18" s="12"/>
      <c r="F18" s="12"/>
      <c r="G18" s="12"/>
      <c r="H18" s="12"/>
      <c r="I18" s="12"/>
      <c r="J18" s="12"/>
      <c r="K18" s="384"/>
    </row>
    <row r="19" spans="1:12" x14ac:dyDescent="0.2">
      <c r="A19" s="423"/>
      <c r="B19" s="424"/>
      <c r="C19" s="13">
        <f>A_InstallationData!M252</f>
        <v>2023</v>
      </c>
      <c r="D19" s="13"/>
      <c r="E19" s="12"/>
      <c r="F19" s="12"/>
      <c r="G19" s="12"/>
      <c r="H19" s="12"/>
      <c r="I19" s="12"/>
      <c r="J19" s="12"/>
      <c r="K19" s="384"/>
    </row>
    <row r="20" spans="1:12" x14ac:dyDescent="0.2">
      <c r="A20" s="370"/>
      <c r="B20" s="370" t="s">
        <v>253</v>
      </c>
      <c r="C20" s="16" t="str">
        <f>D_Emissions!D6</f>
        <v>Lapa “Emissions” — EMISIJU ATTIECINĀŠANA</v>
      </c>
      <c r="D20" s="16"/>
      <c r="E20" s="15"/>
      <c r="F20" s="15"/>
      <c r="G20" s="15"/>
      <c r="H20" s="15"/>
      <c r="I20" s="15"/>
      <c r="J20" s="15"/>
      <c r="K20" s="15"/>
      <c r="L20" s="44"/>
    </row>
    <row r="21" spans="1:12" x14ac:dyDescent="0.2">
      <c r="A21" s="423"/>
      <c r="B21" s="424" t="s">
        <v>391</v>
      </c>
      <c r="C21" s="18" t="str">
        <f>D_Emissions!D8</f>
        <v>Kopējās tiešās siltumnīcefekta gāzu emisijas un enerģijas ielaide ar kurināmajiem</v>
      </c>
      <c r="D21" s="18"/>
      <c r="E21" s="17"/>
      <c r="F21" s="17"/>
      <c r="G21" s="17"/>
      <c r="H21" s="17"/>
      <c r="I21" s="17"/>
      <c r="J21" s="17"/>
      <c r="K21" s="384"/>
    </row>
    <row r="22" spans="1:12" x14ac:dyDescent="0.2">
      <c r="A22" s="423"/>
      <c r="B22" s="424" t="s">
        <v>338</v>
      </c>
      <c r="C22" s="18" t="str">
        <f>D_Emissions!D63</f>
        <v>Emisiju attiecināšana uz apakšiekārtām</v>
      </c>
      <c r="D22" s="18"/>
      <c r="E22" s="17"/>
      <c r="F22" s="17"/>
      <c r="G22" s="17"/>
      <c r="H22" s="17"/>
      <c r="I22" s="17"/>
      <c r="J22" s="17"/>
      <c r="K22" s="384"/>
    </row>
    <row r="23" spans="1:12" x14ac:dyDescent="0.2">
      <c r="A23" s="423"/>
      <c r="B23" s="424" t="s">
        <v>343</v>
      </c>
      <c r="C23" s="18" t="str">
        <f>D_Emissions!D76</f>
        <v>Koģenerācijas rīks</v>
      </c>
      <c r="D23" s="18"/>
      <c r="E23" s="17"/>
      <c r="F23" s="17"/>
      <c r="G23" s="17"/>
      <c r="H23" s="17"/>
      <c r="I23" s="17"/>
      <c r="J23" s="17"/>
      <c r="K23" s="384"/>
    </row>
    <row r="24" spans="1:12" x14ac:dyDescent="0.2">
      <c r="A24" s="423"/>
      <c r="B24" s="424" t="s">
        <v>5</v>
      </c>
      <c r="C24" s="18" t="str">
        <f>D_Emissions!D188</f>
        <v>Atlikumgāzu rīks</v>
      </c>
      <c r="D24" s="18"/>
      <c r="E24" s="17"/>
      <c r="F24" s="17"/>
      <c r="G24" s="17"/>
      <c r="H24" s="17"/>
      <c r="I24" s="17"/>
      <c r="J24" s="17"/>
      <c r="K24" s="384"/>
    </row>
    <row r="25" spans="1:12" x14ac:dyDescent="0.2">
      <c r="A25" s="370"/>
      <c r="B25" s="370" t="s">
        <v>254</v>
      </c>
      <c r="C25" s="16" t="str">
        <f>E_EnergyFlows!D6</f>
        <v>Lapa “EnergyFlows” — DATI PAR ENERĢIJAS IELAIDI, IZMĒRĀMO SILTUMU UN ELEKTROENERĢIJU</v>
      </c>
      <c r="D25" s="16"/>
      <c r="E25" s="15"/>
      <c r="F25" s="15"/>
      <c r="G25" s="15"/>
      <c r="H25" s="15"/>
      <c r="I25" s="15"/>
      <c r="J25" s="15"/>
      <c r="K25" s="15"/>
      <c r="L25" s="44"/>
    </row>
    <row r="26" spans="1:12" x14ac:dyDescent="0.2">
      <c r="A26" s="423"/>
      <c r="B26" s="424" t="s">
        <v>391</v>
      </c>
      <c r="C26" s="18" t="str">
        <f>E_EnergyFlows!D8</f>
        <v>Kopējā enerģijas ielaide</v>
      </c>
      <c r="D26" s="18"/>
      <c r="E26" s="17"/>
      <c r="F26" s="17"/>
      <c r="G26" s="17"/>
      <c r="H26" s="17"/>
      <c r="I26" s="17"/>
      <c r="J26" s="17"/>
      <c r="K26" s="384"/>
    </row>
    <row r="27" spans="1:12" x14ac:dyDescent="0.2">
      <c r="A27" s="423"/>
      <c r="B27" s="424" t="s">
        <v>338</v>
      </c>
      <c r="C27" s="18" t="str">
        <f>E_EnergyFlows!D61</f>
        <v>Izmērāmais siltums</v>
      </c>
      <c r="D27" s="18"/>
      <c r="E27" s="17"/>
      <c r="F27" s="17"/>
      <c r="G27" s="17"/>
      <c r="H27" s="17"/>
      <c r="I27" s="17"/>
      <c r="J27" s="17"/>
      <c r="K27" s="384"/>
    </row>
    <row r="28" spans="1:12" x14ac:dyDescent="0.2">
      <c r="A28" s="423"/>
      <c r="B28" s="424" t="s">
        <v>343</v>
      </c>
      <c r="C28" s="18" t="str">
        <f>E_EnergyFlows!D252</f>
        <v>Atlikumgāzu bilance</v>
      </c>
      <c r="D28" s="18"/>
      <c r="E28" s="17"/>
      <c r="F28" s="17"/>
      <c r="G28" s="17"/>
      <c r="H28" s="17"/>
      <c r="I28" s="17"/>
      <c r="J28" s="17"/>
      <c r="K28" s="384"/>
    </row>
    <row r="29" spans="1:12" x14ac:dyDescent="0.2">
      <c r="A29" s="423"/>
      <c r="B29" s="424" t="s">
        <v>5</v>
      </c>
      <c r="C29" s="18" t="str">
        <f>E_EnergyFlows!D366</f>
        <v>Elektroenerģija</v>
      </c>
      <c r="D29" s="18"/>
      <c r="E29" s="17"/>
      <c r="F29" s="17"/>
      <c r="G29" s="17"/>
      <c r="H29" s="17"/>
      <c r="I29" s="17"/>
      <c r="J29" s="17"/>
      <c r="K29" s="384"/>
    </row>
    <row r="30" spans="1:12" x14ac:dyDescent="0.2">
      <c r="A30" s="370"/>
      <c r="B30" s="370" t="s">
        <v>255</v>
      </c>
      <c r="C30" s="16" t="str">
        <f>F_ProductBM!D7</f>
        <v>Lapa “ProductBM” — APAKŠIEKĀRTU DATI, KAS SAISTĪTI AR PRODUKTU LĪMEŅATZĪMĒM</v>
      </c>
      <c r="D30" s="16"/>
      <c r="E30" s="15"/>
      <c r="F30" s="15"/>
      <c r="G30" s="15"/>
      <c r="H30" s="15"/>
      <c r="I30" s="15"/>
      <c r="J30" s="15"/>
      <c r="K30" s="15"/>
      <c r="L30" s="44"/>
    </row>
    <row r="31" spans="1:12" x14ac:dyDescent="0.2">
      <c r="A31" s="423"/>
      <c r="B31" s="424" t="s">
        <v>391</v>
      </c>
      <c r="C31" s="18" t="str">
        <f>F_ProductBM!D11</f>
        <v>Vēsturiskie darbības līmeņi un dezagregēti ražošanas dati</v>
      </c>
      <c r="D31" s="18"/>
      <c r="E31" s="17"/>
      <c r="F31" s="17"/>
      <c r="G31" s="17"/>
      <c r="H31" s="17"/>
      <c r="I31" s="17"/>
      <c r="J31" s="17"/>
      <c r="K31" s="384"/>
    </row>
    <row r="32" spans="1:12" x14ac:dyDescent="0.2">
      <c r="A32" s="370"/>
      <c r="B32" s="370" t="s">
        <v>256</v>
      </c>
      <c r="C32" s="16" t="str">
        <f>'G_Fall-back'!D7</f>
        <v>Lapa “Fall-back” — AR ALTERNATĪVAJĀM (FALL-BACK) APAKŠIEKĀRTĀM SAISTĪTIE APAKŠIEKĀRTU DATI</v>
      </c>
      <c r="D32" s="16"/>
      <c r="E32" s="15"/>
      <c r="F32" s="15"/>
      <c r="G32" s="15"/>
      <c r="H32" s="15"/>
      <c r="I32" s="15"/>
      <c r="J32" s="15"/>
      <c r="K32" s="15"/>
      <c r="L32" s="44"/>
    </row>
    <row r="33" spans="1:12" x14ac:dyDescent="0.2">
      <c r="A33" s="423"/>
      <c r="B33" s="424" t="s">
        <v>391</v>
      </c>
      <c r="C33" s="18" t="str">
        <f>'G_Fall-back'!D11</f>
        <v>Vēsturiskie darbības līmeņi un dezagregēti ražošanas dati</v>
      </c>
      <c r="D33" s="18"/>
      <c r="E33" s="17"/>
      <c r="F33" s="17"/>
      <c r="G33" s="17"/>
      <c r="H33" s="17"/>
      <c r="I33" s="17"/>
      <c r="J33" s="17"/>
      <c r="K33" s="384"/>
    </row>
    <row r="34" spans="1:12" x14ac:dyDescent="0.2">
      <c r="A34" s="370"/>
      <c r="B34" s="370" t="s">
        <v>257</v>
      </c>
      <c r="C34" s="16" t="str">
        <f>H_SpecialBM!D7</f>
        <v>Lapa “SpecialBM” — SPECIĀLI DATI PAR DAŽĀM PRODUKTU LĪMEŅATZĪMĒM</v>
      </c>
      <c r="D34" s="16"/>
      <c r="E34" s="11"/>
      <c r="F34" s="11"/>
      <c r="G34" s="11"/>
      <c r="H34" s="11"/>
      <c r="I34" s="11"/>
      <c r="J34" s="11"/>
      <c r="K34" s="11"/>
      <c r="L34" s="44"/>
    </row>
    <row r="35" spans="1:12" x14ac:dyDescent="0.2">
      <c r="A35" s="423"/>
      <c r="B35" s="424" t="s">
        <v>391</v>
      </c>
      <c r="C35" s="18" t="str">
        <f>H_SpecialBM!D9</f>
        <v>CWT (rafinētavu produkti)</v>
      </c>
      <c r="D35" s="18"/>
      <c r="E35" s="17"/>
      <c r="F35" s="17"/>
      <c r="G35" s="17"/>
      <c r="H35" s="17"/>
      <c r="I35" s="17"/>
      <c r="J35" s="17"/>
      <c r="K35" s="384"/>
    </row>
    <row r="36" spans="1:12" x14ac:dyDescent="0.2">
      <c r="A36" s="423"/>
      <c r="B36" s="424" t="s">
        <v>338</v>
      </c>
      <c r="C36" s="18" t="str">
        <f>H_SpecialBM!D99</f>
        <v>Kaļķi</v>
      </c>
      <c r="D36" s="18"/>
      <c r="E36" s="17"/>
      <c r="F36" s="17"/>
      <c r="G36" s="17"/>
      <c r="H36" s="17"/>
      <c r="I36" s="17"/>
      <c r="J36" s="17"/>
      <c r="K36" s="384"/>
    </row>
    <row r="37" spans="1:12" x14ac:dyDescent="0.2">
      <c r="A37" s="423"/>
      <c r="B37" s="424" t="s">
        <v>343</v>
      </c>
      <c r="C37" s="18" t="str">
        <f>H_SpecialBM!D131</f>
        <v>Dolomītkaļķi</v>
      </c>
      <c r="D37" s="18"/>
      <c r="E37" s="17"/>
      <c r="F37" s="17"/>
      <c r="G37" s="17"/>
      <c r="H37" s="17"/>
      <c r="I37" s="17"/>
      <c r="J37" s="17"/>
      <c r="K37" s="384"/>
    </row>
    <row r="38" spans="1:12" x14ac:dyDescent="0.2">
      <c r="A38" s="423"/>
      <c r="B38" s="424" t="s">
        <v>5</v>
      </c>
      <c r="C38" s="18" t="str">
        <f>H_SpecialBM!D165</f>
        <v>Tvaika krekings</v>
      </c>
      <c r="D38" s="18"/>
      <c r="E38" s="17"/>
      <c r="F38" s="17"/>
      <c r="G38" s="17"/>
      <c r="H38" s="17"/>
      <c r="I38" s="17"/>
      <c r="J38" s="17"/>
      <c r="K38" s="384"/>
    </row>
    <row r="39" spans="1:12" x14ac:dyDescent="0.2">
      <c r="A39" s="423"/>
      <c r="B39" s="424" t="s">
        <v>244</v>
      </c>
      <c r="C39" s="18" t="str">
        <f>H_SpecialBM!D217</f>
        <v>CWT (aromātiskie savienojumi)</v>
      </c>
      <c r="D39" s="18"/>
      <c r="E39" s="17"/>
      <c r="F39" s="17"/>
      <c r="G39" s="17"/>
      <c r="H39" s="17"/>
      <c r="I39" s="17"/>
      <c r="J39" s="17"/>
      <c r="K39" s="384"/>
    </row>
    <row r="40" spans="1:12" x14ac:dyDescent="0.2">
      <c r="A40" s="423"/>
      <c r="B40" s="424" t="s">
        <v>14</v>
      </c>
      <c r="C40" s="18" t="str">
        <f>H_SpecialBM!D257</f>
        <v>Ūdeņradis</v>
      </c>
      <c r="D40" s="18"/>
      <c r="E40" s="17"/>
      <c r="F40" s="17"/>
      <c r="G40" s="17"/>
      <c r="H40" s="17"/>
      <c r="I40" s="17"/>
      <c r="J40" s="17"/>
      <c r="K40" s="384"/>
    </row>
    <row r="41" spans="1:12" x14ac:dyDescent="0.2">
      <c r="A41" s="423"/>
      <c r="B41" s="424" t="s">
        <v>367</v>
      </c>
      <c r="C41" s="18" t="str">
        <f>H_SpecialBM!D309</f>
        <v>Sintēzes gāze</v>
      </c>
      <c r="D41" s="18"/>
      <c r="E41" s="17"/>
      <c r="F41" s="17"/>
      <c r="G41" s="17"/>
      <c r="H41" s="17"/>
      <c r="I41" s="17"/>
      <c r="J41" s="17"/>
      <c r="K41" s="384"/>
    </row>
    <row r="42" spans="1:12" x14ac:dyDescent="0.2">
      <c r="A42" s="423"/>
      <c r="B42" s="424" t="s">
        <v>368</v>
      </c>
      <c r="C42" s="18" t="str">
        <f>H_SpecialBM!D342</f>
        <v>Etilēnoksīds/etilēnglikoli</v>
      </c>
      <c r="D42" s="18"/>
      <c r="E42" s="17"/>
      <c r="F42" s="17"/>
      <c r="G42" s="17"/>
      <c r="H42" s="17"/>
      <c r="I42" s="17"/>
      <c r="J42" s="17"/>
      <c r="K42" s="384"/>
    </row>
    <row r="43" spans="1:12" x14ac:dyDescent="0.2">
      <c r="A43" s="423"/>
      <c r="B43" s="424" t="s">
        <v>75</v>
      </c>
      <c r="C43" s="18" t="str">
        <f>H_SpecialBM!D371</f>
        <v>Vinilhlorīda monomērs (VCM)</v>
      </c>
      <c r="D43" s="18"/>
      <c r="E43" s="17"/>
      <c r="F43" s="17"/>
      <c r="G43" s="17"/>
      <c r="H43" s="17"/>
      <c r="I43" s="17"/>
      <c r="J43" s="17"/>
      <c r="K43" s="384"/>
    </row>
    <row r="44" spans="1:12" x14ac:dyDescent="0.2">
      <c r="A44" s="370"/>
      <c r="B44" s="370" t="s">
        <v>258</v>
      </c>
      <c r="C44" s="16" t="str">
        <f>I_MSspecific!C5</f>
        <v>Lapa “MSspecific” — DALĪBVALSTS PAPILDU DATU PRASĪBAS</v>
      </c>
      <c r="D44" s="16"/>
      <c r="E44" s="15"/>
      <c r="F44" s="15"/>
      <c r="G44" s="15"/>
      <c r="H44" s="15"/>
      <c r="I44" s="15"/>
      <c r="J44" s="15"/>
      <c r="K44" s="15"/>
      <c r="L44" s="44"/>
    </row>
    <row r="45" spans="1:12" x14ac:dyDescent="0.2">
      <c r="A45" s="423"/>
      <c r="B45" s="424" t="s">
        <v>391</v>
      </c>
      <c r="C45" s="18" t="str">
        <f>I_MSspecific!C7</f>
        <v>Nosaka dalībvalsts</v>
      </c>
      <c r="D45" s="18"/>
      <c r="E45" s="17"/>
      <c r="F45" s="17"/>
      <c r="G45" s="17"/>
      <c r="H45" s="17"/>
      <c r="I45" s="17"/>
      <c r="J45" s="17"/>
      <c r="K45" s="384"/>
    </row>
    <row r="46" spans="1:12" x14ac:dyDescent="0.2">
      <c r="A46" s="370"/>
      <c r="B46" s="370" t="s">
        <v>259</v>
      </c>
      <c r="C46" s="16" t="str">
        <f>J_Comments!C5</f>
        <v>Lapa “Comments” — KOMENTĀRI UN SĪKĀKA INFORMĀCIJA</v>
      </c>
      <c r="D46" s="16"/>
      <c r="E46" s="15"/>
      <c r="F46" s="15"/>
      <c r="G46" s="15"/>
      <c r="H46" s="15"/>
      <c r="I46" s="15"/>
      <c r="J46" s="15"/>
      <c r="K46" s="15"/>
      <c r="L46" s="44"/>
    </row>
    <row r="47" spans="1:12" x14ac:dyDescent="0.2">
      <c r="A47" s="423"/>
      <c r="B47" s="424" t="s">
        <v>391</v>
      </c>
      <c r="C47" s="18" t="str">
        <f>J_Comments!C7</f>
        <v>Ziņojumam pievienotie apliecinošie dokumenti</v>
      </c>
      <c r="D47" s="18"/>
      <c r="E47" s="17"/>
      <c r="F47" s="17"/>
      <c r="G47" s="17"/>
      <c r="H47" s="17"/>
      <c r="I47" s="17"/>
      <c r="J47" s="17"/>
      <c r="K47" s="384"/>
    </row>
    <row r="48" spans="1:12" x14ac:dyDescent="0.2">
      <c r="A48" s="423"/>
      <c r="B48" s="424" t="s">
        <v>338</v>
      </c>
      <c r="C48" s="18" t="str">
        <f>J_Comments!C57</f>
        <v>Brīva vieta papildu informācijai</v>
      </c>
      <c r="D48" s="18"/>
      <c r="E48" s="17"/>
      <c r="F48" s="17"/>
      <c r="G48" s="17"/>
      <c r="H48" s="17"/>
      <c r="I48" s="17"/>
      <c r="J48" s="17"/>
      <c r="K48" s="384"/>
    </row>
    <row r="49" spans="1:12" x14ac:dyDescent="0.2">
      <c r="A49" s="370"/>
      <c r="B49" s="370" t="s">
        <v>91</v>
      </c>
      <c r="C49" s="16" t="str">
        <f>K_Summary!D6</f>
        <v>Lapa “Summary” — PĀRSKATS PAR SVARĪGĀKAJIEM DATIEM</v>
      </c>
      <c r="D49" s="16"/>
      <c r="E49" s="15"/>
      <c r="F49" s="15"/>
      <c r="G49" s="15"/>
      <c r="H49" s="15"/>
      <c r="I49" s="15"/>
      <c r="J49" s="15"/>
      <c r="K49" s="15"/>
      <c r="L49" s="44"/>
    </row>
    <row r="50" spans="1:12" x14ac:dyDescent="0.2">
      <c r="A50" s="423"/>
      <c r="B50" s="424" t="s">
        <v>391</v>
      </c>
      <c r="C50" s="18" t="str">
        <f>K_Summary!D8</f>
        <v>Dati par iekārtu</v>
      </c>
      <c r="D50" s="18"/>
      <c r="E50" s="18"/>
      <c r="F50" s="18"/>
      <c r="G50" s="18"/>
      <c r="H50" s="18"/>
      <c r="I50" s="18"/>
      <c r="J50" s="18"/>
      <c r="K50" s="384"/>
    </row>
    <row r="51" spans="1:12" x14ac:dyDescent="0.2">
      <c r="A51" s="423"/>
      <c r="B51" s="424" t="s">
        <v>338</v>
      </c>
      <c r="C51" s="14" t="str">
        <f>K_Summary!D44</f>
        <v>Bāzlīnijas periods un tiesības uz bezmaksas kvotu iedali</v>
      </c>
      <c r="D51" s="14"/>
      <c r="E51" s="14"/>
      <c r="F51" s="14"/>
      <c r="G51" s="14"/>
      <c r="H51" s="14"/>
      <c r="I51" s="14"/>
      <c r="J51" s="14"/>
      <c r="K51" s="384"/>
    </row>
    <row r="52" spans="1:12" x14ac:dyDescent="0.2">
      <c r="A52" s="423"/>
      <c r="B52" s="424" t="s">
        <v>343</v>
      </c>
      <c r="C52" s="14" t="str">
        <f>K_Summary!D79</f>
        <v>Emisijas un enerģijas plūsmas</v>
      </c>
      <c r="D52" s="14"/>
      <c r="E52" s="14"/>
      <c r="F52" s="14"/>
      <c r="G52" s="14"/>
      <c r="H52" s="14"/>
      <c r="I52" s="14"/>
      <c r="J52" s="14"/>
      <c r="K52" s="384"/>
    </row>
    <row r="53" spans="1:12" x14ac:dyDescent="0.2">
      <c r="A53" s="423"/>
      <c r="B53" s="424" t="s">
        <v>5</v>
      </c>
      <c r="C53" s="14" t="str">
        <f>K_Summary!D484</f>
        <v>Apakšiekārtu dati, kas ir relevanti iedales un līmeņatzīmju atjaunināšanas vajadzībām</v>
      </c>
      <c r="D53" s="14"/>
      <c r="E53" s="14"/>
      <c r="F53" s="14"/>
      <c r="G53" s="14"/>
      <c r="H53" s="14"/>
      <c r="I53" s="14"/>
      <c r="J53" s="14"/>
      <c r="K53" s="384"/>
    </row>
    <row r="54" spans="1:12" x14ac:dyDescent="0.2">
      <c r="A54" s="423"/>
      <c r="B54" s="424" t="s">
        <v>244</v>
      </c>
      <c r="C54" s="14" t="str">
        <f>K_Summary!D1538</f>
        <v>Aprēķins par provizorisko ikgadējo kvotu daudzumu, ko iedala bez maksas</v>
      </c>
      <c r="D54" s="14"/>
      <c r="E54" s="14"/>
      <c r="F54" s="14"/>
      <c r="G54" s="14"/>
      <c r="H54" s="14"/>
      <c r="I54" s="14"/>
      <c r="J54" s="14"/>
      <c r="K54" s="384"/>
    </row>
    <row r="55" spans="1:12" ht="25.5" customHeight="1" thickBot="1" x14ac:dyDescent="0.25">
      <c r="A55" s="423"/>
      <c r="B55" s="423"/>
      <c r="C55" s="423"/>
      <c r="D55" s="423"/>
      <c r="E55" s="384"/>
      <c r="F55" s="384"/>
      <c r="G55" s="384"/>
      <c r="H55" s="384"/>
      <c r="I55" s="384"/>
      <c r="J55" s="384"/>
      <c r="K55" s="384"/>
      <c r="L55" s="44"/>
    </row>
    <row r="56" spans="1:12" x14ac:dyDescent="0.2">
      <c r="A56" s="381"/>
      <c r="B56" s="225"/>
      <c r="C56" s="425" t="str">
        <f>Translations!$B$9</f>
        <v>Valodas versija:</v>
      </c>
      <c r="D56" s="426"/>
      <c r="E56" s="426"/>
      <c r="F56" s="427"/>
      <c r="G56" s="428" t="str">
        <f>VersionDocumentation!B5</f>
        <v>Latvian</v>
      </c>
      <c r="H56" s="428"/>
      <c r="I56" s="428"/>
      <c r="J56" s="429"/>
      <c r="K56" s="225"/>
    </row>
    <row r="57" spans="1:12" ht="13.5" thickBot="1" x14ac:dyDescent="0.25">
      <c r="A57" s="381"/>
      <c r="B57" s="225"/>
      <c r="C57" s="430" t="str">
        <f>Translations!$B$10</f>
        <v>Atsauces datnes nosaukums:</v>
      </c>
      <c r="D57" s="431"/>
      <c r="E57" s="431"/>
      <c r="F57" s="432"/>
      <c r="G57" s="433" t="str">
        <f>VersionDocumentation!C3</f>
        <v>NIMs P4 baseline 4_2_LV_lv_080424.xls</v>
      </c>
      <c r="H57" s="433"/>
      <c r="I57" s="433"/>
      <c r="J57" s="434"/>
      <c r="K57" s="225"/>
    </row>
    <row r="58" spans="1:12" x14ac:dyDescent="0.2">
      <c r="A58" s="381"/>
      <c r="B58" s="225"/>
      <c r="C58" s="225"/>
      <c r="D58" s="225"/>
      <c r="E58" s="225"/>
      <c r="F58" s="225"/>
      <c r="G58" s="225"/>
      <c r="H58" s="225"/>
      <c r="I58" s="225"/>
      <c r="J58" s="225"/>
      <c r="K58" s="225"/>
    </row>
    <row r="59" spans="1:12" ht="13.5" thickBot="1" x14ac:dyDescent="0.25">
      <c r="A59" s="381"/>
      <c r="B59" s="225"/>
      <c r="C59" s="413" t="str">
        <f>Translations!$B$11</f>
        <v>Informācija par šo datni:</v>
      </c>
      <c r="D59" s="413"/>
      <c r="E59" s="413"/>
      <c r="F59" s="225"/>
      <c r="G59" s="225"/>
      <c r="H59" s="225"/>
      <c r="I59" s="225"/>
      <c r="J59" s="225"/>
      <c r="K59" s="225"/>
    </row>
    <row r="60" spans="1:12" x14ac:dyDescent="0.2">
      <c r="A60" s="381"/>
      <c r="B60" s="225"/>
      <c r="C60" s="425" t="str">
        <f>Translations!$B$12</f>
        <v>Iekārtas nosaukums:</v>
      </c>
      <c r="D60" s="426"/>
      <c r="E60" s="426"/>
      <c r="F60" s="427"/>
      <c r="G60" s="428" t="str">
        <f>IF(ISBLANK(A_InstallationData!J12),"",A_InstallationData!J12)</f>
        <v/>
      </c>
      <c r="H60" s="428"/>
      <c r="I60" s="428"/>
      <c r="J60" s="429"/>
      <c r="K60" s="225"/>
    </row>
    <row r="61" spans="1:12" x14ac:dyDescent="0.2">
      <c r="A61" s="381"/>
      <c r="B61" s="225"/>
      <c r="C61" s="611" t="str">
        <f>Translations!$B$13</f>
        <v>Unikālais iekārtas identifikators:</v>
      </c>
      <c r="D61" s="612"/>
      <c r="E61" s="612"/>
      <c r="F61" s="613"/>
      <c r="G61" s="614" t="str">
        <f>IF(A_InstallationData!J29="","",A_InstallationData!J29)</f>
        <v/>
      </c>
      <c r="H61" s="614"/>
      <c r="I61" s="614"/>
      <c r="J61" s="615"/>
      <c r="K61" s="225"/>
    </row>
    <row r="62" spans="1:12" ht="13.5" thickBot="1" x14ac:dyDescent="0.25">
      <c r="A62" s="381"/>
      <c r="B62" s="225"/>
      <c r="C62" s="621" t="str">
        <f>Translations!$B$14</f>
        <v>Relevantais bāzlīnijas periods</v>
      </c>
      <c r="D62" s="616"/>
      <c r="E62" s="616"/>
      <c r="F62" s="617"/>
      <c r="G62" s="618" t="str">
        <f>IF(ISBLANK(A_InstallationData!J246),"",A_InstallationData!J246)</f>
        <v>2019-2023</v>
      </c>
      <c r="H62" s="619"/>
      <c r="I62" s="619"/>
      <c r="J62" s="620"/>
      <c r="K62" s="225"/>
    </row>
    <row r="63" spans="1:12" x14ac:dyDescent="0.2">
      <c r="A63" s="381"/>
      <c r="B63" s="225"/>
      <c r="C63" s="225"/>
      <c r="D63" s="225"/>
      <c r="E63" s="225"/>
      <c r="F63" s="225"/>
      <c r="G63" s="225"/>
      <c r="H63" s="225"/>
      <c r="I63" s="225"/>
      <c r="J63" s="225"/>
      <c r="K63" s="225"/>
    </row>
    <row r="64" spans="1:12" ht="32.25" customHeight="1" x14ac:dyDescent="0.2">
      <c r="A64" s="381"/>
      <c r="B64" s="225"/>
      <c r="C64" s="1240" t="str">
        <f>Translations!$B$15</f>
        <v>Ja jūsu kompetentā iestāde pieprasa, lai iesniedzat parakstītu ziņojuma izdruku, parakstieties šeit:</v>
      </c>
      <c r="D64" s="1240"/>
      <c r="E64" s="1240"/>
      <c r="F64" s="1241"/>
      <c r="G64" s="1241"/>
      <c r="H64" s="1241"/>
      <c r="I64" s="1241"/>
      <c r="J64" s="1241"/>
      <c r="K64" s="225"/>
    </row>
    <row r="65" spans="1:11" x14ac:dyDescent="0.2">
      <c r="A65" s="381"/>
      <c r="B65" s="225"/>
      <c r="C65" s="225"/>
      <c r="D65" s="225"/>
      <c r="E65" s="225"/>
      <c r="F65" s="381"/>
      <c r="G65" s="225"/>
      <c r="H65" s="225"/>
      <c r="I65" s="225"/>
      <c r="J65" s="225"/>
      <c r="K65" s="225"/>
    </row>
    <row r="66" spans="1:11" x14ac:dyDescent="0.2">
      <c r="A66" s="381"/>
      <c r="B66" s="225"/>
      <c r="C66" s="225"/>
      <c r="D66" s="225"/>
      <c r="E66" s="225"/>
      <c r="F66" s="225"/>
      <c r="G66" s="225"/>
      <c r="H66" s="225"/>
      <c r="I66" s="225"/>
      <c r="J66" s="225"/>
      <c r="K66" s="225"/>
    </row>
    <row r="67" spans="1:11" x14ac:dyDescent="0.2">
      <c r="A67" s="381"/>
      <c r="B67" s="225"/>
      <c r="C67" s="225"/>
      <c r="D67" s="225"/>
      <c r="E67" s="225"/>
      <c r="F67" s="225"/>
      <c r="G67" s="225"/>
      <c r="H67" s="225"/>
      <c r="I67" s="225"/>
      <c r="J67" s="225"/>
      <c r="K67" s="225"/>
    </row>
    <row r="68" spans="1:11" x14ac:dyDescent="0.2">
      <c r="A68" s="381"/>
      <c r="B68" s="225"/>
      <c r="C68" s="225"/>
      <c r="D68" s="225"/>
      <c r="E68" s="225"/>
      <c r="F68" s="225"/>
      <c r="G68" s="225"/>
      <c r="H68" s="225"/>
      <c r="I68" s="225"/>
      <c r="J68" s="225"/>
      <c r="K68" s="225"/>
    </row>
    <row r="69" spans="1:11" x14ac:dyDescent="0.2">
      <c r="A69" s="381"/>
      <c r="B69" s="225"/>
      <c r="C69" s="435"/>
      <c r="D69" s="435"/>
      <c r="E69" s="435"/>
      <c r="F69" s="225"/>
      <c r="G69" s="435"/>
      <c r="H69" s="225"/>
      <c r="I69" s="225"/>
      <c r="J69" s="225"/>
      <c r="K69" s="225"/>
    </row>
    <row r="70" spans="1:11" ht="25.5" customHeight="1" x14ac:dyDescent="0.2">
      <c r="A70" s="381"/>
      <c r="B70" s="225"/>
      <c r="C70" s="2" t="str">
        <f>Translations!$B$16</f>
        <v>Datums</v>
      </c>
      <c r="D70" s="2"/>
      <c r="E70" s="2"/>
      <c r="F70" s="381"/>
      <c r="G70" s="2" t="str">
        <f>Translations!$B$17</f>
        <v>Juridiski atbildīgās personas
vārds, uzvārds un paraksts</v>
      </c>
      <c r="H70" s="1"/>
      <c r="I70" s="1"/>
      <c r="J70" s="1"/>
      <c r="K70" s="225"/>
    </row>
    <row r="71" spans="1:11" x14ac:dyDescent="0.2">
      <c r="H71" s="371"/>
      <c r="I71" s="371"/>
      <c r="J71" s="371"/>
      <c r="K71" s="371"/>
    </row>
  </sheetData>
  <sheetProtection sheet="1" objects="1" scenarios="1" formatCells="0" formatColumns="0" formatRows="0"/>
  <mergeCells count="65">
    <mergeCell ref="C64:J64"/>
    <mergeCell ref="C14:K14"/>
    <mergeCell ref="C15:J15"/>
    <mergeCell ref="G3:H3"/>
    <mergeCell ref="I3:J3"/>
    <mergeCell ref="B2:D2"/>
    <mergeCell ref="B3:D3"/>
    <mergeCell ref="C8:K8"/>
    <mergeCell ref="K2:L2"/>
    <mergeCell ref="K3:L3"/>
    <mergeCell ref="K1:L1"/>
    <mergeCell ref="E2:F2"/>
    <mergeCell ref="G2:H2"/>
    <mergeCell ref="I2:J2"/>
    <mergeCell ref="G70:J70"/>
    <mergeCell ref="C70:E70"/>
    <mergeCell ref="C9:K9"/>
    <mergeCell ref="C10:J10"/>
    <mergeCell ref="C11:J11"/>
    <mergeCell ref="C16:J16"/>
    <mergeCell ref="C13:J13"/>
    <mergeCell ref="A1:A3"/>
    <mergeCell ref="E1:F1"/>
    <mergeCell ref="G1:H1"/>
    <mergeCell ref="I1:J1"/>
    <mergeCell ref="E3:F3"/>
    <mergeCell ref="C12:J12"/>
    <mergeCell ref="C20:K20"/>
    <mergeCell ref="C21:J21"/>
    <mergeCell ref="C22:J22"/>
    <mergeCell ref="C25:K25"/>
    <mergeCell ref="C32:K32"/>
    <mergeCell ref="C33:J33"/>
    <mergeCell ref="C30:K30"/>
    <mergeCell ref="C31:J31"/>
    <mergeCell ref="C23:J23"/>
    <mergeCell ref="C24:J24"/>
    <mergeCell ref="C40:J40"/>
    <mergeCell ref="C41:J41"/>
    <mergeCell ref="C42:J42"/>
    <mergeCell ref="C43:J43"/>
    <mergeCell ref="C26:J26"/>
    <mergeCell ref="C27:J27"/>
    <mergeCell ref="C28:J28"/>
    <mergeCell ref="C29:J29"/>
    <mergeCell ref="C34:K34"/>
    <mergeCell ref="C35:J35"/>
    <mergeCell ref="C54:J54"/>
    <mergeCell ref="C17:J17"/>
    <mergeCell ref="C18:J18"/>
    <mergeCell ref="C19:J19"/>
    <mergeCell ref="C46:K46"/>
    <mergeCell ref="C47:J47"/>
    <mergeCell ref="C36:J36"/>
    <mergeCell ref="C37:J37"/>
    <mergeCell ref="C38:J38"/>
    <mergeCell ref="C39:J39"/>
    <mergeCell ref="C48:J48"/>
    <mergeCell ref="C49:K49"/>
    <mergeCell ref="C44:K44"/>
    <mergeCell ref="C45:J45"/>
    <mergeCell ref="C52:J52"/>
    <mergeCell ref="C53:J53"/>
    <mergeCell ref="C50:J50"/>
    <mergeCell ref="C51:J51"/>
  </mergeCells>
  <phoneticPr fontId="7" type="noConversion"/>
  <hyperlinks>
    <hyperlink ref="C10" location="JUMP_A_I" display="I"/>
    <hyperlink ref="C11" location="JUMP_A_II" display="II"/>
    <hyperlink ref="C12" location="JUMP_A_III" display="III"/>
    <hyperlink ref="C13" location="JUMP_A_IV" display="IV"/>
    <hyperlink ref="B10" location="JUMP_A_I" display="I"/>
    <hyperlink ref="B11" location="JUMP_A_II" display="II"/>
    <hyperlink ref="B12" location="JUMP_A_III" display="III"/>
    <hyperlink ref="B13" location="JUMP_A_IV" display="IV"/>
    <hyperlink ref="C8:K8" location="JUMP_Guidelines_Home" display="GUIDELINES AND CONDITIONS"/>
    <hyperlink ref="K1:L1" location="JUMP_K_I" display="Summary"/>
    <hyperlink ref="B2:C2" location="JUMP_Guidelines_Home" display="Top of sheet"/>
    <hyperlink ref="B3:C3" location="JUMP_Guidelines_Bottom" display="End of sheet"/>
    <hyperlink ref="I1:J1" location="JUMP_Guidelines_Home" display="Next sheet"/>
    <hyperlink ref="B2:D2" location="JUMP_Coverpage_Top" display="Top of sheet"/>
    <hyperlink ref="B3:D3" location="JUMP_Coverpage_Bottom" display="End of sheet"/>
    <hyperlink ref="C15" location="JUMP_A_I" display="I"/>
    <hyperlink ref="C21" location="JUMP_A_I" display="I"/>
    <hyperlink ref="C22" location="JUMP_A_II" display="II"/>
    <hyperlink ref="B21" location="JUMP_D_I" display="I"/>
    <hyperlink ref="B22" location="JUMP_D_II" display="II"/>
    <hyperlink ref="C31" location="JUMP_A_I" display="I"/>
    <hyperlink ref="B31" location="JUMP_F_I" display="I"/>
    <hyperlink ref="C23" location="JUMP_A_II" display="II"/>
    <hyperlink ref="C24" location="JUMP_A_II" display="II"/>
    <hyperlink ref="C21:J21" location="JUMP_D_I" display="JUMP_D_I"/>
    <hyperlink ref="C22:J22" location="JUMP_D_II" display="JUMP_D_II"/>
    <hyperlink ref="B23" location="JUMP_D_III" display="III"/>
    <hyperlink ref="C23:J23" location="JUMP_D_III" display="JUMP_D_III"/>
    <hyperlink ref="B24" location="JUMP_D_IV" display="IV"/>
    <hyperlink ref="C24:J24" location="JUMP_D_IV" display="JUMP_D_IV"/>
    <hyperlink ref="C26" location="JUMP_A_I" display="I"/>
    <hyperlink ref="C27" location="JUMP_A_II" display="II"/>
    <hyperlink ref="B26" location="JUMP_E_I" display="I"/>
    <hyperlink ref="B27" location="JUMP_E_II" display="II"/>
    <hyperlink ref="C28" location="JUMP_A_II" display="II"/>
    <hyperlink ref="C29" location="JUMP_A_II" display="II"/>
    <hyperlink ref="C26:J26" location="JUMP_E_I" display="JUMP_E_I"/>
    <hyperlink ref="C27:J27" location="JUMP_E_II" display="JUMP_E_II"/>
    <hyperlink ref="B28" location="JUMP_E_III" display="III"/>
    <hyperlink ref="C28:J28" location="JUMP_E_III" display="JUMP_E_III"/>
    <hyperlink ref="B29" location="JUMP_E_IV" display="IV"/>
    <hyperlink ref="C29:J29" location="JUMP_E_IV" display="JUMP_E_IV"/>
    <hyperlink ref="C33" location="JUMP_A_I" display="I"/>
    <hyperlink ref="B33" location="JUMP_G_I" display="I"/>
    <hyperlink ref="C31:J31" location="JUMP_F_I" display="JUMP_F_I"/>
    <hyperlink ref="C33:J33" location="JUMP_G_I" display="JUMP_G_I"/>
    <hyperlink ref="C35:J35" location="JUMP_H_I" display="I"/>
    <hyperlink ref="C36:J36" location="JUMP_H_II" display="II"/>
    <hyperlink ref="C37:J37" location="JUMP_H_III" display="III"/>
    <hyperlink ref="C38:J38" location="JUMP_H_IV" display="IV"/>
    <hyperlink ref="C39:J39" location="JUMP_H_V" display="V"/>
    <hyperlink ref="C40:J40" location="JUMP_H_VI" display="VI"/>
    <hyperlink ref="C41:J41" location="JUMP_H_VII" display="VII"/>
    <hyperlink ref="C42:J42" location="JUMP_H_VIII" display="VIII"/>
    <hyperlink ref="C43:J43" location="JUMP_H_IX" display="IX"/>
    <hyperlink ref="B35" location="JUMP_H_I" display="I"/>
    <hyperlink ref="B36" location="JUMP_H_II" display="II"/>
    <hyperlink ref="B37" location="JUMP_H_III" display="III"/>
    <hyperlink ref="B38" location="JUMP_H_IV" display="IV"/>
    <hyperlink ref="B39" location="JUMP_H_V" display="V"/>
    <hyperlink ref="B40" location="JUMP_H_VI" display="VI"/>
    <hyperlink ref="B41" location="JUMP_H_VII" display="VII"/>
    <hyperlink ref="B42" location="JUMP_H_VIII" display="VIII"/>
    <hyperlink ref="B43" location="JUMP_H_IX" display="IX"/>
    <hyperlink ref="C47:J47" location="JUMP_J_I" display="I"/>
    <hyperlink ref="C48:J48" location="JUMP_J_II" display="II"/>
    <hyperlink ref="C45:J45" location="JUMP_I_MSspecific" display="I"/>
    <hyperlink ref="B45" location="JUMP_I_MSspecific" display="I"/>
    <hyperlink ref="B47" location="JUMP_J_I" display="I"/>
    <hyperlink ref="B48" location="JUMP_J_II" display="II"/>
    <hyperlink ref="C50:J50" location="JUMP_K_I" display="I"/>
    <hyperlink ref="B50" location="JUMP_K_I" display="I"/>
    <hyperlink ref="B51:J51" location="JUMP_K_II" display="II"/>
    <hyperlink ref="B52:J52" location="JUMP_K_III" display="III"/>
    <hyperlink ref="B53:J53" location="JUMP_K_IV" display="IV"/>
    <hyperlink ref="B54:J54" location="JUMP_K_V" display="V"/>
    <hyperlink ref="C16" location="JUMP_A_I" display="I"/>
    <hyperlink ref="C17" location="JUMP_A_I" display="I"/>
    <hyperlink ref="C18" location="JUMP_A_I" display="I"/>
    <hyperlink ref="C19" location="JUMP_A_I" display="I"/>
    <hyperlink ref="C15:J15" location="JUMP_BY1_Top" display="JUMP_BY1_Top"/>
    <hyperlink ref="C16:J16" location="JUMP_BY2_Top" display="JUMP_BY2_Top"/>
    <hyperlink ref="C17:J17" location="JUMP_BY3_Top" display="JUMP_BY3_Top"/>
    <hyperlink ref="C18:J18" location="JUMP_BY4_Top" display="JUMP_BY4_Top"/>
    <hyperlink ref="C19:J19" location="JUMP_BY5_Top" display="JUMP_BY5_Top"/>
  </hyperlinks>
  <pageMargins left="0.78740157480314965" right="0.78740157480314965" top="0.78740157480314965" bottom="0.78740157480314965" header="0.39370078740157483" footer="0.39370078740157483"/>
  <pageSetup paperSize="9" scale="66"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tabColor indexed="52"/>
    <pageSetUpPr fitToPage="1"/>
  </sheetPr>
  <dimension ref="A1:S456"/>
  <sheetViews>
    <sheetView zoomScaleNormal="100" workbookViewId="0">
      <pane ySplit="4" topLeftCell="A5" activePane="bottomLeft" state="frozen"/>
      <selection sqref="B2:D4"/>
      <selection pane="bottomLeft" sqref="B2:D4"/>
    </sheetView>
  </sheetViews>
  <sheetFormatPr defaultColWidth="11.42578125" defaultRowHeight="12.75" x14ac:dyDescent="0.2"/>
  <cols>
    <col min="1" max="1" width="4.7109375" style="445" hidden="1" customWidth="1"/>
    <col min="2" max="2" width="2.7109375" style="19" customWidth="1"/>
    <col min="3" max="4" width="4.7109375" style="19" customWidth="1"/>
    <col min="5" max="14" width="12.7109375" style="19" customWidth="1"/>
    <col min="15" max="15" width="4.7109375" style="19" customWidth="1"/>
    <col min="16" max="16" width="12.7109375" style="445" hidden="1" customWidth="1"/>
    <col min="17" max="19" width="11.42578125" style="445" hidden="1" customWidth="1"/>
    <col min="20" max="16384" width="11.42578125" style="696"/>
  </cols>
  <sheetData>
    <row r="1" spans="1:19" s="20" customFormat="1" ht="13.5" hidden="1" thickBot="1" x14ac:dyDescent="0.25">
      <c r="A1" s="445" t="s">
        <v>93</v>
      </c>
      <c r="P1" s="445" t="s">
        <v>93</v>
      </c>
      <c r="Q1" s="445" t="s">
        <v>93</v>
      </c>
      <c r="R1" s="445" t="s">
        <v>93</v>
      </c>
      <c r="S1" s="445" t="s">
        <v>93</v>
      </c>
    </row>
    <row r="2" spans="1:19" ht="13.5" thickBot="1" x14ac:dyDescent="0.25">
      <c r="B2" s="1405" t="str">
        <f>Translations!$B$483</f>
        <v>E. Enerģijas plūsmas</v>
      </c>
      <c r="C2" s="1406"/>
      <c r="D2" s="1407"/>
      <c r="E2" s="786" t="str">
        <f>Translations!$B$2</f>
        <v>Navigācijas josla:</v>
      </c>
      <c r="F2" s="787"/>
      <c r="G2" s="1388" t="str">
        <f>Translations!$B$18</f>
        <v>Saturs</v>
      </c>
      <c r="H2" s="7"/>
      <c r="I2" s="7" t="str">
        <f>Translations!$B$19</f>
        <v>Iepriekšējā lapa</v>
      </c>
      <c r="J2" s="7"/>
      <c r="K2" s="7" t="str">
        <f>Translations!$B$3</f>
        <v>Nākamā lapa</v>
      </c>
      <c r="L2" s="7"/>
      <c r="M2" s="7" t="str">
        <f>Translations!$B$4</f>
        <v>Kopsavilkums</v>
      </c>
      <c r="N2" s="7"/>
      <c r="O2" s="25"/>
      <c r="P2" s="624"/>
    </row>
    <row r="3" spans="1:19" ht="13.5" customHeight="1" thickBot="1" x14ac:dyDescent="0.25">
      <c r="B3" s="1408"/>
      <c r="C3" s="1409"/>
      <c r="D3" s="1410"/>
      <c r="E3" s="7" t="str">
        <f>Translations!$B$5</f>
        <v>Lapas sākums</v>
      </c>
      <c r="F3" s="1392"/>
      <c r="G3" s="1616" t="str">
        <f>Translations!$B$1622</f>
        <v>Enerģijas attiecināšana</v>
      </c>
      <c r="H3" s="1615"/>
      <c r="I3" s="1615" t="str">
        <f>Translations!$B$249</f>
        <v>Izmērāmais siltums</v>
      </c>
      <c r="J3" s="1615"/>
      <c r="K3" s="1615" t="str">
        <f>Translations!$B$485</f>
        <v>Siltums (galīgais rezultāts)</v>
      </c>
      <c r="L3" s="1615"/>
      <c r="M3" s="1615" t="str">
        <f>Translations!$B$486</f>
        <v>Atlikumgāzes</v>
      </c>
      <c r="N3" s="1615"/>
      <c r="O3" s="25"/>
      <c r="P3" s="624"/>
    </row>
    <row r="4" spans="1:19" ht="13.5" customHeight="1" thickBot="1" x14ac:dyDescent="0.25">
      <c r="B4" s="1411"/>
      <c r="C4" s="1412"/>
      <c r="D4" s="1413"/>
      <c r="E4" s="7" t="str">
        <f>Translations!$B$6</f>
        <v>Lapas beigas</v>
      </c>
      <c r="F4" s="7"/>
      <c r="G4" s="1394" t="str">
        <f>Translations!$B$487</f>
        <v>Elektroenerģija</v>
      </c>
      <c r="H4" s="1395"/>
      <c r="I4" s="1395"/>
      <c r="J4" s="1395"/>
      <c r="K4" s="1395"/>
      <c r="L4" s="1395"/>
      <c r="M4" s="1617"/>
      <c r="N4" s="1617"/>
      <c r="O4" s="25"/>
      <c r="P4" s="624"/>
    </row>
    <row r="5" spans="1:19" x14ac:dyDescent="0.2">
      <c r="B5" s="21"/>
      <c r="C5" s="22"/>
      <c r="D5" s="23"/>
      <c r="E5" s="23"/>
      <c r="F5" s="24"/>
      <c r="G5" s="24"/>
      <c r="H5" s="24"/>
      <c r="I5" s="21"/>
      <c r="J5" s="21"/>
      <c r="K5" s="21"/>
      <c r="L5" s="21"/>
      <c r="M5" s="25"/>
      <c r="N5" s="25"/>
      <c r="O5" s="25"/>
      <c r="P5" s="624"/>
    </row>
    <row r="6" spans="1:19" ht="23.25" customHeight="1" x14ac:dyDescent="0.2">
      <c r="B6" s="21"/>
      <c r="C6" s="27" t="s">
        <v>254</v>
      </c>
      <c r="D6" s="1281" t="str">
        <f>Translations!$B$488</f>
        <v>Lapa “EnergyFlows” — DATI PAR ENERĢIJAS IELAIDI, IZMĒRĀMO SILTUMU UN ELEKTROENERĢIJU</v>
      </c>
      <c r="E6" s="1251"/>
      <c r="F6" s="1251"/>
      <c r="G6" s="1251"/>
      <c r="H6" s="1251"/>
      <c r="I6" s="1251"/>
      <c r="J6" s="1251"/>
      <c r="K6" s="1251"/>
      <c r="L6" s="1251"/>
      <c r="M6" s="1251"/>
      <c r="N6" s="1251"/>
      <c r="O6" s="25"/>
      <c r="P6" s="625" t="s">
        <v>73</v>
      </c>
      <c r="Q6" s="625" t="s">
        <v>73</v>
      </c>
      <c r="R6" s="625" t="s">
        <v>73</v>
      </c>
      <c r="S6" s="625" t="s">
        <v>73</v>
      </c>
    </row>
    <row r="7" spans="1:19" x14ac:dyDescent="0.2">
      <c r="B7" s="21"/>
      <c r="C7" s="21"/>
      <c r="D7" s="21"/>
      <c r="E7" s="21"/>
      <c r="F7" s="21"/>
      <c r="G7" s="21"/>
      <c r="H7" s="21"/>
      <c r="I7" s="21"/>
      <c r="J7" s="21"/>
      <c r="K7" s="21"/>
      <c r="L7" s="21"/>
      <c r="M7" s="25"/>
      <c r="N7" s="25"/>
      <c r="O7" s="25"/>
      <c r="P7" s="626" t="s">
        <v>265</v>
      </c>
      <c r="Q7" s="626" t="s">
        <v>265</v>
      </c>
      <c r="R7" s="626" t="s">
        <v>265</v>
      </c>
      <c r="S7" s="626" t="s">
        <v>265</v>
      </c>
    </row>
    <row r="8" spans="1:19" ht="15.75" x14ac:dyDescent="0.25">
      <c r="B8" s="21"/>
      <c r="C8" s="30" t="s">
        <v>391</v>
      </c>
      <c r="D8" s="1249" t="str">
        <f>Translations!$B$1623</f>
        <v>Kopējā enerģijas ielaide</v>
      </c>
      <c r="E8" s="1249"/>
      <c r="F8" s="1249"/>
      <c r="G8" s="1249"/>
      <c r="H8" s="1249"/>
      <c r="I8" s="1249"/>
      <c r="J8" s="1249"/>
      <c r="K8" s="1249"/>
      <c r="L8" s="1249"/>
      <c r="M8" s="1249"/>
      <c r="N8" s="1249"/>
      <c r="O8" s="25"/>
      <c r="P8" s="624"/>
    </row>
    <row r="9" spans="1:19" ht="5.0999999999999996" customHeight="1" x14ac:dyDescent="0.2">
      <c r="B9" s="21"/>
      <c r="C9" s="21"/>
      <c r="D9" s="21"/>
      <c r="E9" s="21"/>
      <c r="F9" s="21"/>
      <c r="G9" s="21"/>
      <c r="H9" s="21"/>
      <c r="I9" s="21"/>
      <c r="J9" s="21"/>
      <c r="K9" s="21"/>
      <c r="L9" s="21"/>
      <c r="M9" s="25"/>
      <c r="N9" s="25"/>
      <c r="O9" s="25"/>
      <c r="P9" s="624"/>
    </row>
    <row r="10" spans="1:19" ht="15" x14ac:dyDescent="0.25">
      <c r="B10" s="21"/>
      <c r="C10" s="36">
        <v>1</v>
      </c>
      <c r="D10" s="1318" t="str">
        <f>Translations!$B$490</f>
        <v>Pārskats un sadalījums pa izmantojuma kategorijām</v>
      </c>
      <c r="E10" s="1251"/>
      <c r="F10" s="1251"/>
      <c r="G10" s="1251"/>
      <c r="H10" s="1251"/>
      <c r="I10" s="1251"/>
      <c r="J10" s="1251"/>
      <c r="K10" s="1251"/>
      <c r="L10" s="1251"/>
      <c r="M10" s="1251"/>
      <c r="N10" s="1251"/>
      <c r="O10" s="25"/>
      <c r="P10" s="624"/>
    </row>
    <row r="11" spans="1:19" ht="5.0999999999999996" customHeight="1" x14ac:dyDescent="0.2">
      <c r="B11" s="21"/>
      <c r="C11" s="21"/>
      <c r="D11" s="21"/>
      <c r="E11" s="21"/>
      <c r="F11" s="21"/>
      <c r="G11" s="21"/>
      <c r="H11" s="21"/>
      <c r="I11" s="21"/>
      <c r="J11" s="21"/>
      <c r="K11" s="21"/>
      <c r="L11" s="21"/>
      <c r="M11" s="21"/>
      <c r="N11" s="21"/>
      <c r="O11" s="25"/>
      <c r="P11" s="624"/>
    </row>
    <row r="12" spans="1:19" ht="5.0999999999999996" customHeight="1" x14ac:dyDescent="0.2">
      <c r="B12" s="21"/>
      <c r="C12" s="21"/>
      <c r="D12" s="21"/>
      <c r="E12" s="21"/>
      <c r="F12" s="21"/>
      <c r="G12" s="21"/>
      <c r="H12" s="21"/>
      <c r="I12" s="21"/>
      <c r="J12" s="21"/>
      <c r="K12" s="21"/>
      <c r="L12" s="21"/>
      <c r="M12" s="21"/>
      <c r="N12" s="21"/>
      <c r="O12" s="25"/>
      <c r="P12" s="624"/>
    </row>
    <row r="13" spans="1:19" x14ac:dyDescent="0.2">
      <c r="B13" s="21"/>
      <c r="C13" s="21"/>
      <c r="D13" s="32" t="s">
        <v>165</v>
      </c>
      <c r="E13" s="1250" t="str">
        <f>Translations!$B$1624</f>
        <v>Enerģijas ielaide iekārtā kopā:</v>
      </c>
      <c r="F13" s="1251"/>
      <c r="G13" s="1251"/>
      <c r="H13" s="1251"/>
      <c r="I13" s="1251"/>
      <c r="J13" s="1251"/>
      <c r="K13" s="1251"/>
      <c r="L13" s="1251"/>
      <c r="M13" s="1251"/>
      <c r="N13" s="1251"/>
      <c r="O13" s="25"/>
      <c r="P13" s="624"/>
    </row>
    <row r="14" spans="1:19" s="697" customFormat="1" x14ac:dyDescent="0.2">
      <c r="A14" s="452"/>
      <c r="B14" s="21"/>
      <c r="C14" s="21"/>
      <c r="D14" s="34"/>
      <c r="E14" s="1319" t="str">
        <f>Translations!$B$1625</f>
        <v>Tabulā ievadiet siltuma ražošanai pievadītās enerģijas daudzumu, nodrošinot, ka posteņi netiek uzskaitīti divkārši:</v>
      </c>
      <c r="F14" s="1251"/>
      <c r="G14" s="1251"/>
      <c r="H14" s="1251"/>
      <c r="I14" s="1251"/>
      <c r="J14" s="1251"/>
      <c r="K14" s="1251"/>
      <c r="L14" s="1251"/>
      <c r="M14" s="1251"/>
      <c r="N14" s="1251"/>
      <c r="O14" s="25"/>
      <c r="P14" s="624"/>
      <c r="Q14" s="452"/>
      <c r="R14" s="452"/>
      <c r="S14" s="452"/>
    </row>
    <row r="15" spans="1:19" s="697" customFormat="1" x14ac:dyDescent="0.2">
      <c r="A15" s="452"/>
      <c r="B15" s="21"/>
      <c r="C15" s="21"/>
      <c r="D15" s="34"/>
      <c r="E15" s="141" t="s">
        <v>392</v>
      </c>
      <c r="F15" s="1301" t="str">
        <f>Translations!$B$1626</f>
        <v>i. Kopējo no kurināmā pievadīto enerģiju iegūst automātiski no D.I. sadaļā parādītajiem rezultātiem.</v>
      </c>
      <c r="G15" s="1301"/>
      <c r="H15" s="1301"/>
      <c r="I15" s="1301"/>
      <c r="J15" s="1301"/>
      <c r="K15" s="1301"/>
      <c r="L15" s="1301"/>
      <c r="M15" s="1301"/>
      <c r="N15" s="1301"/>
      <c r="O15" s="25"/>
      <c r="P15" s="624"/>
      <c r="Q15" s="452"/>
      <c r="R15" s="452"/>
      <c r="S15" s="452"/>
    </row>
    <row r="16" spans="1:19" s="697" customFormat="1" ht="38.85" customHeight="1" x14ac:dyDescent="0.2">
      <c r="A16" s="452"/>
      <c r="B16" s="21"/>
      <c r="C16" s="21"/>
      <c r="D16" s="34"/>
      <c r="E16" s="141" t="s">
        <v>392</v>
      </c>
      <c r="F16" s="1301" t="str">
        <f>Translations!$B$1627</f>
        <v>ii. Kopējā elektroenerģijas ielaide PRIMĀRI siltuma ražošanai (piemēram, siltumsūkņu, elektrokatlu, elektrisko krāšņu u. c. patērētā elektroenerģija), izņemot gadījumus, kad kurināmais, no kura tiek ražota elektroenerģija, jau ir iekļauts iepriekš i punktā. Jāņem vērā, ka šeit NAV iekļauts jebkāds cits elektroenerģijas patēriņš citiem mērķiem, kas nav siltuma ražošana (sūkņi, piedziņa u. c.).</v>
      </c>
      <c r="G16" s="1301"/>
      <c r="H16" s="1301"/>
      <c r="I16" s="1301"/>
      <c r="J16" s="1301"/>
      <c r="K16" s="1301"/>
      <c r="L16" s="1301"/>
      <c r="M16" s="1301"/>
      <c r="N16" s="1301"/>
      <c r="O16" s="25"/>
      <c r="P16" s="624"/>
      <c r="Q16" s="452"/>
      <c r="R16" s="452"/>
      <c r="S16" s="452"/>
    </row>
    <row r="17" spans="1:19" s="697" customFormat="1" ht="50.1" customHeight="1" x14ac:dyDescent="0.2">
      <c r="A17" s="452"/>
      <c r="B17" s="21"/>
      <c r="C17" s="21"/>
      <c r="D17" s="34"/>
      <c r="E17" s="141" t="s">
        <v>392</v>
      </c>
      <c r="F17" s="1301" t="str">
        <f>Translations!$B$1628</f>
        <v>iii. Kopējā pārējā enerģija, arī no eksotermiskā siltuma (t. i., no jebkādas eksotermiskas ķīmiskas reakcijas, piemēram, daļējas oksidēšanas vai karbotermiskas reducēšanas) vai cita veida siltuma, piemēram, siltumsūkņu gadījumā no apkārtējās vides siltuma, ja vien šis siltums nav iegūts no kurināmā, kas jau iekļauts i punktā. Piemēram, ja ķīmiskā reakcijā tiek atgūts tvaiks, starpību starp enerģijas ielaidi un izlaidi procesā, kurā atgūst tvaiku, šeit ieraksta kā eksotermisku siltumu.</v>
      </c>
      <c r="G17" s="1301"/>
      <c r="H17" s="1301"/>
      <c r="I17" s="1301"/>
      <c r="J17" s="1301"/>
      <c r="K17" s="1301"/>
      <c r="L17" s="1301"/>
      <c r="M17" s="1301"/>
      <c r="N17" s="1301"/>
      <c r="O17" s="25"/>
      <c r="P17" s="624"/>
      <c r="Q17" s="452"/>
      <c r="R17" s="452"/>
      <c r="S17" s="452"/>
    </row>
    <row r="18" spans="1:19" s="697" customFormat="1" ht="25.5" customHeight="1" x14ac:dyDescent="0.2">
      <c r="A18" s="452"/>
      <c r="B18" s="21"/>
      <c r="C18" s="21"/>
      <c r="D18" s="34"/>
      <c r="E18" s="141" t="s">
        <v>392</v>
      </c>
      <c r="F18" s="1301" t="str">
        <f>Translations!$B$1629</f>
        <v>iv. Rezultāts: kopējā enerģijas ielaide, t. i., iepriekš minēto elementu summa. Šī vērtība ir 100 % no enerģijas, kas pieejama attiecināšanai uz kurināmā līmeņatzīmes apakšiekārtām, izmērāmā siltuma ražošanai u. c. saskaņā ar nākamajiem punktiem.</v>
      </c>
      <c r="G18" s="1301"/>
      <c r="H18" s="1301"/>
      <c r="I18" s="1301"/>
      <c r="J18" s="1301"/>
      <c r="K18" s="1301"/>
      <c r="L18" s="1301"/>
      <c r="M18" s="1301"/>
      <c r="N18" s="1301"/>
      <c r="O18" s="25"/>
      <c r="P18" s="624"/>
      <c r="Q18" s="452"/>
      <c r="R18" s="452"/>
      <c r="S18" s="452"/>
    </row>
    <row r="19" spans="1:19" x14ac:dyDescent="0.2">
      <c r="B19" s="21"/>
      <c r="C19" s="38"/>
      <c r="D19" s="38"/>
      <c r="E19" s="43"/>
      <c r="F19" s="40"/>
      <c r="G19" s="40"/>
      <c r="H19" s="52" t="str">
        <f>EUconst_Unit</f>
        <v>Vienība</v>
      </c>
      <c r="I19" s="412">
        <f>I$405</f>
        <v>2019</v>
      </c>
      <c r="J19" s="412">
        <f>J$405</f>
        <v>2020</v>
      </c>
      <c r="K19" s="412">
        <f>K$405</f>
        <v>2021</v>
      </c>
      <c r="L19" s="412">
        <f>L$405</f>
        <v>2022</v>
      </c>
      <c r="M19" s="412">
        <f>M$405</f>
        <v>2023</v>
      </c>
      <c r="N19" s="21"/>
      <c r="O19" s="25"/>
    </row>
    <row r="20" spans="1:19" x14ac:dyDescent="0.2">
      <c r="B20" s="21"/>
      <c r="C20" s="38"/>
      <c r="D20" s="440" t="s">
        <v>2</v>
      </c>
      <c r="E20" s="1516" t="str">
        <f>Translations!$B$1630</f>
        <v>Enerģijas ielaide no kurināmajiem (no D.I)</v>
      </c>
      <c r="F20" s="1517"/>
      <c r="G20" s="1517"/>
      <c r="H20" s="66" t="str">
        <f>EUconst_TJpa</f>
        <v>TJ / gads</v>
      </c>
      <c r="I20" s="328" t="str">
        <f>IF(ISNUMBER(D_Emissions!I$59),D_Emissions!I$59,"")</f>
        <v/>
      </c>
      <c r="J20" s="328" t="str">
        <f>IF(ISNUMBER(D_Emissions!J$59),D_Emissions!J$59,"")</f>
        <v/>
      </c>
      <c r="K20" s="328" t="str">
        <f>IF(ISNUMBER(D_Emissions!K$59),D_Emissions!K$59,"")</f>
        <v/>
      </c>
      <c r="L20" s="328" t="str">
        <f>IF(ISNUMBER(D_Emissions!L$59),D_Emissions!L$59,"")</f>
        <v/>
      </c>
      <c r="M20" s="328" t="str">
        <f>IF(ISNUMBER(D_Emissions!M$59),D_Emissions!M$59,"")</f>
        <v/>
      </c>
      <c r="N20" s="21"/>
      <c r="O20" s="25"/>
    </row>
    <row r="21" spans="1:19" x14ac:dyDescent="0.2">
      <c r="B21" s="21"/>
      <c r="C21" s="38"/>
      <c r="D21" s="440" t="s">
        <v>3</v>
      </c>
      <c r="E21" s="1516" t="str">
        <f>Translations!$B$1631</f>
        <v>Elektroenerģijas ielaide siltuma ražošanai</v>
      </c>
      <c r="F21" s="1517"/>
      <c r="G21" s="1517"/>
      <c r="H21" s="66" t="str">
        <f>EUconst_TJpa</f>
        <v>TJ / gads</v>
      </c>
      <c r="I21" s="742"/>
      <c r="J21" s="742"/>
      <c r="K21" s="742"/>
      <c r="L21" s="742"/>
      <c r="M21" s="742"/>
      <c r="N21" s="21"/>
      <c r="O21" s="25"/>
    </row>
    <row r="22" spans="1:19" x14ac:dyDescent="0.2">
      <c r="B22" s="21"/>
      <c r="C22" s="38"/>
      <c r="D22" s="440" t="s">
        <v>4</v>
      </c>
      <c r="E22" s="1516" t="str">
        <f>Translations!$B$1632</f>
        <v>Citas enerģijas (piemēram, eksotermiskā siltuma) ielaide</v>
      </c>
      <c r="F22" s="1517"/>
      <c r="G22" s="1517"/>
      <c r="H22" s="66" t="str">
        <f>EUconst_TJpa</f>
        <v>TJ / gads</v>
      </c>
      <c r="I22" s="742"/>
      <c r="J22" s="742"/>
      <c r="K22" s="742"/>
      <c r="L22" s="742"/>
      <c r="M22" s="742"/>
      <c r="N22" s="21"/>
      <c r="O22" s="25"/>
    </row>
    <row r="23" spans="1:19" x14ac:dyDescent="0.2">
      <c r="B23" s="21"/>
      <c r="C23" s="38"/>
      <c r="D23" s="440" t="s">
        <v>6</v>
      </c>
      <c r="E23" s="1516" t="str">
        <f>Translations!$B$1633</f>
        <v>Kopējā enerģijas ielaide (iepriekš minēto elementu summa)</v>
      </c>
      <c r="F23" s="1517"/>
      <c r="G23" s="1517"/>
      <c r="H23" s="66" t="str">
        <f>EUconst_TJpa</f>
        <v>TJ / gads</v>
      </c>
      <c r="I23" s="328" t="str">
        <f>IF(COUNT(I20:I22)&gt;0,SUM(I20:I22),"")</f>
        <v/>
      </c>
      <c r="J23" s="328" t="str">
        <f>IF(COUNT(J20:J22)&gt;0,SUM(J20:J22),"")</f>
        <v/>
      </c>
      <c r="K23" s="328" t="str">
        <f>IF(COUNT(K20:K22)&gt;0,SUM(K20:K22),"")</f>
        <v/>
      </c>
      <c r="L23" s="328" t="str">
        <f>IF(COUNT(L20:L22)&gt;0,SUM(L20:L22),"")</f>
        <v/>
      </c>
      <c r="M23" s="328" t="str">
        <f>IF(COUNT(M20:M22)&gt;0,SUM(M20:M22),"")</f>
        <v/>
      </c>
      <c r="N23" s="21"/>
      <c r="O23" s="25"/>
    </row>
    <row r="24" spans="1:19" s="697" customFormat="1" ht="5.0999999999999996" customHeight="1" thickBot="1" x14ac:dyDescent="0.25">
      <c r="A24" s="452"/>
      <c r="B24" s="21"/>
      <c r="C24" s="21"/>
      <c r="D24" s="21"/>
      <c r="E24" s="21"/>
      <c r="F24" s="21"/>
      <c r="G24" s="21"/>
      <c r="H24" s="21"/>
      <c r="I24" s="21"/>
      <c r="J24" s="21"/>
      <c r="K24" s="21"/>
      <c r="L24" s="21"/>
      <c r="M24" s="21"/>
      <c r="N24" s="21"/>
      <c r="O24" s="25"/>
      <c r="P24" s="624"/>
      <c r="Q24" s="452"/>
      <c r="R24" s="452"/>
      <c r="S24" s="452"/>
    </row>
    <row r="25" spans="1:19" s="697" customFormat="1" ht="13.5" thickBot="1" x14ac:dyDescent="0.25">
      <c r="A25" s="452"/>
      <c r="B25" s="21"/>
      <c r="C25" s="21"/>
      <c r="D25" s="32" t="s">
        <v>339</v>
      </c>
      <c r="E25" s="1250" t="str">
        <f>Translations!$B$492</f>
        <v>Ievadīšanas paņēmiens:</v>
      </c>
      <c r="F25" s="1250"/>
      <c r="G25" s="1250"/>
      <c r="H25" s="1524"/>
      <c r="I25" s="1602"/>
      <c r="J25" s="1603"/>
      <c r="K25" s="203" t="str">
        <f>IF(AND(ISBLANK(I25),COUNT(I42:N46)&gt;0),EUconst_Incomplete,"")</f>
        <v/>
      </c>
      <c r="L25" s="21"/>
      <c r="M25" s="21"/>
      <c r="N25" s="21"/>
      <c r="O25" s="25"/>
      <c r="P25" s="644" t="str">
        <f>IF(ISBLANK($I$25),EUconst_NA,MATCH($I$25,EUconst_AbsRel,0))</f>
        <v>NA</v>
      </c>
      <c r="Q25" s="452"/>
      <c r="R25" s="452"/>
      <c r="S25" s="452"/>
    </row>
    <row r="26" spans="1:19" s="697" customFormat="1" x14ac:dyDescent="0.2">
      <c r="A26" s="452"/>
      <c r="B26" s="21"/>
      <c r="C26" s="21"/>
      <c r="D26" s="34"/>
      <c r="E26" s="1319" t="str">
        <f>Translations!$B$493</f>
        <v>Vērtību ievadīšanas paņēmienu var izvēlēties tabulā c) punktā. Pieejamās iespējas: absolūtās vērtības (TJ gadā) vai procenti.</v>
      </c>
      <c r="F26" s="1251"/>
      <c r="G26" s="1251"/>
      <c r="H26" s="1251"/>
      <c r="I26" s="1251"/>
      <c r="J26" s="1251"/>
      <c r="K26" s="1251"/>
      <c r="L26" s="1251"/>
      <c r="M26" s="1251"/>
      <c r="N26" s="1251"/>
      <c r="O26" s="25"/>
      <c r="P26" s="624" t="s">
        <v>530</v>
      </c>
      <c r="Q26" s="452"/>
      <c r="R26" s="452"/>
      <c r="S26" s="452"/>
    </row>
    <row r="27" spans="1:19" s="697" customFormat="1" x14ac:dyDescent="0.2">
      <c r="A27" s="452"/>
      <c r="B27" s="21"/>
      <c r="C27" s="21"/>
      <c r="D27" s="34"/>
      <c r="E27" s="1319" t="str">
        <f>Translations!$B$494</f>
        <v>Datu ātrai ievadīšanai vienkāršos gadījumos, kad vairums ierakstu ir "100 %" vai nulle, labākā izvēle ir procenti.</v>
      </c>
      <c r="F27" s="1251"/>
      <c r="G27" s="1251"/>
      <c r="H27" s="1251"/>
      <c r="I27" s="1251"/>
      <c r="J27" s="1251"/>
      <c r="K27" s="1251"/>
      <c r="L27" s="1251"/>
      <c r="M27" s="1251"/>
      <c r="N27" s="1251"/>
      <c r="O27" s="25"/>
      <c r="P27" s="624"/>
      <c r="Q27" s="452"/>
      <c r="R27" s="452"/>
      <c r="S27" s="452"/>
    </row>
    <row r="28" spans="1:19" s="697" customFormat="1" ht="5.0999999999999996" customHeight="1" x14ac:dyDescent="0.2">
      <c r="A28" s="452"/>
      <c r="B28" s="21"/>
      <c r="C28" s="21"/>
      <c r="D28" s="21"/>
      <c r="E28" s="21"/>
      <c r="F28" s="21"/>
      <c r="G28" s="21"/>
      <c r="H28" s="21"/>
      <c r="I28" s="21"/>
      <c r="J28" s="21"/>
      <c r="K28" s="21"/>
      <c r="L28" s="21"/>
      <c r="M28" s="21"/>
      <c r="N28" s="21"/>
      <c r="O28" s="25"/>
      <c r="P28" s="624"/>
      <c r="Q28" s="452"/>
      <c r="R28" s="452"/>
      <c r="S28" s="452"/>
    </row>
    <row r="29" spans="1:19" s="697" customFormat="1" x14ac:dyDescent="0.2">
      <c r="A29" s="452"/>
      <c r="B29" s="21"/>
      <c r="C29" s="21"/>
      <c r="D29" s="32" t="s">
        <v>11</v>
      </c>
      <c r="E29" s="1557" t="str">
        <f>Translations!$B$1634</f>
        <v>Enerģijas ielaides sadalījums pa dažādiem lietojumiem</v>
      </c>
      <c r="F29" s="1558"/>
      <c r="G29" s="1558"/>
      <c r="H29" s="1558"/>
      <c r="I29" s="1558"/>
      <c r="J29" s="1558"/>
      <c r="K29" s="1558"/>
      <c r="L29" s="1558"/>
      <c r="M29" s="1558"/>
      <c r="N29" s="1558"/>
      <c r="O29" s="25"/>
      <c r="P29" s="624"/>
      <c r="Q29" s="452"/>
      <c r="R29" s="452"/>
      <c r="S29" s="452"/>
    </row>
    <row r="30" spans="1:19" s="697" customFormat="1" x14ac:dyDescent="0.2">
      <c r="A30" s="452"/>
      <c r="B30" s="21"/>
      <c r="C30" s="21"/>
      <c r="D30" s="34"/>
      <c r="E30" s="1319" t="str">
        <f>Translations!$B$496</f>
        <v>Tabulā ievadiet, cik enerģijas patērēts katram lietojumam vai — atkarībā no tā, kāds paņēmiens izvēlēts b) punktā, — procentuālo daļu no a) punktā norādītā daudzuma.</v>
      </c>
      <c r="F30" s="1251"/>
      <c r="G30" s="1251"/>
      <c r="H30" s="1251"/>
      <c r="I30" s="1251"/>
      <c r="J30" s="1251"/>
      <c r="K30" s="1251"/>
      <c r="L30" s="1251"/>
      <c r="M30" s="1251"/>
      <c r="N30" s="1251"/>
      <c r="O30" s="25"/>
      <c r="P30" s="624"/>
      <c r="Q30" s="452"/>
      <c r="R30" s="452"/>
      <c r="S30" s="452"/>
    </row>
    <row r="31" spans="1:19" s="697" customFormat="1" x14ac:dyDescent="0.2">
      <c r="A31" s="452"/>
      <c r="B31" s="21"/>
      <c r="C31" s="21"/>
      <c r="D31" s="34"/>
      <c r="E31" s="141" t="s">
        <v>392</v>
      </c>
      <c r="F31" s="1301" t="str">
        <f>Translations!$B$1635</f>
        <v>Produkta līmeņatzīmes (LA) enerģijas ielaide ir tiešās enerģijas ielaides un apakšiekārtas patērētā izmērāmā siltuma enerģijas ielaides summa.</v>
      </c>
      <c r="G31" s="1301"/>
      <c r="H31" s="1301"/>
      <c r="I31" s="1301"/>
      <c r="J31" s="1301"/>
      <c r="K31" s="1301"/>
      <c r="L31" s="1301"/>
      <c r="M31" s="1301"/>
      <c r="N31" s="1301"/>
      <c r="O31" s="25"/>
      <c r="P31" s="624"/>
      <c r="Q31" s="452"/>
      <c r="R31" s="452"/>
      <c r="S31" s="452"/>
    </row>
    <row r="32" spans="1:19" s="697" customFormat="1" x14ac:dyDescent="0.2">
      <c r="A32" s="452"/>
      <c r="B32" s="21"/>
      <c r="C32" s="21"/>
      <c r="D32" s="34"/>
      <c r="E32" s="141" t="s">
        <v>392</v>
      </c>
      <c r="F32" s="1301" t="str">
        <f>Translations!$B$1636</f>
        <v>Enerģijas ielaide tāda izmērāma siltuma ražošanai, ko neizmanto produkta LA vai elektroenerģijas ražošanai</v>
      </c>
      <c r="G32" s="1301"/>
      <c r="H32" s="1301"/>
      <c r="I32" s="1301"/>
      <c r="J32" s="1301"/>
      <c r="K32" s="1301"/>
      <c r="L32" s="1301"/>
      <c r="M32" s="1301"/>
      <c r="N32" s="1301"/>
      <c r="O32" s="25"/>
      <c r="P32" s="624"/>
      <c r="Q32" s="452"/>
      <c r="R32" s="452"/>
      <c r="S32" s="452"/>
    </row>
    <row r="33" spans="1:19" s="697" customFormat="1" x14ac:dyDescent="0.2">
      <c r="A33" s="452"/>
      <c r="B33" s="21"/>
      <c r="C33" s="21"/>
      <c r="D33" s="34"/>
      <c r="E33" s="141" t="s">
        <v>392</v>
      </c>
      <c r="F33" s="1301" t="str">
        <f>Translations!$B$1637</f>
        <v>Enerģijas ielaide kurināmā LA apakšiekārtām primārajam siltuma ražošanas mērķim</v>
      </c>
      <c r="G33" s="1301"/>
      <c r="H33" s="1301"/>
      <c r="I33" s="1301"/>
      <c r="J33" s="1301"/>
      <c r="K33" s="1301"/>
      <c r="L33" s="1301"/>
      <c r="M33" s="1301"/>
      <c r="N33" s="1301"/>
      <c r="O33" s="25"/>
      <c r="P33" s="624"/>
      <c r="Q33" s="452"/>
      <c r="R33" s="452"/>
      <c r="S33" s="452"/>
    </row>
    <row r="34" spans="1:19" s="697" customFormat="1" x14ac:dyDescent="0.2">
      <c r="A34" s="452"/>
      <c r="B34" s="21"/>
      <c r="C34" s="21"/>
      <c r="D34" s="34"/>
      <c r="E34" s="141" t="s">
        <v>392</v>
      </c>
      <c r="F34" s="1301" t="str">
        <f>Translations!$B$1638</f>
        <v>Enerģijas ielaide elektroenerģijas ražošanai</v>
      </c>
      <c r="G34" s="1301"/>
      <c r="H34" s="1301"/>
      <c r="I34" s="1301"/>
      <c r="J34" s="1301"/>
      <c r="K34" s="1301"/>
      <c r="L34" s="1301"/>
      <c r="M34" s="1301"/>
      <c r="N34" s="1301"/>
      <c r="O34" s="25"/>
      <c r="P34" s="624"/>
      <c r="Q34" s="452"/>
      <c r="R34" s="452"/>
      <c r="S34" s="452"/>
    </row>
    <row r="35" spans="1:19" ht="12.75" customHeight="1" x14ac:dyDescent="0.2">
      <c r="B35" s="21"/>
      <c r="C35" s="21"/>
      <c r="D35" s="34"/>
      <c r="E35" s="1628" t="str">
        <f>Translations!$B$501</f>
        <v>Lai uz izmērāma siltuma un elektroenerģijas ražošanu attiecinātu kurināmā ielaidi koģenerācijā, jāizmanto koģenerācijas rīks D. lapas III .sadaļā.</v>
      </c>
      <c r="F35" s="1628"/>
      <c r="G35" s="1628"/>
      <c r="H35" s="1628"/>
      <c r="I35" s="1628"/>
      <c r="J35" s="1628"/>
      <c r="K35" s="1628"/>
      <c r="L35" s="1628"/>
      <c r="M35" s="1628"/>
      <c r="N35" s="414"/>
      <c r="O35" s="25"/>
      <c r="P35" s="624"/>
    </row>
    <row r="36" spans="1:19" s="697" customFormat="1" x14ac:dyDescent="0.2">
      <c r="A36" s="452"/>
      <c r="B36" s="21"/>
      <c r="C36" s="21"/>
      <c r="D36" s="34"/>
      <c r="E36" s="1343" t="str">
        <f>Translations!$B$502</f>
        <v xml:space="preserve">Īpaša uzmanība jāpievērš enerģijas ielaides attiecināšanai uz abām apakšiekārtām, kas ir relevantas kvotu iedalei, — </v>
      </c>
      <c r="F36" s="1344"/>
      <c r="G36" s="1344"/>
      <c r="H36" s="1344"/>
      <c r="I36" s="1344"/>
      <c r="J36" s="1344"/>
      <c r="K36" s="1344"/>
      <c r="L36" s="1344"/>
      <c r="M36" s="1344"/>
      <c r="N36" s="1344"/>
      <c r="O36" s="25"/>
      <c r="P36" s="624"/>
      <c r="Q36" s="452"/>
      <c r="R36" s="452"/>
      <c r="S36" s="452"/>
    </row>
    <row r="37" spans="1:19" s="697" customFormat="1" x14ac:dyDescent="0.2">
      <c r="A37" s="452"/>
      <c r="B37" s="21"/>
      <c r="C37" s="21"/>
      <c r="D37" s="34"/>
      <c r="E37" s="1319" t="str">
        <f>Translations!$B$503</f>
        <v>kurināmā līmeņatzīmes apakšiekārtai “OEP” (pakļauta ievērojamam oglekļa emisiju pārvirzes riskam) un “bez OEP” (oglekļa emisiju pārvirzes riskam nav pakļauta).</v>
      </c>
      <c r="F37" s="1251"/>
      <c r="G37" s="1251"/>
      <c r="H37" s="1251"/>
      <c r="I37" s="1251"/>
      <c r="J37" s="1251"/>
      <c r="K37" s="1251"/>
      <c r="L37" s="1251"/>
      <c r="M37" s="1251"/>
      <c r="N37" s="1251"/>
      <c r="O37" s="25"/>
      <c r="P37" s="624"/>
      <c r="Q37" s="452"/>
      <c r="R37" s="452"/>
      <c r="S37" s="452"/>
    </row>
    <row r="38" spans="1:19" s="697" customFormat="1" x14ac:dyDescent="0.2">
      <c r="A38" s="452"/>
      <c r="B38" s="21"/>
      <c r="C38" s="21"/>
      <c r="D38" s="34"/>
      <c r="E38" s="1319" t="str">
        <f>Translations!$B$504</f>
        <v>Kontroles vajadzībām apakšējā rindā ir norādīts atlikums (100 %, no kā atskaitīta kopējā ielaide). Tā ir enerģijas ielaide, kas nekvalificējas iedalei.</v>
      </c>
      <c r="F38" s="1251"/>
      <c r="G38" s="1251"/>
      <c r="H38" s="1251"/>
      <c r="I38" s="1251"/>
      <c r="J38" s="1251"/>
      <c r="K38" s="1251"/>
      <c r="L38" s="1251"/>
      <c r="M38" s="1251"/>
      <c r="N38" s="1251"/>
      <c r="O38" s="25"/>
      <c r="P38" s="624"/>
      <c r="Q38" s="452"/>
      <c r="R38" s="452"/>
      <c r="S38" s="452"/>
    </row>
    <row r="39" spans="1:19" s="697" customFormat="1" ht="25.5" customHeight="1" x14ac:dyDescent="0.2">
      <c r="A39" s="452"/>
      <c r="B39" s="21"/>
      <c r="C39" s="21"/>
      <c r="D39" s="34"/>
      <c r="E39" s="1343" t="str">
        <f>Translations!$B$1639</f>
        <v>PIEZĪME. Ievērojiet, ka, ņemot vērā izmaiņas kurināmā līmeņatzīmes apakšiekārtas definīcijā 2026.–2030. gada iedales periodam, šeit ievadāmās vērtības var atšķirties no vērtībām, kas sniegtas gada darbības līmeņa ziņojumos bāzlīnijas periodā.</v>
      </c>
      <c r="F39" s="1344"/>
      <c r="G39" s="1344"/>
      <c r="H39" s="1344"/>
      <c r="I39" s="1344"/>
      <c r="J39" s="1344"/>
      <c r="K39" s="1344"/>
      <c r="L39" s="1344"/>
      <c r="M39" s="1344"/>
      <c r="N39" s="1344"/>
      <c r="O39" s="25"/>
      <c r="P39" s="624"/>
      <c r="Q39" s="452"/>
      <c r="R39" s="452"/>
      <c r="S39" s="452"/>
    </row>
    <row r="40" spans="1:19" s="697" customFormat="1" ht="5.0999999999999996" customHeight="1" x14ac:dyDescent="0.2">
      <c r="A40" s="452"/>
      <c r="B40" s="21"/>
      <c r="C40" s="21"/>
      <c r="D40" s="21"/>
      <c r="E40" s="21"/>
      <c r="F40" s="21"/>
      <c r="G40" s="21"/>
      <c r="H40" s="21"/>
      <c r="I40" s="21"/>
      <c r="J40" s="21"/>
      <c r="K40" s="21"/>
      <c r="L40" s="21"/>
      <c r="M40" s="21"/>
      <c r="N40" s="21"/>
      <c r="O40" s="25"/>
      <c r="P40" s="624"/>
      <c r="Q40" s="452"/>
      <c r="R40" s="452"/>
      <c r="S40" s="452"/>
    </row>
    <row r="41" spans="1:19" s="697" customFormat="1" ht="13.5" thickBot="1" x14ac:dyDescent="0.25">
      <c r="A41" s="452"/>
      <c r="B41" s="414"/>
      <c r="C41" s="414"/>
      <c r="D41" s="414"/>
      <c r="E41" s="1568" t="str">
        <f>Translations!$B$505</f>
        <v>Kurināmo ielaides izmantojuma veids</v>
      </c>
      <c r="F41" s="1569"/>
      <c r="G41" s="1569"/>
      <c r="H41" s="446" t="str">
        <f>EUconst_Unit</f>
        <v>Vienība</v>
      </c>
      <c r="I41" s="412">
        <f>I$405</f>
        <v>2019</v>
      </c>
      <c r="J41" s="412">
        <f>J$405</f>
        <v>2020</v>
      </c>
      <c r="K41" s="412">
        <f>K$405</f>
        <v>2021</v>
      </c>
      <c r="L41" s="412">
        <f>L$405</f>
        <v>2022</v>
      </c>
      <c r="M41" s="412">
        <f>M$405</f>
        <v>2023</v>
      </c>
      <c r="N41" s="25"/>
      <c r="O41" s="25"/>
      <c r="P41" s="452"/>
      <c r="Q41" s="452"/>
      <c r="R41" s="452"/>
      <c r="S41" s="452" t="s">
        <v>450</v>
      </c>
    </row>
    <row r="42" spans="1:19" s="697" customFormat="1" ht="12.75" customHeight="1" x14ac:dyDescent="0.2">
      <c r="A42" s="452"/>
      <c r="B42" s="414"/>
      <c r="C42" s="414"/>
      <c r="D42" s="440" t="s">
        <v>2</v>
      </c>
      <c r="E42" s="1629" t="str">
        <f>Translations!$B$1640</f>
        <v>Enerģijas ielaide produkta LA apakšiekārtās</v>
      </c>
      <c r="F42" s="1630"/>
      <c r="G42" s="1631"/>
      <c r="H42" s="741" t="str">
        <f t="shared" ref="H42:H48" si="0">IF(CTRL_InputMethodFuelDistribution=EUconst_NA,EUconst_relOrTJpa,IF(CTRL_InputMethodFuelDistribution=1,EUconst_TJpa,"%"))</f>
        <v>% vai TJ / gads</v>
      </c>
      <c r="I42" s="742"/>
      <c r="J42" s="742"/>
      <c r="K42" s="742"/>
      <c r="L42" s="742"/>
      <c r="M42" s="742"/>
      <c r="N42" s="25"/>
      <c r="O42" s="25"/>
      <c r="P42" s="452"/>
      <c r="Q42" s="452"/>
      <c r="R42" s="452"/>
      <c r="S42" s="784" t="b">
        <f>IF(CNTR_HasEntries_A_I,NOT(OR(CNTR_SubInstListIsProdBM)),FALSE)</f>
        <v>0</v>
      </c>
    </row>
    <row r="43" spans="1:19" s="697" customFormat="1" ht="25.5" customHeight="1" thickBot="1" x14ac:dyDescent="0.25">
      <c r="A43" s="452"/>
      <c r="B43" s="414"/>
      <c r="C43" s="414"/>
      <c r="D43" s="440" t="s">
        <v>3</v>
      </c>
      <c r="E43" s="1629" t="str">
        <f>Translations!$B$1641</f>
        <v>Enerģijas ielaide izmērāma siltuma ražošanai</v>
      </c>
      <c r="F43" s="1630"/>
      <c r="G43" s="1631"/>
      <c r="H43" s="741" t="str">
        <f t="shared" si="0"/>
        <v>% vai TJ / gads</v>
      </c>
      <c r="I43" s="742"/>
      <c r="J43" s="742"/>
      <c r="K43" s="742"/>
      <c r="L43" s="742"/>
      <c r="M43" s="742"/>
      <c r="N43" s="25"/>
      <c r="O43" s="25"/>
      <c r="P43" s="452"/>
      <c r="Q43" s="452"/>
      <c r="R43" s="452"/>
      <c r="S43" s="757"/>
    </row>
    <row r="44" spans="1:19" s="697" customFormat="1" x14ac:dyDescent="0.2">
      <c r="A44" s="452"/>
      <c r="B44" s="414"/>
      <c r="C44" s="414"/>
      <c r="D44" s="440" t="s">
        <v>4</v>
      </c>
      <c r="E44" s="1622" t="str">
        <f>INDEX(EUconst_FallBackListNames,Q44)</f>
        <v>Kurināmā līmeņatzīmes apakšiekārta (OEP | bez OIM)</v>
      </c>
      <c r="F44" s="1623"/>
      <c r="G44" s="1624"/>
      <c r="H44" s="747" t="str">
        <f t="shared" si="0"/>
        <v>% vai TJ / gads</v>
      </c>
      <c r="I44" s="748"/>
      <c r="J44" s="748"/>
      <c r="K44" s="748"/>
      <c r="L44" s="748"/>
      <c r="M44" s="749"/>
      <c r="N44" s="25"/>
      <c r="O44" s="25"/>
      <c r="P44" s="784" t="str">
        <f>IF(CTRL_InputMethodFuelDistribution=1,EUconst_CNTR_HAL&amp;E44,"")</f>
        <v/>
      </c>
      <c r="Q44" s="877">
        <v>5</v>
      </c>
      <c r="R44" s="452"/>
      <c r="S44" s="784" t="b">
        <f>IF(ISBLANK(INDEX(CNTR_FallBackSubInstRelevant,Q44)),FALSE,IF(INDEX(CNTR_FallBackSubInstRelevant,Q44),FALSE,TRUE))</f>
        <v>0</v>
      </c>
    </row>
    <row r="45" spans="1:19" s="697" customFormat="1" x14ac:dyDescent="0.2">
      <c r="A45" s="452"/>
      <c r="B45" s="414"/>
      <c r="C45" s="414"/>
      <c r="D45" s="440" t="s">
        <v>6</v>
      </c>
      <c r="E45" s="1559" t="str">
        <f>INDEX(EUconst_FallBackListNames,Q45)</f>
        <v>Kurināmā līmeņatzīmes apakšiekārta (bez OEP | bez OIM)</v>
      </c>
      <c r="F45" s="1560"/>
      <c r="G45" s="1561"/>
      <c r="H45" s="1073" t="str">
        <f t="shared" si="0"/>
        <v>% vai TJ / gads</v>
      </c>
      <c r="I45" s="1074"/>
      <c r="J45" s="1074"/>
      <c r="K45" s="1074"/>
      <c r="L45" s="1074"/>
      <c r="M45" s="1075"/>
      <c r="N45" s="25"/>
      <c r="O45" s="25"/>
      <c r="P45" s="1076" t="str">
        <f>IF(CTRL_InputMethodFuelDistribution=1,EUconst_CNTR_HAL&amp;E45,"")</f>
        <v/>
      </c>
      <c r="Q45" s="1077">
        <v>6</v>
      </c>
      <c r="R45" s="452"/>
      <c r="S45" s="1076" t="b">
        <f>IF(ISBLANK(INDEX(CNTR_FallBackSubInstRelevant,Q45)),FALSE,IF(INDEX(CNTR_FallBackSubInstRelevant,Q45),FALSE,TRUE))</f>
        <v>0</v>
      </c>
    </row>
    <row r="46" spans="1:19" s="697" customFormat="1" ht="13.5" thickBot="1" x14ac:dyDescent="0.25">
      <c r="A46" s="452"/>
      <c r="B46" s="414"/>
      <c r="C46" s="414"/>
      <c r="D46" s="440" t="s">
        <v>303</v>
      </c>
      <c r="E46" s="1637" t="str">
        <f>INDEX(EUconst_FallBackListNames,Q46)</f>
        <v>Kurināmā līmeņatzīmes apakšiekārta (OEP | OIM)</v>
      </c>
      <c r="F46" s="1638"/>
      <c r="G46" s="1639"/>
      <c r="H46" s="750" t="str">
        <f t="shared" si="0"/>
        <v>% vai TJ / gads</v>
      </c>
      <c r="I46" s="751"/>
      <c r="J46" s="751"/>
      <c r="K46" s="751"/>
      <c r="L46" s="751"/>
      <c r="M46" s="752"/>
      <c r="N46" s="25"/>
      <c r="O46" s="25"/>
      <c r="P46" s="785" t="str">
        <f>IF(CTRL_InputMethodFuelDistribution=1,EUconst_CNTR_HAL&amp;E46,"")</f>
        <v/>
      </c>
      <c r="Q46" s="878">
        <v>7</v>
      </c>
      <c r="R46" s="452"/>
      <c r="S46" s="785" t="b">
        <f>IF(ISBLANK(INDEX(CNTR_FallBackSubInstRelevant,Q46)),FALSE,IF(INDEX(CNTR_FallBackSubInstRelevant,Q46),FALSE,TRUE))</f>
        <v>0</v>
      </c>
    </row>
    <row r="47" spans="1:19" s="697" customFormat="1" x14ac:dyDescent="0.2">
      <c r="A47" s="452"/>
      <c r="B47" s="414"/>
      <c r="C47" s="414"/>
      <c r="D47" s="440" t="s">
        <v>304</v>
      </c>
      <c r="E47" s="1619" t="str">
        <f>Translations!$B$1638</f>
        <v>Enerģijas ielaide elektroenerģijas ražošanai</v>
      </c>
      <c r="F47" s="1620"/>
      <c r="G47" s="1621"/>
      <c r="H47" s="879" t="str">
        <f t="shared" si="0"/>
        <v>% vai TJ / gads</v>
      </c>
      <c r="I47" s="881"/>
      <c r="J47" s="881"/>
      <c r="K47" s="881"/>
      <c r="L47" s="881"/>
      <c r="M47" s="881"/>
      <c r="N47" s="25"/>
      <c r="O47" s="25"/>
      <c r="P47" s="757"/>
      <c r="Q47" s="452"/>
      <c r="R47" s="452"/>
      <c r="S47" s="452"/>
    </row>
    <row r="48" spans="1:19" s="697" customFormat="1" x14ac:dyDescent="0.2">
      <c r="A48" s="452"/>
      <c r="B48" s="414"/>
      <c r="C48" s="414"/>
      <c r="D48" s="440" t="s">
        <v>305</v>
      </c>
      <c r="E48" s="1626" t="str">
        <f>Translations!$B$508</f>
        <v>Atlikums</v>
      </c>
      <c r="F48" s="1626"/>
      <c r="G48" s="1626"/>
      <c r="H48" s="743" t="str">
        <f t="shared" si="0"/>
        <v>% vai TJ / gads</v>
      </c>
      <c r="I48" s="753" t="str">
        <f>IF(AND(COUNT(I42:I47,I23)&gt;0,ISNUMBER(CTRL_InputMethodFuelDistribution)),IF(CTRL_InputMethodFuelDistribution=1,I23-SUM(I42:I47),100-SUM(I42:I47)),"")</f>
        <v/>
      </c>
      <c r="J48" s="753" t="str">
        <f>IF(AND(COUNT(J42:J47,J23)&gt;0,ISNUMBER(CTRL_InputMethodFuelDistribution)),IF(CTRL_InputMethodFuelDistribution=1,J23-SUM(J42:J47),100-SUM(J42:J47)),"")</f>
        <v/>
      </c>
      <c r="K48" s="753" t="str">
        <f>IF(AND(COUNT(K42:K47,K23)&gt;0,ISNUMBER(CTRL_InputMethodFuelDistribution)),IF(CTRL_InputMethodFuelDistribution=1,K23-SUM(K42:K47),100-SUM(K42:K47)),"")</f>
        <v/>
      </c>
      <c r="L48" s="753" t="str">
        <f>IF(AND(COUNT(L42:L47,L23)&gt;0,ISNUMBER(CTRL_InputMethodFuelDistribution)),IF(CTRL_InputMethodFuelDistribution=1,L23-SUM(L42:L47),100-SUM(L42:L47)),"")</f>
        <v/>
      </c>
      <c r="M48" s="753" t="str">
        <f>IF(AND(COUNT(M42:M47,M23)&gt;0,ISNUMBER(CTRL_InputMethodFuelDistribution)),IF(CTRL_InputMethodFuelDistribution=1,M23-SUM(M42:M47),100-SUM(M42:M47)),"")</f>
        <v/>
      </c>
      <c r="N48" s="25"/>
      <c r="O48" s="25"/>
      <c r="P48" s="757"/>
      <c r="Q48" s="452"/>
      <c r="R48" s="452"/>
      <c r="S48" s="452"/>
    </row>
    <row r="49" spans="1:19" s="697" customFormat="1" x14ac:dyDescent="0.2">
      <c r="A49" s="452"/>
      <c r="B49" s="414"/>
      <c r="C49" s="414"/>
      <c r="D49" s="414"/>
      <c r="E49" s="414"/>
      <c r="F49" s="414"/>
      <c r="G49" s="414"/>
      <c r="H49" s="414"/>
      <c r="I49" s="414"/>
      <c r="J49" s="414"/>
      <c r="K49" s="414"/>
      <c r="L49" s="414"/>
      <c r="M49" s="414"/>
      <c r="N49" s="414"/>
      <c r="O49" s="25"/>
      <c r="P49" s="757"/>
      <c r="Q49" s="452"/>
      <c r="R49" s="452"/>
      <c r="S49" s="452"/>
    </row>
    <row r="50" spans="1:19" s="697" customFormat="1" x14ac:dyDescent="0.2">
      <c r="A50" s="452"/>
      <c r="B50" s="21"/>
      <c r="C50" s="21"/>
      <c r="D50" s="34"/>
      <c r="E50" s="1319" t="str">
        <f>Translations!$B$509</f>
        <v>Ievadītā informācija kontroles nolūkā šeit attēlota vienībās, kuras informācijas ievadei neizvēlējāties.</v>
      </c>
      <c r="F50" s="1251"/>
      <c r="G50" s="1251"/>
      <c r="H50" s="1251"/>
      <c r="I50" s="1251"/>
      <c r="J50" s="1251"/>
      <c r="K50" s="1251"/>
      <c r="L50" s="1251"/>
      <c r="M50" s="1251"/>
      <c r="N50" s="1251"/>
      <c r="O50" s="25"/>
      <c r="P50" s="758"/>
      <c r="Q50" s="452"/>
      <c r="R50" s="452"/>
      <c r="S50" s="452"/>
    </row>
    <row r="51" spans="1:19" s="697" customFormat="1" ht="5.0999999999999996" customHeight="1" x14ac:dyDescent="0.2">
      <c r="A51" s="452"/>
      <c r="B51" s="21"/>
      <c r="C51" s="21"/>
      <c r="D51" s="21"/>
      <c r="E51" s="21"/>
      <c r="F51" s="21"/>
      <c r="G51" s="21"/>
      <c r="H51" s="21"/>
      <c r="I51" s="21"/>
      <c r="J51" s="21"/>
      <c r="K51" s="21"/>
      <c r="L51" s="21"/>
      <c r="M51" s="21"/>
      <c r="N51" s="21"/>
      <c r="O51" s="25"/>
      <c r="P51" s="758"/>
      <c r="Q51" s="452"/>
      <c r="R51" s="452"/>
      <c r="S51" s="452"/>
    </row>
    <row r="52" spans="1:19" s="697" customFormat="1" x14ac:dyDescent="0.2">
      <c r="A52" s="452"/>
      <c r="B52" s="414"/>
      <c r="C52" s="414"/>
      <c r="D52" s="414"/>
      <c r="E52" s="1568" t="str">
        <f t="shared" ref="E52:E59" si="1">E41</f>
        <v>Kurināmo ielaides izmantojuma veids</v>
      </c>
      <c r="F52" s="1569"/>
      <c r="G52" s="1569"/>
      <c r="H52" s="446" t="str">
        <f>EUconst_Unit</f>
        <v>Vienība</v>
      </c>
      <c r="I52" s="412">
        <f>I$405</f>
        <v>2019</v>
      </c>
      <c r="J52" s="412">
        <f>J$405</f>
        <v>2020</v>
      </c>
      <c r="K52" s="412">
        <f>K$405</f>
        <v>2021</v>
      </c>
      <c r="L52" s="412">
        <f>L$405</f>
        <v>2022</v>
      </c>
      <c r="M52" s="412">
        <f>M$405</f>
        <v>2023</v>
      </c>
      <c r="N52" s="414"/>
      <c r="O52" s="25"/>
      <c r="P52" s="757"/>
      <c r="Q52" s="452"/>
      <c r="R52" s="452"/>
      <c r="S52" s="452"/>
    </row>
    <row r="53" spans="1:19" s="697" customFormat="1" ht="13.5" customHeight="1" x14ac:dyDescent="0.2">
      <c r="A53" s="452"/>
      <c r="B53" s="414"/>
      <c r="C53" s="414"/>
      <c r="D53" s="440" t="s">
        <v>305</v>
      </c>
      <c r="E53" s="1627" t="str">
        <f t="shared" si="1"/>
        <v>Enerģijas ielaide produkta LA apakšiekārtās</v>
      </c>
      <c r="F53" s="1627"/>
      <c r="G53" s="1627"/>
      <c r="H53" s="741" t="str">
        <f t="shared" ref="H53:H59" si="2">IF(CTRL_InputMethodFuelDistribution=EUconst_NA,EUconst_relOrTJpa,IF(CTRL_InputMethodFuelDistribution=2,EUconst_TJpa,"%"))</f>
        <v>% vai TJ / gads</v>
      </c>
      <c r="I53" s="482" t="str">
        <f t="shared" ref="I53:M59" si="3">IF(AND(ISNUMBER(I$23),ISNUMBER(I42),CTRL_InputMethodFuelDistribution&lt;&gt;EUconst_NA),IF(CTRL_InputMethodFuelDistribution=1,I42/I$23*100,I42*I$23/100),"")</f>
        <v/>
      </c>
      <c r="J53" s="482" t="str">
        <f t="shared" si="3"/>
        <v/>
      </c>
      <c r="K53" s="482" t="str">
        <f t="shared" si="3"/>
        <v/>
      </c>
      <c r="L53" s="482" t="str">
        <f t="shared" si="3"/>
        <v/>
      </c>
      <c r="M53" s="482" t="str">
        <f t="shared" si="3"/>
        <v/>
      </c>
      <c r="N53" s="414"/>
      <c r="O53" s="25"/>
      <c r="P53" s="757"/>
      <c r="Q53" s="452"/>
      <c r="R53" s="452"/>
      <c r="S53" s="452"/>
    </row>
    <row r="54" spans="1:19" s="697" customFormat="1" ht="13.5" thickBot="1" x14ac:dyDescent="0.25">
      <c r="A54" s="452"/>
      <c r="B54" s="414"/>
      <c r="C54" s="414"/>
      <c r="D54" s="440" t="s">
        <v>306</v>
      </c>
      <c r="E54" s="1627" t="str">
        <f t="shared" si="1"/>
        <v>Enerģijas ielaide izmērāma siltuma ražošanai</v>
      </c>
      <c r="F54" s="1627"/>
      <c r="G54" s="1627"/>
      <c r="H54" s="741" t="str">
        <f t="shared" si="2"/>
        <v>% vai TJ / gads</v>
      </c>
      <c r="I54" s="482" t="str">
        <f t="shared" si="3"/>
        <v/>
      </c>
      <c r="J54" s="482" t="str">
        <f t="shared" si="3"/>
        <v/>
      </c>
      <c r="K54" s="482" t="str">
        <f t="shared" si="3"/>
        <v/>
      </c>
      <c r="L54" s="482" t="str">
        <f t="shared" si="3"/>
        <v/>
      </c>
      <c r="M54" s="482" t="str">
        <f t="shared" si="3"/>
        <v/>
      </c>
      <c r="N54" s="414"/>
      <c r="O54" s="25"/>
      <c r="P54" s="757"/>
      <c r="Q54" s="452"/>
      <c r="R54" s="452"/>
      <c r="S54" s="452"/>
    </row>
    <row r="55" spans="1:19" s="697" customFormat="1" x14ac:dyDescent="0.2">
      <c r="A55" s="452"/>
      <c r="B55" s="414"/>
      <c r="C55" s="414"/>
      <c r="D55" s="440" t="s">
        <v>307</v>
      </c>
      <c r="E55" s="1632" t="str">
        <f t="shared" si="1"/>
        <v>Kurināmā līmeņatzīmes apakšiekārta (OEP | bez OIM)</v>
      </c>
      <c r="F55" s="1633"/>
      <c r="G55" s="1633"/>
      <c r="H55" s="747" t="str">
        <f t="shared" si="2"/>
        <v>% vai TJ / gads</v>
      </c>
      <c r="I55" s="754" t="str">
        <f t="shared" si="3"/>
        <v/>
      </c>
      <c r="J55" s="754" t="str">
        <f t="shared" si="3"/>
        <v/>
      </c>
      <c r="K55" s="754" t="str">
        <f t="shared" si="3"/>
        <v/>
      </c>
      <c r="L55" s="754" t="str">
        <f t="shared" si="3"/>
        <v/>
      </c>
      <c r="M55" s="755" t="str">
        <f t="shared" si="3"/>
        <v/>
      </c>
      <c r="N55" s="414"/>
      <c r="O55" s="25"/>
      <c r="P55" s="744" t="str">
        <f>IF(CTRL_InputMethodFuelDistribution=2,EUconst_CNTR_HAL&amp;E55,"")</f>
        <v/>
      </c>
      <c r="Q55" s="452"/>
      <c r="R55" s="452"/>
      <c r="S55" s="452"/>
    </row>
    <row r="56" spans="1:19" s="697" customFormat="1" x14ac:dyDescent="0.2">
      <c r="A56" s="452"/>
      <c r="B56" s="414"/>
      <c r="C56" s="414"/>
      <c r="D56" s="440" t="s">
        <v>15</v>
      </c>
      <c r="E56" s="1562" t="str">
        <f t="shared" si="1"/>
        <v>Kurināmā līmeņatzīmes apakšiekārta (bez OEP | bez OIM)</v>
      </c>
      <c r="F56" s="1563"/>
      <c r="G56" s="1563"/>
      <c r="H56" s="1073" t="str">
        <f t="shared" si="2"/>
        <v>% vai TJ / gads</v>
      </c>
      <c r="I56" s="1078" t="str">
        <f t="shared" si="3"/>
        <v/>
      </c>
      <c r="J56" s="1078" t="str">
        <f t="shared" si="3"/>
        <v/>
      </c>
      <c r="K56" s="1078" t="str">
        <f t="shared" si="3"/>
        <v/>
      </c>
      <c r="L56" s="1078" t="str">
        <f t="shared" si="3"/>
        <v/>
      </c>
      <c r="M56" s="1079" t="str">
        <f t="shared" si="3"/>
        <v/>
      </c>
      <c r="N56" s="414"/>
      <c r="O56" s="25"/>
      <c r="P56" s="757" t="str">
        <f>IF(CTRL_InputMethodFuelDistribution=2,EUconst_CNTR_HAL&amp;E56,"")</f>
        <v/>
      </c>
      <c r="Q56" s="452"/>
      <c r="R56" s="452"/>
      <c r="S56" s="452"/>
    </row>
    <row r="57" spans="1:19" s="697" customFormat="1" ht="13.5" thickBot="1" x14ac:dyDescent="0.25">
      <c r="A57" s="452"/>
      <c r="B57" s="414"/>
      <c r="C57" s="414"/>
      <c r="D57" s="440" t="s">
        <v>16</v>
      </c>
      <c r="E57" s="1634" t="str">
        <f t="shared" si="1"/>
        <v>Kurināmā līmeņatzīmes apakšiekārta (OEP | OIM)</v>
      </c>
      <c r="F57" s="1635"/>
      <c r="G57" s="1635"/>
      <c r="H57" s="750" t="str">
        <f t="shared" si="2"/>
        <v>% vai TJ / gads</v>
      </c>
      <c r="I57" s="331" t="str">
        <f t="shared" si="3"/>
        <v/>
      </c>
      <c r="J57" s="331" t="str">
        <f t="shared" si="3"/>
        <v/>
      </c>
      <c r="K57" s="331" t="str">
        <f t="shared" si="3"/>
        <v/>
      </c>
      <c r="L57" s="331" t="str">
        <f t="shared" si="3"/>
        <v/>
      </c>
      <c r="M57" s="756" t="str">
        <f t="shared" si="3"/>
        <v/>
      </c>
      <c r="N57" s="414"/>
      <c r="O57" s="25"/>
      <c r="P57" s="746" t="str">
        <f>IF(CTRL_InputMethodFuelDistribution=2,EUconst_CNTR_HAL&amp;E57,"")</f>
        <v/>
      </c>
      <c r="Q57" s="452"/>
      <c r="R57" s="452"/>
      <c r="S57" s="452"/>
    </row>
    <row r="58" spans="1:19" s="697" customFormat="1" x14ac:dyDescent="0.2">
      <c r="A58" s="452"/>
      <c r="B58" s="414"/>
      <c r="C58" s="414"/>
      <c r="D58" s="440" t="s">
        <v>17</v>
      </c>
      <c r="E58" s="1618" t="str">
        <f t="shared" si="1"/>
        <v>Enerģijas ielaide elektroenerģijas ražošanai</v>
      </c>
      <c r="F58" s="1618"/>
      <c r="G58" s="1618"/>
      <c r="H58" s="879" t="str">
        <f t="shared" si="2"/>
        <v>% vai TJ / gads</v>
      </c>
      <c r="I58" s="880" t="str">
        <f t="shared" si="3"/>
        <v/>
      </c>
      <c r="J58" s="880" t="str">
        <f t="shared" si="3"/>
        <v/>
      </c>
      <c r="K58" s="880" t="str">
        <f t="shared" si="3"/>
        <v/>
      </c>
      <c r="L58" s="880" t="str">
        <f t="shared" si="3"/>
        <v/>
      </c>
      <c r="M58" s="880" t="str">
        <f t="shared" si="3"/>
        <v/>
      </c>
      <c r="N58" s="414"/>
      <c r="O58" s="25"/>
      <c r="P58" s="452"/>
      <c r="Q58" s="452"/>
      <c r="R58" s="452"/>
      <c r="S58" s="452"/>
    </row>
    <row r="59" spans="1:19" s="697" customFormat="1" x14ac:dyDescent="0.2">
      <c r="A59" s="452"/>
      <c r="B59" s="414"/>
      <c r="C59" s="414"/>
      <c r="D59" s="440" t="s">
        <v>438</v>
      </c>
      <c r="E59" s="1625" t="str">
        <f t="shared" si="1"/>
        <v>Atlikums</v>
      </c>
      <c r="F59" s="1625"/>
      <c r="G59" s="1625"/>
      <c r="H59" s="743" t="str">
        <f t="shared" si="2"/>
        <v>% vai TJ / gads</v>
      </c>
      <c r="I59" s="753" t="str">
        <f t="shared" si="3"/>
        <v/>
      </c>
      <c r="J59" s="753" t="str">
        <f t="shared" si="3"/>
        <v/>
      </c>
      <c r="K59" s="753" t="str">
        <f t="shared" si="3"/>
        <v/>
      </c>
      <c r="L59" s="753" t="str">
        <f t="shared" si="3"/>
        <v/>
      </c>
      <c r="M59" s="753" t="str">
        <f t="shared" si="3"/>
        <v/>
      </c>
      <c r="N59" s="414"/>
      <c r="O59" s="25"/>
      <c r="P59" s="445"/>
      <c r="Q59" s="452"/>
      <c r="R59" s="452"/>
      <c r="S59" s="452"/>
    </row>
    <row r="60" spans="1:19" x14ac:dyDescent="0.2">
      <c r="B60" s="38"/>
      <c r="C60" s="38"/>
      <c r="D60" s="38"/>
      <c r="E60" s="38"/>
      <c r="F60" s="38"/>
      <c r="G60" s="38"/>
      <c r="H60" s="38"/>
      <c r="I60" s="38"/>
      <c r="J60" s="38"/>
      <c r="K60" s="38"/>
      <c r="L60" s="38"/>
      <c r="M60" s="38"/>
      <c r="N60" s="38"/>
      <c r="O60" s="25"/>
    </row>
    <row r="61" spans="1:19" ht="15.75" x14ac:dyDescent="0.25">
      <c r="B61" s="21"/>
      <c r="C61" s="30" t="s">
        <v>338</v>
      </c>
      <c r="D61" s="1596" t="str">
        <f>Translations!$B$249</f>
        <v>Izmērāmais siltums</v>
      </c>
      <c r="E61" s="1596"/>
      <c r="F61" s="1596"/>
      <c r="G61" s="1596"/>
      <c r="H61" s="1596"/>
      <c r="I61" s="1596"/>
      <c r="J61" s="1596"/>
      <c r="K61" s="1596"/>
      <c r="L61" s="1596"/>
      <c r="M61" s="1596"/>
      <c r="N61" s="1596"/>
      <c r="O61" s="25"/>
      <c r="P61" s="624"/>
    </row>
    <row r="62" spans="1:19" ht="5.0999999999999996" customHeight="1" x14ac:dyDescent="0.2">
      <c r="B62" s="21"/>
      <c r="C62" s="21"/>
      <c r="D62" s="21"/>
      <c r="E62" s="21"/>
      <c r="F62" s="21"/>
      <c r="G62" s="21"/>
      <c r="H62" s="21"/>
      <c r="I62" s="21"/>
      <c r="J62" s="21"/>
      <c r="K62" s="21"/>
      <c r="L62" s="21"/>
      <c r="M62" s="25"/>
      <c r="N62" s="25"/>
      <c r="O62" s="25"/>
      <c r="P62" s="624"/>
    </row>
    <row r="63" spans="1:19" ht="15" x14ac:dyDescent="0.25">
      <c r="B63" s="21"/>
      <c r="C63" s="36"/>
      <c r="D63" s="1318" t="str">
        <f>Translations!$B$510</f>
        <v>Iekārtas izmērāmā siltuma pilnīga bilance</v>
      </c>
      <c r="E63" s="1251"/>
      <c r="F63" s="1251"/>
      <c r="G63" s="1251"/>
      <c r="H63" s="1251"/>
      <c r="I63" s="1251"/>
      <c r="J63" s="1251"/>
      <c r="K63" s="1251"/>
      <c r="L63" s="1251"/>
      <c r="M63" s="1251"/>
      <c r="N63" s="1251"/>
      <c r="O63" s="25"/>
      <c r="P63" s="624"/>
    </row>
    <row r="64" spans="1:19" ht="5.0999999999999996" customHeight="1" x14ac:dyDescent="0.2">
      <c r="B64" s="21"/>
      <c r="C64" s="21"/>
      <c r="D64" s="21"/>
      <c r="E64" s="21"/>
      <c r="F64" s="21"/>
      <c r="G64" s="21"/>
      <c r="H64" s="21"/>
      <c r="I64" s="21"/>
      <c r="J64" s="21"/>
      <c r="K64" s="21"/>
      <c r="L64" s="21"/>
      <c r="M64" s="21"/>
      <c r="N64" s="21"/>
      <c r="O64" s="25"/>
      <c r="P64" s="624"/>
    </row>
    <row r="65" spans="1:17" ht="12.75" customHeight="1" x14ac:dyDescent="0.2">
      <c r="A65" s="20"/>
      <c r="B65" s="21"/>
      <c r="C65" s="21"/>
      <c r="D65" s="718"/>
      <c r="E65" s="1325" t="str">
        <f>Translations!$B$511</f>
        <v>Vai iekārtai ir siltuma līmeņatzīmes vai centralizētās siltumapgādes apakšiekārta?</v>
      </c>
      <c r="F65" s="1325"/>
      <c r="G65" s="1325"/>
      <c r="H65" s="1325"/>
      <c r="I65" s="1325"/>
      <c r="J65" s="1325"/>
      <c r="K65" s="1325"/>
      <c r="L65" s="1489"/>
      <c r="M65" s="1208" t="b">
        <f>COUNTIF(A_InstallationData!$J$295:$J$298,TRUE)&gt;0</f>
        <v>0</v>
      </c>
      <c r="N65" s="25"/>
      <c r="O65" s="25"/>
      <c r="P65" s="26"/>
      <c r="Q65" s="20"/>
    </row>
    <row r="66" spans="1:17" ht="12.75" customHeight="1" x14ac:dyDescent="0.2">
      <c r="B66" s="21"/>
      <c r="C66" s="34"/>
      <c r="D66" s="141"/>
      <c r="E66" s="1319" t="str">
        <f>Translations!$B$512</f>
        <v>Produkta līmeņatzīmes apakšiekārtas nosaukums parādās automātiski saskaņā ar lapā "A_InstallationData" ievadītajiem datiem.</v>
      </c>
      <c r="F66" s="1251"/>
      <c r="G66" s="1251"/>
      <c r="H66" s="1251"/>
      <c r="I66" s="1251"/>
      <c r="J66" s="1251"/>
      <c r="K66" s="1251"/>
      <c r="L66" s="1251"/>
      <c r="M66" s="1251"/>
      <c r="N66" s="1609"/>
      <c r="O66" s="25"/>
      <c r="P66" s="624"/>
    </row>
    <row r="67" spans="1:17" ht="12.75" customHeight="1" x14ac:dyDescent="0.2">
      <c r="B67" s="21"/>
      <c r="C67" s="34"/>
      <c r="D67" s="141"/>
      <c r="E67" s="1319" t="str">
        <f>Translations!$B$513</f>
        <v>Ja parādās “PATIESS” (“TRUE”), ieraksti šajā sadaļā vienmēr ir relevanti. Uz nākamo jautājumu jāatbild tikai tad, ja neviena no šīm apakšiekārtām nav relevanta.</v>
      </c>
      <c r="F67" s="1251"/>
      <c r="G67" s="1251"/>
      <c r="H67" s="1251"/>
      <c r="I67" s="1251"/>
      <c r="J67" s="1251"/>
      <c r="K67" s="1251"/>
      <c r="L67" s="1251"/>
      <c r="M67" s="1251"/>
      <c r="N67" s="1609"/>
      <c r="O67" s="25"/>
      <c r="P67" s="624"/>
    </row>
    <row r="68" spans="1:17" ht="5.0999999999999996" customHeight="1" x14ac:dyDescent="0.2">
      <c r="B68" s="21"/>
      <c r="C68" s="21"/>
      <c r="D68" s="21"/>
      <c r="E68" s="21"/>
      <c r="F68" s="21"/>
      <c r="G68" s="21"/>
      <c r="H68" s="21"/>
      <c r="I68" s="21"/>
      <c r="J68" s="21"/>
      <c r="K68" s="21"/>
      <c r="L68" s="21"/>
      <c r="M68" s="21"/>
      <c r="N68" s="21"/>
      <c r="O68" s="25"/>
      <c r="P68" s="624"/>
    </row>
    <row r="69" spans="1:17" ht="12.75" customHeight="1" x14ac:dyDescent="0.2">
      <c r="A69" s="20"/>
      <c r="B69" s="21"/>
      <c r="C69" s="21"/>
      <c r="D69" s="718"/>
      <c r="E69" s="1325" t="str">
        <f>Translations!$B$514</f>
        <v>Vai šajā iekārtā tiek ražotas vai patērētas, uz to importētas vai no tās eksportētas kādas izmērāma siltuma plūsmas?</v>
      </c>
      <c r="F69" s="1325"/>
      <c r="G69" s="1325"/>
      <c r="H69" s="1325"/>
      <c r="I69" s="1325"/>
      <c r="J69" s="1325"/>
      <c r="K69" s="1325"/>
      <c r="L69" s="1489"/>
      <c r="M69" s="882"/>
      <c r="N69" s="25"/>
      <c r="O69" s="25"/>
      <c r="P69" s="26"/>
      <c r="Q69" s="20"/>
    </row>
    <row r="70" spans="1:17" ht="12.75" customHeight="1" x14ac:dyDescent="0.2">
      <c r="B70" s="21"/>
      <c r="C70" s="21"/>
      <c r="D70" s="21"/>
      <c r="E70" s="1581" t="str">
        <f>IF(AND(M69&lt;&gt;"",M69=FALSE),HYPERLINK(Q70,EUconst_MsgGoOn),HYPERLINK("",EUconst_MsgEnterThisSection))</f>
        <v>Ievadiet datus šajā sadaļā!</v>
      </c>
      <c r="F70" s="1582"/>
      <c r="G70" s="1582"/>
      <c r="H70" s="1582"/>
      <c r="I70" s="1582"/>
      <c r="J70" s="1582"/>
      <c r="K70" s="1582"/>
      <c r="L70" s="1582"/>
      <c r="M70" s="1583"/>
      <c r="N70" s="21"/>
      <c r="O70" s="25"/>
      <c r="P70" s="20" t="s">
        <v>192</v>
      </c>
      <c r="Q70" s="362" t="str">
        <f>"#"&amp;ADDRESS(ROW(C252),COLUMN(C252))</f>
        <v>#$C$252</v>
      </c>
    </row>
    <row r="71" spans="1:17" ht="5.0999999999999996" customHeight="1" x14ac:dyDescent="0.2">
      <c r="B71" s="21"/>
      <c r="C71" s="21"/>
      <c r="D71" s="21"/>
      <c r="E71" s="21"/>
      <c r="F71" s="21"/>
      <c r="G71" s="21"/>
      <c r="H71" s="21"/>
      <c r="I71" s="21"/>
      <c r="J71" s="21"/>
      <c r="K71" s="21"/>
      <c r="L71" s="21"/>
      <c r="M71" s="25"/>
      <c r="N71" s="25"/>
      <c r="O71" s="25"/>
      <c r="P71" s="624"/>
    </row>
    <row r="72" spans="1:17" x14ac:dyDescent="0.2">
      <c r="B72" s="21"/>
      <c r="C72" s="21"/>
      <c r="D72" s="1593" t="str">
        <f>Translations!$B$515</f>
        <v>Visiem datiem par siltumu jābūt datiem par izmērāmā siltuma neto daudzumu (t. i., lietotājam pievadītās siltuma plūsmas siltumsaturs, no kā atskaitīts atgriezes plūsmas siltumsaturs).</v>
      </c>
      <c r="E72" s="1558"/>
      <c r="F72" s="1558"/>
      <c r="G72" s="1558"/>
      <c r="H72" s="1558"/>
      <c r="I72" s="1558"/>
      <c r="J72" s="1558"/>
      <c r="K72" s="1558"/>
      <c r="L72" s="1558"/>
      <c r="M72" s="1558"/>
      <c r="N72" s="1558"/>
      <c r="O72" s="25"/>
      <c r="P72" s="624"/>
    </row>
    <row r="73" spans="1:17" ht="5.0999999999999996" customHeight="1" x14ac:dyDescent="0.2">
      <c r="B73" s="21"/>
      <c r="C73" s="21"/>
      <c r="D73" s="21"/>
      <c r="E73" s="21"/>
      <c r="F73" s="21"/>
      <c r="G73" s="21"/>
      <c r="H73" s="21"/>
      <c r="I73" s="21"/>
      <c r="J73" s="21"/>
      <c r="K73" s="21"/>
      <c r="L73" s="25"/>
      <c r="M73" s="25"/>
      <c r="N73" s="21"/>
      <c r="O73" s="25"/>
      <c r="P73" s="624"/>
    </row>
    <row r="74" spans="1:17" x14ac:dyDescent="0.2">
      <c r="B74" s="21"/>
      <c r="C74" s="34"/>
      <c r="D74" s="1593" t="str">
        <f>Translations!$B$516</f>
        <v>Izmantotās aprēķina metodes apraksts</v>
      </c>
      <c r="E74" s="1558"/>
      <c r="F74" s="1558"/>
      <c r="G74" s="1558"/>
      <c r="H74" s="1558"/>
      <c r="I74" s="1558"/>
      <c r="J74" s="1558"/>
      <c r="K74" s="1558"/>
      <c r="L74" s="1558"/>
      <c r="M74" s="1558"/>
      <c r="N74" s="1558"/>
      <c r="O74" s="25"/>
      <c r="P74" s="624"/>
    </row>
    <row r="75" spans="1:17" ht="36.950000000000003" customHeight="1" x14ac:dyDescent="0.2">
      <c r="B75" s="21"/>
      <c r="C75" s="34"/>
      <c r="D75" s="1647" t="str">
        <f>Translations!$B$517</f>
        <v>Ja relevanta ir abu veidu siltuma ielaide — gan siltuma, kas kvalificējas (pašražots un/vai importēts no ETS iekārtām), gan siltuma, kas nekvalificējas (importēts no ETS neaptvertām iekārtām vai vienībām vai saražots slāpekļskābes apakšiekārtā), — UN tiek izmantots abu veidu siltums, t. i., gan tas, kas kvalificējas (iekšēji izmantots un/vai eksportēts uz ETS neaptvertām iekārtām/vienībām), gan tas, kas nekvalificējas (eksportēts uz ETS iekārtām), ir svarīgi iezīmēt, kura ielaide kvalificējas un kura ne.</v>
      </c>
      <c r="E75" s="1251"/>
      <c r="F75" s="1251"/>
      <c r="G75" s="1251"/>
      <c r="H75" s="1251"/>
      <c r="I75" s="1251"/>
      <c r="J75" s="1251"/>
      <c r="K75" s="1251"/>
      <c r="L75" s="1251"/>
      <c r="M75" s="1251"/>
      <c r="N75" s="1609"/>
      <c r="O75" s="25"/>
      <c r="P75" s="624"/>
    </row>
    <row r="76" spans="1:17" x14ac:dyDescent="0.2">
      <c r="B76" s="21"/>
      <c r="C76" s="34"/>
      <c r="D76" s="1567" t="str">
        <f>Translations!$B$518</f>
        <v>Šādai iezīmēšanai tiek piedāvāta šāda pieeju hierarhija.</v>
      </c>
      <c r="E76" s="1558"/>
      <c r="F76" s="1558"/>
      <c r="G76" s="1558"/>
      <c r="H76" s="1558"/>
      <c r="I76" s="1558"/>
      <c r="J76" s="1558"/>
      <c r="K76" s="1558"/>
      <c r="L76" s="1558"/>
      <c r="M76" s="1558"/>
      <c r="N76" s="1558"/>
      <c r="O76" s="25"/>
      <c r="P76" s="624"/>
    </row>
    <row r="77" spans="1:17" ht="25.5" customHeight="1" x14ac:dyDescent="0.2">
      <c r="B77" s="21"/>
      <c r="C77" s="34"/>
      <c r="D77" s="141" t="s">
        <v>392</v>
      </c>
      <c r="E77" s="1319" t="str">
        <f>Translations!$B$519</f>
        <v>Ja siltuma daudzumus var skaidri iezīmēt (jo ir skaidri definēti siltumtīkla savienojumi vai ir zināms tvaika spiediena līmenis u. tml.), par siltuma daudzumiem, kas kvalificējas un kas nekvalificējas, ir jāziņo saskaņā ar reālo situāciju.</v>
      </c>
      <c r="F77" s="1251"/>
      <c r="G77" s="1251"/>
      <c r="H77" s="1251"/>
      <c r="I77" s="1251"/>
      <c r="J77" s="1251"/>
      <c r="K77" s="1251"/>
      <c r="L77" s="1251"/>
      <c r="M77" s="1251"/>
      <c r="N77" s="1609"/>
      <c r="O77" s="25"/>
      <c r="P77" s="624"/>
    </row>
    <row r="78" spans="1:17" x14ac:dyDescent="0.2">
      <c r="B78" s="21"/>
      <c r="C78" s="34"/>
      <c r="D78" s="141" t="s">
        <v>392</v>
      </c>
      <c r="E78" s="1614" t="str">
        <f>Translations!$B$520</f>
        <v>Ja tas nav iespējams, izmantojumiem jāpiemēro svērumi atbilstoši ielaižu attiecībai (ETS ielaide attiecībā pret kopējo ielaidi) saskaņā ar iepriekš sniegtajām definīcijām.</v>
      </c>
      <c r="F78" s="1609"/>
      <c r="G78" s="1609"/>
      <c r="H78" s="1609"/>
      <c r="I78" s="1609"/>
      <c r="J78" s="1609"/>
      <c r="K78" s="1609"/>
      <c r="L78" s="1609"/>
      <c r="M78" s="1609"/>
      <c r="N78" s="1609"/>
      <c r="O78" s="25"/>
      <c r="P78" s="624"/>
    </row>
    <row r="79" spans="1:17" x14ac:dyDescent="0.2">
      <c r="B79" s="21"/>
      <c r="C79" s="34"/>
      <c r="D79" s="1593" t="str">
        <f>Translations!$B$521</f>
        <v>Šajā veidnē ir izmantota šāda pakāpeniska pieeja.</v>
      </c>
      <c r="E79" s="1558"/>
      <c r="F79" s="1558"/>
      <c r="G79" s="1558"/>
      <c r="H79" s="1558"/>
      <c r="I79" s="1558"/>
      <c r="J79" s="1558"/>
      <c r="K79" s="1558"/>
      <c r="L79" s="1558"/>
      <c r="M79" s="1558"/>
      <c r="N79" s="1558"/>
      <c r="O79" s="25"/>
      <c r="P79" s="624"/>
    </row>
    <row r="80" spans="1:17" x14ac:dyDescent="0.2">
      <c r="B80" s="21"/>
      <c r="C80" s="34"/>
      <c r="D80" s="141" t="s">
        <v>392</v>
      </c>
      <c r="E80" s="1567" t="str">
        <f>Translations!$B$522</f>
        <v>Atsevišķi aprēķina tā siltuma patēriņa bilanci, kas kvalificējas, un tā, kas nekvalificējas.</v>
      </c>
      <c r="F80" s="1558"/>
      <c r="G80" s="1558"/>
      <c r="H80" s="1558"/>
      <c r="I80" s="1558"/>
      <c r="J80" s="1558"/>
      <c r="K80" s="1558"/>
      <c r="L80" s="1558"/>
      <c r="M80" s="1558"/>
      <c r="N80" s="1558"/>
      <c r="O80" s="25"/>
      <c r="P80" s="624"/>
    </row>
    <row r="81" spans="1:19" ht="25.5" customHeight="1" x14ac:dyDescent="0.2">
      <c r="B81" s="21"/>
      <c r="C81" s="34"/>
      <c r="D81" s="141" t="s">
        <v>392</v>
      </c>
      <c r="E81" s="1319" t="str">
        <f>Translations!$B$523</f>
        <v>Elektroenerģijas ražošanas gadījumā siltuma patēriņu sadala atbilstoši f) punktā norādītajai attiecībai, ja vien siltuma daudzums no avotiem, kas nekvalificējas, nav manuāli ievadīts g) punkta iii. apakšpunktā.</v>
      </c>
      <c r="F81" s="1610"/>
      <c r="G81" s="1610"/>
      <c r="H81" s="1610"/>
      <c r="I81" s="1610"/>
      <c r="J81" s="1610"/>
      <c r="K81" s="1610"/>
      <c r="L81" s="1610"/>
      <c r="M81" s="1610"/>
      <c r="N81" s="1610"/>
      <c r="O81" s="25"/>
      <c r="P81" s="624"/>
    </row>
    <row r="82" spans="1:19" ht="25.5" customHeight="1" x14ac:dyDescent="0.2">
      <c r="B82" s="21"/>
      <c r="C82" s="34"/>
      <c r="D82" s="141" t="s">
        <v>392</v>
      </c>
      <c r="E82" s="1319" t="str">
        <f>Translations!$B$524</f>
        <v>Attiecībā uz produktu līmeņatzīmēm izmērītā siltuma kopējais daudzums ir jānorāda g) punktā. Par tā siltuma daudzumu, kas nekvalificējas, ņem lapas "F_ProductBM” f) punkta iii) apakšpunktā par katru apakšiekārtu ievadīto ielaides daudzumu summu (sk. h) punkta xii. apakšpunktu).</v>
      </c>
      <c r="F82" s="1611"/>
      <c r="G82" s="1611"/>
      <c r="H82" s="1611"/>
      <c r="I82" s="1611"/>
      <c r="J82" s="1611"/>
      <c r="K82" s="1611"/>
      <c r="L82" s="1611"/>
      <c r="M82" s="1611"/>
      <c r="N82" s="1612"/>
      <c r="O82" s="25"/>
      <c r="P82" s="624"/>
    </row>
    <row r="83" spans="1:19" ht="39.950000000000003" customHeight="1" x14ac:dyDescent="0.2">
      <c r="B83" s="21"/>
      <c r="C83" s="34"/>
      <c r="D83" s="141" t="s">
        <v>392</v>
      </c>
      <c r="E83" s="1319" t="str">
        <f>Translations!$B$525</f>
        <v>Siltuma eksports uz ETS aptvertām iekārtām (sk. i) punktu) vienmēr jāuzskata par siltumu no avotiem, kas kvalificējas, jo siltuma patērētājam informācijas par augšposmā saražotā siltuma kvalificējamību nebūs. Tāpēc, lai izvairītos no divkāršas uzskaites, siltums ir jāatskaita no daudzuma, kas šajā iekārtā kvalificējas. Šis daudzums nevar pārsniegt kopējo iekārtai pieejamo siltumu, kas kvalificējas.</v>
      </c>
      <c r="F83" s="1251"/>
      <c r="G83" s="1251"/>
      <c r="H83" s="1251"/>
      <c r="I83" s="1251"/>
      <c r="J83" s="1251"/>
      <c r="K83" s="1251"/>
      <c r="L83" s="1251"/>
      <c r="M83" s="1251"/>
      <c r="N83" s="1609"/>
      <c r="O83" s="25"/>
      <c r="P83" s="624"/>
    </row>
    <row r="84" spans="1:19" ht="25.5" customHeight="1" x14ac:dyDescent="0.2">
      <c r="B84" s="21"/>
      <c r="C84" s="34"/>
      <c r="D84" s="141" t="s">
        <v>392</v>
      </c>
      <c r="E84" s="1319" t="str">
        <f>Translations!$B$526</f>
        <v>No izmērāmā siltuma atlikušā daudzuma jānosaka, cik daudz siltuma ir patērēts iekārtā (izņemot elektroenerģijas ražošanā un produkta līmeņa apakšiekārtās). Augšējā robežvērtība ir atlikums pēc iepriekšējiem soļiem no tā siltuma daudzuma, kas kvalificējas.</v>
      </c>
      <c r="F84" s="1251"/>
      <c r="G84" s="1251"/>
      <c r="H84" s="1251"/>
      <c r="I84" s="1251"/>
      <c r="J84" s="1251"/>
      <c r="K84" s="1251"/>
      <c r="L84" s="1251"/>
      <c r="M84" s="1251"/>
      <c r="N84" s="1609"/>
      <c r="O84" s="25"/>
      <c r="P84" s="624"/>
    </row>
    <row r="85" spans="1:19" x14ac:dyDescent="0.2">
      <c r="B85" s="21"/>
      <c r="C85" s="34"/>
      <c r="D85" s="141" t="s">
        <v>392</v>
      </c>
      <c r="E85" s="1319" t="str">
        <f>Translations!$B$527</f>
        <v>Kad no pieejamā daudzuma ir atskaitīts šis siltums, aprēķina jaunu “kvalificējamības attiecību” (k) punkts).</v>
      </c>
      <c r="F85" s="1251"/>
      <c r="G85" s="1251"/>
      <c r="H85" s="1251"/>
      <c r="I85" s="1251"/>
      <c r="J85" s="1251"/>
      <c r="K85" s="1251"/>
      <c r="L85" s="1251"/>
      <c r="M85" s="1251"/>
      <c r="N85" s="1609"/>
      <c r="O85" s="25"/>
      <c r="P85" s="624"/>
    </row>
    <row r="86" spans="1:19" x14ac:dyDescent="0.2">
      <c r="B86" s="21"/>
      <c r="C86" s="34"/>
      <c r="D86" s="141" t="s">
        <v>392</v>
      </c>
      <c r="E86" s="1614" t="str">
        <f>Translations!$B$528</f>
        <v>Atlikušo daudzumu, kas kvalificējas, tad var attiecināt uz abām siltuma līmeņatzīmes apakšiekārtām.</v>
      </c>
      <c r="F86" s="1609"/>
      <c r="G86" s="1609"/>
      <c r="H86" s="1609"/>
      <c r="I86" s="1609"/>
      <c r="J86" s="1609"/>
      <c r="K86" s="1609"/>
      <c r="L86" s="1609"/>
      <c r="M86" s="1609"/>
      <c r="N86" s="1609"/>
      <c r="O86" s="25"/>
      <c r="P86" s="624"/>
    </row>
    <row r="87" spans="1:19" s="697" customFormat="1" ht="25.5" customHeight="1" x14ac:dyDescent="0.2">
      <c r="A87" s="452"/>
      <c r="B87" s="21"/>
      <c r="C87" s="21"/>
      <c r="D87" s="1593" t="str">
        <f>Translations!$B$1642</f>
        <v>PIEZĪME. Ievērojiet, ka, ņemot vērā izmaiņas siltuma līmeņatzīmes apakšiekārtas definīcijā 2026.–2030. gada iedales periodam, ievadāmās vērtības var atšķirties no vērtībām, kas sniegtas gada darbības līmeņa ziņojumos bāzlīnijas periodā.</v>
      </c>
      <c r="E87" s="1558"/>
      <c r="F87" s="1558"/>
      <c r="G87" s="1558"/>
      <c r="H87" s="1558"/>
      <c r="I87" s="1558"/>
      <c r="J87" s="1558"/>
      <c r="K87" s="1558"/>
      <c r="L87" s="1558"/>
      <c r="M87" s="1558"/>
      <c r="N87" s="1558"/>
      <c r="O87" s="25"/>
      <c r="P87" s="624"/>
      <c r="Q87" s="452"/>
      <c r="R87" s="452"/>
      <c r="S87" s="452"/>
    </row>
    <row r="88" spans="1:19" x14ac:dyDescent="0.2">
      <c r="B88" s="38"/>
      <c r="C88" s="38"/>
      <c r="D88" s="38"/>
      <c r="E88" s="38"/>
      <c r="F88" s="38"/>
      <c r="G88" s="38"/>
      <c r="H88" s="38"/>
      <c r="I88" s="38"/>
      <c r="J88" s="38"/>
      <c r="K88" s="38"/>
      <c r="L88" s="38"/>
      <c r="M88" s="38"/>
      <c r="N88" s="38"/>
      <c r="O88" s="25"/>
    </row>
    <row r="89" spans="1:19" ht="15" x14ac:dyDescent="0.25">
      <c r="B89" s="21"/>
      <c r="C89" s="36"/>
      <c r="D89" s="37"/>
      <c r="E89" s="1594" t="str">
        <f>Translations!$B$529</f>
        <v>Siltuma ielaide</v>
      </c>
      <c r="F89" s="1558"/>
      <c r="G89" s="1558"/>
      <c r="H89" s="1558"/>
      <c r="I89" s="1558"/>
      <c r="J89" s="1558"/>
      <c r="K89" s="1558"/>
      <c r="L89" s="1558"/>
      <c r="M89" s="1558"/>
      <c r="N89" s="1558"/>
      <c r="O89" s="25"/>
      <c r="P89" s="624"/>
    </row>
    <row r="90" spans="1:19" ht="5.0999999999999996" customHeight="1" x14ac:dyDescent="0.2">
      <c r="B90" s="21"/>
      <c r="C90" s="21"/>
      <c r="D90" s="21"/>
      <c r="E90" s="21"/>
      <c r="F90" s="21"/>
      <c r="G90" s="21"/>
      <c r="H90" s="21"/>
      <c r="I90" s="21"/>
      <c r="J90" s="21"/>
      <c r="K90" s="21"/>
      <c r="L90" s="21"/>
      <c r="M90" s="21"/>
      <c r="N90" s="21"/>
      <c r="O90" s="25"/>
      <c r="P90" s="624"/>
    </row>
    <row r="91" spans="1:19" x14ac:dyDescent="0.2">
      <c r="B91" s="21"/>
      <c r="C91" s="32"/>
      <c r="D91" s="32" t="s">
        <v>165</v>
      </c>
      <c r="E91" s="1557" t="str">
        <f>Translations!$B$530</f>
        <v>Iekārtā saražotā izmērāmā siltuma kopējais neto daudzums:</v>
      </c>
      <c r="F91" s="1558"/>
      <c r="G91" s="1558"/>
      <c r="H91" s="1558"/>
      <c r="I91" s="1558"/>
      <c r="J91" s="1558"/>
      <c r="K91" s="1558"/>
      <c r="L91" s="1558"/>
      <c r="M91" s="1558"/>
      <c r="N91" s="1558"/>
      <c r="O91" s="25"/>
      <c r="P91" s="624"/>
    </row>
    <row r="92" spans="1:19" ht="25.5" customHeight="1" x14ac:dyDescent="0.2">
      <c r="B92" s="21"/>
      <c r="C92" s="21"/>
      <c r="D92" s="415"/>
      <c r="E92" s="1343" t="str">
        <f>Translations!$B$1643</f>
        <v>Visiem datiem par siltumu jābūt datiem par izmērāmā siltuma neto daudzumu (t. i., lietotājam pievadītās siltuma plūsmas siltumsaturs, no kā atskaitīts atgriezes plūsmas siltumsaturs). Ja relevants ir siltums no koģenerācijas, nodrošiniet saskanību ar datu ierakstiem D.III sadaļā.</v>
      </c>
      <c r="F92" s="1251"/>
      <c r="G92" s="1251"/>
      <c r="H92" s="1251"/>
      <c r="I92" s="1251"/>
      <c r="J92" s="1251"/>
      <c r="K92" s="1251"/>
      <c r="L92" s="1251"/>
      <c r="M92" s="1251"/>
      <c r="N92" s="1251"/>
      <c r="O92" s="25"/>
      <c r="P92" s="624"/>
    </row>
    <row r="93" spans="1:19" x14ac:dyDescent="0.2">
      <c r="B93" s="21"/>
      <c r="C93" s="34"/>
      <c r="D93" s="34"/>
      <c r="E93" s="1567" t="str">
        <f>Translations!$B$531</f>
        <v>Ievērojiet, ka siltums, kas saražots no slāpekļskābes apakšiekārtām, jānorāda c) punktā kā “imports no ETS neaptvertām iekārtām”.</v>
      </c>
      <c r="F93" s="1558"/>
      <c r="G93" s="1558"/>
      <c r="H93" s="1558"/>
      <c r="I93" s="1558"/>
      <c r="J93" s="1558"/>
      <c r="K93" s="1558"/>
      <c r="L93" s="1558"/>
      <c r="M93" s="1558"/>
      <c r="N93" s="1558"/>
      <c r="O93" s="25"/>
      <c r="P93" s="624"/>
    </row>
    <row r="94" spans="1:19" s="697" customFormat="1" ht="25.5" customHeight="1" x14ac:dyDescent="0.2">
      <c r="A94" s="452"/>
      <c r="B94" s="21"/>
      <c r="C94" s="21"/>
      <c r="D94" s="34"/>
      <c r="E94" s="1319" t="str">
        <f>Translations!$B$1644</f>
        <v>Kā papildpozīcija un daļa, kas jāiekļauj i punktā, no kurināmā līmeņatzīmes apakšiekārtām eksportētā izmērāmā siltuma daudzumu summa ir parādīta ii punktā. Šī informācija ir ņemta no G.5.e.</v>
      </c>
      <c r="F94" s="1251"/>
      <c r="G94" s="1251"/>
      <c r="H94" s="1251"/>
      <c r="I94" s="1251"/>
      <c r="J94" s="1251"/>
      <c r="K94" s="1251"/>
      <c r="L94" s="1251"/>
      <c r="M94" s="1251"/>
      <c r="N94" s="1251"/>
      <c r="O94" s="25"/>
      <c r="P94" s="624"/>
      <c r="Q94" s="452"/>
      <c r="R94" s="452"/>
      <c r="S94" s="452"/>
    </row>
    <row r="95" spans="1:19" ht="13.5" thickBot="1" x14ac:dyDescent="0.25">
      <c r="B95" s="38"/>
      <c r="C95" s="38"/>
      <c r="D95" s="38"/>
      <c r="E95" s="43"/>
      <c r="F95" s="40"/>
      <c r="G95" s="40"/>
      <c r="H95" s="52" t="str">
        <f>EUconst_Unit</f>
        <v>Vienība</v>
      </c>
      <c r="I95" s="412">
        <f>I$405</f>
        <v>2019</v>
      </c>
      <c r="J95" s="412">
        <f>J$405</f>
        <v>2020</v>
      </c>
      <c r="K95" s="412">
        <f>K$405</f>
        <v>2021</v>
      </c>
      <c r="L95" s="412">
        <f>L$405</f>
        <v>2022</v>
      </c>
      <c r="M95" s="412">
        <f>M$405</f>
        <v>2023</v>
      </c>
      <c r="N95" s="25"/>
      <c r="O95" s="25"/>
      <c r="S95" s="452" t="s">
        <v>450</v>
      </c>
    </row>
    <row r="96" spans="1:19" x14ac:dyDescent="0.2">
      <c r="B96" s="38"/>
      <c r="C96" s="38"/>
      <c r="D96" s="212" t="s">
        <v>2</v>
      </c>
      <c r="E96" s="1574" t="str">
        <f>Translations!$B$532</f>
        <v>Saražotais izmērāmais siltums</v>
      </c>
      <c r="F96" s="1574"/>
      <c r="G96" s="1574"/>
      <c r="H96" s="66" t="str">
        <f>EUconst_TJpa</f>
        <v>TJ / gads</v>
      </c>
      <c r="I96" s="330"/>
      <c r="J96" s="330"/>
      <c r="K96" s="330"/>
      <c r="L96" s="330"/>
      <c r="M96" s="330"/>
      <c r="N96" s="25"/>
      <c r="O96" s="25"/>
      <c r="S96" s="643" t="b">
        <f>AND(M69&lt;&gt;"",M69=FALSE)</f>
        <v>0</v>
      </c>
    </row>
    <row r="97" spans="2:19" x14ac:dyDescent="0.2">
      <c r="B97" s="21"/>
      <c r="C97" s="38"/>
      <c r="D97" s="212" t="s">
        <v>3</v>
      </c>
      <c r="E97" s="1648" t="str">
        <f>Translations!$B$1645</f>
        <v>Papildpozīcija: no kurināmā LA eksportētais siltums</v>
      </c>
      <c r="F97" s="1648"/>
      <c r="G97" s="1648"/>
      <c r="H97" s="66" t="str">
        <f>EUconst_TJpa</f>
        <v>TJ / gads</v>
      </c>
      <c r="I97" s="1180" t="str">
        <f>IF(ISNUMBER(I96),SUM(I$453:I$455),"")</f>
        <v/>
      </c>
      <c r="J97" s="1180" t="str">
        <f>IF(ISNUMBER(J96),SUM(J$453:J$455),"")</f>
        <v/>
      </c>
      <c r="K97" s="1180" t="str">
        <f>IF(ISNUMBER(K96),SUM(K$453:K$455),"")</f>
        <v/>
      </c>
      <c r="L97" s="1180" t="str">
        <f>IF(ISNUMBER(L96),SUM(L$453:L$455),"")</f>
        <v/>
      </c>
      <c r="M97" s="1180" t="str">
        <f>IF(ISNUMBER(M96),SUM(M$453:M$455),"")</f>
        <v/>
      </c>
      <c r="N97" s="21"/>
      <c r="O97" s="25"/>
      <c r="S97" s="714"/>
    </row>
    <row r="98" spans="2:19" ht="5.0999999999999996" customHeight="1" x14ac:dyDescent="0.2">
      <c r="B98" s="38"/>
      <c r="C98" s="21"/>
      <c r="D98" s="21"/>
      <c r="E98" s="21"/>
      <c r="F98" s="21"/>
      <c r="G98" s="21"/>
      <c r="H98" s="21"/>
      <c r="I98" s="21"/>
      <c r="J98" s="21"/>
      <c r="K98" s="21"/>
      <c r="L98" s="21"/>
      <c r="M98" s="21"/>
      <c r="N98" s="21"/>
      <c r="O98" s="25"/>
      <c r="S98" s="714"/>
    </row>
    <row r="99" spans="2:19" x14ac:dyDescent="0.2">
      <c r="B99" s="38"/>
      <c r="C99" s="32"/>
      <c r="D99" s="32" t="s">
        <v>339</v>
      </c>
      <c r="E99" s="1557" t="str">
        <f>Translations!$B$540</f>
        <v>No elektroenerģijas saražots izmērāmais siltums</v>
      </c>
      <c r="F99" s="1558"/>
      <c r="G99" s="1558"/>
      <c r="H99" s="1558"/>
      <c r="I99" s="1558"/>
      <c r="J99" s="1558"/>
      <c r="K99" s="1558"/>
      <c r="L99" s="1558"/>
      <c r="M99" s="1558"/>
      <c r="N99" s="1558"/>
      <c r="O99" s="25"/>
      <c r="S99" s="714"/>
    </row>
    <row r="100" spans="2:19" ht="25.5" customHeight="1" x14ac:dyDescent="0.2">
      <c r="B100" s="38"/>
      <c r="C100" s="34"/>
      <c r="D100" s="34"/>
      <c r="E100" s="1567" t="str">
        <f>Translations!$B$1646</f>
        <v>Tas ietver siltumu no elektrokatliem, siltumsūkņiem utt. Šis siltuma daudzums ir jāiekļauj a) punktā minētajos datos un šeit jāieraksta tikai pārredzamības nolūkā.</v>
      </c>
      <c r="F100" s="1558"/>
      <c r="G100" s="1558"/>
      <c r="H100" s="1558"/>
      <c r="I100" s="1558"/>
      <c r="J100" s="1558"/>
      <c r="K100" s="1558"/>
      <c r="L100" s="1558"/>
      <c r="M100" s="1558"/>
      <c r="N100" s="1558"/>
      <c r="O100" s="25"/>
      <c r="P100" s="624"/>
      <c r="S100" s="714"/>
    </row>
    <row r="101" spans="2:19" x14ac:dyDescent="0.2">
      <c r="B101" s="38"/>
      <c r="C101" s="38"/>
      <c r="D101" s="38"/>
      <c r="E101" s="43"/>
      <c r="F101" s="40"/>
      <c r="G101" s="40"/>
      <c r="H101" s="52" t="str">
        <f>EUconst_Unit</f>
        <v>Vienība</v>
      </c>
      <c r="I101" s="412">
        <f>I$405</f>
        <v>2019</v>
      </c>
      <c r="J101" s="412">
        <f>J$405</f>
        <v>2020</v>
      </c>
      <c r="K101" s="412">
        <f>K$405</f>
        <v>2021</v>
      </c>
      <c r="L101" s="412">
        <f>L$405</f>
        <v>2022</v>
      </c>
      <c r="M101" s="412">
        <f>M$405</f>
        <v>2023</v>
      </c>
      <c r="N101" s="44"/>
      <c r="O101" s="25"/>
      <c r="S101" s="714"/>
    </row>
    <row r="102" spans="2:19" x14ac:dyDescent="0.2">
      <c r="B102" s="38"/>
      <c r="C102" s="38"/>
      <c r="D102" s="38"/>
      <c r="E102" s="1554" t="str">
        <f>Translations!$B$542</f>
        <v>Siltums no elektroenerģijas</v>
      </c>
      <c r="F102" s="1574"/>
      <c r="G102" s="1574"/>
      <c r="H102" s="66" t="str">
        <f>EUconst_TJpa</f>
        <v>TJ / gads</v>
      </c>
      <c r="I102" s="330"/>
      <c r="J102" s="330"/>
      <c r="K102" s="330"/>
      <c r="L102" s="330"/>
      <c r="M102" s="330"/>
      <c r="N102" s="25"/>
      <c r="O102" s="25"/>
      <c r="S102" s="627" t="b">
        <f>S119</f>
        <v>0</v>
      </c>
    </row>
    <row r="103" spans="2:19" ht="5.0999999999999996" customHeight="1" x14ac:dyDescent="0.2">
      <c r="B103" s="38"/>
      <c r="C103" s="21"/>
      <c r="D103" s="21"/>
      <c r="E103" s="21"/>
      <c r="F103" s="21"/>
      <c r="G103" s="21"/>
      <c r="H103" s="21"/>
      <c r="I103" s="21"/>
      <c r="J103" s="21"/>
      <c r="K103" s="21"/>
      <c r="L103" s="21"/>
      <c r="M103" s="21"/>
      <c r="N103" s="21"/>
      <c r="O103" s="25"/>
      <c r="P103" s="624"/>
      <c r="S103" s="714"/>
    </row>
    <row r="104" spans="2:19" x14ac:dyDescent="0.2">
      <c r="B104" s="21"/>
      <c r="C104" s="32"/>
      <c r="D104" s="32" t="s">
        <v>11</v>
      </c>
      <c r="E104" s="1557" t="str">
        <f>Translations!$B$533</f>
        <v>Izmērāmais siltums, kas importēts no ES ETS aptvertām iekārtām:</v>
      </c>
      <c r="F104" s="1558"/>
      <c r="G104" s="1558"/>
      <c r="H104" s="1558"/>
      <c r="I104" s="1558"/>
      <c r="J104" s="1558"/>
      <c r="K104" s="1558"/>
      <c r="L104" s="1558"/>
      <c r="M104" s="1558"/>
      <c r="N104" s="1558"/>
      <c r="O104" s="25"/>
      <c r="P104" s="624"/>
      <c r="S104" s="714"/>
    </row>
    <row r="105" spans="2:19" x14ac:dyDescent="0.2">
      <c r="B105" s="21"/>
      <c r="C105" s="34"/>
      <c r="D105" s="34"/>
      <c r="E105" s="1567" t="str">
        <f>Translations!$B$534</f>
        <v>Iekārtu nosaukumi nolaižamajā izvēlnē ir ņemti no A lapas IV sadaļas. Pārbaudiet, vai tajā ir ievadītie dati ir pilnīgi.</v>
      </c>
      <c r="F105" s="1558"/>
      <c r="G105" s="1558"/>
      <c r="H105" s="1558"/>
      <c r="I105" s="1558"/>
      <c r="J105" s="1558"/>
      <c r="K105" s="1558"/>
      <c r="L105" s="1558"/>
      <c r="M105" s="1558"/>
      <c r="N105" s="1558"/>
      <c r="O105" s="25"/>
      <c r="P105" s="624"/>
      <c r="S105" s="714"/>
    </row>
    <row r="106" spans="2:19" ht="5.0999999999999996" customHeight="1" x14ac:dyDescent="0.2">
      <c r="B106" s="21"/>
      <c r="C106" s="21"/>
      <c r="D106" s="21"/>
      <c r="E106" s="21"/>
      <c r="F106" s="21"/>
      <c r="G106" s="21"/>
      <c r="H106" s="21"/>
      <c r="I106" s="21"/>
      <c r="J106" s="21"/>
      <c r="K106" s="21"/>
      <c r="L106" s="21"/>
      <c r="M106" s="21"/>
      <c r="N106" s="21"/>
      <c r="O106" s="25"/>
      <c r="P106" s="624"/>
      <c r="S106" s="714"/>
    </row>
    <row r="107" spans="2:19" x14ac:dyDescent="0.2">
      <c r="B107" s="38"/>
      <c r="C107" s="38"/>
      <c r="D107" s="38"/>
      <c r="E107" s="1570" t="str">
        <f>Translations!$B$535</f>
        <v>Iekārtas nosaukums</v>
      </c>
      <c r="F107" s="1573"/>
      <c r="G107" s="1573"/>
      <c r="H107" s="52" t="str">
        <f>EUconst_Unit</f>
        <v>Vienība</v>
      </c>
      <c r="I107" s="412">
        <f>I$405</f>
        <v>2019</v>
      </c>
      <c r="J107" s="412">
        <f>J$405</f>
        <v>2020</v>
      </c>
      <c r="K107" s="412">
        <f>K$405</f>
        <v>2021</v>
      </c>
      <c r="L107" s="412">
        <f>L$405</f>
        <v>2022</v>
      </c>
      <c r="M107" s="412">
        <f>M$405</f>
        <v>2023</v>
      </c>
      <c r="N107" s="44"/>
      <c r="O107" s="25"/>
      <c r="S107" s="714"/>
    </row>
    <row r="108" spans="2:19" x14ac:dyDescent="0.2">
      <c r="B108" s="38"/>
      <c r="C108" s="212"/>
      <c r="D108" s="212" t="s">
        <v>2</v>
      </c>
      <c r="E108" s="1439"/>
      <c r="F108" s="1439"/>
      <c r="G108" s="1439"/>
      <c r="H108" s="55" t="str">
        <f>EUconst_TJpa</f>
        <v>TJ / gads</v>
      </c>
      <c r="I108" s="348"/>
      <c r="J108" s="348"/>
      <c r="K108" s="348"/>
      <c r="L108" s="348"/>
      <c r="M108" s="348"/>
      <c r="N108" s="25"/>
      <c r="O108" s="25"/>
      <c r="S108" s="627" t="b">
        <f>S96</f>
        <v>0</v>
      </c>
    </row>
    <row r="109" spans="2:19" x14ac:dyDescent="0.2">
      <c r="B109" s="38"/>
      <c r="C109" s="212"/>
      <c r="D109" s="212" t="s">
        <v>3</v>
      </c>
      <c r="E109" s="1423"/>
      <c r="F109" s="1423"/>
      <c r="G109" s="1423"/>
      <c r="H109" s="56" t="str">
        <f>EUconst_TJpa</f>
        <v>TJ / gads</v>
      </c>
      <c r="I109" s="347"/>
      <c r="J109" s="347"/>
      <c r="K109" s="347"/>
      <c r="L109" s="347"/>
      <c r="M109" s="347"/>
      <c r="N109" s="25"/>
      <c r="O109" s="25"/>
      <c r="S109" s="627" t="b">
        <f>S108</f>
        <v>0</v>
      </c>
    </row>
    <row r="110" spans="2:19" x14ac:dyDescent="0.2">
      <c r="B110" s="38"/>
      <c r="C110" s="212"/>
      <c r="D110" s="212" t="s">
        <v>4</v>
      </c>
      <c r="E110" s="1434"/>
      <c r="F110" s="1434"/>
      <c r="G110" s="1434"/>
      <c r="H110" s="59" t="str">
        <f>EUconst_TJpa</f>
        <v>TJ / gads</v>
      </c>
      <c r="I110" s="345"/>
      <c r="J110" s="345"/>
      <c r="K110" s="345"/>
      <c r="L110" s="345"/>
      <c r="M110" s="345"/>
      <c r="N110" s="25"/>
      <c r="O110" s="25"/>
      <c r="S110" s="627" t="b">
        <f>S109</f>
        <v>0</v>
      </c>
    </row>
    <row r="111" spans="2:19" x14ac:dyDescent="0.2">
      <c r="B111" s="38"/>
      <c r="C111" s="212"/>
      <c r="D111" s="212" t="s">
        <v>6</v>
      </c>
      <c r="E111" s="1574" t="str">
        <f>Translations!$B$536</f>
        <v>Starpsumma</v>
      </c>
      <c r="F111" s="1574"/>
      <c r="G111" s="1574"/>
      <c r="H111" s="70" t="str">
        <f>EUconst_TJpa</f>
        <v>TJ / gads</v>
      </c>
      <c r="I111" s="328" t="str">
        <f>IF(COUNT(I108:I110)&gt;0,SUM(I108:I110),"")</f>
        <v/>
      </c>
      <c r="J111" s="328" t="str">
        <f>IF(COUNT(J108:J110)&gt;0,SUM(J108:J110),"")</f>
        <v/>
      </c>
      <c r="K111" s="328" t="str">
        <f>IF(COUNT(K108:K110)&gt;0,SUM(K108:K110),"")</f>
        <v/>
      </c>
      <c r="L111" s="328" t="str">
        <f>IF(COUNT(L108:L110)&gt;0,SUM(L108:L110),"")</f>
        <v/>
      </c>
      <c r="M111" s="328" t="str">
        <f>IF(COUNT(M108:M110)&gt;0,SUM(M108:M110),"")</f>
        <v/>
      </c>
      <c r="N111" s="25"/>
      <c r="O111" s="25"/>
      <c r="S111" s="714"/>
    </row>
    <row r="112" spans="2:19" ht="5.0999999999999996" customHeight="1" x14ac:dyDescent="0.2">
      <c r="B112" s="21"/>
      <c r="C112" s="21"/>
      <c r="D112" s="21"/>
      <c r="E112" s="21"/>
      <c r="F112" s="21"/>
      <c r="G112" s="21"/>
      <c r="H112" s="21"/>
      <c r="I112" s="21"/>
      <c r="J112" s="21"/>
      <c r="K112" s="21"/>
      <c r="L112" s="21"/>
      <c r="M112" s="21"/>
      <c r="N112" s="21"/>
      <c r="O112" s="25"/>
      <c r="P112" s="624"/>
      <c r="S112" s="714"/>
    </row>
    <row r="113" spans="2:19" x14ac:dyDescent="0.2">
      <c r="B113" s="21"/>
      <c r="C113" s="32"/>
      <c r="D113" s="32" t="s">
        <v>342</v>
      </c>
      <c r="E113" s="1557" t="str">
        <f>Translations!$B$537</f>
        <v>Izmērāmais siltums, kas importēts no ES ETS neaptvertām iekārtām un vienībām (kas nekvalificējas siltuma līmeņatzīmei):</v>
      </c>
      <c r="F113" s="1558"/>
      <c r="G113" s="1558"/>
      <c r="H113" s="1558"/>
      <c r="I113" s="1558"/>
      <c r="J113" s="1558"/>
      <c r="K113" s="1558"/>
      <c r="L113" s="1558"/>
      <c r="M113" s="1558"/>
      <c r="N113" s="1558"/>
      <c r="O113" s="25"/>
      <c r="P113" s="624"/>
      <c r="S113" s="714"/>
    </row>
    <row r="114" spans="2:19" ht="25.5" customHeight="1" x14ac:dyDescent="0.2">
      <c r="B114" s="21"/>
      <c r="C114" s="34"/>
      <c r="D114" s="34"/>
      <c r="E114" s="1567" t="str">
        <f>Translations!$B$1647</f>
        <v xml:space="preserve">Tas ietver slāpekļskābi ražojošas apakšiekārtas (ja slāpekļskābes ražošana ir daļa no iekārtas, kā iekārtas nosaukumu izvēlieties “Iekārtā") un sadzīves atkritumu incinerācijas iekārtas. </v>
      </c>
      <c r="F114" s="1558"/>
      <c r="G114" s="1558"/>
      <c r="H114" s="1558"/>
      <c r="I114" s="1558"/>
      <c r="J114" s="1558"/>
      <c r="K114" s="1558"/>
      <c r="L114" s="1558"/>
      <c r="M114" s="1558"/>
      <c r="N114" s="1558"/>
      <c r="O114" s="25"/>
      <c r="P114" s="624"/>
      <c r="S114" s="714"/>
    </row>
    <row r="115" spans="2:19" x14ac:dyDescent="0.2">
      <c r="B115" s="21"/>
      <c r="C115" s="34"/>
      <c r="D115" s="34"/>
      <c r="E115" s="1567" t="str">
        <f>Translations!$B$539</f>
        <v>Ievērojiet, ka šeit ievadītie dati ir jāpārbauda, lai noskaidrotu, vai nerodas divkārša uzskaite ar atskaitījumiem pie produkta līmeņatzīmes apakšiekārtām (sk. lapu "F_ProductBM").</v>
      </c>
      <c r="F115" s="1558"/>
      <c r="G115" s="1558"/>
      <c r="H115" s="1558"/>
      <c r="I115" s="1558"/>
      <c r="J115" s="1558"/>
      <c r="K115" s="1558"/>
      <c r="L115" s="1558"/>
      <c r="M115" s="1558"/>
      <c r="N115" s="1558"/>
      <c r="O115" s="25"/>
      <c r="P115" s="624"/>
      <c r="S115" s="714"/>
    </row>
    <row r="116" spans="2:19" x14ac:dyDescent="0.2">
      <c r="B116" s="38"/>
      <c r="C116" s="38"/>
      <c r="D116" s="38"/>
      <c r="E116" s="1570" t="str">
        <f>Translations!$B$256</f>
        <v>Iekārtas vai vienības nosaukums</v>
      </c>
      <c r="F116" s="1573"/>
      <c r="G116" s="1573"/>
      <c r="H116" s="52" t="str">
        <f>EUconst_Unit</f>
        <v>Vienība</v>
      </c>
      <c r="I116" s="412">
        <f>I$405</f>
        <v>2019</v>
      </c>
      <c r="J116" s="412">
        <f>J$405</f>
        <v>2020</v>
      </c>
      <c r="K116" s="412">
        <f>K$405</f>
        <v>2021</v>
      </c>
      <c r="L116" s="412">
        <f>L$405</f>
        <v>2022</v>
      </c>
      <c r="M116" s="412">
        <f>M$405</f>
        <v>2023</v>
      </c>
      <c r="N116" s="25"/>
      <c r="O116" s="25"/>
      <c r="S116" s="714"/>
    </row>
    <row r="117" spans="2:19" x14ac:dyDescent="0.2">
      <c r="B117" s="38"/>
      <c r="C117" s="212"/>
      <c r="D117" s="212" t="s">
        <v>2</v>
      </c>
      <c r="E117" s="1439"/>
      <c r="F117" s="1439"/>
      <c r="G117" s="1439"/>
      <c r="H117" s="55" t="str">
        <f>EUconst_TJpa</f>
        <v>TJ / gads</v>
      </c>
      <c r="I117" s="348"/>
      <c r="J117" s="348"/>
      <c r="K117" s="348"/>
      <c r="L117" s="348"/>
      <c r="M117" s="352"/>
      <c r="N117" s="25"/>
      <c r="O117" s="25"/>
      <c r="S117" s="627" t="b">
        <f>S110</f>
        <v>0</v>
      </c>
    </row>
    <row r="118" spans="2:19" x14ac:dyDescent="0.2">
      <c r="B118" s="38"/>
      <c r="C118" s="212"/>
      <c r="D118" s="212" t="s">
        <v>3</v>
      </c>
      <c r="E118" s="1423"/>
      <c r="F118" s="1423"/>
      <c r="G118" s="1423"/>
      <c r="H118" s="56" t="str">
        <f>EUconst_TJpa</f>
        <v>TJ / gads</v>
      </c>
      <c r="I118" s="347"/>
      <c r="J118" s="347"/>
      <c r="K118" s="347"/>
      <c r="L118" s="347"/>
      <c r="M118" s="351"/>
      <c r="N118" s="25"/>
      <c r="O118" s="25"/>
      <c r="S118" s="627" t="b">
        <f>S117</f>
        <v>0</v>
      </c>
    </row>
    <row r="119" spans="2:19" x14ac:dyDescent="0.2">
      <c r="B119" s="38"/>
      <c r="C119" s="212"/>
      <c r="D119" s="212" t="s">
        <v>4</v>
      </c>
      <c r="E119" s="1434"/>
      <c r="F119" s="1434"/>
      <c r="G119" s="1434"/>
      <c r="H119" s="59" t="str">
        <f>EUconst_TJpa</f>
        <v>TJ / gads</v>
      </c>
      <c r="I119" s="345"/>
      <c r="J119" s="345"/>
      <c r="K119" s="345"/>
      <c r="L119" s="345"/>
      <c r="M119" s="350"/>
      <c r="N119" s="25"/>
      <c r="O119" s="25"/>
      <c r="S119" s="627" t="b">
        <f>S118</f>
        <v>0</v>
      </c>
    </row>
    <row r="120" spans="2:19" x14ac:dyDescent="0.2">
      <c r="B120" s="38"/>
      <c r="C120" s="212"/>
      <c r="D120" s="212" t="s">
        <v>6</v>
      </c>
      <c r="E120" s="1574" t="str">
        <f>Translations!$B$536</f>
        <v>Starpsumma</v>
      </c>
      <c r="F120" s="1574"/>
      <c r="G120" s="1574"/>
      <c r="H120" s="70" t="str">
        <f>EUconst_TJpa</f>
        <v>TJ / gads</v>
      </c>
      <c r="I120" s="328" t="str">
        <f>IF(COUNT(I117:I119)&gt;0,SUM(I117:I119),"")</f>
        <v/>
      </c>
      <c r="J120" s="328" t="str">
        <f>IF(COUNT(J117:J119)&gt;0,SUM(J117:J119),"")</f>
        <v/>
      </c>
      <c r="K120" s="328" t="str">
        <f>IF(COUNT(K117:K119)&gt;0,SUM(K117:K119),"")</f>
        <v/>
      </c>
      <c r="L120" s="328" t="str">
        <f>IF(COUNT(L117:L119)&gt;0,SUM(L117:L119),"")</f>
        <v/>
      </c>
      <c r="M120" s="327" t="str">
        <f>IF(COUNT(M117:M119)&gt;0,SUM(M117:M119),"")</f>
        <v/>
      </c>
      <c r="N120" s="25"/>
      <c r="O120" s="25"/>
      <c r="S120" s="714"/>
    </row>
    <row r="121" spans="2:19" ht="5.0999999999999996" customHeight="1" x14ac:dyDescent="0.2">
      <c r="B121" s="21"/>
      <c r="C121" s="21"/>
      <c r="D121" s="21"/>
      <c r="E121" s="21"/>
      <c r="F121" s="21"/>
      <c r="G121" s="21"/>
      <c r="H121" s="21"/>
      <c r="I121" s="21"/>
      <c r="J121" s="21"/>
      <c r="K121" s="21"/>
      <c r="L121" s="21"/>
      <c r="M121" s="21"/>
      <c r="N121" s="21"/>
      <c r="O121" s="25"/>
      <c r="P121" s="624"/>
      <c r="S121" s="714"/>
    </row>
    <row r="122" spans="2:19" x14ac:dyDescent="0.2">
      <c r="B122" s="21"/>
      <c r="C122" s="32"/>
      <c r="D122" s="32" t="s">
        <v>12</v>
      </c>
      <c r="E122" s="1568" t="str">
        <f>Translations!$B$1648</f>
        <v>Iekārtā pieejamā izmērāmā siltuma summārais daudzums (=a+c+d)</v>
      </c>
      <c r="F122" s="1569"/>
      <c r="G122" s="1569"/>
      <c r="H122" s="1569"/>
      <c r="I122" s="1569"/>
      <c r="J122" s="1569"/>
      <c r="K122" s="1569"/>
      <c r="L122" s="1569"/>
      <c r="M122" s="1569"/>
      <c r="N122" s="1569"/>
      <c r="O122" s="25"/>
      <c r="P122" s="624"/>
      <c r="S122" s="714"/>
    </row>
    <row r="123" spans="2:19" x14ac:dyDescent="0.2">
      <c r="B123" s="38"/>
      <c r="C123" s="38"/>
      <c r="D123" s="38"/>
      <c r="E123" s="1574" t="str">
        <f>Translations!$B$544</f>
        <v>Kopējais izmērāmais siltums</v>
      </c>
      <c r="F123" s="1574"/>
      <c r="G123" s="1574"/>
      <c r="H123" s="70" t="str">
        <f>EUconst_TJpa</f>
        <v>TJ / gads</v>
      </c>
      <c r="I123" s="328" t="str">
        <f>IF(COUNT(I120,I111,I96)&gt;0,SUM(I96,I111,I120),"")</f>
        <v/>
      </c>
      <c r="J123" s="328" t="str">
        <f>IF(COUNT(J120,J111,J96)&gt;0,SUM(J96,J111,J120),"")</f>
        <v/>
      </c>
      <c r="K123" s="328" t="str">
        <f>IF(COUNT(K120,K111,K96)&gt;0,SUM(K96,K111,K120),"")</f>
        <v/>
      </c>
      <c r="L123" s="328" t="str">
        <f>IF(COUNT(L120,L111,L96)&gt;0,SUM(L96,L111,L120),"")</f>
        <v/>
      </c>
      <c r="M123" s="328" t="str">
        <f>IF(COUNT(M120,M111,M96)&gt;0,SUM(M96,M111,M120),"")</f>
        <v/>
      </c>
      <c r="N123" s="25"/>
      <c r="O123" s="25"/>
      <c r="S123" s="714"/>
    </row>
    <row r="124" spans="2:19" ht="5.0999999999999996" customHeight="1" x14ac:dyDescent="0.2">
      <c r="B124" s="21"/>
      <c r="C124" s="21"/>
      <c r="D124" s="21"/>
      <c r="E124" s="21"/>
      <c r="F124" s="21"/>
      <c r="G124" s="21"/>
      <c r="H124" s="21"/>
      <c r="I124" s="21"/>
      <c r="J124" s="21"/>
      <c r="K124" s="21"/>
      <c r="L124" s="21"/>
      <c r="M124" s="21"/>
      <c r="N124" s="21"/>
      <c r="O124" s="25"/>
      <c r="P124" s="624"/>
      <c r="S124" s="714"/>
    </row>
    <row r="125" spans="2:19" x14ac:dyDescent="0.2">
      <c r="B125" s="21"/>
      <c r="C125" s="32"/>
      <c r="D125" s="32" t="s">
        <v>13</v>
      </c>
      <c r="E125" s="1557" t="str">
        <f>Translations!$B$545</f>
        <v>ETS siltuma attiecība pret kopējo siltumu</v>
      </c>
      <c r="F125" s="1558"/>
      <c r="G125" s="1558"/>
      <c r="H125" s="1558"/>
      <c r="I125" s="1558"/>
      <c r="J125" s="1558"/>
      <c r="K125" s="1558"/>
      <c r="L125" s="1558"/>
      <c r="M125" s="1558"/>
      <c r="N125" s="1558"/>
      <c r="O125" s="25"/>
      <c r="P125" s="624"/>
      <c r="S125" s="714"/>
    </row>
    <row r="126" spans="2:19" x14ac:dyDescent="0.2">
      <c r="B126" s="21"/>
      <c r="C126" s="34"/>
      <c r="D126" s="34"/>
      <c r="E126" s="1567" t="str">
        <f>Translations!$B$1649</f>
        <v>ETS siltums ir iekārtā saražotais siltums, kuram pieskaitīts siltums, kas importēts no ETS iekārtām (=a+c).</v>
      </c>
      <c r="F126" s="1558"/>
      <c r="G126" s="1558"/>
      <c r="H126" s="1558"/>
      <c r="I126" s="1558"/>
      <c r="J126" s="1558"/>
      <c r="K126" s="1558"/>
      <c r="L126" s="1558"/>
      <c r="M126" s="1558"/>
      <c r="N126" s="1558"/>
      <c r="O126" s="25"/>
      <c r="P126" s="624"/>
      <c r="S126" s="714"/>
    </row>
    <row r="127" spans="2:19" x14ac:dyDescent="0.2">
      <c r="B127" s="21"/>
      <c r="C127" s="34"/>
      <c r="D127" s="34"/>
      <c r="E127" s="1567" t="str">
        <f>Translations!$B$1650</f>
        <v xml:space="preserve">“Kopējais siltums” ir ETS siltums, kuram pieskaitīts siltums, kas importēts no ETS neaptvertām vienībām un iekārtām (=a+c+d). </v>
      </c>
      <c r="F127" s="1558"/>
      <c r="G127" s="1558"/>
      <c r="H127" s="1558"/>
      <c r="I127" s="1558"/>
      <c r="J127" s="1558"/>
      <c r="K127" s="1558"/>
      <c r="L127" s="1558"/>
      <c r="M127" s="1558"/>
      <c r="N127" s="1558"/>
      <c r="O127" s="25"/>
      <c r="P127" s="624"/>
      <c r="S127" s="714"/>
    </row>
    <row r="128" spans="2:19" ht="5.0999999999999996" customHeight="1" x14ac:dyDescent="0.2">
      <c r="B128" s="21"/>
      <c r="C128" s="21"/>
      <c r="D128" s="21"/>
      <c r="E128" s="21"/>
      <c r="F128" s="21"/>
      <c r="G128" s="21"/>
      <c r="H128" s="21"/>
      <c r="I128" s="21"/>
      <c r="J128" s="21"/>
      <c r="K128" s="21"/>
      <c r="L128" s="21"/>
      <c r="M128" s="21"/>
      <c r="N128" s="21"/>
      <c r="O128" s="25"/>
      <c r="P128" s="624"/>
      <c r="S128" s="714"/>
    </row>
    <row r="129" spans="2:19" x14ac:dyDescent="0.2">
      <c r="B129" s="38"/>
      <c r="C129" s="38"/>
      <c r="D129" s="38"/>
      <c r="E129" s="1554" t="str">
        <f>Translations!$B$1651</f>
        <v>Siltuma ielaides attiecība (a+c) / (a+c+d):</v>
      </c>
      <c r="F129" s="1574"/>
      <c r="G129" s="1574"/>
      <c r="H129" s="70" t="s">
        <v>393</v>
      </c>
      <c r="I129" s="325" t="str">
        <f>IF(AND(COUNT(I96,I111,I120)&gt;0,I123&lt;&gt;0),SUM(I96,I111)/I123*100,"")</f>
        <v/>
      </c>
      <c r="J129" s="325" t="str">
        <f>IF(AND(COUNT(J96,J111,J120)&gt;0,J123&lt;&gt;0),SUM(J96,J111)/J123*100,"")</f>
        <v/>
      </c>
      <c r="K129" s="325" t="str">
        <f>IF(AND(COUNT(K96,K111,K120)&gt;0,K123&lt;&gt;0),SUM(K96,K111)/K123*100,"")</f>
        <v/>
      </c>
      <c r="L129" s="325" t="str">
        <f>IF(AND(COUNT(L96,L111,L120)&gt;0,L123&lt;&gt;0),SUM(L96,L111)/L123*100,"")</f>
        <v/>
      </c>
      <c r="M129" s="325" t="str">
        <f>IF(AND(COUNT(M96,M111,M120)&gt;0,M123&lt;&gt;0),SUM(M96,M111)/M123*100,"")</f>
        <v/>
      </c>
      <c r="N129" s="21"/>
      <c r="O129" s="25"/>
      <c r="S129" s="714"/>
    </row>
    <row r="130" spans="2:19" x14ac:dyDescent="0.2">
      <c r="B130" s="21"/>
      <c r="C130" s="21"/>
      <c r="D130" s="21"/>
      <c r="E130" s="21"/>
      <c r="F130" s="21"/>
      <c r="G130" s="21"/>
      <c r="H130" s="21"/>
      <c r="I130" s="21"/>
      <c r="J130" s="21"/>
      <c r="K130" s="21"/>
      <c r="L130" s="21"/>
      <c r="M130" s="21"/>
      <c r="N130" s="21"/>
      <c r="O130" s="25"/>
      <c r="P130" s="624"/>
      <c r="S130" s="714"/>
    </row>
    <row r="131" spans="2:19" ht="15" x14ac:dyDescent="0.25">
      <c r="B131" s="21"/>
      <c r="C131" s="37"/>
      <c r="D131" s="37"/>
      <c r="E131" s="1594" t="str">
        <f>Translations!$B$549</f>
        <v>Siltums, kas nekvalificējas apakšiekārtām ar siltuma līmeņatzīmi</v>
      </c>
      <c r="F131" s="1558"/>
      <c r="G131" s="1558"/>
      <c r="H131" s="1558"/>
      <c r="I131" s="1558"/>
      <c r="J131" s="1558"/>
      <c r="K131" s="1558"/>
      <c r="L131" s="1558"/>
      <c r="M131" s="1558"/>
      <c r="N131" s="1558"/>
      <c r="O131" s="25"/>
      <c r="P131" s="624"/>
      <c r="S131" s="714"/>
    </row>
    <row r="132" spans="2:19" x14ac:dyDescent="0.2">
      <c r="B132" s="21"/>
      <c r="C132" s="34"/>
      <c r="D132" s="34"/>
      <c r="E132" s="1567" t="str">
        <f>Translations!$B$550</f>
        <v>Pirms var kvantificēt siltuma daudzumu, kas ietilpst siltuma līmeņatzīmes apakšiekārtās, jānosaka, kāds daudzums tam nekvalificējas.</v>
      </c>
      <c r="F132" s="1558"/>
      <c r="G132" s="1558"/>
      <c r="H132" s="1558"/>
      <c r="I132" s="1558"/>
      <c r="J132" s="1558"/>
      <c r="K132" s="1558"/>
      <c r="L132" s="1558"/>
      <c r="M132" s="1558"/>
      <c r="N132" s="1558"/>
      <c r="O132" s="25"/>
      <c r="P132" s="624"/>
      <c r="S132" s="714"/>
    </row>
    <row r="133" spans="2:19" x14ac:dyDescent="0.2">
      <c r="B133" s="21"/>
      <c r="C133" s="34"/>
      <c r="D133" s="34"/>
      <c r="E133" s="1567" t="str">
        <f>Translations!$B$551</f>
        <v>Vispirms jāaplūko daudzumi, kas nekvalificējas siltuma izmantošanai iekārtā.</v>
      </c>
      <c r="F133" s="1558"/>
      <c r="G133" s="1558"/>
      <c r="H133" s="1558"/>
      <c r="I133" s="1558"/>
      <c r="J133" s="1558"/>
      <c r="K133" s="1558"/>
      <c r="L133" s="1558"/>
      <c r="M133" s="1558"/>
      <c r="N133" s="1558"/>
      <c r="O133" s="25"/>
      <c r="P133" s="624"/>
      <c r="S133" s="714"/>
    </row>
    <row r="134" spans="2:19" x14ac:dyDescent="0.2">
      <c r="B134" s="21"/>
      <c r="C134" s="34"/>
      <c r="D134" s="34"/>
      <c r="E134" s="1567" t="str">
        <f>Translations!$B$552</f>
        <v xml:space="preserve">Tas ir siltuma daudzums, ko izmanto elektroenerģijas ražošanai, un siltums, kas tiek patērēts produkta līmeņatzīmes apakšiekārtās. </v>
      </c>
      <c r="F134" s="1558"/>
      <c r="G134" s="1558"/>
      <c r="H134" s="1558"/>
      <c r="I134" s="1558"/>
      <c r="J134" s="1558"/>
      <c r="K134" s="1558"/>
      <c r="L134" s="1558"/>
      <c r="M134" s="1558"/>
      <c r="N134" s="1558"/>
      <c r="O134" s="25"/>
      <c r="P134" s="624"/>
      <c r="S134" s="714"/>
    </row>
    <row r="135" spans="2:19" ht="5.0999999999999996" customHeight="1" x14ac:dyDescent="0.2">
      <c r="B135" s="21"/>
      <c r="C135" s="21"/>
      <c r="D135" s="21"/>
      <c r="E135" s="21"/>
      <c r="F135" s="21"/>
      <c r="G135" s="21"/>
      <c r="H135" s="21"/>
      <c r="I135" s="21"/>
      <c r="J135" s="21"/>
      <c r="K135" s="21"/>
      <c r="L135" s="21"/>
      <c r="M135" s="21"/>
      <c r="N135" s="21"/>
      <c r="O135" s="25"/>
      <c r="P135" s="624"/>
      <c r="S135" s="714"/>
    </row>
    <row r="136" spans="2:19" x14ac:dyDescent="0.2">
      <c r="B136" s="21"/>
      <c r="C136" s="32"/>
      <c r="D136" s="32" t="s">
        <v>81</v>
      </c>
      <c r="E136" s="1557" t="str">
        <f>Translations!$B$553</f>
        <v>Izmērāmais siltums, kas iekārtā patērēts elektroenerģijas ražošanai (nekvalificējas siltuma līmeņatzīmei):</v>
      </c>
      <c r="F136" s="1558"/>
      <c r="G136" s="1558"/>
      <c r="H136" s="1558"/>
      <c r="I136" s="1558"/>
      <c r="J136" s="1558"/>
      <c r="K136" s="1558"/>
      <c r="L136" s="1558"/>
      <c r="M136" s="1558"/>
      <c r="N136" s="1558"/>
      <c r="O136" s="25"/>
      <c r="P136" s="624"/>
      <c r="S136" s="714"/>
    </row>
    <row r="137" spans="2:19" x14ac:dyDescent="0.2">
      <c r="B137" s="21"/>
      <c r="C137" s="34"/>
      <c r="D137" s="34"/>
      <c r="E137" s="1301" t="str">
        <f>Translations!$B$554</f>
        <v>Pēc noklusējuma pieņem, ka visu elektroenerģijas ražošanā izmantoto siltuma daudzumu sadala ielaidē, kas kvalificējas, un ielaidē, kas nekvalificējas, izmantojot f) punktā aprēķināto attiecību.</v>
      </c>
      <c r="F137" s="1302"/>
      <c r="G137" s="1302"/>
      <c r="H137" s="1302"/>
      <c r="I137" s="1302"/>
      <c r="J137" s="1302"/>
      <c r="K137" s="1302"/>
      <c r="L137" s="1302"/>
      <c r="M137" s="1302"/>
      <c r="N137" s="1302"/>
      <c r="O137" s="25"/>
      <c r="P137" s="624"/>
      <c r="S137" s="714"/>
    </row>
    <row r="138" spans="2:19" ht="25.5" customHeight="1" x14ac:dyDescent="0.2">
      <c r="B138" s="21"/>
      <c r="C138" s="34"/>
      <c r="D138" s="34"/>
      <c r="E138" s="1301" t="str">
        <f>Translations!$B$555</f>
        <v>Tomēr, ja ir pieejama precīzāka informācija (piemēram, tāpēc, ka atšķirīgā spiediena dēļ iespējams nošķirt tvaiku no dažādiem avotiem), varat ievadīt citus tā siltuma daudzumus, kas nekvalificējas. Ja šis daudzums pārsniedz c) punkta iv. apakšpunktā norādīto daudzumu, tālākiem aprēķiniem izmanto pieejamo maksimumu.</v>
      </c>
      <c r="F138" s="1302"/>
      <c r="G138" s="1302"/>
      <c r="H138" s="1302"/>
      <c r="I138" s="1302"/>
      <c r="J138" s="1302"/>
      <c r="K138" s="1302"/>
      <c r="L138" s="1302"/>
      <c r="M138" s="1302"/>
      <c r="N138" s="1302"/>
      <c r="O138" s="25"/>
      <c r="P138" s="624"/>
      <c r="S138" s="714"/>
    </row>
    <row r="139" spans="2:19" x14ac:dyDescent="0.2">
      <c r="B139" s="38"/>
      <c r="C139" s="38"/>
      <c r="D139" s="38"/>
      <c r="E139" s="43"/>
      <c r="F139" s="40"/>
      <c r="G139" s="40"/>
      <c r="H139" s="52" t="str">
        <f>EUconst_Unit</f>
        <v>Vienība</v>
      </c>
      <c r="I139" s="412">
        <f>I$405</f>
        <v>2019</v>
      </c>
      <c r="J139" s="412">
        <f>J$405</f>
        <v>2020</v>
      </c>
      <c r="K139" s="412">
        <f>K$405</f>
        <v>2021</v>
      </c>
      <c r="L139" s="412">
        <f>L$405</f>
        <v>2022</v>
      </c>
      <c r="M139" s="412">
        <f>M$405</f>
        <v>2023</v>
      </c>
      <c r="N139" s="25"/>
      <c r="O139" s="25"/>
      <c r="S139" s="714"/>
    </row>
    <row r="140" spans="2:19" x14ac:dyDescent="0.2">
      <c r="B140" s="38"/>
      <c r="C140" s="212"/>
      <c r="D140" s="212" t="s">
        <v>2</v>
      </c>
      <c r="E140" s="1574" t="str">
        <f>Translations!$B$556</f>
        <v>Elektroenerģijas ražošanai izmantotais siltums</v>
      </c>
      <c r="F140" s="1574"/>
      <c r="G140" s="1574"/>
      <c r="H140" s="70" t="str">
        <f>EUconst_TJpa</f>
        <v>TJ / gads</v>
      </c>
      <c r="I140" s="330"/>
      <c r="J140" s="330"/>
      <c r="K140" s="330"/>
      <c r="L140" s="330"/>
      <c r="M140" s="330"/>
      <c r="N140" s="25"/>
      <c r="O140" s="25"/>
      <c r="S140" s="627" t="b">
        <f>S102</f>
        <v>0</v>
      </c>
    </row>
    <row r="141" spans="2:19" x14ac:dyDescent="0.2">
      <c r="B141" s="38"/>
      <c r="C141" s="212"/>
      <c r="D141" s="212" t="s">
        <v>3</v>
      </c>
      <c r="E141" s="1574" t="str">
        <f>Translations!$B$557</f>
        <v>Siltuma daudzums no ETS neaptvertiem avotiem</v>
      </c>
      <c r="F141" s="1574"/>
      <c r="G141" s="1574"/>
      <c r="H141" s="211" t="str">
        <f>EUconst_TJpa</f>
        <v>TJ / gads</v>
      </c>
      <c r="I141" s="325" t="str">
        <f>IF(ISNUMBER(I140),IF(ISNUMBER(I129),IF(I140*(1-I129/100)&lt;SUM(I120),I140*(1-I129/100),SUM(I120)),""),"")</f>
        <v/>
      </c>
      <c r="J141" s="325" t="str">
        <f>IF(ISNUMBER(J140),IF(ISNUMBER(J129),IF(J140*(1-J129/100)&lt;SUM(J120),J140*(1-J129/100),SUM(J120)),""),"")</f>
        <v/>
      </c>
      <c r="K141" s="325" t="str">
        <f>IF(ISNUMBER(K140),IF(ISNUMBER(K129),IF(K140*(1-K129/100)&lt;SUM(K120),K140*(1-K129/100),SUM(K120)),""),"")</f>
        <v/>
      </c>
      <c r="L141" s="325" t="str">
        <f>IF(ISNUMBER(L140),IF(ISNUMBER(L129),IF(L140*(1-L129/100)&lt;SUM(L120),L140*(1-L129/100),SUM(L120)),""),"")</f>
        <v/>
      </c>
      <c r="M141" s="325" t="str">
        <f>IF(ISNUMBER(M140),IF(ISNUMBER(M129),IF(M140*(1-M129/100)&lt;SUM(M120),M140*(1-M129/100),SUM(M120)),""),"")</f>
        <v/>
      </c>
      <c r="N141" s="25"/>
      <c r="O141" s="25"/>
      <c r="S141" s="714"/>
    </row>
    <row r="142" spans="2:19" x14ac:dyDescent="0.2">
      <c r="B142" s="38"/>
      <c r="C142" s="212"/>
      <c r="D142" s="212" t="s">
        <v>4</v>
      </c>
      <c r="E142" s="1574" t="str">
        <f>Translations!$B$558</f>
        <v>Manuāla datu ievade, kas anulē ii. apakšpunktā redzamos datus</v>
      </c>
      <c r="F142" s="1574"/>
      <c r="G142" s="1574"/>
      <c r="H142" s="211" t="str">
        <f>EUconst_TJpa</f>
        <v>TJ / gads</v>
      </c>
      <c r="I142" s="329"/>
      <c r="J142" s="329"/>
      <c r="K142" s="329"/>
      <c r="L142" s="329"/>
      <c r="M142" s="329"/>
      <c r="N142" s="25"/>
      <c r="O142" s="25"/>
      <c r="S142" s="627" t="b">
        <f>S140</f>
        <v>0</v>
      </c>
    </row>
    <row r="143" spans="2:19" ht="5.0999999999999996" customHeight="1" x14ac:dyDescent="0.2">
      <c r="B143" s="21"/>
      <c r="C143" s="21"/>
      <c r="D143" s="21"/>
      <c r="E143" s="21"/>
      <c r="F143" s="21"/>
      <c r="G143" s="21"/>
      <c r="H143" s="21"/>
      <c r="I143" s="21"/>
      <c r="J143" s="21"/>
      <c r="K143" s="21"/>
      <c r="L143" s="21"/>
      <c r="M143" s="21"/>
      <c r="N143" s="21"/>
      <c r="O143" s="25"/>
      <c r="P143" s="624"/>
      <c r="S143" s="714"/>
    </row>
    <row r="144" spans="2:19" x14ac:dyDescent="0.2">
      <c r="B144" s="21"/>
      <c r="C144" s="32"/>
      <c r="D144" s="32" t="s">
        <v>82</v>
      </c>
      <c r="E144" s="1557" t="str">
        <f>Translations!$B$559</f>
        <v>Izmērāmais siltums, kas iekārtā patērēts produkta līmeņatzīmes apakšiekārtām (nekvalificējas siltuma līmeņatzīmei):</v>
      </c>
      <c r="F144" s="1558"/>
      <c r="G144" s="1558"/>
      <c r="H144" s="1558"/>
      <c r="I144" s="1558"/>
      <c r="J144" s="1558"/>
      <c r="K144" s="1558"/>
      <c r="L144" s="1558"/>
      <c r="M144" s="1558"/>
      <c r="N144" s="1558"/>
      <c r="O144" s="25"/>
      <c r="P144" s="624"/>
      <c r="S144" s="714"/>
    </row>
    <row r="145" spans="2:19" ht="25.5" customHeight="1" x14ac:dyDescent="0.2">
      <c r="B145" s="21"/>
      <c r="C145" s="34"/>
      <c r="D145" s="34"/>
      <c r="E145" s="1319" t="str">
        <f>Translations!$B$560</f>
        <v>Saskaņā ar FAR 21. pantu no provizoriskā kvotu iedales apjoma par produktu līmeņatzīmēm atskaita CO2 ekvivalentu par ETS neaptverta siltuma importu. Šai korekcijai nepieciešamos datus ievada lapas "F_ProductBM" d) sadaļā par katru apakšiekārtu.</v>
      </c>
      <c r="F145" s="1251"/>
      <c r="G145" s="1251"/>
      <c r="H145" s="1251"/>
      <c r="I145" s="1251"/>
      <c r="J145" s="1251"/>
      <c r="K145" s="1251"/>
      <c r="L145" s="1251"/>
      <c r="M145" s="1251"/>
      <c r="N145" s="1251"/>
      <c r="O145" s="25"/>
      <c r="P145" s="624"/>
      <c r="S145" s="714"/>
    </row>
    <row r="146" spans="2:19" x14ac:dyDescent="0.2">
      <c r="B146" s="21"/>
      <c r="C146" s="34"/>
      <c r="D146" s="34"/>
      <c r="E146" s="1567" t="str">
        <f>Translations!$B$561</f>
        <v>Tāpēc šeit ir iekļauta šo datu ticamības pārbaude.</v>
      </c>
      <c r="F146" s="1558"/>
      <c r="G146" s="1558"/>
      <c r="H146" s="1558"/>
      <c r="I146" s="1558"/>
      <c r="J146" s="1558"/>
      <c r="K146" s="1558"/>
      <c r="L146" s="1558"/>
      <c r="M146" s="1558"/>
      <c r="N146" s="1558"/>
      <c r="O146" s="25"/>
      <c r="P146" s="624"/>
      <c r="S146" s="714"/>
    </row>
    <row r="147" spans="2:19" ht="13.5" thickBot="1" x14ac:dyDescent="0.25">
      <c r="B147" s="38"/>
      <c r="C147" s="38"/>
      <c r="D147" s="38"/>
      <c r="E147" s="43"/>
      <c r="F147" s="40"/>
      <c r="G147" s="40"/>
      <c r="H147" s="52" t="str">
        <f>EUconst_Unit</f>
        <v>Vienība</v>
      </c>
      <c r="I147" s="412">
        <f>I$405</f>
        <v>2019</v>
      </c>
      <c r="J147" s="412">
        <f>J$405</f>
        <v>2020</v>
      </c>
      <c r="K147" s="412">
        <f>K$405</f>
        <v>2021</v>
      </c>
      <c r="L147" s="412">
        <f>L$405</f>
        <v>2022</v>
      </c>
      <c r="M147" s="412">
        <f>M$405</f>
        <v>2023</v>
      </c>
      <c r="N147" s="25"/>
      <c r="O147" s="25"/>
      <c r="S147" s="757"/>
    </row>
    <row r="148" spans="2:19" ht="12.75" customHeight="1" x14ac:dyDescent="0.2">
      <c r="B148" s="38"/>
      <c r="C148" s="38"/>
      <c r="D148" s="440" t="s">
        <v>2</v>
      </c>
      <c r="E148" s="1571" t="str">
        <f t="shared" ref="E148:E157" si="4">IF(INDEX(CNTR_SubInstListIsProdBM,P148),INDEX(CNTR_SubInstListNames,P148),"")</f>
        <v/>
      </c>
      <c r="F148" s="1571"/>
      <c r="G148" s="1571"/>
      <c r="H148" s="449" t="str">
        <f t="shared" ref="H148:H158" si="5">EUconst_TJpa</f>
        <v>TJ / gads</v>
      </c>
      <c r="I148" s="348"/>
      <c r="J148" s="348"/>
      <c r="K148" s="348"/>
      <c r="L148" s="348"/>
      <c r="M148" s="348"/>
      <c r="N148" s="25"/>
      <c r="O148" s="25"/>
      <c r="P148" s="715">
        <v>1</v>
      </c>
      <c r="S148" s="643" t="b">
        <f t="shared" ref="S148:S157" si="6">IF(CNTR_ExistSubInstEntries,OR(E148="",$S$142),FALSE)</f>
        <v>0</v>
      </c>
    </row>
    <row r="149" spans="2:19" x14ac:dyDescent="0.2">
      <c r="B149" s="38"/>
      <c r="C149" s="38"/>
      <c r="D149" s="440" t="s">
        <v>3</v>
      </c>
      <c r="E149" s="1571" t="str">
        <f t="shared" si="4"/>
        <v/>
      </c>
      <c r="F149" s="1571"/>
      <c r="G149" s="1571"/>
      <c r="H149" s="450" t="str">
        <f t="shared" si="5"/>
        <v>TJ / gads</v>
      </c>
      <c r="I149" s="347"/>
      <c r="J149" s="347"/>
      <c r="K149" s="347"/>
      <c r="L149" s="347"/>
      <c r="M149" s="347"/>
      <c r="N149" s="25"/>
      <c r="O149" s="25"/>
      <c r="P149" s="716">
        <v>2</v>
      </c>
      <c r="S149" s="773" t="b">
        <f t="shared" si="6"/>
        <v>0</v>
      </c>
    </row>
    <row r="150" spans="2:19" ht="12.75" customHeight="1" x14ac:dyDescent="0.2">
      <c r="B150" s="38"/>
      <c r="C150" s="38"/>
      <c r="D150" s="440" t="s">
        <v>4</v>
      </c>
      <c r="E150" s="1571" t="str">
        <f t="shared" si="4"/>
        <v/>
      </c>
      <c r="F150" s="1571"/>
      <c r="G150" s="1571"/>
      <c r="H150" s="450" t="str">
        <f t="shared" si="5"/>
        <v>TJ / gads</v>
      </c>
      <c r="I150" s="347"/>
      <c r="J150" s="347"/>
      <c r="K150" s="347"/>
      <c r="L150" s="347"/>
      <c r="M150" s="347"/>
      <c r="N150" s="25"/>
      <c r="O150" s="25"/>
      <c r="P150" s="716">
        <v>3</v>
      </c>
      <c r="S150" s="773" t="b">
        <f t="shared" si="6"/>
        <v>0</v>
      </c>
    </row>
    <row r="151" spans="2:19" x14ac:dyDescent="0.2">
      <c r="B151" s="38"/>
      <c r="C151" s="38"/>
      <c r="D151" s="440" t="s">
        <v>6</v>
      </c>
      <c r="E151" s="1571" t="str">
        <f t="shared" si="4"/>
        <v/>
      </c>
      <c r="F151" s="1571"/>
      <c r="G151" s="1571"/>
      <c r="H151" s="450" t="str">
        <f t="shared" si="5"/>
        <v>TJ / gads</v>
      </c>
      <c r="I151" s="347"/>
      <c r="J151" s="347"/>
      <c r="K151" s="347"/>
      <c r="L151" s="347"/>
      <c r="M151" s="347"/>
      <c r="N151" s="25"/>
      <c r="O151" s="25"/>
      <c r="P151" s="716">
        <v>4</v>
      </c>
      <c r="S151" s="773" t="b">
        <f t="shared" si="6"/>
        <v>0</v>
      </c>
    </row>
    <row r="152" spans="2:19" x14ac:dyDescent="0.2">
      <c r="B152" s="38"/>
      <c r="C152" s="38"/>
      <c r="D152" s="440" t="s">
        <v>303</v>
      </c>
      <c r="E152" s="1571" t="str">
        <f t="shared" si="4"/>
        <v/>
      </c>
      <c r="F152" s="1571"/>
      <c r="G152" s="1571"/>
      <c r="H152" s="450" t="str">
        <f t="shared" si="5"/>
        <v>TJ / gads</v>
      </c>
      <c r="I152" s="347"/>
      <c r="J152" s="347"/>
      <c r="K152" s="347"/>
      <c r="L152" s="347"/>
      <c r="M152" s="347"/>
      <c r="N152" s="25"/>
      <c r="O152" s="25"/>
      <c r="P152" s="716">
        <v>5</v>
      </c>
      <c r="S152" s="773" t="b">
        <f t="shared" si="6"/>
        <v>0</v>
      </c>
    </row>
    <row r="153" spans="2:19" x14ac:dyDescent="0.2">
      <c r="B153" s="38"/>
      <c r="C153" s="38"/>
      <c r="D153" s="440" t="s">
        <v>304</v>
      </c>
      <c r="E153" s="1571" t="str">
        <f t="shared" si="4"/>
        <v/>
      </c>
      <c r="F153" s="1571"/>
      <c r="G153" s="1571"/>
      <c r="H153" s="450" t="str">
        <f t="shared" si="5"/>
        <v>TJ / gads</v>
      </c>
      <c r="I153" s="347"/>
      <c r="J153" s="347"/>
      <c r="K153" s="347"/>
      <c r="L153" s="347"/>
      <c r="M153" s="347"/>
      <c r="N153" s="25"/>
      <c r="O153" s="25"/>
      <c r="P153" s="716">
        <v>6</v>
      </c>
      <c r="S153" s="773" t="b">
        <f t="shared" si="6"/>
        <v>0</v>
      </c>
    </row>
    <row r="154" spans="2:19" x14ac:dyDescent="0.2">
      <c r="B154" s="38"/>
      <c r="C154" s="38"/>
      <c r="D154" s="440" t="s">
        <v>305</v>
      </c>
      <c r="E154" s="1571" t="str">
        <f t="shared" si="4"/>
        <v/>
      </c>
      <c r="F154" s="1571"/>
      <c r="G154" s="1571"/>
      <c r="H154" s="450" t="str">
        <f t="shared" si="5"/>
        <v>TJ / gads</v>
      </c>
      <c r="I154" s="347"/>
      <c r="J154" s="347"/>
      <c r="K154" s="347"/>
      <c r="L154" s="347"/>
      <c r="M154" s="347"/>
      <c r="N154" s="25"/>
      <c r="O154" s="25"/>
      <c r="P154" s="716">
        <v>7</v>
      </c>
      <c r="S154" s="773" t="b">
        <f t="shared" si="6"/>
        <v>0</v>
      </c>
    </row>
    <row r="155" spans="2:19" x14ac:dyDescent="0.2">
      <c r="B155" s="38"/>
      <c r="C155" s="38"/>
      <c r="D155" s="440" t="s">
        <v>306</v>
      </c>
      <c r="E155" s="1571" t="str">
        <f t="shared" si="4"/>
        <v/>
      </c>
      <c r="F155" s="1571"/>
      <c r="G155" s="1571"/>
      <c r="H155" s="450" t="str">
        <f t="shared" si="5"/>
        <v>TJ / gads</v>
      </c>
      <c r="I155" s="347"/>
      <c r="J155" s="347"/>
      <c r="K155" s="347"/>
      <c r="L155" s="347"/>
      <c r="M155" s="347"/>
      <c r="N155" s="25"/>
      <c r="O155" s="25"/>
      <c r="P155" s="716">
        <v>8</v>
      </c>
      <c r="S155" s="773" t="b">
        <f t="shared" si="6"/>
        <v>0</v>
      </c>
    </row>
    <row r="156" spans="2:19" x14ac:dyDescent="0.2">
      <c r="B156" s="38"/>
      <c r="C156" s="38"/>
      <c r="D156" s="440" t="s">
        <v>307</v>
      </c>
      <c r="E156" s="1571" t="str">
        <f t="shared" si="4"/>
        <v/>
      </c>
      <c r="F156" s="1571"/>
      <c r="G156" s="1571"/>
      <c r="H156" s="450" t="str">
        <f t="shared" si="5"/>
        <v>TJ / gads</v>
      </c>
      <c r="I156" s="347"/>
      <c r="J156" s="347"/>
      <c r="K156" s="347"/>
      <c r="L156" s="347"/>
      <c r="M156" s="347"/>
      <c r="N156" s="25"/>
      <c r="O156" s="25"/>
      <c r="P156" s="716">
        <v>9</v>
      </c>
      <c r="S156" s="773" t="b">
        <f t="shared" si="6"/>
        <v>0</v>
      </c>
    </row>
    <row r="157" spans="2:19" ht="13.5" thickBot="1" x14ac:dyDescent="0.25">
      <c r="B157" s="38"/>
      <c r="C157" s="38"/>
      <c r="D157" s="440" t="s">
        <v>15</v>
      </c>
      <c r="E157" s="1595" t="str">
        <f t="shared" si="4"/>
        <v/>
      </c>
      <c r="F157" s="1595"/>
      <c r="G157" s="1595"/>
      <c r="H157" s="451" t="str">
        <f t="shared" si="5"/>
        <v>TJ / gads</v>
      </c>
      <c r="I157" s="345"/>
      <c r="J157" s="345"/>
      <c r="K157" s="345"/>
      <c r="L157" s="345"/>
      <c r="M157" s="345"/>
      <c r="N157" s="25"/>
      <c r="O157" s="25"/>
      <c r="P157" s="717">
        <v>10</v>
      </c>
      <c r="S157" s="719" t="b">
        <f t="shared" si="6"/>
        <v>0</v>
      </c>
    </row>
    <row r="158" spans="2:19" ht="12.75" customHeight="1" x14ac:dyDescent="0.2">
      <c r="B158" s="38"/>
      <c r="C158" s="212"/>
      <c r="D158" s="440" t="s">
        <v>16</v>
      </c>
      <c r="E158" s="1574" t="str">
        <f>Translations!$B$536</f>
        <v>Starpsumma</v>
      </c>
      <c r="F158" s="1574"/>
      <c r="G158" s="1574"/>
      <c r="H158" s="59" t="str">
        <f t="shared" si="5"/>
        <v>TJ / gads</v>
      </c>
      <c r="I158" s="448" t="str">
        <f>IF(COUNT(I148:I157)&gt;0,SUM(I148:I157),"")</f>
        <v/>
      </c>
      <c r="J158" s="448" t="str">
        <f>IF(COUNT(J148:J157)&gt;0,SUM(J148:J157),"")</f>
        <v/>
      </c>
      <c r="K158" s="448" t="str">
        <f>IF(COUNT(K148:K157)&gt;0,SUM(K148:K157),"")</f>
        <v/>
      </c>
      <c r="L158" s="448" t="str">
        <f>IF(COUNT(L148:L157)&gt;0,SUM(L148:L157),"")</f>
        <v/>
      </c>
      <c r="M158" s="448" t="str">
        <f>IF(COUNT(M148:M157)&gt;0,SUM(M148:M157),"")</f>
        <v/>
      </c>
      <c r="N158" s="25"/>
      <c r="O158" s="25"/>
      <c r="S158" s="714"/>
    </row>
    <row r="159" spans="2:19" ht="5.0999999999999996" customHeight="1" x14ac:dyDescent="0.2">
      <c r="B159" s="21"/>
      <c r="C159" s="21"/>
      <c r="D159" s="21"/>
      <c r="E159" s="21"/>
      <c r="F159" s="21"/>
      <c r="G159" s="21"/>
      <c r="H159" s="21"/>
      <c r="I159" s="21"/>
      <c r="J159" s="21"/>
      <c r="K159" s="21"/>
      <c r="L159" s="21"/>
      <c r="M159" s="21"/>
      <c r="N159" s="21"/>
      <c r="O159" s="25"/>
      <c r="P159" s="624"/>
      <c r="S159" s="714"/>
    </row>
    <row r="160" spans="2:19" x14ac:dyDescent="0.2">
      <c r="B160" s="38"/>
      <c r="C160" s="38"/>
      <c r="D160" s="38"/>
      <c r="E160" s="1570" t="str">
        <f>Translations!$B$562</f>
        <v>Lapā “F_ProductBM” ievadītās vērtības:</v>
      </c>
      <c r="F160" s="1573"/>
      <c r="G160" s="1573"/>
      <c r="H160" s="1573"/>
      <c r="I160" s="1573"/>
      <c r="J160" s="1573"/>
      <c r="K160" s="1573"/>
      <c r="L160" s="1573"/>
      <c r="M160" s="1573"/>
      <c r="N160" s="1569"/>
      <c r="O160" s="25"/>
      <c r="S160" s="714"/>
    </row>
    <row r="161" spans="2:19" x14ac:dyDescent="0.2">
      <c r="B161" s="38"/>
      <c r="C161" s="212"/>
      <c r="D161" s="440" t="s">
        <v>17</v>
      </c>
      <c r="E161" s="1574" t="str">
        <f>Translations!$B$557</f>
        <v>Siltuma daudzums no ETS neaptvertiem avotiem</v>
      </c>
      <c r="F161" s="1574"/>
      <c r="G161" s="1574"/>
      <c r="H161" s="211" t="str">
        <f>EUconst_TJpa</f>
        <v>TJ / gads</v>
      </c>
      <c r="I161" s="325" t="str">
        <f>F_ProductBM!I1828</f>
        <v/>
      </c>
      <c r="J161" s="325" t="str">
        <f>F_ProductBM!J1828</f>
        <v/>
      </c>
      <c r="K161" s="325" t="str">
        <f>F_ProductBM!K1828</f>
        <v/>
      </c>
      <c r="L161" s="325" t="str">
        <f>F_ProductBM!L1828</f>
        <v/>
      </c>
      <c r="M161" s="325" t="str">
        <f>F_ProductBM!M1828</f>
        <v/>
      </c>
      <c r="N161" s="44"/>
      <c r="O161" s="25"/>
      <c r="S161" s="714"/>
    </row>
    <row r="162" spans="2:19" ht="5.0999999999999996" customHeight="1" x14ac:dyDescent="0.2">
      <c r="B162" s="21"/>
      <c r="C162" s="21"/>
      <c r="D162" s="21"/>
      <c r="E162" s="21"/>
      <c r="F162" s="21"/>
      <c r="G162" s="21"/>
      <c r="H162" s="21"/>
      <c r="I162" s="21"/>
      <c r="J162" s="21"/>
      <c r="K162" s="21"/>
      <c r="L162" s="21"/>
      <c r="M162" s="21"/>
      <c r="N162" s="25"/>
      <c r="O162" s="25"/>
      <c r="P162" s="624"/>
      <c r="S162" s="714"/>
    </row>
    <row r="163" spans="2:19" x14ac:dyDescent="0.2">
      <c r="B163" s="38"/>
      <c r="C163" s="38"/>
      <c r="D163" s="38"/>
      <c r="E163" s="1557" t="str">
        <f>Translations!$B$563</f>
        <v>Ticamības pārbaude:</v>
      </c>
      <c r="F163" s="1558"/>
      <c r="G163" s="1558"/>
      <c r="H163" s="1558"/>
      <c r="I163" s="1558"/>
      <c r="J163" s="1558"/>
      <c r="K163" s="1558"/>
      <c r="L163" s="1558"/>
      <c r="M163" s="1558"/>
      <c r="N163" s="1558"/>
      <c r="O163" s="25"/>
      <c r="S163" s="714"/>
    </row>
    <row r="164" spans="2:19" x14ac:dyDescent="0.2">
      <c r="B164" s="21"/>
      <c r="C164" s="34"/>
      <c r="D164" s="34"/>
      <c r="E164" s="1593" t="str">
        <f>Translations!$B$564</f>
        <v>Pēc lapas "F_ProductBM" aizpildīšanas attiecīgā gadījumā pārbaudiet šo sadaļu vēlreiz, lai pārliecinātos, ka nav ievadīti apšaubāmi dati.</v>
      </c>
      <c r="F164" s="1558"/>
      <c r="G164" s="1558"/>
      <c r="H164" s="1558"/>
      <c r="I164" s="1558"/>
      <c r="J164" s="1558"/>
      <c r="K164" s="1558"/>
      <c r="L164" s="1558"/>
      <c r="M164" s="1558"/>
      <c r="N164" s="1558"/>
      <c r="O164" s="25"/>
      <c r="P164" s="624"/>
      <c r="S164" s="714"/>
    </row>
    <row r="165" spans="2:19" x14ac:dyDescent="0.2">
      <c r="B165" s="21"/>
      <c r="C165" s="34"/>
      <c r="D165" s="34"/>
      <c r="E165" s="1593" t="str">
        <f>Translations!$B$565</f>
        <v>Vislabākā pieeja šīs sadaļas aizpildīšanai ir vispirms ievadīt relevantos datus lapā "F_ProductBM" un tikai tad ievadīt datus šīs lapas i) punktā.</v>
      </c>
      <c r="F165" s="1558"/>
      <c r="G165" s="1558"/>
      <c r="H165" s="1558"/>
      <c r="I165" s="1558"/>
      <c r="J165" s="1558"/>
      <c r="K165" s="1558"/>
      <c r="L165" s="1558"/>
      <c r="M165" s="1558"/>
      <c r="N165" s="1558"/>
      <c r="O165" s="25"/>
      <c r="P165" s="624"/>
      <c r="S165" s="714"/>
    </row>
    <row r="166" spans="2:19" ht="5.0999999999999996" customHeight="1" x14ac:dyDescent="0.2">
      <c r="B166" s="21"/>
      <c r="C166" s="359"/>
      <c r="D166" s="359"/>
      <c r="E166" s="21"/>
      <c r="F166" s="21"/>
      <c r="G166" s="21"/>
      <c r="H166" s="21"/>
      <c r="I166" s="21"/>
      <c r="J166" s="21"/>
      <c r="K166" s="21"/>
      <c r="L166" s="21"/>
      <c r="M166" s="21"/>
      <c r="N166" s="21"/>
      <c r="O166" s="25"/>
      <c r="P166" s="624"/>
      <c r="S166" s="714"/>
    </row>
    <row r="167" spans="2:19" x14ac:dyDescent="0.2">
      <c r="B167" s="38"/>
      <c r="C167" s="38"/>
      <c r="D167" s="38"/>
      <c r="E167" s="1570" t="str">
        <f>Translations!$B$566</f>
        <v>ETS neaptvertais siltums, kas norādīts lapā “F_ProductBM”, salīdzinājumā ar kopējo siltuma daudzumu visām produktu līmeņatzīmēm:</v>
      </c>
      <c r="F167" s="1573"/>
      <c r="G167" s="1573"/>
      <c r="H167" s="1573"/>
      <c r="I167" s="1573"/>
      <c r="J167" s="1573"/>
      <c r="K167" s="1573"/>
      <c r="L167" s="1573"/>
      <c r="M167" s="1573"/>
      <c r="N167" s="1569"/>
      <c r="O167" s="25"/>
      <c r="S167" s="714"/>
    </row>
    <row r="168" spans="2:19" x14ac:dyDescent="0.2">
      <c r="B168" s="38"/>
      <c r="C168" s="212"/>
      <c r="D168" s="440" t="s">
        <v>438</v>
      </c>
      <c r="E168" s="1554" t="str">
        <f>Translations!$B$567</f>
        <v>xii. apakšpunkts attiecībā pret xi. apakšpunktu:</v>
      </c>
      <c r="F168" s="1574"/>
      <c r="G168" s="1574"/>
      <c r="H168" s="70" t="s">
        <v>393</v>
      </c>
      <c r="I168" s="325" t="str">
        <f>IF(AND(ISNUMBER(I158),I158&lt;&gt;0,ISNUMBER(I161)),I161/I158*100,"")</f>
        <v/>
      </c>
      <c r="J168" s="325" t="str">
        <f>IF(AND(ISNUMBER(J158),J158&lt;&gt;0,ISNUMBER(J161)),J161/J158*100,"")</f>
        <v/>
      </c>
      <c r="K168" s="325" t="str">
        <f>IF(AND(ISNUMBER(K158),K158&lt;&gt;0,ISNUMBER(K161)),K161/K158*100,"")</f>
        <v/>
      </c>
      <c r="L168" s="325" t="str">
        <f>IF(AND(ISNUMBER(L158),L158&lt;&gt;0,ISNUMBER(L161)),L161/L158*100,"")</f>
        <v/>
      </c>
      <c r="M168" s="325" t="str">
        <f>IF(AND(ISNUMBER(M158),M158&lt;&gt;0,ISNUMBER(M161)),M161/M158*100,"")</f>
        <v/>
      </c>
      <c r="N168" s="44"/>
      <c r="O168" s="25"/>
      <c r="S168" s="714"/>
    </row>
    <row r="169" spans="2:19" ht="5.0999999999999996" customHeight="1" x14ac:dyDescent="0.2">
      <c r="B169" s="21"/>
      <c r="C169" s="359"/>
      <c r="D169" s="359"/>
      <c r="E169" s="21"/>
      <c r="F169" s="21"/>
      <c r="G169" s="21"/>
      <c r="H169" s="21"/>
      <c r="I169" s="21"/>
      <c r="J169" s="21"/>
      <c r="K169" s="21"/>
      <c r="L169" s="21"/>
      <c r="M169" s="21"/>
      <c r="N169" s="21"/>
      <c r="O169" s="25"/>
      <c r="P169" s="624"/>
      <c r="S169" s="714"/>
    </row>
    <row r="170" spans="2:19" x14ac:dyDescent="0.2">
      <c r="B170" s="38"/>
      <c r="C170" s="212"/>
      <c r="D170" s="212"/>
      <c r="E170" s="1570" t="str">
        <f>Translations!$B$568</f>
        <v>ETS neaptvertais siltums, kas norādīts lapā “F_ProductBM”, salīdzinājumā ar kopējo ETS neaptvertā siltuma importu, kas norādīts c) punktā:</v>
      </c>
      <c r="F170" s="1573"/>
      <c r="G170" s="1573"/>
      <c r="H170" s="1573"/>
      <c r="I170" s="1573"/>
      <c r="J170" s="1573"/>
      <c r="K170" s="1573"/>
      <c r="L170" s="1573"/>
      <c r="M170" s="1573"/>
      <c r="N170" s="1569"/>
      <c r="O170" s="25"/>
      <c r="S170" s="714"/>
    </row>
    <row r="171" spans="2:19" x14ac:dyDescent="0.2">
      <c r="B171" s="38"/>
      <c r="C171" s="212"/>
      <c r="D171" s="440" t="s">
        <v>439</v>
      </c>
      <c r="E171" s="1554" t="str">
        <f>Translations!$B$569</f>
        <v>xii. apakšpunkts attiecībā pret c) punktu:</v>
      </c>
      <c r="F171" s="1574"/>
      <c r="G171" s="1574"/>
      <c r="H171" s="70" t="s">
        <v>393</v>
      </c>
      <c r="I171" s="325" t="str">
        <f>IF(AND(ISNUMBER(I120),I120&lt;&gt;0,ISNUMBER(I161)),I161/I120*100,"")</f>
        <v/>
      </c>
      <c r="J171" s="325" t="str">
        <f>IF(AND(ISNUMBER(J120),J120&lt;&gt;0,ISNUMBER(J161)),J161/J120*100,"")</f>
        <v/>
      </c>
      <c r="K171" s="325" t="str">
        <f>IF(AND(ISNUMBER(K120),K120&lt;&gt;0,ISNUMBER(K161)),K161/K120*100,"")</f>
        <v/>
      </c>
      <c r="L171" s="325" t="str">
        <f>IF(AND(ISNUMBER(L120),L120&lt;&gt;0,ISNUMBER(L161)),L161/L120*100,"")</f>
        <v/>
      </c>
      <c r="M171" s="325" t="str">
        <f>IF(AND(ISNUMBER(M120),M120&lt;&gt;0,ISNUMBER(M161)),M161/M120*100,"")</f>
        <v/>
      </c>
      <c r="N171" s="44"/>
      <c r="O171" s="25"/>
      <c r="S171" s="714"/>
    </row>
    <row r="172" spans="2:19" x14ac:dyDescent="0.2">
      <c r="B172" s="38"/>
      <c r="C172" s="38"/>
      <c r="D172" s="38"/>
      <c r="E172" s="38"/>
      <c r="F172" s="38"/>
      <c r="G172" s="38"/>
      <c r="H172" s="38"/>
      <c r="I172" s="38"/>
      <c r="J172" s="38"/>
      <c r="K172" s="38"/>
      <c r="L172" s="38"/>
      <c r="M172" s="38"/>
      <c r="N172" s="38"/>
      <c r="O172" s="25"/>
      <c r="S172" s="714"/>
    </row>
    <row r="173" spans="2:19" x14ac:dyDescent="0.2">
      <c r="B173" s="38"/>
      <c r="C173" s="32"/>
      <c r="D173" s="32" t="s">
        <v>83</v>
      </c>
      <c r="E173" s="1575" t="str">
        <f>Translations!$B$570</f>
        <v>Uz ETS iekārtām eksportētais siltums (nekvalificējas siltuma līmeņatzīmei):</v>
      </c>
      <c r="F173" s="1558"/>
      <c r="G173" s="1558"/>
      <c r="H173" s="1558"/>
      <c r="I173" s="1558"/>
      <c r="J173" s="1558"/>
      <c r="K173" s="1558"/>
      <c r="L173" s="1558"/>
      <c r="M173" s="1558"/>
      <c r="N173" s="1558"/>
      <c r="O173" s="25"/>
      <c r="S173" s="714"/>
    </row>
    <row r="174" spans="2:19" x14ac:dyDescent="0.2">
      <c r="B174" s="21"/>
      <c r="C174" s="34"/>
      <c r="D174" s="34"/>
      <c r="E174" s="1567" t="str">
        <f>Translations!$B$571</f>
        <v>Iedale par šo siltuma daudzumu pienākas siltuma patērētājam.</v>
      </c>
      <c r="F174" s="1558"/>
      <c r="G174" s="1558"/>
      <c r="H174" s="1558"/>
      <c r="I174" s="1558"/>
      <c r="J174" s="1558"/>
      <c r="K174" s="1558"/>
      <c r="L174" s="1558"/>
      <c r="M174" s="1558"/>
      <c r="N174" s="1558"/>
      <c r="O174" s="25"/>
      <c r="P174" s="624"/>
      <c r="S174" s="714"/>
    </row>
    <row r="175" spans="2:19" x14ac:dyDescent="0.2">
      <c r="B175" s="21"/>
      <c r="C175" s="34"/>
      <c r="D175" s="34"/>
      <c r="E175" s="1567" t="str">
        <f>Translations!$B$534</f>
        <v>Iekārtu nosaukumi nolaižamajā izvēlnē ir ņemti no A lapas IV sadaļas. Pārbaudiet, vai tajā ir ievadītie dati ir pilnīgi.</v>
      </c>
      <c r="F175" s="1558"/>
      <c r="G175" s="1558"/>
      <c r="H175" s="1558"/>
      <c r="I175" s="1558"/>
      <c r="J175" s="1558"/>
      <c r="K175" s="1558"/>
      <c r="L175" s="1558"/>
      <c r="M175" s="1558"/>
      <c r="N175" s="1558"/>
      <c r="O175" s="25"/>
      <c r="P175" s="624"/>
      <c r="S175" s="714"/>
    </row>
    <row r="176" spans="2:19" x14ac:dyDescent="0.2">
      <c r="B176" s="38"/>
      <c r="C176" s="38"/>
      <c r="D176" s="38"/>
      <c r="E176" s="1570" t="str">
        <f>Translations!$B$535</f>
        <v>Iekārtas nosaukums</v>
      </c>
      <c r="F176" s="1573"/>
      <c r="G176" s="1573"/>
      <c r="H176" s="52" t="str">
        <f>EUconst_Unit</f>
        <v>Vienība</v>
      </c>
      <c r="I176" s="447">
        <f>I$405</f>
        <v>2019</v>
      </c>
      <c r="J176" s="447">
        <f>J$405</f>
        <v>2020</v>
      </c>
      <c r="K176" s="447">
        <f>K$405</f>
        <v>2021</v>
      </c>
      <c r="L176" s="447">
        <f>L$405</f>
        <v>2022</v>
      </c>
      <c r="M176" s="447">
        <f>M$405</f>
        <v>2023</v>
      </c>
      <c r="N176" s="25"/>
      <c r="O176" s="25"/>
      <c r="S176" s="714"/>
    </row>
    <row r="177" spans="2:19" x14ac:dyDescent="0.2">
      <c r="B177" s="38"/>
      <c r="C177" s="212"/>
      <c r="D177" s="212" t="s">
        <v>2</v>
      </c>
      <c r="E177" s="1613"/>
      <c r="F177" s="1613"/>
      <c r="G177" s="1613"/>
      <c r="H177" s="58" t="str">
        <f t="shared" ref="H177:H182" si="7">EUconst_TJpa</f>
        <v>TJ / gads</v>
      </c>
      <c r="I177" s="339"/>
      <c r="J177" s="339"/>
      <c r="K177" s="339"/>
      <c r="L177" s="339"/>
      <c r="M177" s="339"/>
      <c r="N177" s="25"/>
      <c r="O177" s="25"/>
      <c r="S177" s="627" t="b">
        <f>S142</f>
        <v>0</v>
      </c>
    </row>
    <row r="178" spans="2:19" x14ac:dyDescent="0.2">
      <c r="B178" s="38"/>
      <c r="C178" s="212"/>
      <c r="D178" s="212" t="s">
        <v>3</v>
      </c>
      <c r="E178" s="1423"/>
      <c r="F178" s="1423"/>
      <c r="G178" s="1423"/>
      <c r="H178" s="56" t="str">
        <f t="shared" si="7"/>
        <v>TJ / gads</v>
      </c>
      <c r="I178" s="347"/>
      <c r="J178" s="347"/>
      <c r="K178" s="347"/>
      <c r="L178" s="347"/>
      <c r="M178" s="347"/>
      <c r="N178" s="25"/>
      <c r="O178" s="25"/>
      <c r="S178" s="627" t="b">
        <f>S177</f>
        <v>0</v>
      </c>
    </row>
    <row r="179" spans="2:19" x14ac:dyDescent="0.2">
      <c r="B179" s="38"/>
      <c r="C179" s="212"/>
      <c r="D179" s="212" t="s">
        <v>4</v>
      </c>
      <c r="E179" s="1423"/>
      <c r="F179" s="1423"/>
      <c r="G179" s="1423"/>
      <c r="H179" s="56" t="str">
        <f t="shared" si="7"/>
        <v>TJ / gads</v>
      </c>
      <c r="I179" s="347"/>
      <c r="J179" s="347"/>
      <c r="K179" s="347"/>
      <c r="L179" s="347"/>
      <c r="M179" s="347"/>
      <c r="N179" s="25"/>
      <c r="O179" s="25"/>
      <c r="S179" s="627" t="b">
        <f>S178</f>
        <v>0</v>
      </c>
    </row>
    <row r="180" spans="2:19" x14ac:dyDescent="0.2">
      <c r="B180" s="38"/>
      <c r="C180" s="212"/>
      <c r="D180" s="212" t="s">
        <v>6</v>
      </c>
      <c r="E180" s="1423"/>
      <c r="F180" s="1423"/>
      <c r="G180" s="1423"/>
      <c r="H180" s="56" t="str">
        <f t="shared" si="7"/>
        <v>TJ / gads</v>
      </c>
      <c r="I180" s="347"/>
      <c r="J180" s="347"/>
      <c r="K180" s="347"/>
      <c r="L180" s="347"/>
      <c r="M180" s="347"/>
      <c r="N180" s="25"/>
      <c r="O180" s="25"/>
      <c r="S180" s="627" t="b">
        <f>S179</f>
        <v>0</v>
      </c>
    </row>
    <row r="181" spans="2:19" x14ac:dyDescent="0.2">
      <c r="B181" s="38"/>
      <c r="C181" s="212"/>
      <c r="D181" s="212" t="s">
        <v>303</v>
      </c>
      <c r="E181" s="1434"/>
      <c r="F181" s="1434"/>
      <c r="G181" s="1434"/>
      <c r="H181" s="59" t="str">
        <f t="shared" si="7"/>
        <v>TJ / gads</v>
      </c>
      <c r="I181" s="345"/>
      <c r="J181" s="345"/>
      <c r="K181" s="345"/>
      <c r="L181" s="345"/>
      <c r="M181" s="345"/>
      <c r="N181" s="25"/>
      <c r="O181" s="25"/>
      <c r="S181" s="627" t="b">
        <f>S180</f>
        <v>0</v>
      </c>
    </row>
    <row r="182" spans="2:19" x14ac:dyDescent="0.2">
      <c r="B182" s="38"/>
      <c r="C182" s="212"/>
      <c r="D182" s="212" t="s">
        <v>304</v>
      </c>
      <c r="E182" s="1574" t="str">
        <f>Translations!$B$572</f>
        <v>Kopējais uz ETS iekārtām eksportētais siltums</v>
      </c>
      <c r="F182" s="1574"/>
      <c r="G182" s="1574"/>
      <c r="H182" s="69" t="str">
        <f t="shared" si="7"/>
        <v>TJ / gads</v>
      </c>
      <c r="I182" s="326" t="str">
        <f>IF(COUNT(I177:I181)&gt;0,SUM(I177:I181),"")</f>
        <v/>
      </c>
      <c r="J182" s="326" t="str">
        <f>IF(COUNT(J177:J181)&gt;0,SUM(J177:J181),"")</f>
        <v/>
      </c>
      <c r="K182" s="326" t="str">
        <f>IF(COUNT(K177:K181)&gt;0,SUM(K177:K181),"")</f>
        <v/>
      </c>
      <c r="L182" s="326" t="str">
        <f>IF(COUNT(L177:L181)&gt;0,SUM(L177:L181),"")</f>
        <v/>
      </c>
      <c r="M182" s="326" t="str">
        <f>IF(COUNT(M177:M181)&gt;0,SUM(M177:M181),"")</f>
        <v/>
      </c>
      <c r="N182" s="25"/>
      <c r="O182" s="25"/>
      <c r="S182" s="714"/>
    </row>
    <row r="183" spans="2:19" x14ac:dyDescent="0.2">
      <c r="B183" s="38"/>
      <c r="C183" s="38"/>
      <c r="D183" s="38"/>
      <c r="E183" s="38"/>
      <c r="F183" s="38"/>
      <c r="G183" s="38"/>
      <c r="H183" s="38"/>
      <c r="I183" s="38"/>
      <c r="J183" s="38"/>
      <c r="K183" s="38"/>
      <c r="L183" s="38"/>
      <c r="M183" s="38"/>
      <c r="N183" s="38"/>
      <c r="O183" s="25"/>
      <c r="S183" s="714"/>
    </row>
    <row r="184" spans="2:19" ht="15" x14ac:dyDescent="0.25">
      <c r="B184" s="21"/>
      <c r="C184" s="37"/>
      <c r="D184" s="37"/>
      <c r="E184" s="1594" t="str">
        <f>Translations!$B$573</f>
        <v>Siltuma līmeņatzīmes vai centralizētās siltumapgādes apakšiekārtas:</v>
      </c>
      <c r="F184" s="1558"/>
      <c r="G184" s="1558"/>
      <c r="H184" s="1558"/>
      <c r="I184" s="1558"/>
      <c r="J184" s="1558"/>
      <c r="K184" s="1558"/>
      <c r="L184" s="1558"/>
      <c r="M184" s="1558"/>
      <c r="N184" s="1558"/>
      <c r="O184" s="25"/>
      <c r="P184" s="624"/>
      <c r="S184" s="714"/>
    </row>
    <row r="185" spans="2:19" ht="5.0999999999999996" customHeight="1" x14ac:dyDescent="0.2">
      <c r="B185" s="21"/>
      <c r="C185" s="21"/>
      <c r="D185" s="21"/>
      <c r="E185" s="21"/>
      <c r="F185" s="21"/>
      <c r="G185" s="21"/>
      <c r="H185" s="21"/>
      <c r="I185" s="21"/>
      <c r="J185" s="21"/>
      <c r="K185" s="21"/>
      <c r="L185" s="21"/>
      <c r="M185" s="21"/>
      <c r="N185" s="21"/>
      <c r="O185" s="25"/>
      <c r="P185" s="624"/>
      <c r="S185" s="714"/>
    </row>
    <row r="186" spans="2:19" x14ac:dyDescent="0.2">
      <c r="B186" s="21"/>
      <c r="C186" s="32"/>
      <c r="D186" s="32" t="s">
        <v>211</v>
      </c>
      <c r="E186" s="1557" t="str">
        <f>Translations!$B$574</f>
        <v>Starpsumma: atlikušais kopējais izmērāmais siltums, kas potenciāli pieder pie siltuma līmeņatzīmes apakšiekārtām (=e-g-h-i):</v>
      </c>
      <c r="F186" s="1558"/>
      <c r="G186" s="1558"/>
      <c r="H186" s="1558"/>
      <c r="I186" s="1558"/>
      <c r="J186" s="1558"/>
      <c r="K186" s="1558"/>
      <c r="L186" s="1558"/>
      <c r="M186" s="1558"/>
      <c r="N186" s="1558"/>
      <c r="O186" s="25"/>
      <c r="P186" s="624"/>
      <c r="S186" s="714"/>
    </row>
    <row r="187" spans="2:19" ht="5.0999999999999996" customHeight="1" x14ac:dyDescent="0.2">
      <c r="B187" s="21"/>
      <c r="C187" s="21"/>
      <c r="D187" s="21"/>
      <c r="E187" s="21"/>
      <c r="F187" s="21"/>
      <c r="G187" s="21"/>
      <c r="H187" s="21"/>
      <c r="I187" s="21"/>
      <c r="J187" s="21"/>
      <c r="K187" s="21"/>
      <c r="L187" s="21"/>
      <c r="M187" s="21"/>
      <c r="N187" s="21"/>
      <c r="O187" s="25"/>
      <c r="P187" s="624"/>
      <c r="S187" s="714"/>
    </row>
    <row r="188" spans="2:19" x14ac:dyDescent="0.2">
      <c r="B188" s="38"/>
      <c r="C188" s="38"/>
      <c r="D188" s="38"/>
      <c r="E188" s="43"/>
      <c r="F188" s="40"/>
      <c r="G188" s="40"/>
      <c r="H188" s="52" t="str">
        <f>EUconst_Unit</f>
        <v>Vienība</v>
      </c>
      <c r="I188" s="412">
        <f>I$405</f>
        <v>2019</v>
      </c>
      <c r="J188" s="412">
        <f>J$405</f>
        <v>2020</v>
      </c>
      <c r="K188" s="412">
        <f>K$405</f>
        <v>2021</v>
      </c>
      <c r="L188" s="412">
        <f>L$405</f>
        <v>2022</v>
      </c>
      <c r="M188" s="412">
        <f>M$405</f>
        <v>2023</v>
      </c>
      <c r="N188" s="25"/>
      <c r="O188" s="25"/>
      <c r="S188" s="714"/>
    </row>
    <row r="189" spans="2:19" x14ac:dyDescent="0.2">
      <c r="B189" s="38"/>
      <c r="C189" s="212"/>
      <c r="D189" s="212" t="s">
        <v>2</v>
      </c>
      <c r="E189" s="1554" t="str">
        <f>Translations!$B$575</f>
        <v>Starpsumma:</v>
      </c>
      <c r="F189" s="1555"/>
      <c r="G189" s="1555"/>
      <c r="H189" s="70" t="str">
        <f>EUconst_TJpa</f>
        <v>TJ / gads</v>
      </c>
      <c r="I189" s="328" t="str">
        <f>IF(COUNT(I123,I140,I158,I182)&gt;0,SUM(I123)-SUM(I140)-SUM(I158)-SUM(I182),"")</f>
        <v/>
      </c>
      <c r="J189" s="328" t="str">
        <f>IF(COUNT(J123,J140,J158,J182)&gt;0,SUM(J123)-SUM(J140)-SUM(J158)-SUM(J182),"")</f>
        <v/>
      </c>
      <c r="K189" s="328" t="str">
        <f>IF(COUNT(K123,K140,K158,K182)&gt;0,SUM(K123)-SUM(K140)-SUM(K158)-SUM(K182),"")</f>
        <v/>
      </c>
      <c r="L189" s="328" t="str">
        <f>IF(COUNT(L123,L140,L158,L182)&gt;0,SUM(L123)-SUM(L140)-SUM(L158)-SUM(L182),"")</f>
        <v/>
      </c>
      <c r="M189" s="328" t="str">
        <f>IF(COUNT(M123,M140,M158,M182)&gt;0,SUM(M123)-SUM(M140)-SUM(M158)-SUM(M182),"")</f>
        <v/>
      </c>
      <c r="N189" s="25"/>
      <c r="O189" s="25"/>
      <c r="S189" s="714"/>
    </row>
    <row r="190" spans="2:19" ht="5.0999999999999996" customHeight="1" x14ac:dyDescent="0.2">
      <c r="B190" s="21"/>
      <c r="C190" s="21"/>
      <c r="D190" s="21"/>
      <c r="E190" s="21"/>
      <c r="F190" s="21"/>
      <c r="G190" s="21"/>
      <c r="H190" s="21"/>
      <c r="I190" s="21"/>
      <c r="J190" s="21"/>
      <c r="K190" s="21"/>
      <c r="L190" s="21"/>
      <c r="M190" s="21"/>
      <c r="N190" s="21"/>
      <c r="O190" s="25"/>
      <c r="P190" s="624"/>
      <c r="S190" s="714"/>
    </row>
    <row r="191" spans="2:19" x14ac:dyDescent="0.2">
      <c r="B191" s="21"/>
      <c r="C191" s="34"/>
      <c r="D191" s="34"/>
      <c r="E191" s="1567" t="str">
        <f>Translations!$B$576</f>
        <v>Šo daudzumu var sadalīt siltumā, kas kvalificējas, un siltumā, kas nekvalificējas (pēc izcelsmes, sk. šīs sadaļas ievadu).</v>
      </c>
      <c r="F191" s="1558"/>
      <c r="G191" s="1558"/>
      <c r="H191" s="1558"/>
      <c r="I191" s="1558"/>
      <c r="J191" s="1558"/>
      <c r="K191" s="1558"/>
      <c r="L191" s="1558"/>
      <c r="M191" s="1558"/>
      <c r="N191" s="1558"/>
      <c r="O191" s="25"/>
      <c r="P191" s="624"/>
      <c r="S191" s="714"/>
    </row>
    <row r="192" spans="2:19" x14ac:dyDescent="0.2">
      <c r="B192" s="21"/>
      <c r="C192" s="34"/>
      <c r="D192" s="34"/>
      <c r="E192" s="1584" t="str">
        <f>Translations!$B$577</f>
        <v>Tad e) punktā noteikto koeficientu koriģē, ņemot vērā atlikušo siltumu, kas kvalificējas, un siltumu, kas nekvalificējas. Šo koeficientu izmanto m) punktā.</v>
      </c>
      <c r="F192" s="1573"/>
      <c r="G192" s="1573"/>
      <c r="H192" s="1573"/>
      <c r="I192" s="1573"/>
      <c r="J192" s="1573"/>
      <c r="K192" s="1573"/>
      <c r="L192" s="1573"/>
      <c r="M192" s="1573"/>
      <c r="N192" s="1569"/>
      <c r="O192" s="25"/>
      <c r="P192" s="624"/>
      <c r="S192" s="714"/>
    </row>
    <row r="193" spans="2:19" x14ac:dyDescent="0.2">
      <c r="B193" s="38"/>
      <c r="C193" s="212"/>
      <c r="D193" s="212" t="s">
        <v>3</v>
      </c>
      <c r="E193" s="1585" t="str">
        <f>Translations!$B$578</f>
        <v>Pēc izcelsmes kvalificējas:</v>
      </c>
      <c r="F193" s="1586"/>
      <c r="G193" s="1586"/>
      <c r="H193" s="55" t="str">
        <f>EUconst_TJpa</f>
        <v>TJ / gads</v>
      </c>
      <c r="I193" s="344" t="str">
        <f t="shared" ref="I193:M194" si="8">IF(ISNUMBER(I$189),I447,"")</f>
        <v/>
      </c>
      <c r="J193" s="344" t="str">
        <f t="shared" si="8"/>
        <v/>
      </c>
      <c r="K193" s="344" t="str">
        <f t="shared" si="8"/>
        <v/>
      </c>
      <c r="L193" s="344" t="str">
        <f t="shared" si="8"/>
        <v/>
      </c>
      <c r="M193" s="344" t="str">
        <f t="shared" si="8"/>
        <v/>
      </c>
      <c r="N193" s="44"/>
      <c r="O193" s="25"/>
      <c r="S193" s="714"/>
    </row>
    <row r="194" spans="2:19" x14ac:dyDescent="0.2">
      <c r="B194" s="38"/>
      <c r="C194" s="212"/>
      <c r="D194" s="212" t="s">
        <v>4</v>
      </c>
      <c r="E194" s="1607" t="str">
        <f>Translations!$B$579</f>
        <v>Pēc izcelsmes nekvalificējas:</v>
      </c>
      <c r="F194" s="1608"/>
      <c r="G194" s="1608"/>
      <c r="H194" s="59" t="str">
        <f>EUconst_TJpa</f>
        <v>TJ / gads</v>
      </c>
      <c r="I194" s="343" t="str">
        <f t="shared" si="8"/>
        <v/>
      </c>
      <c r="J194" s="343" t="str">
        <f t="shared" si="8"/>
        <v/>
      </c>
      <c r="K194" s="343" t="str">
        <f t="shared" si="8"/>
        <v/>
      </c>
      <c r="L194" s="343" t="str">
        <f t="shared" si="8"/>
        <v/>
      </c>
      <c r="M194" s="343" t="str">
        <f t="shared" si="8"/>
        <v/>
      </c>
      <c r="N194" s="25"/>
      <c r="O194" s="25"/>
      <c r="S194" s="714"/>
    </row>
    <row r="195" spans="2:19" x14ac:dyDescent="0.2">
      <c r="B195" s="38"/>
      <c r="C195" s="38"/>
      <c r="D195" s="38"/>
      <c r="E195" s="38"/>
      <c r="F195" s="38"/>
      <c r="G195" s="38"/>
      <c r="H195" s="38"/>
      <c r="I195" s="38"/>
      <c r="J195" s="38"/>
      <c r="K195" s="38"/>
      <c r="L195" s="38"/>
      <c r="M195" s="38"/>
      <c r="N195" s="38"/>
      <c r="O195" s="25"/>
      <c r="S195" s="714"/>
    </row>
    <row r="196" spans="2:19" x14ac:dyDescent="0.2">
      <c r="B196" s="21"/>
      <c r="C196" s="32"/>
      <c r="D196" s="32" t="s">
        <v>212</v>
      </c>
      <c r="E196" s="1568" t="str">
        <f>Translations!$B$580</f>
        <v>j) punktā aprēķinātā atlikušā siltuma kvalificējamības attiecība:</v>
      </c>
      <c r="F196" s="1569"/>
      <c r="G196" s="1569"/>
      <c r="H196" s="1569"/>
      <c r="I196" s="1569"/>
      <c r="J196" s="1569"/>
      <c r="K196" s="1569"/>
      <c r="L196" s="1569"/>
      <c r="M196" s="1569"/>
      <c r="N196" s="1569"/>
      <c r="O196" s="25"/>
      <c r="P196" s="624"/>
      <c r="S196" s="714"/>
    </row>
    <row r="197" spans="2:19" x14ac:dyDescent="0.2">
      <c r="B197" s="38"/>
      <c r="C197" s="212"/>
      <c r="D197" s="212"/>
      <c r="E197" s="1606" t="str">
        <f>Translations!$B$581</f>
        <v>koriģētā kvalificējamības attiecība (=(j).ii / (j).i):</v>
      </c>
      <c r="F197" s="1606"/>
      <c r="G197" s="1606"/>
      <c r="H197" s="609" t="s">
        <v>393</v>
      </c>
      <c r="I197" s="324" t="str">
        <f>IF(AND(ISNUMBER(I189),SUM(I193:I194)&lt;&gt;0),I193/SUM(I193:I194)*100,"")</f>
        <v/>
      </c>
      <c r="J197" s="324" t="str">
        <f>IF(AND(ISNUMBER(J189),SUM(J193:J194)&lt;&gt;0),J193/SUM(J193:J194)*100,"")</f>
        <v/>
      </c>
      <c r="K197" s="324" t="str">
        <f>IF(AND(ISNUMBER(K189),SUM(K193:K194)&lt;&gt;0),K193/SUM(K193:K194)*100,"")</f>
        <v/>
      </c>
      <c r="L197" s="324" t="str">
        <f>IF(AND(ISNUMBER(L189),SUM(L193:L194)&lt;&gt;0),L193/SUM(L193:L194)*100,"")</f>
        <v/>
      </c>
      <c r="M197" s="324" t="str">
        <f>IF(AND(ISNUMBER(M189),SUM(M193:M194)&lt;&gt;0),M193/SUM(M193:M194)*100,"")</f>
        <v/>
      </c>
      <c r="N197" s="44"/>
      <c r="O197" s="25"/>
      <c r="S197" s="714"/>
    </row>
    <row r="198" spans="2:19" ht="5.0999999999999996" customHeight="1" x14ac:dyDescent="0.2">
      <c r="B198" s="21"/>
      <c r="C198" s="21"/>
      <c r="D198" s="21"/>
      <c r="E198" s="21"/>
      <c r="F198" s="21"/>
      <c r="G198" s="21"/>
      <c r="H198" s="21"/>
      <c r="I198" s="21"/>
      <c r="J198" s="21"/>
      <c r="K198" s="21"/>
      <c r="L198" s="21"/>
      <c r="M198" s="21"/>
      <c r="N198" s="21"/>
      <c r="O198" s="25"/>
      <c r="P198" s="624"/>
      <c r="S198" s="714"/>
    </row>
    <row r="199" spans="2:19" x14ac:dyDescent="0.2">
      <c r="B199" s="21"/>
      <c r="C199" s="32"/>
      <c r="D199" s="32" t="s">
        <v>213</v>
      </c>
      <c r="E199" s="1557" t="str">
        <f>Translations!$B$1652</f>
        <v>Izmērāmā siltuma neto daudzums, kas patērēts iekārtā un izmantots mērķiem, kuri kvalificējas siltuma līmeņatzīmei:</v>
      </c>
      <c r="F199" s="1558"/>
      <c r="G199" s="1558"/>
      <c r="H199" s="1558"/>
      <c r="I199" s="1558"/>
      <c r="J199" s="1558"/>
      <c r="K199" s="1558"/>
      <c r="L199" s="1558"/>
      <c r="M199" s="1558"/>
      <c r="N199" s="1558"/>
      <c r="O199" s="25"/>
      <c r="P199" s="624"/>
      <c r="S199" s="714"/>
    </row>
    <row r="200" spans="2:19" x14ac:dyDescent="0.2">
      <c r="B200" s="21"/>
      <c r="C200" s="34"/>
      <c r="D200" s="34"/>
      <c r="E200" s="1584" t="str">
        <f>Translations!$B$583</f>
        <v>Šis ir patēriņš iekārtā, izņemot g) un h) punktā uzskaitītajiem nolūkiem.</v>
      </c>
      <c r="F200" s="1573"/>
      <c r="G200" s="1573"/>
      <c r="H200" s="1573"/>
      <c r="I200" s="1573"/>
      <c r="J200" s="1573"/>
      <c r="K200" s="1573"/>
      <c r="L200" s="1573"/>
      <c r="M200" s="1573"/>
      <c r="N200" s="1569"/>
      <c r="O200" s="25"/>
      <c r="P200" s="624"/>
      <c r="S200" s="714"/>
    </row>
    <row r="201" spans="2:19" x14ac:dyDescent="0.2">
      <c r="B201" s="38"/>
      <c r="C201" s="38"/>
      <c r="D201" s="38"/>
      <c r="E201" s="1554" t="str">
        <f>Translations!$B$584</f>
        <v>Iekārtā patērētais siltums</v>
      </c>
      <c r="F201" s="1555"/>
      <c r="G201" s="1555"/>
      <c r="H201" s="70" t="str">
        <f>EUconst_TJpa</f>
        <v>TJ / gads</v>
      </c>
      <c r="I201" s="330"/>
      <c r="J201" s="330"/>
      <c r="K201" s="330"/>
      <c r="L201" s="330"/>
      <c r="M201" s="330"/>
      <c r="N201" s="44"/>
      <c r="O201" s="25"/>
      <c r="S201" s="627" t="b">
        <f>S181</f>
        <v>0</v>
      </c>
    </row>
    <row r="202" spans="2:19" ht="5.0999999999999996" customHeight="1" x14ac:dyDescent="0.2">
      <c r="B202" s="21"/>
      <c r="C202" s="21"/>
      <c r="D202" s="21"/>
      <c r="E202" s="21"/>
      <c r="F202" s="21"/>
      <c r="G202" s="21"/>
      <c r="H202" s="21"/>
      <c r="I202" s="21"/>
      <c r="J202" s="21"/>
      <c r="K202" s="21"/>
      <c r="L202" s="21"/>
      <c r="M202" s="21"/>
      <c r="N202" s="21"/>
      <c r="O202" s="25"/>
      <c r="P202" s="624"/>
      <c r="S202" s="714"/>
    </row>
    <row r="203" spans="2:19" x14ac:dyDescent="0.2">
      <c r="B203" s="38"/>
      <c r="C203" s="32"/>
      <c r="D203" s="32" t="s">
        <v>214</v>
      </c>
      <c r="E203" s="1575" t="str">
        <f>Translations!$B$585</f>
        <v>Siltums, kas eksportēts uz ES ETS neaptvertām iekārtām vai vienībām (piemēram, centralizētās siltumapgādes tīkliem):</v>
      </c>
      <c r="F203" s="1558"/>
      <c r="G203" s="1558"/>
      <c r="H203" s="1558"/>
      <c r="I203" s="1558"/>
      <c r="J203" s="1558"/>
      <c r="K203" s="1558"/>
      <c r="L203" s="1558"/>
      <c r="M203" s="1558"/>
      <c r="N203" s="1558"/>
      <c r="O203" s="25"/>
      <c r="S203" s="714"/>
    </row>
    <row r="204" spans="2:19" x14ac:dyDescent="0.2">
      <c r="B204" s="21"/>
      <c r="C204" s="34"/>
      <c r="D204" s="34"/>
      <c r="E204" s="1567" t="str">
        <f>Translations!$B$534</f>
        <v>Iekārtu nosaukumi nolaižamajā izvēlnē ir ņemti no A lapas IV sadaļas. Pārbaudiet, vai tajā ir ievadītie dati ir pilnīgi.</v>
      </c>
      <c r="F204" s="1558"/>
      <c r="G204" s="1558"/>
      <c r="H204" s="1558"/>
      <c r="I204" s="1558"/>
      <c r="J204" s="1558"/>
      <c r="K204" s="1558"/>
      <c r="L204" s="1558"/>
      <c r="M204" s="1558"/>
      <c r="N204" s="1558"/>
      <c r="O204" s="25"/>
      <c r="P204" s="624"/>
      <c r="S204" s="714"/>
    </row>
    <row r="205" spans="2:19" ht="5.0999999999999996" customHeight="1" x14ac:dyDescent="0.2">
      <c r="B205" s="21"/>
      <c r="C205" s="21"/>
      <c r="D205" s="21"/>
      <c r="E205" s="21"/>
      <c r="F205" s="21"/>
      <c r="G205" s="21"/>
      <c r="H205" s="21"/>
      <c r="I205" s="21"/>
      <c r="J205" s="21"/>
      <c r="K205" s="21"/>
      <c r="L205" s="21"/>
      <c r="M205" s="21"/>
      <c r="N205" s="21"/>
      <c r="O205" s="25"/>
      <c r="P205" s="624"/>
      <c r="S205" s="714"/>
    </row>
    <row r="206" spans="2:19" x14ac:dyDescent="0.2">
      <c r="B206" s="38"/>
      <c r="C206" s="38"/>
      <c r="D206" s="38"/>
      <c r="E206" s="1570" t="str">
        <f>Translations!$B$586</f>
        <v>Saņēmējas vienības vai iekārtas nosaukums</v>
      </c>
      <c r="F206" s="1573"/>
      <c r="G206" s="1573"/>
      <c r="H206" s="52" t="str">
        <f>EUconst_Unit</f>
        <v>Vienība</v>
      </c>
      <c r="I206" s="447">
        <f>I$405</f>
        <v>2019</v>
      </c>
      <c r="J206" s="447">
        <f>J$405</f>
        <v>2020</v>
      </c>
      <c r="K206" s="447">
        <f>K$405</f>
        <v>2021</v>
      </c>
      <c r="L206" s="447">
        <f>L$405</f>
        <v>2022</v>
      </c>
      <c r="M206" s="447">
        <f>M$405</f>
        <v>2023</v>
      </c>
      <c r="N206" s="21"/>
      <c r="O206" s="25"/>
      <c r="S206" s="714"/>
    </row>
    <row r="207" spans="2:19" x14ac:dyDescent="0.2">
      <c r="B207" s="38"/>
      <c r="C207" s="212"/>
      <c r="D207" s="212" t="s">
        <v>2</v>
      </c>
      <c r="E207" s="1439"/>
      <c r="F207" s="1439"/>
      <c r="G207" s="1439"/>
      <c r="H207" s="56" t="str">
        <f t="shared" ref="H207:H212" si="9">EUconst_TJpa</f>
        <v>TJ / gads</v>
      </c>
      <c r="I207" s="339"/>
      <c r="J207" s="339"/>
      <c r="K207" s="339"/>
      <c r="L207" s="339"/>
      <c r="M207" s="339"/>
      <c r="N207" s="25"/>
      <c r="O207" s="25"/>
      <c r="S207" s="627" t="b">
        <f>S201</f>
        <v>0</v>
      </c>
    </row>
    <row r="208" spans="2:19" x14ac:dyDescent="0.2">
      <c r="B208" s="38"/>
      <c r="C208" s="212"/>
      <c r="D208" s="212" t="s">
        <v>3</v>
      </c>
      <c r="E208" s="1423"/>
      <c r="F208" s="1423"/>
      <c r="G208" s="1423"/>
      <c r="H208" s="56" t="str">
        <f t="shared" si="9"/>
        <v>TJ / gads</v>
      </c>
      <c r="I208" s="347"/>
      <c r="J208" s="347"/>
      <c r="K208" s="347"/>
      <c r="L208" s="347"/>
      <c r="M208" s="347"/>
      <c r="N208" s="25"/>
      <c r="O208" s="25"/>
      <c r="S208" s="627" t="b">
        <f>S207</f>
        <v>0</v>
      </c>
    </row>
    <row r="209" spans="2:19" x14ac:dyDescent="0.2">
      <c r="B209" s="38"/>
      <c r="C209" s="212"/>
      <c r="D209" s="212" t="s">
        <v>4</v>
      </c>
      <c r="E209" s="1423"/>
      <c r="F209" s="1423"/>
      <c r="G209" s="1423"/>
      <c r="H209" s="56" t="str">
        <f t="shared" si="9"/>
        <v>TJ / gads</v>
      </c>
      <c r="I209" s="347"/>
      <c r="J209" s="347"/>
      <c r="K209" s="347"/>
      <c r="L209" s="347"/>
      <c r="M209" s="347"/>
      <c r="N209" s="25"/>
      <c r="O209" s="25"/>
      <c r="S209" s="627" t="b">
        <f>S208</f>
        <v>0</v>
      </c>
    </row>
    <row r="210" spans="2:19" x14ac:dyDescent="0.2">
      <c r="B210" s="38"/>
      <c r="C210" s="212"/>
      <c r="D210" s="212" t="s">
        <v>6</v>
      </c>
      <c r="E210" s="1423"/>
      <c r="F210" s="1423"/>
      <c r="G210" s="1423"/>
      <c r="H210" s="56" t="str">
        <f t="shared" si="9"/>
        <v>TJ / gads</v>
      </c>
      <c r="I210" s="347"/>
      <c r="J210" s="347"/>
      <c r="K210" s="347"/>
      <c r="L210" s="347"/>
      <c r="M210" s="347"/>
      <c r="N210" s="25"/>
      <c r="O210" s="25"/>
      <c r="S210" s="627" t="b">
        <f>S209</f>
        <v>0</v>
      </c>
    </row>
    <row r="211" spans="2:19" x14ac:dyDescent="0.2">
      <c r="B211" s="38"/>
      <c r="C211" s="212"/>
      <c r="D211" s="212" t="s">
        <v>303</v>
      </c>
      <c r="E211" s="1434"/>
      <c r="F211" s="1434"/>
      <c r="G211" s="1434"/>
      <c r="H211" s="59" t="str">
        <f t="shared" si="9"/>
        <v>TJ / gads</v>
      </c>
      <c r="I211" s="345"/>
      <c r="J211" s="345"/>
      <c r="K211" s="345"/>
      <c r="L211" s="345"/>
      <c r="M211" s="345"/>
      <c r="N211" s="25"/>
      <c r="O211" s="25"/>
      <c r="S211" s="627" t="b">
        <f>S210</f>
        <v>0</v>
      </c>
    </row>
    <row r="212" spans="2:19" x14ac:dyDescent="0.2">
      <c r="B212" s="38"/>
      <c r="C212" s="212"/>
      <c r="D212" s="212" t="s">
        <v>304</v>
      </c>
      <c r="E212" s="1574" t="str">
        <f>Translations!$B$587</f>
        <v>Kopējais uz ES ETS neaptvertām iekārtām vai vienībām eksportētais siltums:</v>
      </c>
      <c r="F212" s="1574"/>
      <c r="G212" s="1574"/>
      <c r="H212" s="69" t="str">
        <f t="shared" si="9"/>
        <v>TJ / gads</v>
      </c>
      <c r="I212" s="326" t="str">
        <f>IF(COUNT(I207:I211)&gt;0,SUM(I207:I211),"")</f>
        <v/>
      </c>
      <c r="J212" s="326" t="str">
        <f>IF(COUNT(J207:J211)&gt;0,SUM(J207:J211),"")</f>
        <v/>
      </c>
      <c r="K212" s="326" t="str">
        <f>IF(COUNT(K207:K211)&gt;0,SUM(K207:K211),"")</f>
        <v/>
      </c>
      <c r="L212" s="326" t="str">
        <f>IF(COUNT(L207:L211)&gt;0,SUM(L207:L211),"")</f>
        <v/>
      </c>
      <c r="M212" s="326" t="str">
        <f>IF(COUNT(M207:M211)&gt;0,SUM(M207:M211),"")</f>
        <v/>
      </c>
      <c r="N212" s="25"/>
      <c r="O212" s="25"/>
      <c r="S212" s="714"/>
    </row>
    <row r="213" spans="2:19" ht="5.0999999999999996" customHeight="1" x14ac:dyDescent="0.2">
      <c r="B213" s="21"/>
      <c r="C213" s="21"/>
      <c r="D213" s="21"/>
      <c r="E213" s="21"/>
      <c r="F213" s="21"/>
      <c r="G213" s="21"/>
      <c r="H213" s="21"/>
      <c r="I213" s="21"/>
      <c r="J213" s="21"/>
      <c r="K213" s="21"/>
      <c r="L213" s="21"/>
      <c r="M213" s="21"/>
      <c r="N213" s="21"/>
      <c r="O213" s="25"/>
      <c r="P213" s="624"/>
      <c r="S213" s="714"/>
    </row>
    <row r="214" spans="2:19" x14ac:dyDescent="0.2">
      <c r="B214" s="38"/>
      <c r="C214" s="32"/>
      <c r="D214" s="32" t="s">
        <v>77</v>
      </c>
      <c r="E214" s="1575" t="str">
        <f>Translations!$B$588</f>
        <v>Siltuma zudumi (=j-l-m)</v>
      </c>
      <c r="F214" s="1558"/>
      <c r="G214" s="1558"/>
      <c r="H214" s="1558"/>
      <c r="I214" s="1558"/>
      <c r="J214" s="1558"/>
      <c r="K214" s="1558"/>
      <c r="L214" s="1558"/>
      <c r="M214" s="1558"/>
      <c r="N214" s="1558"/>
      <c r="O214" s="25"/>
      <c r="S214" s="714"/>
    </row>
    <row r="215" spans="2:19" x14ac:dyDescent="0.2">
      <c r="B215" s="21"/>
      <c r="C215" s="34"/>
      <c r="D215" s="34"/>
      <c r="E215" s="1567" t="str">
        <f>Translations!$B$589</f>
        <v>Lai nodrošinātu, ka siltuma bilance ir pilnīga, šajā tabulā parādīti aprēķinātie siltuma zudumi (t. i., siltuma daudzums, ko neaptver g), h), k), l) un m) punkts).</v>
      </c>
      <c r="F215" s="1558"/>
      <c r="G215" s="1558"/>
      <c r="H215" s="1558"/>
      <c r="I215" s="1558"/>
      <c r="J215" s="1558"/>
      <c r="K215" s="1558"/>
      <c r="L215" s="1558"/>
      <c r="M215" s="1558"/>
      <c r="N215" s="1558"/>
      <c r="O215" s="25"/>
      <c r="P215" s="624"/>
      <c r="S215" s="714"/>
    </row>
    <row r="216" spans="2:19" x14ac:dyDescent="0.2">
      <c r="B216" s="21"/>
      <c r="C216" s="34"/>
      <c r="D216" s="34"/>
      <c r="E216" s="1567" t="str">
        <f>Translations!$B$590</f>
        <v>Ja redzamas negatīvas vērtības, tas nozīmē, ka iepriekš ievadītie siltuma patēriņa līmeņi pārsniedz siltuma daudzumu, kas pieejams no ražošanas un importa.</v>
      </c>
      <c r="F216" s="1558"/>
      <c r="G216" s="1558"/>
      <c r="H216" s="1558"/>
      <c r="I216" s="1558"/>
      <c r="J216" s="1558"/>
      <c r="K216" s="1558"/>
      <c r="L216" s="1558"/>
      <c r="M216" s="1558"/>
      <c r="N216" s="1558"/>
      <c r="O216" s="25"/>
      <c r="P216" s="624"/>
      <c r="S216" s="714"/>
    </row>
    <row r="217" spans="2:19" x14ac:dyDescent="0.2">
      <c r="B217" s="38"/>
      <c r="C217" s="38"/>
      <c r="D217" s="38"/>
      <c r="E217" s="43"/>
      <c r="F217" s="40"/>
      <c r="G217" s="40"/>
      <c r="H217" s="52" t="str">
        <f>EUconst_Unit</f>
        <v>Vienība</v>
      </c>
      <c r="I217" s="412">
        <f>I$405</f>
        <v>2019</v>
      </c>
      <c r="J217" s="412">
        <f>J$405</f>
        <v>2020</v>
      </c>
      <c r="K217" s="412">
        <f>K$405</f>
        <v>2021</v>
      </c>
      <c r="L217" s="412">
        <f>L$405</f>
        <v>2022</v>
      </c>
      <c r="M217" s="412">
        <f>M$405</f>
        <v>2023</v>
      </c>
      <c r="N217" s="25"/>
      <c r="O217" s="25"/>
      <c r="S217" s="714"/>
    </row>
    <row r="218" spans="2:19" x14ac:dyDescent="0.2">
      <c r="B218" s="38"/>
      <c r="C218" s="38"/>
      <c r="D218" s="212" t="s">
        <v>2</v>
      </c>
      <c r="E218" s="1554" t="str">
        <f>Translations!$B$591</f>
        <v>Siltuma zudumi (aprēķinātie)</v>
      </c>
      <c r="F218" s="1555"/>
      <c r="G218" s="1555"/>
      <c r="H218" s="70" t="str">
        <f>EUconst_TJpa</f>
        <v>TJ / gads</v>
      </c>
      <c r="I218" s="328" t="str">
        <f>IF(COUNT(I189,I201,I212)&gt;0,SUM(I189)-SUM(I201)-SUM(I212),"")</f>
        <v/>
      </c>
      <c r="J218" s="328" t="str">
        <f>IF(COUNT(J189,J201,J212)&gt;0,SUM(J189)-SUM(J201)-SUM(J212),"")</f>
        <v/>
      </c>
      <c r="K218" s="328" t="str">
        <f>IF(COUNT(K189,K201,K212)&gt;0,SUM(K189)-SUM(K201)-SUM(K212),"")</f>
        <v/>
      </c>
      <c r="L218" s="328" t="str">
        <f>IF(COUNT(L189,L201,L212)&gt;0,SUM(L189)-SUM(L201)-SUM(L212),"")</f>
        <v/>
      </c>
      <c r="M218" s="328" t="str">
        <f>IF(COUNT(M189,M201,M212)&gt;0,SUM(M189)-SUM(M201)-SUM(M212),"")</f>
        <v/>
      </c>
      <c r="N218" s="25"/>
      <c r="O218" s="25"/>
      <c r="S218" s="714"/>
    </row>
    <row r="219" spans="2:19" x14ac:dyDescent="0.2">
      <c r="B219" s="38"/>
      <c r="C219" s="38"/>
      <c r="D219" s="212" t="s">
        <v>3</v>
      </c>
      <c r="E219" s="1554" t="str">
        <f>Translations!$B$592</f>
        <v>Siltuma zudumi (daļa no pieejamā siltuma = e)</v>
      </c>
      <c r="F219" s="1555"/>
      <c r="G219" s="1555"/>
      <c r="H219" s="70" t="s">
        <v>393</v>
      </c>
      <c r="I219" s="328" t="str">
        <f>IF(AND(ISNUMBER(I218),ISNUMBER(I123),SUM(I123)&lt;&gt;0),I218/I123*100,"")</f>
        <v/>
      </c>
      <c r="J219" s="328" t="str">
        <f>IF(AND(ISNUMBER(J218),ISNUMBER(J123),SUM(J123)&lt;&gt;0),J218/J123*100,"")</f>
        <v/>
      </c>
      <c r="K219" s="328" t="str">
        <f>IF(AND(ISNUMBER(K218),ISNUMBER(K123),SUM(K123)&lt;&gt;0),K218/K123*100,"")</f>
        <v/>
      </c>
      <c r="L219" s="328" t="str">
        <f>IF(AND(ISNUMBER(L218),ISNUMBER(L123),SUM(L123)&lt;&gt;0),L218/L123*100,"")</f>
        <v/>
      </c>
      <c r="M219" s="328" t="str">
        <f>IF(AND(ISNUMBER(M218),ISNUMBER(M123),SUM(M123)&lt;&gt;0),M218/M123*100,"")</f>
        <v/>
      </c>
      <c r="N219" s="25"/>
      <c r="O219" s="25"/>
      <c r="S219" s="714"/>
    </row>
    <row r="220" spans="2:19" x14ac:dyDescent="0.2">
      <c r="B220" s="38"/>
      <c r="C220" s="38"/>
      <c r="D220" s="38"/>
      <c r="E220" s="38"/>
      <c r="F220" s="38"/>
      <c r="G220" s="38"/>
      <c r="H220" s="38"/>
      <c r="I220" s="38"/>
      <c r="J220" s="38"/>
      <c r="K220" s="38"/>
      <c r="L220" s="38"/>
      <c r="M220" s="38"/>
      <c r="N220" s="38"/>
      <c r="O220" s="25"/>
      <c r="S220" s="714"/>
    </row>
    <row r="221" spans="2:19" x14ac:dyDescent="0.2">
      <c r="B221" s="21"/>
      <c r="C221" s="32"/>
      <c r="D221" s="32" t="s">
        <v>322</v>
      </c>
      <c r="E221" s="1570" t="str">
        <f>Translations!$B$593</f>
        <v>Kopējais siltuma daudzums, kas potenciāli ir daļa no siltuma līmeņatzīmes vai centralizētās siltumapgādes apakšiekārtām (=l+m):</v>
      </c>
      <c r="F221" s="1573"/>
      <c r="G221" s="1573"/>
      <c r="H221" s="1573"/>
      <c r="I221" s="1573"/>
      <c r="J221" s="1573"/>
      <c r="K221" s="1573"/>
      <c r="L221" s="1573"/>
      <c r="M221" s="1573"/>
      <c r="N221" s="1569"/>
      <c r="O221" s="25"/>
      <c r="P221" s="624"/>
      <c r="S221" s="714"/>
    </row>
    <row r="222" spans="2:19" x14ac:dyDescent="0.2">
      <c r="B222" s="38"/>
      <c r="C222" s="38"/>
      <c r="D222" s="38"/>
      <c r="E222" s="1554" t="str">
        <f>Translations!$B$594</f>
        <v>Siltuma līmeņatzīmes apakšiekārtās kopā:</v>
      </c>
      <c r="F222" s="1555"/>
      <c r="G222" s="1555"/>
      <c r="H222" s="70" t="str">
        <f>EUconst_TJpa</f>
        <v>TJ / gads</v>
      </c>
      <c r="I222" s="328" t="str">
        <f>IF(COUNT(I212,I201)&gt;0,SUM(I201,I212),"")</f>
        <v/>
      </c>
      <c r="J222" s="328" t="str">
        <f>IF(COUNT(J212,J201)&gt;0,SUM(J201,J212),"")</f>
        <v/>
      </c>
      <c r="K222" s="328" t="str">
        <f>IF(COUNT(K212,K201)&gt;0,SUM(K201,K212),"")</f>
        <v/>
      </c>
      <c r="L222" s="328" t="str">
        <f>IF(COUNT(L212,L201)&gt;0,SUM(L201,L212),"")</f>
        <v/>
      </c>
      <c r="M222" s="328" t="str">
        <f>IF(COUNT(M212,M201)&gt;0,SUM(M201,M212),"")</f>
        <v/>
      </c>
      <c r="N222" s="44"/>
      <c r="O222" s="25"/>
      <c r="S222" s="714"/>
    </row>
    <row r="223" spans="2:19" ht="5.0999999999999996" customHeight="1" x14ac:dyDescent="0.2">
      <c r="B223" s="21"/>
      <c r="C223" s="21"/>
      <c r="D223" s="21"/>
      <c r="E223" s="21"/>
      <c r="F223" s="21"/>
      <c r="G223" s="21"/>
      <c r="H223" s="21"/>
      <c r="I223" s="21"/>
      <c r="J223" s="21"/>
      <c r="K223" s="21"/>
      <c r="L223" s="21"/>
      <c r="M223" s="21"/>
      <c r="N223" s="21"/>
      <c r="O223" s="25"/>
      <c r="P223" s="624"/>
      <c r="S223" s="714"/>
    </row>
    <row r="224" spans="2:19" x14ac:dyDescent="0.2">
      <c r="B224" s="21"/>
      <c r="C224" s="32"/>
      <c r="D224" s="32" t="s">
        <v>323</v>
      </c>
      <c r="E224" s="1557" t="str">
        <f>Translations!$B$595</f>
        <v>Galīgais rezultāts: siltuma daudzums, kas attiecināms uz siltuma līmeņatzīmes vai centralizētās siltumapgādes apakšiekārtām</v>
      </c>
      <c r="F224" s="1558"/>
      <c r="G224" s="1558"/>
      <c r="H224" s="1558"/>
      <c r="I224" s="1558"/>
      <c r="J224" s="1558"/>
      <c r="K224" s="1558"/>
      <c r="L224" s="1558"/>
      <c r="M224" s="1558"/>
      <c r="N224" s="1558"/>
      <c r="O224" s="25"/>
      <c r="P224" s="624"/>
      <c r="S224" s="714"/>
    </row>
    <row r="225" spans="2:19" x14ac:dyDescent="0.2">
      <c r="B225" s="21"/>
      <c r="C225" s="34"/>
      <c r="D225" s="34"/>
      <c r="E225" s="1593" t="str">
        <f>Translations!$B$596</f>
        <v>Šis rezultāts ir aprēķināts, o) punkta rādītāju reizinot ar k) punktā noteikto koriģēto kvalificējamības attiecību.</v>
      </c>
      <c r="F225" s="1558"/>
      <c r="G225" s="1558"/>
      <c r="H225" s="1558"/>
      <c r="I225" s="1558"/>
      <c r="J225" s="1558"/>
      <c r="K225" s="1558"/>
      <c r="L225" s="1558"/>
      <c r="M225" s="1558"/>
      <c r="N225" s="1558"/>
      <c r="O225" s="25"/>
      <c r="P225" s="624"/>
      <c r="S225" s="714"/>
    </row>
    <row r="226" spans="2:19" x14ac:dyDescent="0.2">
      <c r="B226" s="21"/>
      <c r="C226" s="34"/>
      <c r="D226" s="34"/>
      <c r="E226" s="1593" t="str">
        <f>Translations!$B$597</f>
        <v>Maksimālā pieļaujamā vērtība ir j) punkta ii. apakšpunktā noteiktais daudzums, kas kvalificējas.</v>
      </c>
      <c r="F226" s="1558"/>
      <c r="G226" s="1558"/>
      <c r="H226" s="1558"/>
      <c r="I226" s="1558"/>
      <c r="J226" s="1558"/>
      <c r="K226" s="1558"/>
      <c r="L226" s="1558"/>
      <c r="M226" s="1558"/>
      <c r="N226" s="1558"/>
      <c r="O226" s="25"/>
      <c r="P226" s="624"/>
      <c r="S226" s="714"/>
    </row>
    <row r="227" spans="2:19" x14ac:dyDescent="0.2">
      <c r="B227" s="38"/>
      <c r="C227" s="38"/>
      <c r="D227" s="38"/>
      <c r="E227" s="43"/>
      <c r="F227" s="40"/>
      <c r="G227" s="40"/>
      <c r="H227" s="52" t="str">
        <f>EUconst_Unit</f>
        <v>Vienība</v>
      </c>
      <c r="I227" s="412">
        <f>I$405</f>
        <v>2019</v>
      </c>
      <c r="J227" s="412">
        <f>J$405</f>
        <v>2020</v>
      </c>
      <c r="K227" s="412">
        <f>K$405</f>
        <v>2021</v>
      </c>
      <c r="L227" s="412">
        <f>L$405</f>
        <v>2022</v>
      </c>
      <c r="M227" s="412">
        <f>M$405</f>
        <v>2023</v>
      </c>
      <c r="N227" s="25"/>
      <c r="O227" s="25"/>
      <c r="S227" s="714"/>
    </row>
    <row r="228" spans="2:19" ht="25.5" customHeight="1" x14ac:dyDescent="0.2">
      <c r="B228" s="38"/>
      <c r="C228" s="38"/>
      <c r="D228" s="38"/>
      <c r="E228" s="1516" t="str">
        <f>Translations!$B$598</f>
        <v>Siltums, kas kvalificējas siltuma līmeņatzīmes apakšiekārtām</v>
      </c>
      <c r="F228" s="1457"/>
      <c r="G228" s="1457"/>
      <c r="H228" s="71" t="str">
        <f>EUconst_TJpa</f>
        <v>TJ / gads</v>
      </c>
      <c r="I228" s="324" t="str">
        <f>IF(ISNUMBER(I222),IF(I193&gt;=I222*SUM(I197)/100,I222*SUM(I197)/100,I193),IF(ISNUMBER(I193),I193,""))</f>
        <v/>
      </c>
      <c r="J228" s="324" t="str">
        <f>IF(ISNUMBER(J222),IF(J193&gt;=J222*SUM(J197)/100,J222*SUM(J197)/100,J193),IF(ISNUMBER(J193),J193,""))</f>
        <v/>
      </c>
      <c r="K228" s="324" t="str">
        <f>IF(ISNUMBER(K222),IF(K193&gt;=K222*SUM(K197)/100,K222*SUM(K197)/100,K193),IF(ISNUMBER(K193),K193,""))</f>
        <v/>
      </c>
      <c r="L228" s="324" t="str">
        <f>IF(ISNUMBER(L222),IF(L193&gt;=L222*SUM(L197)/100,L222*SUM(L197)/100,L193),IF(ISNUMBER(L193),L193,""))</f>
        <v/>
      </c>
      <c r="M228" s="324" t="str">
        <f>IF(ISNUMBER(M222),IF(M193&gt;=M222*SUM(M197)/100,M222*SUM(M197)/100,M193),IF(ISNUMBER(M193),M193,""))</f>
        <v/>
      </c>
      <c r="N228" s="25"/>
      <c r="O228" s="25"/>
      <c r="S228" s="714"/>
    </row>
    <row r="229" spans="2:19" ht="13.5" thickBot="1" x14ac:dyDescent="0.25">
      <c r="B229" s="38"/>
      <c r="C229" s="38"/>
      <c r="D229" s="38"/>
      <c r="E229" s="38"/>
      <c r="F229" s="38"/>
      <c r="G229" s="38"/>
      <c r="H229" s="38"/>
      <c r="I229" s="38"/>
      <c r="J229" s="38"/>
      <c r="K229" s="38"/>
      <c r="L229" s="38"/>
      <c r="M229" s="38"/>
      <c r="N229" s="38"/>
      <c r="O229" s="25"/>
      <c r="S229" s="714"/>
    </row>
    <row r="230" spans="2:19" ht="13.5" thickBot="1" x14ac:dyDescent="0.25">
      <c r="B230" s="21"/>
      <c r="C230" s="32"/>
      <c r="D230" s="32" t="s">
        <v>324</v>
      </c>
      <c r="E230" s="1557" t="str">
        <f>Translations!$B$599</f>
        <v>Sadalījums pa apakšiekārtām. Datu ievades metode</v>
      </c>
      <c r="F230" s="1557"/>
      <c r="G230" s="1557"/>
      <c r="H230" s="1599"/>
      <c r="I230" s="1602"/>
      <c r="J230" s="1603"/>
      <c r="K230" s="203" t="str">
        <f>IF(AND(ISBLANK(I230),COUNT(I240:N243)&gt;0),EUconst_Incomplete,"")</f>
        <v/>
      </c>
      <c r="L230" s="21"/>
      <c r="M230" s="21"/>
      <c r="N230" s="21"/>
      <c r="O230" s="25"/>
      <c r="P230" s="644" t="str">
        <f>IF(ISBLANK($I$230),EUconst_NA,MATCH($I$230,EUconst_AbsRel,0))</f>
        <v>NA</v>
      </c>
      <c r="S230" s="719" t="b">
        <f>OR(S211,AND(S240:S243))</f>
        <v>0</v>
      </c>
    </row>
    <row r="231" spans="2:19" x14ac:dyDescent="0.2">
      <c r="B231" s="21"/>
      <c r="C231" s="34"/>
      <c r="D231" s="34"/>
      <c r="E231" s="1567" t="str">
        <f>Translations!$B$600</f>
        <v>Vērtību ievadīšanas paņēmienu var izvēlēties tabulā r) punktā. Pieejamās iespējas: absolūtās vērtības (TJ gadā) vai procenti.</v>
      </c>
      <c r="F231" s="1558"/>
      <c r="G231" s="1558"/>
      <c r="H231" s="1558"/>
      <c r="I231" s="1558"/>
      <c r="J231" s="1558"/>
      <c r="K231" s="1558"/>
      <c r="L231" s="1558"/>
      <c r="M231" s="1558"/>
      <c r="N231" s="1558"/>
      <c r="O231" s="25"/>
      <c r="P231" s="445" t="s">
        <v>79</v>
      </c>
    </row>
    <row r="232" spans="2:19" x14ac:dyDescent="0.2">
      <c r="B232" s="21"/>
      <c r="C232" s="34"/>
      <c r="D232" s="34"/>
      <c r="E232" s="1567" t="str">
        <f>Translations!$B$494</f>
        <v>Datu ātrai ievadīšanai vienkāršos gadījumos, kad vairums ierakstu ir "100 %" vai nulle, labākā izvēle ir procenti.</v>
      </c>
      <c r="F232" s="1558"/>
      <c r="G232" s="1558"/>
      <c r="H232" s="1558"/>
      <c r="I232" s="1558"/>
      <c r="J232" s="1558"/>
      <c r="K232" s="1558"/>
      <c r="L232" s="1558"/>
      <c r="M232" s="1558"/>
      <c r="N232" s="1558"/>
      <c r="O232" s="25"/>
      <c r="P232" s="624"/>
    </row>
    <row r="233" spans="2:19" ht="5.0999999999999996" customHeight="1" x14ac:dyDescent="0.2">
      <c r="B233" s="21"/>
      <c r="C233" s="21"/>
      <c r="D233" s="21"/>
      <c r="E233" s="21"/>
      <c r="F233" s="21"/>
      <c r="G233" s="21"/>
      <c r="H233" s="21"/>
      <c r="I233" s="21"/>
      <c r="J233" s="21"/>
      <c r="K233" s="21"/>
      <c r="L233" s="21"/>
      <c r="M233" s="21"/>
      <c r="N233" s="21"/>
      <c r="O233" s="25"/>
      <c r="P233" s="624"/>
    </row>
    <row r="234" spans="2:19" x14ac:dyDescent="0.2">
      <c r="B234" s="21"/>
      <c r="C234" s="32"/>
      <c r="D234" s="32" t="s">
        <v>479</v>
      </c>
      <c r="E234" s="1557" t="str">
        <f>Translations!$B$601</f>
        <v>Siltuma apakšiekārtu attiecināšana uz oglekļa emisiju pārvirzes riska pakāpi:</v>
      </c>
      <c r="F234" s="1558"/>
      <c r="G234" s="1558"/>
      <c r="H234" s="1558"/>
      <c r="I234" s="1558"/>
      <c r="J234" s="1558"/>
      <c r="K234" s="1558"/>
      <c r="L234" s="1558"/>
      <c r="M234" s="1558"/>
      <c r="N234" s="1558"/>
      <c r="O234" s="25"/>
      <c r="P234" s="624"/>
    </row>
    <row r="235" spans="2:19" x14ac:dyDescent="0.2">
      <c r="B235" s="21"/>
      <c r="C235" s="34"/>
      <c r="D235" s="34"/>
      <c r="E235" s="1567" t="str">
        <f>Translations!$B$602</f>
        <v>Šeit norādiet, kāds izmērāmā siltuma daudzums patērēts katrā apakšiekārtā, kur 100 % ir iepriekš p) punktā aprēķinātā summa.</v>
      </c>
      <c r="F235" s="1558"/>
      <c r="G235" s="1558"/>
      <c r="H235" s="1558"/>
      <c r="I235" s="1558"/>
      <c r="J235" s="1558"/>
      <c r="K235" s="1558"/>
      <c r="L235" s="1558"/>
      <c r="M235" s="1558"/>
      <c r="N235" s="1558"/>
      <c r="O235" s="25"/>
      <c r="P235" s="624"/>
    </row>
    <row r="236" spans="2:19" ht="25.5" customHeight="1" x14ac:dyDescent="0.2">
      <c r="B236" s="21"/>
      <c r="C236" s="34"/>
      <c r="D236" s="34"/>
      <c r="E236" s="1567" t="str">
        <f>Translations!$B$603</f>
        <v>Siltuma līmeņatzīmes apakšiekārta “OEP” (pakļauta ievērojamam oglekļa emisiju pārvirzes riskam), “bez OEP” (oglekļa emisiju pārvirzes riskam nav pakļauta; te ietilpst arī siltums, kas eksportēts uz ETS neaptvertām iekārtām un vienībām, bet ne centralizētajai siltumapgādei) un centralizētās siltumapgādes apakšiekārta “bez OEP”.</v>
      </c>
      <c r="F236" s="1558"/>
      <c r="G236" s="1558"/>
      <c r="H236" s="1558"/>
      <c r="I236" s="1558"/>
      <c r="J236" s="1558"/>
      <c r="K236" s="1558"/>
      <c r="L236" s="1558"/>
      <c r="M236" s="1558"/>
      <c r="N236" s="1558"/>
      <c r="O236" s="25"/>
      <c r="P236" s="624"/>
    </row>
    <row r="237" spans="2:19" ht="12.75" customHeight="1" x14ac:dyDescent="0.2">
      <c r="B237" s="21"/>
      <c r="C237" s="34"/>
      <c r="D237" s="34"/>
      <c r="E237" s="1593" t="str">
        <f>Translations!$B$604</f>
        <v>Šie dati tiek automātiski atkalizmantoti lapā “G_Fall-back”. Tāpēc, ja izmanto šo rīku, dati šeit jāievada obligāti.</v>
      </c>
      <c r="F237" s="1558"/>
      <c r="G237" s="1558"/>
      <c r="H237" s="1558"/>
      <c r="I237" s="1558"/>
      <c r="J237" s="1558"/>
      <c r="K237" s="1558"/>
      <c r="L237" s="1558"/>
      <c r="M237" s="1558"/>
      <c r="N237" s="1558"/>
      <c r="O237" s="25"/>
      <c r="P237" s="624"/>
    </row>
    <row r="238" spans="2:19" ht="5.0999999999999996" customHeight="1" x14ac:dyDescent="0.2">
      <c r="B238" s="21"/>
      <c r="C238" s="21"/>
      <c r="D238" s="21"/>
      <c r="E238" s="21"/>
      <c r="F238" s="21"/>
      <c r="G238" s="21"/>
      <c r="H238" s="21"/>
      <c r="I238" s="21"/>
      <c r="J238" s="21"/>
      <c r="K238" s="21"/>
      <c r="L238" s="21"/>
      <c r="M238" s="21"/>
      <c r="N238" s="21"/>
      <c r="O238" s="25"/>
      <c r="P238" s="624"/>
    </row>
    <row r="239" spans="2:19" ht="13.5" thickBot="1" x14ac:dyDescent="0.25">
      <c r="B239" s="38"/>
      <c r="C239" s="38"/>
      <c r="D239" s="38"/>
      <c r="E239" s="1604" t="str">
        <f>Translations!$B$249</f>
        <v>Izmērāmais siltums</v>
      </c>
      <c r="F239" s="1605"/>
      <c r="G239" s="1605"/>
      <c r="H239" s="52" t="str">
        <f>EUconst_Unit</f>
        <v>Vienība</v>
      </c>
      <c r="I239" s="412">
        <f>I$405</f>
        <v>2019</v>
      </c>
      <c r="J239" s="412">
        <f>J$405</f>
        <v>2020</v>
      </c>
      <c r="K239" s="412">
        <f>K$405</f>
        <v>2021</v>
      </c>
      <c r="L239" s="412">
        <f>L$405</f>
        <v>2022</v>
      </c>
      <c r="M239" s="412">
        <f>M$405</f>
        <v>2023</v>
      </c>
      <c r="N239" s="25"/>
      <c r="O239" s="25"/>
      <c r="S239" s="452" t="s">
        <v>450</v>
      </c>
    </row>
    <row r="240" spans="2:19" x14ac:dyDescent="0.2">
      <c r="B240" s="38"/>
      <c r="C240" s="212"/>
      <c r="D240" s="212" t="s">
        <v>2</v>
      </c>
      <c r="E240" s="1589" t="str">
        <f>E412</f>
        <v>Siltuma līmeņatzīmes apakšiekārta, OEP | bez OIM)</v>
      </c>
      <c r="F240" s="1590"/>
      <c r="G240" s="1590"/>
      <c r="H240" s="124" t="str">
        <f>IF(CTRL_InputMethodHeatSubInstSplit=EUconst_NA,EUconst_relOrTJpa,IF(CTRL_InputMethodHeatSubInstSplit=1,EUconst_TJpa,"%"))</f>
        <v>% vai TJ / gads</v>
      </c>
      <c r="I240" s="323"/>
      <c r="J240" s="323"/>
      <c r="K240" s="323"/>
      <c r="L240" s="323"/>
      <c r="M240" s="322"/>
      <c r="N240" s="25"/>
      <c r="O240" s="25"/>
      <c r="P240" s="453" t="str">
        <f>IF(CTRL_InputMethodHeatSubInstSplit=1,EUconst_CNTR_HAL&amp;E240,"")</f>
        <v/>
      </c>
      <c r="Q240" s="715">
        <v>1</v>
      </c>
      <c r="S240" s="643" t="b">
        <f>IF(ISBLANK(INDEX(CNTR_FallBackSubInstRelevant,Q240)),FALSE,IF(INDEX(CNTR_FallBackSubInstRelevant,Q240),FALSE,TRUE))</f>
        <v>0</v>
      </c>
    </row>
    <row r="241" spans="2:19" x14ac:dyDescent="0.2">
      <c r="B241" s="38"/>
      <c r="C241" s="212"/>
      <c r="D241" s="212" t="s">
        <v>3</v>
      </c>
      <c r="E241" s="1577" t="str">
        <f>E413</f>
        <v>Siltuma līmeņatzīmes apakšiekārta (bez OEP | bez OIM)</v>
      </c>
      <c r="F241" s="1578"/>
      <c r="G241" s="1578"/>
      <c r="H241" s="571" t="str">
        <f>IF(CTRL_InputMethodHeatSubInstSplit=EUconst_NA,EUconst_relOrTJpa,IF(CTRL_InputMethodHeatSubInstSplit=1,EUconst_TJpa,"%"))</f>
        <v>% vai TJ / gads</v>
      </c>
      <c r="I241" s="347"/>
      <c r="J241" s="347"/>
      <c r="K241" s="347"/>
      <c r="L241" s="745"/>
      <c r="M241" s="346"/>
      <c r="N241" s="25"/>
      <c r="O241" s="25"/>
      <c r="P241" s="453" t="str">
        <f>IF(CTRL_InputMethodHeatSubInstSplit=1,EUconst_CNTR_HAL&amp;E241,"")</f>
        <v/>
      </c>
      <c r="Q241" s="716">
        <v>2</v>
      </c>
      <c r="S241" s="773" t="b">
        <f>IF(ISBLANK(INDEX(CNTR_FallBackSubInstRelevant,Q241)),FALSE,IF(INDEX(CNTR_FallBackSubInstRelevant,Q241),FALSE,TRUE))</f>
        <v>0</v>
      </c>
    </row>
    <row r="242" spans="2:19" x14ac:dyDescent="0.2">
      <c r="B242" s="38"/>
      <c r="C242" s="212"/>
      <c r="D242" s="212" t="s">
        <v>4</v>
      </c>
      <c r="E242" s="1577" t="str">
        <f>E414</f>
        <v>Siltuma līmeņatzīmes apakšiekārta, OEP | OIM)</v>
      </c>
      <c r="F242" s="1578"/>
      <c r="G242" s="1578"/>
      <c r="H242" s="1058" t="str">
        <f>IF(CTRL_InputMethodHeatSubInstSplit=EUconst_NA,EUconst_relOrTJpa,IF(CTRL_InputMethodHeatSubInstSplit=1,EUconst_TJpa,"%"))</f>
        <v>% vai TJ / gads</v>
      </c>
      <c r="I242" s="1059"/>
      <c r="J242" s="1059"/>
      <c r="K242" s="1059"/>
      <c r="L242" s="1060"/>
      <c r="M242" s="1061"/>
      <c r="N242" s="25"/>
      <c r="O242" s="25"/>
      <c r="P242" s="453" t="str">
        <f>IF(CTRL_InputMethodHeatSubInstSplit=1,EUconst_CNTR_HAL&amp;E242,"")</f>
        <v/>
      </c>
      <c r="Q242" s="716">
        <v>3</v>
      </c>
      <c r="S242" s="773" t="b">
        <f>IF(ISBLANK(INDEX(CNTR_FallBackSubInstRelevant,Q242)),FALSE,IF(INDEX(CNTR_FallBackSubInstRelevant,Q242),FALSE,TRUE))</f>
        <v>0</v>
      </c>
    </row>
    <row r="243" spans="2:19" ht="13.5" thickBot="1" x14ac:dyDescent="0.25">
      <c r="B243" s="38"/>
      <c r="C243" s="212"/>
      <c r="D243" s="440" t="s">
        <v>6</v>
      </c>
      <c r="E243" s="1579" t="str">
        <f>E415</f>
        <v>Centralizētās siltumapgādes apakšiekārta</v>
      </c>
      <c r="F243" s="1580"/>
      <c r="G243" s="1580"/>
      <c r="H243" s="123" t="str">
        <f>IF(CTRL_InputMethodHeatSubInstSplit=EUconst_NA,EUconst_relOrTJpa,IF(CTRL_InputMethodHeatSubInstSplit=1,EUconst_TJpa,"%"))</f>
        <v>% vai TJ / gads</v>
      </c>
      <c r="I243" s="321"/>
      <c r="J243" s="321"/>
      <c r="K243" s="321"/>
      <c r="L243" s="321"/>
      <c r="M243" s="320"/>
      <c r="N243" s="44"/>
      <c r="O243" s="25"/>
      <c r="P243" s="453" t="str">
        <f>IF(CTRL_InputMethodHeatSubInstSplit=1,EUconst_CNTR_HAL&amp;E243,"")</f>
        <v/>
      </c>
      <c r="Q243" s="717">
        <v>4</v>
      </c>
      <c r="S243" s="719" t="b">
        <f>IF(ISBLANK(INDEX(CNTR_FallBackSubInstRelevant,Q243)),FALSE,IF(INDEX(CNTR_FallBackSubInstRelevant,Q243),FALSE,TRUE))</f>
        <v>0</v>
      </c>
    </row>
    <row r="244" spans="2:19" x14ac:dyDescent="0.2">
      <c r="B244" s="38"/>
      <c r="C244" s="212"/>
      <c r="D244" s="212"/>
      <c r="E244" s="1587" t="str">
        <f>Translations!$B$605</f>
        <v>Kontrolskaitļi:</v>
      </c>
      <c r="F244" s="1588"/>
      <c r="G244" s="1588"/>
      <c r="H244" s="197"/>
      <c r="I244" s="198"/>
      <c r="J244" s="198"/>
      <c r="K244" s="198"/>
      <c r="L244" s="198"/>
      <c r="M244" s="198"/>
      <c r="N244" s="38"/>
      <c r="O244" s="25"/>
      <c r="P244" s="645"/>
    </row>
    <row r="245" spans="2:19" x14ac:dyDescent="0.2">
      <c r="B245" s="38"/>
      <c r="C245" s="212"/>
      <c r="D245" s="212" t="s">
        <v>303</v>
      </c>
      <c r="E245" s="1600" t="str">
        <f>E240</f>
        <v>Siltuma līmeņatzīmes apakšiekārta, OEP | bez OIM)</v>
      </c>
      <c r="F245" s="1601"/>
      <c r="G245" s="1601"/>
      <c r="H245" s="82" t="str">
        <f>IF(CTRL_InputMethodHeatSubInstSplit=EUconst_NA,EUconst_relOrTJpa,IF(CTRL_InputMethodHeatSubInstSplit=2,EUconst_TJpa,"%"))</f>
        <v>% vai TJ / gads</v>
      </c>
      <c r="I245" s="344" t="str">
        <f t="shared" ref="I245:M247" si="10">IF(AND(ISNUMBER(I$228),ISNUMBER(I240),CTRL_InputMethodHeatSubInstSplit&lt;&gt;EUconst_NA),IF(CTRL_InputMethodHeatSubInstSplit=1,I240/I$228*100,I240*I$228/100),"")</f>
        <v/>
      </c>
      <c r="J245" s="344" t="str">
        <f t="shared" si="10"/>
        <v/>
      </c>
      <c r="K245" s="344" t="str">
        <f t="shared" si="10"/>
        <v/>
      </c>
      <c r="L245" s="344" t="str">
        <f t="shared" si="10"/>
        <v/>
      </c>
      <c r="M245" s="344" t="str">
        <f t="shared" si="10"/>
        <v/>
      </c>
      <c r="N245" s="25"/>
      <c r="O245" s="25"/>
      <c r="P245" s="453" t="str">
        <f>IF(CTRL_InputMethodHeatSubInstSplit=2,EUconst_CNTR_HAL&amp;E245,"")</f>
        <v/>
      </c>
    </row>
    <row r="246" spans="2:19" x14ac:dyDescent="0.2">
      <c r="B246" s="38"/>
      <c r="C246" s="212"/>
      <c r="D246" s="440" t="s">
        <v>304</v>
      </c>
      <c r="E246" s="1564" t="str">
        <f>E241</f>
        <v>Siltuma līmeņatzīmes apakšiekārta (bez OEP | bez OIM)</v>
      </c>
      <c r="F246" s="1565"/>
      <c r="G246" s="1565"/>
      <c r="H246" s="72" t="str">
        <f>IF(CTRL_InputMethodHeatSubInstSplit=EUconst_NA,EUconst_relOrTJpa,IF(CTRL_InputMethodHeatSubInstSplit=2,EUconst_TJpa,"%"))</f>
        <v>% vai TJ / gads</v>
      </c>
      <c r="I246" s="521" t="str">
        <f t="shared" si="10"/>
        <v/>
      </c>
      <c r="J246" s="521" t="str">
        <f t="shared" si="10"/>
        <v/>
      </c>
      <c r="K246" s="521" t="str">
        <f t="shared" si="10"/>
        <v/>
      </c>
      <c r="L246" s="521" t="str">
        <f t="shared" si="10"/>
        <v/>
      </c>
      <c r="M246" s="521" t="str">
        <f t="shared" si="10"/>
        <v/>
      </c>
      <c r="N246" s="25"/>
      <c r="O246" s="25"/>
      <c r="P246" s="453" t="str">
        <f>IF(CTRL_InputMethodHeatSubInstSplit=2,EUconst_CNTR_HAL&amp;E246,"")</f>
        <v/>
      </c>
    </row>
    <row r="247" spans="2:19" x14ac:dyDescent="0.2">
      <c r="B247" s="38"/>
      <c r="C247" s="212"/>
      <c r="D247" s="440" t="s">
        <v>305</v>
      </c>
      <c r="E247" s="1564" t="str">
        <f>E242</f>
        <v>Siltuma līmeņatzīmes apakšiekārta, OEP | OIM)</v>
      </c>
      <c r="F247" s="1565"/>
      <c r="G247" s="1565"/>
      <c r="H247" s="72" t="str">
        <f>IF(CTRL_InputMethodHeatSubInstSplit=EUconst_NA,EUconst_relOrTJpa,IF(CTRL_InputMethodHeatSubInstSplit=2,EUconst_TJpa,"%"))</f>
        <v>% vai TJ / gads</v>
      </c>
      <c r="I247" s="521" t="str">
        <f t="shared" si="10"/>
        <v/>
      </c>
      <c r="J247" s="521" t="str">
        <f t="shared" si="10"/>
        <v/>
      </c>
      <c r="K247" s="521" t="str">
        <f t="shared" si="10"/>
        <v/>
      </c>
      <c r="L247" s="521" t="str">
        <f t="shared" si="10"/>
        <v/>
      </c>
      <c r="M247" s="521" t="str">
        <f t="shared" si="10"/>
        <v/>
      </c>
      <c r="N247" s="25"/>
      <c r="O247" s="25"/>
      <c r="P247" s="453" t="str">
        <f>IF(CTRL_InputMethodHeatSubInstSplit=2,EUconst_CNTR_HAL&amp;E247,"")</f>
        <v/>
      </c>
    </row>
    <row r="248" spans="2:19" x14ac:dyDescent="0.2">
      <c r="B248" s="38"/>
      <c r="C248" s="212"/>
      <c r="D248" s="440" t="s">
        <v>306</v>
      </c>
      <c r="E248" s="1591" t="str">
        <f>E243</f>
        <v>Centralizētās siltumapgādes apakšiekārta</v>
      </c>
      <c r="F248" s="1592"/>
      <c r="G248" s="1592"/>
      <c r="H248" s="73" t="str">
        <f>IF(CTRL_InputMethodHeatSubInstSplit=EUconst_NA,EUconst_relOrTJpa,IF(CTRL_InputMethodHeatSubInstSplit=2,EUconst_TJpa,"%"))</f>
        <v>% vai TJ / gads</v>
      </c>
      <c r="I248" s="343" t="str">
        <f>IF(AND(ISNUMBER(I$228),ISNUMBER(I243),CTRL_InputMethodHeatSubInstSplit&lt;&gt;EUconst_NA),IF(CTRL_InputMethodHeatSubInstSplit=1,I243/I$228*100,I243*I$228/100),"")</f>
        <v/>
      </c>
      <c r="J248" s="343" t="str">
        <f>IF(AND(ISNUMBER(J$228),ISNUMBER(J243),CTRL_InputMethodHeatSubInstSplit&lt;&gt;EUconst_NA),IF(CTRL_InputMethodHeatSubInstSplit=1,J243/J$228*100,J243*J$228/100),"")</f>
        <v/>
      </c>
      <c r="K248" s="343" t="str">
        <f>IF(AND(ISNUMBER(K$228),ISNUMBER(K243),CTRL_InputMethodHeatSubInstSplit&lt;&gt;EUconst_NA),IF(CTRL_InputMethodHeatSubInstSplit=1,K243/K$228*100,K243*K$228/100),"")</f>
        <v/>
      </c>
      <c r="L248" s="343" t="str">
        <f>IF(AND(ISNUMBER(L$228),ISNUMBER(L243),CTRL_InputMethodHeatSubInstSplit&lt;&gt;EUconst_NA),IF(CTRL_InputMethodHeatSubInstSplit=1,L243/L$228*100,L243*L$228/100),"")</f>
        <v/>
      </c>
      <c r="M248" s="343" t="str">
        <f>IF(AND(ISNUMBER(M$228),ISNUMBER(M243),CTRL_InputMethodHeatSubInstSplit&lt;&gt;EUconst_NA),IF(CTRL_InputMethodHeatSubInstSplit=1,M243/M$228*100,M243*M$228/100),"")</f>
        <v/>
      </c>
      <c r="N248" s="44"/>
      <c r="O248" s="25"/>
      <c r="P248" s="453" t="str">
        <f>IF(CTRL_InputMethodHeatSubInstSplit=2,EUconst_CNTR_HAL&amp;E248,"")</f>
        <v/>
      </c>
    </row>
    <row r="249" spans="2:19" x14ac:dyDescent="0.2">
      <c r="B249" s="38"/>
      <c r="C249" s="38"/>
      <c r="D249" s="38"/>
      <c r="E249" s="1575" t="str">
        <f>Translations!$B$1653</f>
        <v>Konsekvences pārbaude:</v>
      </c>
      <c r="F249" s="1569"/>
      <c r="G249" s="1569"/>
      <c r="H249" s="38"/>
      <c r="I249" s="38"/>
      <c r="J249" s="38"/>
      <c r="K249" s="38"/>
      <c r="L249" s="38"/>
      <c r="M249" s="38"/>
      <c r="N249" s="38"/>
      <c r="O249" s="25"/>
    </row>
    <row r="250" spans="2:19" x14ac:dyDescent="0.2">
      <c r="B250" s="38"/>
      <c r="C250" s="38"/>
      <c r="D250" s="440" t="s">
        <v>307</v>
      </c>
      <c r="E250" s="1649" t="str">
        <f>Translations!$B$1654</f>
        <v>Uz apakšiekārtām attiecinātā procentuālā daļa</v>
      </c>
      <c r="F250" s="1650"/>
      <c r="G250" s="1650"/>
      <c r="H250" s="580" t="s">
        <v>393</v>
      </c>
      <c r="I250" s="328" t="str">
        <f>IF(CTRL_InputMethodHeatSubInstSplit=EUconst_NA,"",SUMIFS(I240:I248,$H$240:$H$248,"%"))</f>
        <v/>
      </c>
      <c r="J250" s="328" t="str">
        <f>IF(CTRL_InputMethodHeatSubInstSplit=EUconst_NA,"",SUMIFS(J240:J248,$H$240:$H$248,"%"))</f>
        <v/>
      </c>
      <c r="K250" s="328" t="str">
        <f>IF(CTRL_InputMethodHeatSubInstSplit=EUconst_NA,"",SUMIFS(K240:K248,$H$240:$H$248,"%"))</f>
        <v/>
      </c>
      <c r="L250" s="328" t="str">
        <f>IF(CTRL_InputMethodHeatSubInstSplit=EUconst_NA,"",SUMIFS(L240:L248,$H$240:$H$248,"%"))</f>
        <v/>
      </c>
      <c r="M250" s="328" t="str">
        <f>IF(CTRL_InputMethodHeatSubInstSplit=EUconst_NA,"",SUMIFS(M240:M248,$H$240:$H$248,"%"))</f>
        <v/>
      </c>
      <c r="N250" s="38"/>
      <c r="O250" s="25"/>
    </row>
    <row r="251" spans="2:19" x14ac:dyDescent="0.2">
      <c r="B251" s="38"/>
      <c r="C251" s="38"/>
      <c r="D251" s="38"/>
      <c r="E251" s="38"/>
      <c r="F251" s="38"/>
      <c r="G251" s="38"/>
      <c r="H251" s="38"/>
      <c r="I251" s="38"/>
      <c r="J251" s="38"/>
      <c r="K251" s="38"/>
      <c r="L251" s="38"/>
      <c r="M251" s="38"/>
      <c r="N251" s="38"/>
      <c r="O251" s="25"/>
    </row>
    <row r="252" spans="2:19" ht="15.75" x14ac:dyDescent="0.25">
      <c r="B252" s="21"/>
      <c r="C252" s="30" t="s">
        <v>343</v>
      </c>
      <c r="D252" s="1596" t="str">
        <f>Translations!$B$606</f>
        <v>Atlikumgāzu bilance</v>
      </c>
      <c r="E252" s="1596"/>
      <c r="F252" s="1596"/>
      <c r="G252" s="1596"/>
      <c r="H252" s="1596"/>
      <c r="I252" s="1596"/>
      <c r="J252" s="1596"/>
      <c r="K252" s="1596"/>
      <c r="L252" s="1596"/>
      <c r="M252" s="1596"/>
      <c r="N252" s="1596"/>
      <c r="O252" s="25"/>
      <c r="P252" s="624"/>
    </row>
    <row r="253" spans="2:19" ht="5.0999999999999996" customHeight="1" x14ac:dyDescent="0.2">
      <c r="B253" s="21"/>
      <c r="C253" s="21"/>
      <c r="D253" s="21"/>
      <c r="E253" s="21"/>
      <c r="F253" s="21"/>
      <c r="G253" s="21"/>
      <c r="H253" s="21"/>
      <c r="I253" s="21"/>
      <c r="J253" s="21"/>
      <c r="K253" s="21"/>
      <c r="L253" s="21"/>
      <c r="M253" s="25"/>
      <c r="N253" s="25"/>
      <c r="O253" s="25"/>
      <c r="P253" s="624"/>
    </row>
    <row r="254" spans="2:19" ht="15" customHeight="1" x14ac:dyDescent="0.25">
      <c r="B254" s="21"/>
      <c r="C254" s="36"/>
      <c r="D254" s="1318" t="str">
        <f>Translations!$B$607</f>
        <v>Pilnīga iekārtas atlikumgāzu bilance</v>
      </c>
      <c r="E254" s="1251"/>
      <c r="F254" s="1251"/>
      <c r="G254" s="1251"/>
      <c r="H254" s="1251"/>
      <c r="I254" s="1251"/>
      <c r="J254" s="1251"/>
      <c r="K254" s="1251"/>
      <c r="L254" s="1251"/>
      <c r="M254" s="1251"/>
      <c r="N254" s="1251"/>
      <c r="O254" s="25"/>
      <c r="P254" s="624"/>
    </row>
    <row r="255" spans="2:19" ht="25.5" customHeight="1" x14ac:dyDescent="0.2">
      <c r="B255" s="21"/>
      <c r="C255" s="21"/>
      <c r="D255" s="1593" t="str">
        <f>Translations!$B$608</f>
        <v>Šo bilanci galvenokārt izmanto tam, lai pārbaudītu, vai ir konsekvence starp saistītajiem ierakstiem D lapas IV sadaļas atlikumgāzu rīkā un apakšiekārtu līmeņa atlikumgāzu bilancēm F un G lapā.</v>
      </c>
      <c r="E255" s="1558"/>
      <c r="F255" s="1558"/>
      <c r="G255" s="1558"/>
      <c r="H255" s="1558"/>
      <c r="I255" s="1558"/>
      <c r="J255" s="1558"/>
      <c r="K255" s="1558"/>
      <c r="L255" s="1558"/>
      <c r="M255" s="1558"/>
      <c r="N255" s="1558"/>
      <c r="O255" s="25"/>
      <c r="P255" s="624"/>
    </row>
    <row r="256" spans="2:19" ht="12.75" customHeight="1" x14ac:dyDescent="0.2">
      <c r="B256" s="21"/>
      <c r="C256" s="21"/>
      <c r="D256" s="1593" t="str">
        <f>Translations!$B$609</f>
        <v>Kad vien iespējams, tālākās sadaļas tiks automātiski aizpildītas ar minētajās sadaļās ievadītajiem datiem.</v>
      </c>
      <c r="E256" s="1558"/>
      <c r="F256" s="1558"/>
      <c r="G256" s="1558"/>
      <c r="H256" s="1558"/>
      <c r="I256" s="1558"/>
      <c r="J256" s="1558"/>
      <c r="K256" s="1558"/>
      <c r="L256" s="1558"/>
      <c r="M256" s="1558"/>
      <c r="N256" s="1558"/>
      <c r="O256" s="25"/>
      <c r="P256" s="624"/>
    </row>
    <row r="257" spans="1:19" ht="5.0999999999999996" customHeight="1" x14ac:dyDescent="0.2">
      <c r="B257" s="21"/>
      <c r="C257" s="21"/>
      <c r="D257" s="21"/>
      <c r="E257" s="21"/>
      <c r="F257" s="21"/>
      <c r="G257" s="21"/>
      <c r="H257" s="21"/>
      <c r="I257" s="21"/>
      <c r="J257" s="21"/>
      <c r="K257" s="21"/>
      <c r="L257" s="21"/>
      <c r="M257" s="21"/>
      <c r="N257" s="21"/>
      <c r="O257" s="25"/>
      <c r="P257" s="624"/>
    </row>
    <row r="258" spans="1:19" ht="12.75" customHeight="1" x14ac:dyDescent="0.2">
      <c r="A258" s="20"/>
      <c r="B258" s="21"/>
      <c r="C258" s="21"/>
      <c r="D258" s="718"/>
      <c r="E258" s="1325" t="str">
        <f>Translations!$B$610</f>
        <v>Vai šajā iekārtā rodas vai tiek patērētas, uz to tiek importētas vai no tās tiek eksportētas kādas atlikumgāzes?</v>
      </c>
      <c r="F258" s="1325"/>
      <c r="G258" s="1325"/>
      <c r="H258" s="1325"/>
      <c r="I258" s="1325"/>
      <c r="J258" s="1325"/>
      <c r="K258" s="1325"/>
      <c r="L258" s="1489"/>
      <c r="M258" s="882"/>
      <c r="N258" s="25"/>
      <c r="O258" s="25"/>
      <c r="P258" s="26"/>
      <c r="Q258" s="20"/>
      <c r="R258" s="20"/>
      <c r="S258" s="20"/>
    </row>
    <row r="259" spans="1:19" ht="12.75" customHeight="1" x14ac:dyDescent="0.2">
      <c r="B259" s="21"/>
      <c r="C259" s="21"/>
      <c r="D259" s="21"/>
      <c r="E259" s="1581" t="str">
        <f>IF(AND(M258&lt;&gt;"",M258=FALSE),HYPERLINK(Q259,EUconst_MsgGoOn),HYPERLINK("",EUconst_MsgEnterThisSection))</f>
        <v>Ievadiet datus šajā sadaļā!</v>
      </c>
      <c r="F259" s="1582"/>
      <c r="G259" s="1582"/>
      <c r="H259" s="1582"/>
      <c r="I259" s="1582"/>
      <c r="J259" s="1582"/>
      <c r="K259" s="1582"/>
      <c r="L259" s="1582"/>
      <c r="M259" s="1583"/>
      <c r="N259" s="21"/>
      <c r="O259" s="25"/>
      <c r="P259" s="20" t="s">
        <v>192</v>
      </c>
      <c r="Q259" s="362" t="str">
        <f>"#"&amp;ADDRESS(ROW(C366),COLUMN(C366))</f>
        <v>#$C$366</v>
      </c>
    </row>
    <row r="260" spans="1:19" x14ac:dyDescent="0.2">
      <c r="A260" s="20"/>
      <c r="B260" s="38"/>
      <c r="C260" s="38"/>
      <c r="D260" s="38"/>
      <c r="E260" s="1319" t="str">
        <f>Translations!$B$611</f>
        <v>Ja atbilde ir “APLAMS” (“FALSE”), datus šeit var neievadīt un var pāriet pie nākamā punkta.</v>
      </c>
      <c r="F260" s="1251"/>
      <c r="G260" s="1251"/>
      <c r="H260" s="1251"/>
      <c r="I260" s="1251"/>
      <c r="J260" s="1251"/>
      <c r="K260" s="1251"/>
      <c r="L260" s="1251"/>
      <c r="M260" s="1251"/>
      <c r="N260" s="1251"/>
      <c r="O260" s="25"/>
      <c r="P260" s="452"/>
    </row>
    <row r="261" spans="1:19" ht="5.0999999999999996" customHeight="1" x14ac:dyDescent="0.2">
      <c r="B261" s="21"/>
      <c r="C261" s="21"/>
      <c r="D261" s="21"/>
      <c r="E261" s="21"/>
      <c r="F261" s="21"/>
      <c r="G261" s="21"/>
      <c r="H261" s="21"/>
      <c r="I261" s="21"/>
      <c r="J261" s="21"/>
      <c r="K261" s="21"/>
      <c r="L261" s="21"/>
      <c r="M261" s="25"/>
      <c r="N261" s="25"/>
      <c r="O261" s="25"/>
      <c r="P261" s="624"/>
    </row>
    <row r="262" spans="1:19" x14ac:dyDescent="0.2">
      <c r="B262" s="21"/>
      <c r="C262" s="32"/>
      <c r="D262" s="32" t="s">
        <v>165</v>
      </c>
      <c r="E262" s="1557" t="str">
        <f>Translations!$B$612</f>
        <v>Produkta līmeņatzīmes apakšiekārtas sistēmas robežās radušās atlikumgāzes</v>
      </c>
      <c r="F262" s="1558"/>
      <c r="G262" s="1558"/>
      <c r="H262" s="1558"/>
      <c r="I262" s="1558"/>
      <c r="J262" s="1558"/>
      <c r="K262" s="1558"/>
      <c r="L262" s="1558"/>
      <c r="M262" s="1558"/>
      <c r="N262" s="1558"/>
      <c r="O262" s="25"/>
      <c r="P262" s="624"/>
    </row>
    <row r="263" spans="1:19" ht="12.75" customHeight="1" x14ac:dyDescent="0.2">
      <c r="B263" s="21"/>
      <c r="C263" s="34"/>
      <c r="D263" s="34"/>
      <c r="E263" s="1567" t="str">
        <f>Translations!$B$613</f>
        <v>Informācija ir ņemta no F lapas l) sadaļas v. punkta. Attiecīgā gadījumā pārbaudiet, vai tajā ir ievadītie dati ir pilnīgi.</v>
      </c>
      <c r="F263" s="1558"/>
      <c r="G263" s="1558"/>
      <c r="H263" s="1558"/>
      <c r="I263" s="1558"/>
      <c r="J263" s="1558"/>
      <c r="K263" s="1558"/>
      <c r="L263" s="1558"/>
      <c r="M263" s="1558"/>
      <c r="N263" s="1558"/>
      <c r="O263" s="25"/>
      <c r="P263" s="624"/>
    </row>
    <row r="264" spans="1:19" x14ac:dyDescent="0.2">
      <c r="B264" s="38"/>
      <c r="C264" s="38"/>
      <c r="D264" s="38"/>
      <c r="E264" s="1570" t="str">
        <f>Translations!$B$614</f>
        <v>Apakšiekārta</v>
      </c>
      <c r="F264" s="1573"/>
      <c r="G264" s="1573"/>
      <c r="H264" s="52" t="str">
        <f>EUconst_Unit</f>
        <v>Vienība</v>
      </c>
      <c r="I264" s="412">
        <f>I$405</f>
        <v>2019</v>
      </c>
      <c r="J264" s="412">
        <f>J$405</f>
        <v>2020</v>
      </c>
      <c r="K264" s="412">
        <f>K$405</f>
        <v>2021</v>
      </c>
      <c r="L264" s="412">
        <f>L$405</f>
        <v>2022</v>
      </c>
      <c r="M264" s="436">
        <f>M$405</f>
        <v>2023</v>
      </c>
      <c r="N264" s="578"/>
      <c r="O264" s="25"/>
    </row>
    <row r="265" spans="1:19" x14ac:dyDescent="0.2">
      <c r="B265" s="38"/>
      <c r="C265" s="38"/>
      <c r="D265" s="212" t="s">
        <v>2</v>
      </c>
      <c r="E265" s="1646" t="str">
        <f t="shared" ref="E265:E274" si="11">E148</f>
        <v/>
      </c>
      <c r="F265" s="1646"/>
      <c r="G265" s="1646"/>
      <c r="H265" s="45" t="str">
        <f t="shared" ref="H265:H275" si="12">EUconst_TJpa</f>
        <v>TJ / gads</v>
      </c>
      <c r="I265" s="699" t="str">
        <f>IF(SUMIF(F_ProductBM!$P:$P,$P265,F_ProductBM!I:I)&gt;0,SUMIF(F_ProductBM!$P:$P,$P265,F_ProductBM!I:I),"")</f>
        <v/>
      </c>
      <c r="J265" s="699" t="str">
        <f>IF(SUMIF(F_ProductBM!$P:$P,$P265,F_ProductBM!J:J)&gt;0,SUMIF(F_ProductBM!$P:$P,$P265,F_ProductBM!J:J),"")</f>
        <v/>
      </c>
      <c r="K265" s="699" t="str">
        <f>IF(SUMIF(F_ProductBM!$P:$P,$P265,F_ProductBM!K:K)&gt;0,SUMIF(F_ProductBM!$P:$P,$P265,F_ProductBM!K:K),"")</f>
        <v/>
      </c>
      <c r="L265" s="699" t="str">
        <f>IF(SUMIF(F_ProductBM!$P:$P,$P265,F_ProductBM!L:L)&gt;0,SUMIF(F_ProductBM!$P:$P,$P265,F_ProductBM!L:L),"")</f>
        <v/>
      </c>
      <c r="M265" s="699" t="str">
        <f>IF(SUMIF(F_ProductBM!$P:$P,$P265,F_ProductBM!M:M)&gt;0,SUMIF(F_ProductBM!$P:$P,$P265,F_ProductBM!M:M),"")</f>
        <v/>
      </c>
      <c r="N265" s="25"/>
      <c r="O265" s="25"/>
      <c r="P265" s="453" t="str">
        <f t="shared" ref="P265:P274" si="13">EUconst_CNTR_WGProduced &amp; E265</f>
        <v>WasteGasProd_</v>
      </c>
    </row>
    <row r="266" spans="1:19" x14ac:dyDescent="0.2">
      <c r="B266" s="38"/>
      <c r="C266" s="38"/>
      <c r="D266" s="212" t="s">
        <v>3</v>
      </c>
      <c r="E266" s="1576" t="str">
        <f t="shared" si="11"/>
        <v/>
      </c>
      <c r="F266" s="1576"/>
      <c r="G266" s="1576"/>
      <c r="H266" s="46" t="str">
        <f t="shared" si="12"/>
        <v>TJ / gads</v>
      </c>
      <c r="I266" s="521" t="str">
        <f>IF(SUMIF(F_ProductBM!$P:$P,$P266,F_ProductBM!I:I)&gt;0,SUMIF(F_ProductBM!$P:$P,$P266,F_ProductBM!I:I),"")</f>
        <v/>
      </c>
      <c r="J266" s="521" t="str">
        <f>IF(SUMIF(F_ProductBM!$P:$P,$P266,F_ProductBM!J:J)&gt;0,SUMIF(F_ProductBM!$P:$P,$P266,F_ProductBM!J:J),"")</f>
        <v/>
      </c>
      <c r="K266" s="521" t="str">
        <f>IF(SUMIF(F_ProductBM!$P:$P,$P266,F_ProductBM!K:K)&gt;0,SUMIF(F_ProductBM!$P:$P,$P266,F_ProductBM!K:K),"")</f>
        <v/>
      </c>
      <c r="L266" s="521" t="str">
        <f>IF(SUMIF(F_ProductBM!$P:$P,$P266,F_ProductBM!L:L)&gt;0,SUMIF(F_ProductBM!$P:$P,$P266,F_ProductBM!L:L),"")</f>
        <v/>
      </c>
      <c r="M266" s="521" t="str">
        <f>IF(SUMIF(F_ProductBM!$P:$P,$P266,F_ProductBM!M:M)&gt;0,SUMIF(F_ProductBM!$P:$P,$P266,F_ProductBM!M:M),"")</f>
        <v/>
      </c>
      <c r="N266" s="25"/>
      <c r="O266" s="25"/>
      <c r="P266" s="453" t="str">
        <f t="shared" si="13"/>
        <v>WasteGasProd_</v>
      </c>
    </row>
    <row r="267" spans="1:19" x14ac:dyDescent="0.2">
      <c r="B267" s="38"/>
      <c r="C267" s="38"/>
      <c r="D267" s="212" t="s">
        <v>4</v>
      </c>
      <c r="E267" s="1576" t="str">
        <f t="shared" si="11"/>
        <v/>
      </c>
      <c r="F267" s="1576"/>
      <c r="G267" s="1576"/>
      <c r="H267" s="46" t="str">
        <f t="shared" si="12"/>
        <v>TJ / gads</v>
      </c>
      <c r="I267" s="521" t="str">
        <f>IF(SUMIF(F_ProductBM!$P:$P,$P267,F_ProductBM!I:I)&gt;0,SUMIF(F_ProductBM!$P:$P,$P267,F_ProductBM!I:I),"")</f>
        <v/>
      </c>
      <c r="J267" s="521" t="str">
        <f>IF(SUMIF(F_ProductBM!$P:$P,$P267,F_ProductBM!J:J)&gt;0,SUMIF(F_ProductBM!$P:$P,$P267,F_ProductBM!J:J),"")</f>
        <v/>
      </c>
      <c r="K267" s="521" t="str">
        <f>IF(SUMIF(F_ProductBM!$P:$P,$P267,F_ProductBM!K:K)&gt;0,SUMIF(F_ProductBM!$P:$P,$P267,F_ProductBM!K:K),"")</f>
        <v/>
      </c>
      <c r="L267" s="521" t="str">
        <f>IF(SUMIF(F_ProductBM!$P:$P,$P267,F_ProductBM!L:L)&gt;0,SUMIF(F_ProductBM!$P:$P,$P267,F_ProductBM!L:L),"")</f>
        <v/>
      </c>
      <c r="M267" s="521" t="str">
        <f>IF(SUMIF(F_ProductBM!$P:$P,$P267,F_ProductBM!M:M)&gt;0,SUMIF(F_ProductBM!$P:$P,$P267,F_ProductBM!M:M),"")</f>
        <v/>
      </c>
      <c r="N267" s="25"/>
      <c r="O267" s="25"/>
      <c r="P267" s="453" t="str">
        <f t="shared" si="13"/>
        <v>WasteGasProd_</v>
      </c>
    </row>
    <row r="268" spans="1:19" x14ac:dyDescent="0.2">
      <c r="B268" s="38"/>
      <c r="C268" s="38"/>
      <c r="D268" s="212" t="s">
        <v>6</v>
      </c>
      <c r="E268" s="1576" t="str">
        <f t="shared" si="11"/>
        <v/>
      </c>
      <c r="F268" s="1576"/>
      <c r="G268" s="1576"/>
      <c r="H268" s="46" t="str">
        <f t="shared" si="12"/>
        <v>TJ / gads</v>
      </c>
      <c r="I268" s="521" t="str">
        <f>IF(SUMIF(F_ProductBM!$P:$P,$P268,F_ProductBM!I:I)&gt;0,SUMIF(F_ProductBM!$P:$P,$P268,F_ProductBM!I:I),"")</f>
        <v/>
      </c>
      <c r="J268" s="521" t="str">
        <f>IF(SUMIF(F_ProductBM!$P:$P,$P268,F_ProductBM!J:J)&gt;0,SUMIF(F_ProductBM!$P:$P,$P268,F_ProductBM!J:J),"")</f>
        <v/>
      </c>
      <c r="K268" s="521" t="str">
        <f>IF(SUMIF(F_ProductBM!$P:$P,$P268,F_ProductBM!K:K)&gt;0,SUMIF(F_ProductBM!$P:$P,$P268,F_ProductBM!K:K),"")</f>
        <v/>
      </c>
      <c r="L268" s="521" t="str">
        <f>IF(SUMIF(F_ProductBM!$P:$P,$P268,F_ProductBM!L:L)&gt;0,SUMIF(F_ProductBM!$P:$P,$P268,F_ProductBM!L:L),"")</f>
        <v/>
      </c>
      <c r="M268" s="521" t="str">
        <f>IF(SUMIF(F_ProductBM!$P:$P,$P268,F_ProductBM!M:M)&gt;0,SUMIF(F_ProductBM!$P:$P,$P268,F_ProductBM!M:M),"")</f>
        <v/>
      </c>
      <c r="N268" s="25"/>
      <c r="O268" s="25"/>
      <c r="P268" s="453" t="str">
        <f t="shared" si="13"/>
        <v>WasteGasProd_</v>
      </c>
    </row>
    <row r="269" spans="1:19" x14ac:dyDescent="0.2">
      <c r="B269" s="38"/>
      <c r="C269" s="38"/>
      <c r="D269" s="440" t="s">
        <v>303</v>
      </c>
      <c r="E269" s="1576" t="str">
        <f t="shared" si="11"/>
        <v/>
      </c>
      <c r="F269" s="1576"/>
      <c r="G269" s="1576"/>
      <c r="H269" s="46" t="str">
        <f t="shared" si="12"/>
        <v>TJ / gads</v>
      </c>
      <c r="I269" s="521" t="str">
        <f>IF(SUMIF(F_ProductBM!$P:$P,$P269,F_ProductBM!I:I)&gt;0,SUMIF(F_ProductBM!$P:$P,$P269,F_ProductBM!I:I),"")</f>
        <v/>
      </c>
      <c r="J269" s="521" t="str">
        <f>IF(SUMIF(F_ProductBM!$P:$P,$P269,F_ProductBM!J:J)&gt;0,SUMIF(F_ProductBM!$P:$P,$P269,F_ProductBM!J:J),"")</f>
        <v/>
      </c>
      <c r="K269" s="521" t="str">
        <f>IF(SUMIF(F_ProductBM!$P:$P,$P269,F_ProductBM!K:K)&gt;0,SUMIF(F_ProductBM!$P:$P,$P269,F_ProductBM!K:K),"")</f>
        <v/>
      </c>
      <c r="L269" s="521" t="str">
        <f>IF(SUMIF(F_ProductBM!$P:$P,$P269,F_ProductBM!L:L)&gt;0,SUMIF(F_ProductBM!$P:$P,$P269,F_ProductBM!L:L),"")</f>
        <v/>
      </c>
      <c r="M269" s="521" t="str">
        <f>IF(SUMIF(F_ProductBM!$P:$P,$P269,F_ProductBM!M:M)&gt;0,SUMIF(F_ProductBM!$P:$P,$P269,F_ProductBM!M:M),"")</f>
        <v/>
      </c>
      <c r="N269" s="25"/>
      <c r="O269" s="25"/>
      <c r="P269" s="453" t="str">
        <f t="shared" si="13"/>
        <v>WasteGasProd_</v>
      </c>
    </row>
    <row r="270" spans="1:19" x14ac:dyDescent="0.2">
      <c r="B270" s="38"/>
      <c r="C270" s="38"/>
      <c r="D270" s="440" t="s">
        <v>304</v>
      </c>
      <c r="E270" s="1576" t="str">
        <f t="shared" si="11"/>
        <v/>
      </c>
      <c r="F270" s="1576"/>
      <c r="G270" s="1576"/>
      <c r="H270" s="46" t="str">
        <f t="shared" si="12"/>
        <v>TJ / gads</v>
      </c>
      <c r="I270" s="521" t="str">
        <f>IF(SUMIF(F_ProductBM!$P:$P,$P270,F_ProductBM!I:I)&gt;0,SUMIF(F_ProductBM!$P:$P,$P270,F_ProductBM!I:I),"")</f>
        <v/>
      </c>
      <c r="J270" s="521" t="str">
        <f>IF(SUMIF(F_ProductBM!$P:$P,$P270,F_ProductBM!J:J)&gt;0,SUMIF(F_ProductBM!$P:$P,$P270,F_ProductBM!J:J),"")</f>
        <v/>
      </c>
      <c r="K270" s="521" t="str">
        <f>IF(SUMIF(F_ProductBM!$P:$P,$P270,F_ProductBM!K:K)&gt;0,SUMIF(F_ProductBM!$P:$P,$P270,F_ProductBM!K:K),"")</f>
        <v/>
      </c>
      <c r="L270" s="521" t="str">
        <f>IF(SUMIF(F_ProductBM!$P:$P,$P270,F_ProductBM!L:L)&gt;0,SUMIF(F_ProductBM!$P:$P,$P270,F_ProductBM!L:L),"")</f>
        <v/>
      </c>
      <c r="M270" s="521" t="str">
        <f>IF(SUMIF(F_ProductBM!$P:$P,$P270,F_ProductBM!M:M)&gt;0,SUMIF(F_ProductBM!$P:$P,$P270,F_ProductBM!M:M),"")</f>
        <v/>
      </c>
      <c r="N270" s="25"/>
      <c r="O270" s="25"/>
      <c r="P270" s="453" t="str">
        <f t="shared" si="13"/>
        <v>WasteGasProd_</v>
      </c>
    </row>
    <row r="271" spans="1:19" x14ac:dyDescent="0.2">
      <c r="B271" s="38"/>
      <c r="C271" s="38"/>
      <c r="D271" s="440" t="s">
        <v>305</v>
      </c>
      <c r="E271" s="1576" t="str">
        <f t="shared" si="11"/>
        <v/>
      </c>
      <c r="F271" s="1576"/>
      <c r="G271" s="1576"/>
      <c r="H271" s="46" t="str">
        <f t="shared" si="12"/>
        <v>TJ / gads</v>
      </c>
      <c r="I271" s="521" t="str">
        <f>IF(SUMIF(F_ProductBM!$P:$P,$P271,F_ProductBM!I:I)&gt;0,SUMIF(F_ProductBM!$P:$P,$P271,F_ProductBM!I:I),"")</f>
        <v/>
      </c>
      <c r="J271" s="521" t="str">
        <f>IF(SUMIF(F_ProductBM!$P:$P,$P271,F_ProductBM!J:J)&gt;0,SUMIF(F_ProductBM!$P:$P,$P271,F_ProductBM!J:J),"")</f>
        <v/>
      </c>
      <c r="K271" s="521" t="str">
        <f>IF(SUMIF(F_ProductBM!$P:$P,$P271,F_ProductBM!K:K)&gt;0,SUMIF(F_ProductBM!$P:$P,$P271,F_ProductBM!K:K),"")</f>
        <v/>
      </c>
      <c r="L271" s="521" t="str">
        <f>IF(SUMIF(F_ProductBM!$P:$P,$P271,F_ProductBM!L:L)&gt;0,SUMIF(F_ProductBM!$P:$P,$P271,F_ProductBM!L:L),"")</f>
        <v/>
      </c>
      <c r="M271" s="521" t="str">
        <f>IF(SUMIF(F_ProductBM!$P:$P,$P271,F_ProductBM!M:M)&gt;0,SUMIF(F_ProductBM!$P:$P,$P271,F_ProductBM!M:M),"")</f>
        <v/>
      </c>
      <c r="N271" s="25"/>
      <c r="O271" s="25"/>
      <c r="P271" s="453" t="str">
        <f t="shared" si="13"/>
        <v>WasteGasProd_</v>
      </c>
    </row>
    <row r="272" spans="1:19" x14ac:dyDescent="0.2">
      <c r="B272" s="38"/>
      <c r="C272" s="38"/>
      <c r="D272" s="440" t="s">
        <v>306</v>
      </c>
      <c r="E272" s="1576" t="str">
        <f t="shared" si="11"/>
        <v/>
      </c>
      <c r="F272" s="1576"/>
      <c r="G272" s="1576"/>
      <c r="H272" s="46" t="str">
        <f t="shared" si="12"/>
        <v>TJ / gads</v>
      </c>
      <c r="I272" s="521" t="str">
        <f>IF(SUMIF(F_ProductBM!$P:$P,$P272,F_ProductBM!I:I)&gt;0,SUMIF(F_ProductBM!$P:$P,$P272,F_ProductBM!I:I),"")</f>
        <v/>
      </c>
      <c r="J272" s="521" t="str">
        <f>IF(SUMIF(F_ProductBM!$P:$P,$P272,F_ProductBM!J:J)&gt;0,SUMIF(F_ProductBM!$P:$P,$P272,F_ProductBM!J:J),"")</f>
        <v/>
      </c>
      <c r="K272" s="521" t="str">
        <f>IF(SUMIF(F_ProductBM!$P:$P,$P272,F_ProductBM!K:K)&gt;0,SUMIF(F_ProductBM!$P:$P,$P272,F_ProductBM!K:K),"")</f>
        <v/>
      </c>
      <c r="L272" s="521" t="str">
        <f>IF(SUMIF(F_ProductBM!$P:$P,$P272,F_ProductBM!L:L)&gt;0,SUMIF(F_ProductBM!$P:$P,$P272,F_ProductBM!L:L),"")</f>
        <v/>
      </c>
      <c r="M272" s="521" t="str">
        <f>IF(SUMIF(F_ProductBM!$P:$P,$P272,F_ProductBM!M:M)&gt;0,SUMIF(F_ProductBM!$P:$P,$P272,F_ProductBM!M:M),"")</f>
        <v/>
      </c>
      <c r="N272" s="25"/>
      <c r="O272" s="25"/>
      <c r="P272" s="453" t="str">
        <f t="shared" si="13"/>
        <v>WasteGasProd_</v>
      </c>
    </row>
    <row r="273" spans="2:19" x14ac:dyDescent="0.2">
      <c r="B273" s="38"/>
      <c r="C273" s="38"/>
      <c r="D273" s="440" t="s">
        <v>307</v>
      </c>
      <c r="E273" s="1576" t="str">
        <f t="shared" si="11"/>
        <v/>
      </c>
      <c r="F273" s="1576"/>
      <c r="G273" s="1576"/>
      <c r="H273" s="46" t="str">
        <f t="shared" si="12"/>
        <v>TJ / gads</v>
      </c>
      <c r="I273" s="521" t="str">
        <f>IF(SUMIF(F_ProductBM!$P:$P,$P273,F_ProductBM!I:I)&gt;0,SUMIF(F_ProductBM!$P:$P,$P273,F_ProductBM!I:I),"")</f>
        <v/>
      </c>
      <c r="J273" s="521" t="str">
        <f>IF(SUMIF(F_ProductBM!$P:$P,$P273,F_ProductBM!J:J)&gt;0,SUMIF(F_ProductBM!$P:$P,$P273,F_ProductBM!J:J),"")</f>
        <v/>
      </c>
      <c r="K273" s="521" t="str">
        <f>IF(SUMIF(F_ProductBM!$P:$P,$P273,F_ProductBM!K:K)&gt;0,SUMIF(F_ProductBM!$P:$P,$P273,F_ProductBM!K:K),"")</f>
        <v/>
      </c>
      <c r="L273" s="521" t="str">
        <f>IF(SUMIF(F_ProductBM!$P:$P,$P273,F_ProductBM!L:L)&gt;0,SUMIF(F_ProductBM!$P:$P,$P273,F_ProductBM!L:L),"")</f>
        <v/>
      </c>
      <c r="M273" s="521" t="str">
        <f>IF(SUMIF(F_ProductBM!$P:$P,$P273,F_ProductBM!M:M)&gt;0,SUMIF(F_ProductBM!$P:$P,$P273,F_ProductBM!M:M),"")</f>
        <v/>
      </c>
      <c r="N273" s="25"/>
      <c r="O273" s="25"/>
      <c r="P273" s="453" t="str">
        <f t="shared" si="13"/>
        <v>WasteGasProd_</v>
      </c>
    </row>
    <row r="274" spans="2:19" x14ac:dyDescent="0.2">
      <c r="B274" s="38"/>
      <c r="C274" s="38"/>
      <c r="D274" s="440" t="s">
        <v>15</v>
      </c>
      <c r="E274" s="1597" t="str">
        <f t="shared" si="11"/>
        <v/>
      </c>
      <c r="F274" s="1597"/>
      <c r="G274" s="1597"/>
      <c r="H274" s="48" t="str">
        <f t="shared" si="12"/>
        <v>TJ / gads</v>
      </c>
      <c r="I274" s="700" t="str">
        <f>IF(SUMIF(F_ProductBM!$P:$P,$P274,F_ProductBM!I:I)&gt;0,SUMIF(F_ProductBM!$P:$P,$P274,F_ProductBM!I:I),"")</f>
        <v/>
      </c>
      <c r="J274" s="700" t="str">
        <f>IF(SUMIF(F_ProductBM!$P:$P,$P274,F_ProductBM!J:J)&gt;0,SUMIF(F_ProductBM!$P:$P,$P274,F_ProductBM!J:J),"")</f>
        <v/>
      </c>
      <c r="K274" s="700" t="str">
        <f>IF(SUMIF(F_ProductBM!$P:$P,$P274,F_ProductBM!K:K)&gt;0,SUMIF(F_ProductBM!$P:$P,$P274,F_ProductBM!K:K),"")</f>
        <v/>
      </c>
      <c r="L274" s="700" t="str">
        <f>IF(SUMIF(F_ProductBM!$P:$P,$P274,F_ProductBM!L:L)&gt;0,SUMIF(F_ProductBM!$P:$P,$P274,F_ProductBM!L:L),"")</f>
        <v/>
      </c>
      <c r="M274" s="700" t="str">
        <f>IF(SUMIF(F_ProductBM!$P:$P,$P274,F_ProductBM!M:M)&gt;0,SUMIF(F_ProductBM!$P:$P,$P274,F_ProductBM!M:M),"")</f>
        <v/>
      </c>
      <c r="N274" s="25"/>
      <c r="O274" s="25"/>
      <c r="P274" s="453" t="str">
        <f t="shared" si="13"/>
        <v>WasteGasProd_</v>
      </c>
    </row>
    <row r="275" spans="2:19" ht="12.75" customHeight="1" x14ac:dyDescent="0.2">
      <c r="B275" s="38"/>
      <c r="C275" s="38"/>
      <c r="D275" s="440" t="s">
        <v>16</v>
      </c>
      <c r="E275" s="1574" t="str">
        <f>Translations!$B$536</f>
        <v>Starpsumma</v>
      </c>
      <c r="F275" s="1574"/>
      <c r="G275" s="1574"/>
      <c r="H275" s="66" t="str">
        <f t="shared" si="12"/>
        <v>TJ / gads</v>
      </c>
      <c r="I275" s="328" t="str">
        <f>IF(COUNT(I265:I274)&gt;0,SUM(I265:I274),"")</f>
        <v/>
      </c>
      <c r="J275" s="328" t="str">
        <f>IF(COUNT(J265:J274)&gt;0,SUM(J265:J274),"")</f>
        <v/>
      </c>
      <c r="K275" s="328" t="str">
        <f>IF(COUNT(K265:K274)&gt;0,SUM(K265:K274),"")</f>
        <v/>
      </c>
      <c r="L275" s="328" t="str">
        <f>IF(COUNT(L265:L274)&gt;0,SUM(L265:L274),"")</f>
        <v/>
      </c>
      <c r="M275" s="328" t="str">
        <f>IF(COUNT(M265:M274)&gt;0,SUM(M265:M274),"")</f>
        <v/>
      </c>
      <c r="N275" s="25"/>
      <c r="O275" s="25"/>
    </row>
    <row r="276" spans="2:19" ht="5.0999999999999996" customHeight="1" x14ac:dyDescent="0.2">
      <c r="B276" s="21"/>
      <c r="C276" s="21"/>
      <c r="D276" s="21"/>
      <c r="E276" s="21"/>
      <c r="F276" s="21"/>
      <c r="G276" s="21"/>
      <c r="H276" s="21"/>
      <c r="I276" s="21"/>
      <c r="J276" s="21"/>
      <c r="K276" s="21"/>
      <c r="L276" s="21"/>
      <c r="M276" s="21"/>
      <c r="N276" s="21"/>
      <c r="O276" s="25"/>
      <c r="P276" s="624"/>
    </row>
    <row r="277" spans="2:19" ht="12.75" customHeight="1" x14ac:dyDescent="0.2">
      <c r="B277" s="21"/>
      <c r="C277" s="32"/>
      <c r="D277" s="32" t="s">
        <v>339</v>
      </c>
      <c r="E277" s="1557" t="str">
        <f>Translations!$B$615</f>
        <v>Ārpus produkta līmeņatzīmes apakšiekārtas sistēmas robežām radušās atlikumgāzes</v>
      </c>
      <c r="F277" s="1558"/>
      <c r="G277" s="1558"/>
      <c r="H277" s="1558"/>
      <c r="I277" s="1558"/>
      <c r="J277" s="1558"/>
      <c r="K277" s="1558"/>
      <c r="L277" s="1558"/>
      <c r="M277" s="1558"/>
      <c r="N277" s="1558"/>
      <c r="O277" s="25"/>
      <c r="P277" s="624"/>
    </row>
    <row r="278" spans="2:19" ht="12.75" customHeight="1" x14ac:dyDescent="0.2">
      <c r="B278" s="21"/>
      <c r="C278" s="34"/>
      <c r="D278" s="34"/>
      <c r="E278" s="1640" t="str">
        <f>Translations!$B$616</f>
        <v>Informācija ir ņemta no D lapas IV sadaļas. Attiecīgā gadījumā pārbaudiet, vai tajā ir ievadītie dati ir pilnīgi.</v>
      </c>
      <c r="F278" s="1640"/>
      <c r="G278" s="1640"/>
      <c r="H278" s="1640"/>
      <c r="I278" s="1640"/>
      <c r="J278" s="1640"/>
      <c r="K278" s="1640"/>
      <c r="L278" s="1640"/>
      <c r="M278" s="1640"/>
      <c r="N278" s="44"/>
      <c r="O278" s="25"/>
      <c r="P278" s="624"/>
    </row>
    <row r="279" spans="2:19" ht="12.75" customHeight="1" x14ac:dyDescent="0.2">
      <c r="B279" s="21"/>
      <c r="C279" s="34"/>
      <c r="D279" s="34"/>
      <c r="E279" s="1567" t="str">
        <f>Translations!$B$617</f>
        <v>Ņemiet vērā, ka tur veiktie ieraksti var attiekties uz atlikumgāzēm, kas radušās citās iekārtās, no kurām tās importētas.</v>
      </c>
      <c r="F279" s="1558"/>
      <c r="G279" s="1558"/>
      <c r="H279" s="1558"/>
      <c r="I279" s="1558"/>
      <c r="J279" s="1558"/>
      <c r="K279" s="1558"/>
      <c r="L279" s="1558"/>
      <c r="M279" s="1558"/>
      <c r="N279" s="1558"/>
      <c r="O279" s="25"/>
      <c r="P279" s="624"/>
    </row>
    <row r="280" spans="2:19" x14ac:dyDescent="0.2">
      <c r="B280" s="38"/>
      <c r="C280" s="38"/>
      <c r="D280" s="38"/>
      <c r="E280" s="1570" t="str">
        <f>Translations!$B$618</f>
        <v>no D lapas IV sadaļas</v>
      </c>
      <c r="F280" s="1573"/>
      <c r="G280" s="1573"/>
      <c r="H280" s="52" t="str">
        <f>EUconst_Unit</f>
        <v>Vienība</v>
      </c>
      <c r="I280" s="412">
        <f>I$405</f>
        <v>2019</v>
      </c>
      <c r="J280" s="412">
        <f>J$405</f>
        <v>2020</v>
      </c>
      <c r="K280" s="412">
        <f>K$405</f>
        <v>2021</v>
      </c>
      <c r="L280" s="412">
        <f>L$405</f>
        <v>2022</v>
      </c>
      <c r="M280" s="436">
        <f>M$405</f>
        <v>2023</v>
      </c>
      <c r="N280" s="578"/>
      <c r="O280" s="25"/>
      <c r="S280" s="452" t="s">
        <v>450</v>
      </c>
    </row>
    <row r="281" spans="2:19" x14ac:dyDescent="0.2">
      <c r="B281" s="38"/>
      <c r="C281" s="38"/>
      <c r="D281" s="212" t="s">
        <v>2</v>
      </c>
      <c r="E281" s="1642" t="str">
        <f>Translations!$B$619</f>
        <v>Atlikumgāze 1</v>
      </c>
      <c r="F281" s="1643"/>
      <c r="G281" s="1643"/>
      <c r="H281" s="45" t="str">
        <f>EUconst_TJpa</f>
        <v>TJ / gads</v>
      </c>
      <c r="I281" s="699" t="str">
        <f>IF(SUMIF(D_Emissions!$P$237:$P$286,$P281,D_Emissions!S$237:S$286)&gt;0,SUMIF(D_Emissions!$P$237:$P$286,$P281,D_Emissions!S$237:S$286),"")</f>
        <v/>
      </c>
      <c r="J281" s="699" t="str">
        <f>IF(SUMIF(D_Emissions!$P$237:$P$286,$P281,D_Emissions!T$237:T$286)&gt;0,SUMIF(D_Emissions!$P$237:$P$286,$P281,D_Emissions!T$237:T$286),"")</f>
        <v/>
      </c>
      <c r="K281" s="699" t="str">
        <f>IF(SUMIF(D_Emissions!$P$237:$P$286,$P281,D_Emissions!U$237:U$286)&gt;0,SUMIF(D_Emissions!$P$237:$P$286,$P281,D_Emissions!U$237:U$286),"")</f>
        <v/>
      </c>
      <c r="L281" s="699" t="str">
        <f>IF(SUMIF(D_Emissions!$P$237:$P$286,$P281,D_Emissions!V$237:V$286)&gt;0,SUMIF(D_Emissions!$P$237:$P$286,$P281,D_Emissions!V$237:V$286),"")</f>
        <v/>
      </c>
      <c r="M281" s="699" t="str">
        <f>IF(SUMIF(D_Emissions!$P$237:$P$286,$P281,D_Emissions!W$237:W$286)&gt;0,SUMIF(D_Emissions!$P$237:$P$286,$P281,D_Emissions!W$237:W$286),"")</f>
        <v/>
      </c>
      <c r="N281" s="25"/>
      <c r="O281" s="25"/>
      <c r="P281" s="709" t="str">
        <f>EUconst_CNTR_WGProduced &amp; Q281</f>
        <v>WasteGasProd_1</v>
      </c>
      <c r="Q281" s="453">
        <v>1</v>
      </c>
    </row>
    <row r="282" spans="2:19" x14ac:dyDescent="0.2">
      <c r="B282" s="38"/>
      <c r="C282" s="38"/>
      <c r="D282" s="212" t="s">
        <v>3</v>
      </c>
      <c r="E282" s="1644" t="str">
        <f>Translations!$B$620</f>
        <v>Atlikumgāze 2</v>
      </c>
      <c r="F282" s="1645"/>
      <c r="G282" s="1645"/>
      <c r="H282" s="46" t="str">
        <f>EUconst_TJpa</f>
        <v>TJ / gads</v>
      </c>
      <c r="I282" s="700" t="str">
        <f>IF(SUMIF(D_Emissions!$P$237:$P$286,$P282,D_Emissions!S$237:S$286)&gt;0,SUMIF(D_Emissions!$P$237:$P$286,$P282,D_Emissions!S$237:S$286),"")</f>
        <v/>
      </c>
      <c r="J282" s="700" t="str">
        <f>IF(SUMIF(D_Emissions!$P$237:$P$286,$P282,D_Emissions!T$237:T$286)&gt;0,SUMIF(D_Emissions!$P$237:$P$286,$P282,D_Emissions!T$237:T$286),"")</f>
        <v/>
      </c>
      <c r="K282" s="700" t="str">
        <f>IF(SUMIF(D_Emissions!$P$237:$P$286,$P282,D_Emissions!U$237:U$286)&gt;0,SUMIF(D_Emissions!$P$237:$P$286,$P282,D_Emissions!U$237:U$286),"")</f>
        <v/>
      </c>
      <c r="L282" s="700" t="str">
        <f>IF(SUMIF(D_Emissions!$P$237:$P$286,$P282,D_Emissions!V$237:V$286)&gt;0,SUMIF(D_Emissions!$P$237:$P$286,$P282,D_Emissions!V$237:V$286),"")</f>
        <v/>
      </c>
      <c r="M282" s="700" t="str">
        <f>IF(SUMIF(D_Emissions!$P$237:$P$286,$P282,D_Emissions!W$237:W$286)&gt;0,SUMIF(D_Emissions!$P$237:$P$286,$P282,D_Emissions!W$237:W$286),"")</f>
        <v/>
      </c>
      <c r="N282" s="25"/>
      <c r="O282" s="25"/>
      <c r="P282" s="709" t="str">
        <f>EUconst_CNTR_WGProduced &amp; Q282</f>
        <v>WasteGasProd_2</v>
      </c>
      <c r="Q282" s="453">
        <v>2</v>
      </c>
    </row>
    <row r="283" spans="2:19" ht="12.75" customHeight="1" x14ac:dyDescent="0.2">
      <c r="B283" s="38"/>
      <c r="C283" s="38"/>
      <c r="D283" s="440" t="s">
        <v>4</v>
      </c>
      <c r="E283" s="1574" t="str">
        <f>Translations!$B$536</f>
        <v>Starpsumma</v>
      </c>
      <c r="F283" s="1574"/>
      <c r="G283" s="1574"/>
      <c r="H283" s="66" t="str">
        <f>EUconst_TJpa</f>
        <v>TJ / gads</v>
      </c>
      <c r="I283" s="328" t="str">
        <f>IF(COUNT(I281:I282)&gt;0,SUM(I281:I282),"")</f>
        <v/>
      </c>
      <c r="J283" s="328" t="str">
        <f>IF(COUNT(J281:J282)&gt;0,SUM(J281:J282),"")</f>
        <v/>
      </c>
      <c r="K283" s="328" t="str">
        <f>IF(COUNT(K281:K282)&gt;0,SUM(K281:K282),"")</f>
        <v/>
      </c>
      <c r="L283" s="328" t="str">
        <f>IF(COUNT(L281:L282)&gt;0,SUM(L281:L282),"")</f>
        <v/>
      </c>
      <c r="M283" s="328" t="str">
        <f>IF(COUNT(M281:M282)&gt;0,SUM(M281:M282),"")</f>
        <v/>
      </c>
      <c r="N283" s="25"/>
      <c r="O283" s="25"/>
    </row>
    <row r="284" spans="2:19" ht="25.5" customHeight="1" thickBot="1" x14ac:dyDescent="0.25">
      <c r="B284" s="21"/>
      <c r="C284" s="34"/>
      <c r="D284" s="34"/>
      <c r="E284" s="1556" t="str">
        <f>Translations!$B$1655</f>
        <v>Lai šajā atlikumgāzu bilancē izvairītos no divkāršas uzskaites, tālāk norādiet iii punktā attēlotos daudzumus, kas importēti un nav saražoti iekārtā. Tie paši daudzumi būtu jāiekļauj arī tālāk d) punktā.</v>
      </c>
      <c r="F284" s="1556"/>
      <c r="G284" s="1556"/>
      <c r="H284" s="1556"/>
      <c r="I284" s="1556"/>
      <c r="J284" s="1556"/>
      <c r="K284" s="1556"/>
      <c r="L284" s="1556"/>
      <c r="M284" s="1556"/>
      <c r="N284" s="21"/>
      <c r="O284" s="25"/>
      <c r="P284" s="624"/>
    </row>
    <row r="285" spans="2:19" ht="13.5" thickBot="1" x14ac:dyDescent="0.25">
      <c r="B285" s="38"/>
      <c r="C285" s="38"/>
      <c r="D285" s="440" t="s">
        <v>6</v>
      </c>
      <c r="E285" s="1554" t="str">
        <f>Translations!$B$1656</f>
        <v>iii punktā norādītie daudzumi, kas importēti</v>
      </c>
      <c r="F285" s="1555"/>
      <c r="G285" s="1555"/>
      <c r="H285" s="70" t="str">
        <f>EUconst_TJpa</f>
        <v>TJ / gads</v>
      </c>
      <c r="I285" s="330"/>
      <c r="J285" s="330"/>
      <c r="K285" s="330"/>
      <c r="L285" s="330"/>
      <c r="M285" s="330"/>
      <c r="N285" s="21"/>
      <c r="O285" s="25"/>
      <c r="S285" s="734" t="b">
        <f>OR(AND(M258&lt;&gt;"",M258=FALSE),AND(CNTR_HasEntries_A_I,COUNT(I283:M283)=0))</f>
        <v>0</v>
      </c>
    </row>
    <row r="286" spans="2:19" ht="5.0999999999999996" customHeight="1" x14ac:dyDescent="0.2">
      <c r="B286" s="21"/>
      <c r="C286" s="21"/>
      <c r="D286" s="21"/>
      <c r="E286" s="21"/>
      <c r="F286" s="21"/>
      <c r="G286" s="21"/>
      <c r="H286" s="21"/>
      <c r="I286" s="21"/>
      <c r="J286" s="21"/>
      <c r="K286" s="21"/>
      <c r="L286" s="21"/>
      <c r="M286" s="21"/>
      <c r="N286" s="21"/>
      <c r="O286" s="25"/>
      <c r="P286" s="624"/>
    </row>
    <row r="287" spans="2:19" x14ac:dyDescent="0.2">
      <c r="B287" s="21"/>
      <c r="C287" s="32"/>
      <c r="D287" s="32" t="s">
        <v>11</v>
      </c>
      <c r="E287" s="1568" t="str">
        <f>Translations!$B$621</f>
        <v>Atlikumgāzu summa (=a+b)</v>
      </c>
      <c r="F287" s="1569"/>
      <c r="G287" s="1569"/>
      <c r="H287" s="1569"/>
      <c r="I287" s="1569"/>
      <c r="J287" s="1569"/>
      <c r="K287" s="1569"/>
      <c r="L287" s="1569"/>
      <c r="M287" s="1569"/>
      <c r="N287" s="1569"/>
      <c r="O287" s="25"/>
      <c r="P287" s="624"/>
    </row>
    <row r="288" spans="2:19" x14ac:dyDescent="0.2">
      <c r="B288" s="38"/>
      <c r="C288" s="38"/>
      <c r="D288" s="38"/>
      <c r="E288" s="1554" t="str">
        <f>Translations!$B$622</f>
        <v>Radušās atlikumgāzes</v>
      </c>
      <c r="F288" s="1574"/>
      <c r="G288" s="1574"/>
      <c r="H288" s="70" t="str">
        <f>EUconst_TJpa</f>
        <v>TJ / gads</v>
      </c>
      <c r="I288" s="328" t="str">
        <f>IF(COUNT(I275,I283)&gt;0,SUM(I275,I283)-SUM(I285),"")</f>
        <v/>
      </c>
      <c r="J288" s="328" t="str">
        <f>IF(COUNT(J275,J283)&gt;0,SUM(J275,J283)-SUM(J285),"")</f>
        <v/>
      </c>
      <c r="K288" s="328" t="str">
        <f>IF(COUNT(K275,K283)&gt;0,SUM(K275,K283)-SUM(K285),"")</f>
        <v/>
      </c>
      <c r="L288" s="328" t="str">
        <f>IF(COUNT(L275,L283)&gt;0,SUM(L275,L283)-SUM(L285),"")</f>
        <v/>
      </c>
      <c r="M288" s="328" t="str">
        <f>IF(COUNT(M275,M283)&gt;0,SUM(M275,M283)-SUM(M285),"")</f>
        <v/>
      </c>
      <c r="N288" s="25"/>
      <c r="O288" s="25"/>
    </row>
    <row r="289" spans="2:19" ht="5.0999999999999996" customHeight="1" x14ac:dyDescent="0.2">
      <c r="B289" s="38"/>
      <c r="C289" s="38"/>
      <c r="D289" s="38"/>
      <c r="E289" s="38"/>
      <c r="F289" s="38"/>
      <c r="G289" s="38"/>
      <c r="H289" s="38"/>
      <c r="I289" s="38"/>
      <c r="J289" s="38"/>
      <c r="K289" s="38"/>
      <c r="L289" s="38"/>
      <c r="M289" s="38"/>
      <c r="N289" s="38"/>
      <c r="O289" s="25"/>
    </row>
    <row r="290" spans="2:19" x14ac:dyDescent="0.2">
      <c r="B290" s="21"/>
      <c r="C290" s="32"/>
      <c r="D290" s="32" t="s">
        <v>342</v>
      </c>
      <c r="E290" s="1557" t="str">
        <f>Translations!$B$623</f>
        <v>No citām iekārtām vai vienībām importētas atlikumgāzes</v>
      </c>
      <c r="F290" s="1558"/>
      <c r="G290" s="1558"/>
      <c r="H290" s="1558"/>
      <c r="I290" s="1558"/>
      <c r="J290" s="1558"/>
      <c r="K290" s="1558"/>
      <c r="L290" s="1558"/>
      <c r="M290" s="1558"/>
      <c r="N290" s="1558"/>
      <c r="O290" s="25"/>
      <c r="P290" s="624"/>
    </row>
    <row r="291" spans="2:19" ht="12.75" customHeight="1" x14ac:dyDescent="0.2">
      <c r="B291" s="21"/>
      <c r="C291" s="34"/>
      <c r="D291" s="34"/>
      <c r="E291" s="1567" t="str">
        <f>Translations!$B$534</f>
        <v>Iekārtu nosaukumi nolaižamajā izvēlnē ir ņemti no A lapas IV sadaļas. Pārbaudiet, vai tajā ir ievadītie dati ir pilnīgi.</v>
      </c>
      <c r="F291" s="1558"/>
      <c r="G291" s="1558"/>
      <c r="H291" s="1558"/>
      <c r="I291" s="1558"/>
      <c r="J291" s="1558"/>
      <c r="K291" s="1558"/>
      <c r="L291" s="1558"/>
      <c r="M291" s="1558"/>
      <c r="N291" s="1558"/>
      <c r="O291" s="25"/>
      <c r="P291" s="624"/>
    </row>
    <row r="292" spans="2:19" ht="12.75" customHeight="1" x14ac:dyDescent="0.2">
      <c r="B292" s="21"/>
      <c r="C292" s="34"/>
      <c r="D292" s="34"/>
      <c r="E292" s="1567" t="str">
        <f>Translations!$B$624</f>
        <v>Ja importētie daudzumi ir iekļauti arī b) punktā, pārliecinieties, ka nenotiek divkārša uzskaite.</v>
      </c>
      <c r="F292" s="1558"/>
      <c r="G292" s="1558"/>
      <c r="H292" s="1558"/>
      <c r="I292" s="1558"/>
      <c r="J292" s="1558"/>
      <c r="K292" s="1558"/>
      <c r="L292" s="1558"/>
      <c r="M292" s="1558"/>
      <c r="N292" s="1558"/>
      <c r="O292" s="25"/>
      <c r="P292" s="624"/>
    </row>
    <row r="293" spans="2:19" ht="12.75" customHeight="1" thickBot="1" x14ac:dyDescent="0.25">
      <c r="B293" s="38"/>
      <c r="C293" s="38"/>
      <c r="D293" s="38"/>
      <c r="E293" s="1570" t="str">
        <f>Translations!$B$256</f>
        <v>Iekārtas vai vienības nosaukums</v>
      </c>
      <c r="F293" s="1570"/>
      <c r="G293" s="1570"/>
      <c r="H293" s="52" t="str">
        <f>EUconst_Unit</f>
        <v>Vienība</v>
      </c>
      <c r="I293" s="412">
        <f>I$405</f>
        <v>2019</v>
      </c>
      <c r="J293" s="412">
        <f>J$405</f>
        <v>2020</v>
      </c>
      <c r="K293" s="412">
        <f>K$405</f>
        <v>2021</v>
      </c>
      <c r="L293" s="412">
        <f>L$405</f>
        <v>2022</v>
      </c>
      <c r="M293" s="436">
        <f>M$405</f>
        <v>2023</v>
      </c>
      <c r="N293" s="578"/>
      <c r="O293" s="25"/>
      <c r="S293" s="452" t="s">
        <v>450</v>
      </c>
    </row>
    <row r="294" spans="2:19" x14ac:dyDescent="0.2">
      <c r="B294" s="38"/>
      <c r="C294" s="212"/>
      <c r="D294" s="212" t="s">
        <v>2</v>
      </c>
      <c r="E294" s="1439"/>
      <c r="F294" s="1439"/>
      <c r="G294" s="1439"/>
      <c r="H294" s="55" t="str">
        <f>EUconst_TJpa</f>
        <v>TJ / gads</v>
      </c>
      <c r="I294" s="348"/>
      <c r="J294" s="348"/>
      <c r="K294" s="348"/>
      <c r="L294" s="348"/>
      <c r="M294" s="348"/>
      <c r="N294" s="25"/>
      <c r="O294" s="25"/>
      <c r="S294" s="643" t="b">
        <f>AND(M258&lt;&gt;"",M258=FALSE)</f>
        <v>0</v>
      </c>
    </row>
    <row r="295" spans="2:19" x14ac:dyDescent="0.2">
      <c r="B295" s="38"/>
      <c r="C295" s="212"/>
      <c r="D295" s="212" t="s">
        <v>3</v>
      </c>
      <c r="E295" s="1423"/>
      <c r="F295" s="1423"/>
      <c r="G295" s="1423"/>
      <c r="H295" s="56" t="str">
        <f>EUconst_TJpa</f>
        <v>TJ / gads</v>
      </c>
      <c r="I295" s="347"/>
      <c r="J295" s="347"/>
      <c r="K295" s="347"/>
      <c r="L295" s="347"/>
      <c r="M295" s="347"/>
      <c r="N295" s="25"/>
      <c r="O295" s="25"/>
      <c r="S295" s="627" t="b">
        <f>S294</f>
        <v>0</v>
      </c>
    </row>
    <row r="296" spans="2:19" x14ac:dyDescent="0.2">
      <c r="B296" s="38"/>
      <c r="C296" s="212"/>
      <c r="D296" s="212" t="s">
        <v>4</v>
      </c>
      <c r="E296" s="1434"/>
      <c r="F296" s="1434"/>
      <c r="G296" s="1434"/>
      <c r="H296" s="59" t="str">
        <f>EUconst_TJpa</f>
        <v>TJ / gads</v>
      </c>
      <c r="I296" s="345"/>
      <c r="J296" s="345"/>
      <c r="K296" s="345"/>
      <c r="L296" s="345"/>
      <c r="M296" s="345"/>
      <c r="N296" s="25"/>
      <c r="O296" s="25"/>
      <c r="S296" s="627" t="b">
        <f>S295</f>
        <v>0</v>
      </c>
    </row>
    <row r="297" spans="2:19" x14ac:dyDescent="0.2">
      <c r="B297" s="38"/>
      <c r="C297" s="212"/>
      <c r="D297" s="212" t="s">
        <v>6</v>
      </c>
      <c r="E297" s="1574" t="str">
        <f>Translations!$B$536</f>
        <v>Starpsumma</v>
      </c>
      <c r="F297" s="1574"/>
      <c r="G297" s="1574"/>
      <c r="H297" s="70" t="str">
        <f>EUconst_TJpa</f>
        <v>TJ / gads</v>
      </c>
      <c r="I297" s="328" t="str">
        <f>IF(COUNT(I294:I296)&gt;0,SUM(I294:I296),"")</f>
        <v/>
      </c>
      <c r="J297" s="328" t="str">
        <f>IF(COUNT(J294:J296)&gt;0,SUM(J294:J296),"")</f>
        <v/>
      </c>
      <c r="K297" s="328" t="str">
        <f>IF(COUNT(K294:K296)&gt;0,SUM(K294:K296),"")</f>
        <v/>
      </c>
      <c r="L297" s="328" t="str">
        <f>IF(COUNT(L294:L296)&gt;0,SUM(L294:L296),"")</f>
        <v/>
      </c>
      <c r="M297" s="328" t="str">
        <f>IF(COUNT(M294:M296)&gt;0,SUM(M294:M296),"")</f>
        <v/>
      </c>
      <c r="N297" s="25"/>
      <c r="O297" s="25"/>
      <c r="S297" s="714"/>
    </row>
    <row r="298" spans="2:19" ht="5.0999999999999996" customHeight="1" x14ac:dyDescent="0.2">
      <c r="B298" s="21"/>
      <c r="C298" s="21"/>
      <c r="D298" s="21"/>
      <c r="E298" s="21"/>
      <c r="F298" s="21"/>
      <c r="G298" s="21"/>
      <c r="H298" s="21"/>
      <c r="I298" s="21"/>
      <c r="J298" s="21"/>
      <c r="K298" s="21"/>
      <c r="L298" s="21"/>
      <c r="M298" s="21"/>
      <c r="N298" s="21"/>
      <c r="O298" s="25"/>
      <c r="P298" s="624"/>
      <c r="S298" s="714"/>
    </row>
    <row r="299" spans="2:19" ht="12.75" customHeight="1" x14ac:dyDescent="0.2">
      <c r="B299" s="21"/>
      <c r="C299" s="32"/>
      <c r="D299" s="32" t="s">
        <v>12</v>
      </c>
      <c r="E299" s="1557" t="str">
        <f>Translations!$B$625</f>
        <v>Uz citām iekārtām vai vienībām eksportētas atlikumgāzes</v>
      </c>
      <c r="F299" s="1558"/>
      <c r="G299" s="1558"/>
      <c r="H299" s="1558"/>
      <c r="I299" s="1558"/>
      <c r="J299" s="1558"/>
      <c r="K299" s="1558"/>
      <c r="L299" s="1558"/>
      <c r="M299" s="1558"/>
      <c r="N299" s="1558"/>
      <c r="O299" s="25"/>
      <c r="P299" s="624"/>
      <c r="S299" s="714"/>
    </row>
    <row r="300" spans="2:19" ht="12.75" customHeight="1" x14ac:dyDescent="0.2">
      <c r="B300" s="21"/>
      <c r="C300" s="34"/>
      <c r="D300" s="34"/>
      <c r="E300" s="1567" t="str">
        <f>Translations!$B$534</f>
        <v>Iekārtu nosaukumi nolaižamajā izvēlnē ir ņemti no A lapas IV sadaļas. Pārbaudiet, vai tajā ir ievadītie dati ir pilnīgi.</v>
      </c>
      <c r="F300" s="1558"/>
      <c r="G300" s="1558"/>
      <c r="H300" s="1558"/>
      <c r="I300" s="1558"/>
      <c r="J300" s="1558"/>
      <c r="K300" s="1558"/>
      <c r="L300" s="1558"/>
      <c r="M300" s="1558"/>
      <c r="N300" s="1558"/>
      <c r="O300" s="25"/>
      <c r="P300" s="624"/>
      <c r="S300" s="714"/>
    </row>
    <row r="301" spans="2:19" x14ac:dyDescent="0.2">
      <c r="B301" s="38"/>
      <c r="C301" s="38"/>
      <c r="D301" s="38"/>
      <c r="E301" s="1570" t="str">
        <f>Translations!$B$256</f>
        <v>Iekārtas vai vienības nosaukums</v>
      </c>
      <c r="F301" s="1573"/>
      <c r="G301" s="1573"/>
      <c r="H301" s="52" t="str">
        <f>EUconst_Unit</f>
        <v>Vienība</v>
      </c>
      <c r="I301" s="412">
        <f>I$405</f>
        <v>2019</v>
      </c>
      <c r="J301" s="412">
        <f>J$405</f>
        <v>2020</v>
      </c>
      <c r="K301" s="412">
        <f>K$405</f>
        <v>2021</v>
      </c>
      <c r="L301" s="412">
        <f>L$405</f>
        <v>2022</v>
      </c>
      <c r="M301" s="436">
        <f>M$405</f>
        <v>2023</v>
      </c>
      <c r="N301" s="578"/>
      <c r="O301" s="25"/>
      <c r="S301" s="714"/>
    </row>
    <row r="302" spans="2:19" x14ac:dyDescent="0.2">
      <c r="B302" s="38"/>
      <c r="C302" s="212"/>
      <c r="D302" s="212" t="s">
        <v>2</v>
      </c>
      <c r="E302" s="1439"/>
      <c r="F302" s="1439"/>
      <c r="G302" s="1439"/>
      <c r="H302" s="55" t="str">
        <f>EUconst_TJpa</f>
        <v>TJ / gads</v>
      </c>
      <c r="I302" s="348"/>
      <c r="J302" s="348"/>
      <c r="K302" s="348"/>
      <c r="L302" s="348"/>
      <c r="M302" s="352"/>
      <c r="N302" s="25"/>
      <c r="O302" s="25"/>
      <c r="S302" s="627" t="b">
        <f>S296</f>
        <v>0</v>
      </c>
    </row>
    <row r="303" spans="2:19" x14ac:dyDescent="0.2">
      <c r="B303" s="38"/>
      <c r="C303" s="212"/>
      <c r="D303" s="212" t="s">
        <v>3</v>
      </c>
      <c r="E303" s="1423"/>
      <c r="F303" s="1423"/>
      <c r="G303" s="1423"/>
      <c r="H303" s="56" t="str">
        <f>EUconst_TJpa</f>
        <v>TJ / gads</v>
      </c>
      <c r="I303" s="347"/>
      <c r="J303" s="347"/>
      <c r="K303" s="347"/>
      <c r="L303" s="347"/>
      <c r="M303" s="351"/>
      <c r="N303" s="25"/>
      <c r="O303" s="25"/>
      <c r="S303" s="627" t="b">
        <f>S302</f>
        <v>0</v>
      </c>
    </row>
    <row r="304" spans="2:19" x14ac:dyDescent="0.2">
      <c r="B304" s="38"/>
      <c r="C304" s="212"/>
      <c r="D304" s="212" t="s">
        <v>4</v>
      </c>
      <c r="E304" s="1434"/>
      <c r="F304" s="1434"/>
      <c r="G304" s="1434"/>
      <c r="H304" s="59" t="str">
        <f>EUconst_TJpa</f>
        <v>TJ / gads</v>
      </c>
      <c r="I304" s="345"/>
      <c r="J304" s="345"/>
      <c r="K304" s="345"/>
      <c r="L304" s="345"/>
      <c r="M304" s="350"/>
      <c r="N304" s="25"/>
      <c r="O304" s="25"/>
      <c r="S304" s="627" t="b">
        <f>S303</f>
        <v>0</v>
      </c>
    </row>
    <row r="305" spans="2:19" x14ac:dyDescent="0.2">
      <c r="B305" s="38"/>
      <c r="C305" s="212"/>
      <c r="D305" s="212" t="s">
        <v>6</v>
      </c>
      <c r="E305" s="1574" t="str">
        <f>Translations!$B$536</f>
        <v>Starpsumma</v>
      </c>
      <c r="F305" s="1574"/>
      <c r="G305" s="1574"/>
      <c r="H305" s="70" t="str">
        <f>EUconst_TJpa</f>
        <v>TJ / gads</v>
      </c>
      <c r="I305" s="328" t="str">
        <f>IF(COUNT(I302:I304)&gt;0,SUM(I302:I304),"")</f>
        <v/>
      </c>
      <c r="J305" s="328" t="str">
        <f>IF(COUNT(J302:J304)&gt;0,SUM(J302:J304),"")</f>
        <v/>
      </c>
      <c r="K305" s="328" t="str">
        <f>IF(COUNT(K302:K304)&gt;0,SUM(K302:K304),"")</f>
        <v/>
      </c>
      <c r="L305" s="328" t="str">
        <f>IF(COUNT(L302:L304)&gt;0,SUM(L302:L304),"")</f>
        <v/>
      </c>
      <c r="M305" s="327" t="str">
        <f>IF(COUNT(M302:M304)&gt;0,SUM(M302:M304),"")</f>
        <v/>
      </c>
      <c r="N305" s="25"/>
      <c r="O305" s="25"/>
      <c r="S305" s="714"/>
    </row>
    <row r="306" spans="2:19" ht="5.0999999999999996" customHeight="1" x14ac:dyDescent="0.2">
      <c r="B306" s="21"/>
      <c r="C306" s="21"/>
      <c r="D306" s="21"/>
      <c r="E306" s="21"/>
      <c r="F306" s="21"/>
      <c r="G306" s="21"/>
      <c r="H306" s="21"/>
      <c r="I306" s="21"/>
      <c r="J306" s="21"/>
      <c r="K306" s="21"/>
      <c r="L306" s="21"/>
      <c r="M306" s="21"/>
      <c r="N306" s="21"/>
      <c r="O306" s="25"/>
      <c r="P306" s="624"/>
      <c r="S306" s="714"/>
    </row>
    <row r="307" spans="2:19" x14ac:dyDescent="0.2">
      <c r="B307" s="21"/>
      <c r="C307" s="32"/>
      <c r="D307" s="32" t="s">
        <v>13</v>
      </c>
      <c r="E307" s="1568" t="str">
        <f>Translations!$B$626</f>
        <v>Iekārtā pieejamo atlikumgāzu summa (=c+d-e)</v>
      </c>
      <c r="F307" s="1569"/>
      <c r="G307" s="1569"/>
      <c r="H307" s="1569"/>
      <c r="I307" s="1569"/>
      <c r="J307" s="1569"/>
      <c r="K307" s="1569"/>
      <c r="L307" s="1569"/>
      <c r="M307" s="1569"/>
      <c r="N307" s="1569"/>
      <c r="O307" s="25"/>
      <c r="P307" s="624"/>
      <c r="S307" s="714"/>
    </row>
    <row r="308" spans="2:19" x14ac:dyDescent="0.2">
      <c r="B308" s="38"/>
      <c r="C308" s="38"/>
      <c r="D308" s="38"/>
      <c r="E308" s="1554" t="str">
        <f>Translations!$B$627</f>
        <v>Pieejamās atlikumgāzes</v>
      </c>
      <c r="F308" s="1574"/>
      <c r="G308" s="1574"/>
      <c r="H308" s="70" t="str">
        <f>EUconst_TJpa</f>
        <v>TJ / gads</v>
      </c>
      <c r="I308" s="328" t="str">
        <f>IF(COUNT(I288,I297,I305)&gt;0,SUM(I288,I297)-SUM(I305),"")</f>
        <v/>
      </c>
      <c r="J308" s="328" t="str">
        <f>IF(COUNT(J288,J297,J305)&gt;0,SUM(J288,J297)-SUM(J305),"")</f>
        <v/>
      </c>
      <c r="K308" s="328" t="str">
        <f>IF(COUNT(K288,K297,K305)&gt;0,SUM(K288,K297)-SUM(K305),"")</f>
        <v/>
      </c>
      <c r="L308" s="328" t="str">
        <f>IF(COUNT(L288,L297,L305)&gt;0,SUM(L288,L297)-SUM(L305),"")</f>
        <v/>
      </c>
      <c r="M308" s="328" t="str">
        <f>IF(COUNT(M288,M297,M305)&gt;0,SUM(M288,M297)-SUM(M305),"")</f>
        <v/>
      </c>
      <c r="N308" s="25"/>
      <c r="O308" s="25"/>
      <c r="S308" s="714"/>
    </row>
    <row r="309" spans="2:19" ht="5.0999999999999996" customHeight="1" x14ac:dyDescent="0.2">
      <c r="B309" s="38"/>
      <c r="C309" s="38"/>
      <c r="D309" s="38"/>
      <c r="E309" s="38"/>
      <c r="F309" s="38"/>
      <c r="G309" s="38"/>
      <c r="H309" s="38"/>
      <c r="I309" s="38"/>
      <c r="J309" s="38"/>
      <c r="K309" s="38"/>
      <c r="L309" s="38"/>
      <c r="M309" s="38"/>
      <c r="N309" s="38"/>
      <c r="O309" s="25"/>
      <c r="S309" s="714"/>
    </row>
    <row r="310" spans="2:19" x14ac:dyDescent="0.2">
      <c r="B310" s="21"/>
      <c r="C310" s="32"/>
      <c r="D310" s="32" t="s">
        <v>81</v>
      </c>
      <c r="E310" s="1557" t="str">
        <f>Translations!$B$628</f>
        <v>Produkta līmeņatzīmes apakšiekārtās patērētās atlikumgāzes</v>
      </c>
      <c r="F310" s="1558"/>
      <c r="G310" s="1558"/>
      <c r="H310" s="1558"/>
      <c r="I310" s="1558"/>
      <c r="J310" s="1558"/>
      <c r="K310" s="1558"/>
      <c r="L310" s="1558"/>
      <c r="M310" s="1558"/>
      <c r="N310" s="1558"/>
      <c r="O310" s="25"/>
      <c r="P310" s="624"/>
      <c r="S310" s="714"/>
    </row>
    <row r="311" spans="2:19" ht="12.75" customHeight="1" x14ac:dyDescent="0.2">
      <c r="B311" s="21"/>
      <c r="C311" s="34"/>
      <c r="D311" s="34"/>
      <c r="E311" s="1567" t="str">
        <f>Translations!$B$629</f>
        <v>Informācija ir ņemta no F lapas l) sadaļas viii. punkta. Attiecīgā gadījumā pārbaudiet, vai tajā ir ievadītie dati ir pilnīgi.</v>
      </c>
      <c r="F311" s="1558"/>
      <c r="G311" s="1558"/>
      <c r="H311" s="1558"/>
      <c r="I311" s="1558"/>
      <c r="J311" s="1558"/>
      <c r="K311" s="1558"/>
      <c r="L311" s="1558"/>
      <c r="M311" s="1558"/>
      <c r="N311" s="1558"/>
      <c r="O311" s="25"/>
      <c r="P311" s="624"/>
      <c r="S311" s="714"/>
    </row>
    <row r="312" spans="2:19" x14ac:dyDescent="0.2">
      <c r="B312" s="38"/>
      <c r="C312" s="38"/>
      <c r="D312" s="38"/>
      <c r="E312" s="1570" t="str">
        <f>Translations!$B$630</f>
        <v>Produkta LA apakšiekārtas veids</v>
      </c>
      <c r="F312" s="1573"/>
      <c r="G312" s="1573"/>
      <c r="H312" s="52" t="str">
        <f>EUconst_Unit</f>
        <v>Vienība</v>
      </c>
      <c r="I312" s="412">
        <f>I$405</f>
        <v>2019</v>
      </c>
      <c r="J312" s="412">
        <f>J$405</f>
        <v>2020</v>
      </c>
      <c r="K312" s="412">
        <f>K$405</f>
        <v>2021</v>
      </c>
      <c r="L312" s="412">
        <f>L$405</f>
        <v>2022</v>
      </c>
      <c r="M312" s="412">
        <f>M$405</f>
        <v>2023</v>
      </c>
      <c r="N312" s="25"/>
      <c r="O312" s="25"/>
      <c r="S312" s="714"/>
    </row>
    <row r="313" spans="2:19" ht="12.75" customHeight="1" x14ac:dyDescent="0.2">
      <c r="B313" s="38"/>
      <c r="C313" s="38"/>
      <c r="D313" s="440" t="s">
        <v>2</v>
      </c>
      <c r="E313" s="1571" t="str">
        <f t="shared" ref="E313:E322" si="14">E265</f>
        <v/>
      </c>
      <c r="F313" s="1571"/>
      <c r="G313" s="1571"/>
      <c r="H313" s="449" t="str">
        <f t="shared" ref="H313:H323" si="15">EUconst_TJpa</f>
        <v>TJ / gads</v>
      </c>
      <c r="I313" s="699" t="str">
        <f>IF(SUMIF(F_ProductBM!$P:$P,$P313,F_ProductBM!I:I)&gt;0,SUMIF(F_ProductBM!$P:$P,$P313,F_ProductBM!I:I),"")</f>
        <v/>
      </c>
      <c r="J313" s="699" t="str">
        <f>IF(SUMIF(F_ProductBM!$P:$P,$P313,F_ProductBM!J:J)&gt;0,SUMIF(F_ProductBM!$P:$P,$P313,F_ProductBM!J:J),"")</f>
        <v/>
      </c>
      <c r="K313" s="699" t="str">
        <f>IF(SUMIF(F_ProductBM!$P:$P,$P313,F_ProductBM!K:K)&gt;0,SUMIF(F_ProductBM!$P:$P,$P313,F_ProductBM!K:K),"")</f>
        <v/>
      </c>
      <c r="L313" s="699" t="str">
        <f>IF(SUMIF(F_ProductBM!$P:$P,$P313,F_ProductBM!L:L)&gt;0,SUMIF(F_ProductBM!$P:$P,$P313,F_ProductBM!L:L),"")</f>
        <v/>
      </c>
      <c r="M313" s="699" t="str">
        <f>IF(SUMIF(F_ProductBM!$P:$P,$P313,F_ProductBM!M:M)&gt;0,SUMIF(F_ProductBM!$P:$P,$P313,F_ProductBM!M:M),"")</f>
        <v/>
      </c>
      <c r="N313" s="25"/>
      <c r="O313" s="25"/>
      <c r="P313" s="453" t="str">
        <f t="shared" ref="P313:P322" si="16">EUconst_CNTR_WGConsumed &amp; E313</f>
        <v>WasteGasCons_</v>
      </c>
      <c r="S313" s="714"/>
    </row>
    <row r="314" spans="2:19" x14ac:dyDescent="0.2">
      <c r="B314" s="38"/>
      <c r="C314" s="38"/>
      <c r="D314" s="440" t="s">
        <v>3</v>
      </c>
      <c r="E314" s="1571" t="str">
        <f t="shared" si="14"/>
        <v/>
      </c>
      <c r="F314" s="1571"/>
      <c r="G314" s="1571"/>
      <c r="H314" s="450" t="str">
        <f t="shared" si="15"/>
        <v>TJ / gads</v>
      </c>
      <c r="I314" s="521" t="str">
        <f>IF(SUMIF(F_ProductBM!$P:$P,$P314,F_ProductBM!I:I)&gt;0,SUMIF(F_ProductBM!$P:$P,$P314,F_ProductBM!I:I),"")</f>
        <v/>
      </c>
      <c r="J314" s="521" t="str">
        <f>IF(SUMIF(F_ProductBM!$P:$P,$P314,F_ProductBM!J:J)&gt;0,SUMIF(F_ProductBM!$P:$P,$P314,F_ProductBM!J:J),"")</f>
        <v/>
      </c>
      <c r="K314" s="521" t="str">
        <f>IF(SUMIF(F_ProductBM!$P:$P,$P314,F_ProductBM!K:K)&gt;0,SUMIF(F_ProductBM!$P:$P,$P314,F_ProductBM!K:K),"")</f>
        <v/>
      </c>
      <c r="L314" s="521" t="str">
        <f>IF(SUMIF(F_ProductBM!$P:$P,$P314,F_ProductBM!L:L)&gt;0,SUMIF(F_ProductBM!$P:$P,$P314,F_ProductBM!L:L),"")</f>
        <v/>
      </c>
      <c r="M314" s="521" t="str">
        <f>IF(SUMIF(F_ProductBM!$P:$P,$P314,F_ProductBM!M:M)&gt;0,SUMIF(F_ProductBM!$P:$P,$P314,F_ProductBM!M:M),"")</f>
        <v/>
      </c>
      <c r="N314" s="25"/>
      <c r="O314" s="25"/>
      <c r="P314" s="453" t="str">
        <f t="shared" si="16"/>
        <v>WasteGasCons_</v>
      </c>
      <c r="S314" s="714"/>
    </row>
    <row r="315" spans="2:19" ht="12.75" customHeight="1" x14ac:dyDescent="0.2">
      <c r="B315" s="38"/>
      <c r="C315" s="38"/>
      <c r="D315" s="440" t="s">
        <v>4</v>
      </c>
      <c r="E315" s="1571" t="str">
        <f t="shared" si="14"/>
        <v/>
      </c>
      <c r="F315" s="1571"/>
      <c r="G315" s="1571"/>
      <c r="H315" s="450" t="str">
        <f t="shared" si="15"/>
        <v>TJ / gads</v>
      </c>
      <c r="I315" s="521" t="str">
        <f>IF(SUMIF(F_ProductBM!$P:$P,$P315,F_ProductBM!I:I)&gt;0,SUMIF(F_ProductBM!$P:$P,$P315,F_ProductBM!I:I),"")</f>
        <v/>
      </c>
      <c r="J315" s="521" t="str">
        <f>IF(SUMIF(F_ProductBM!$P:$P,$P315,F_ProductBM!J:J)&gt;0,SUMIF(F_ProductBM!$P:$P,$P315,F_ProductBM!J:J),"")</f>
        <v/>
      </c>
      <c r="K315" s="521" t="str">
        <f>IF(SUMIF(F_ProductBM!$P:$P,$P315,F_ProductBM!K:K)&gt;0,SUMIF(F_ProductBM!$P:$P,$P315,F_ProductBM!K:K),"")</f>
        <v/>
      </c>
      <c r="L315" s="521" t="str">
        <f>IF(SUMIF(F_ProductBM!$P:$P,$P315,F_ProductBM!L:L)&gt;0,SUMIF(F_ProductBM!$P:$P,$P315,F_ProductBM!L:L),"")</f>
        <v/>
      </c>
      <c r="M315" s="521" t="str">
        <f>IF(SUMIF(F_ProductBM!$P:$P,$P315,F_ProductBM!M:M)&gt;0,SUMIF(F_ProductBM!$P:$P,$P315,F_ProductBM!M:M),"")</f>
        <v/>
      </c>
      <c r="N315" s="25"/>
      <c r="O315" s="25"/>
      <c r="P315" s="453" t="str">
        <f t="shared" si="16"/>
        <v>WasteGasCons_</v>
      </c>
      <c r="S315" s="714"/>
    </row>
    <row r="316" spans="2:19" x14ac:dyDescent="0.2">
      <c r="B316" s="38"/>
      <c r="C316" s="38"/>
      <c r="D316" s="440" t="s">
        <v>6</v>
      </c>
      <c r="E316" s="1571" t="str">
        <f t="shared" si="14"/>
        <v/>
      </c>
      <c r="F316" s="1571"/>
      <c r="G316" s="1571"/>
      <c r="H316" s="450" t="str">
        <f t="shared" si="15"/>
        <v>TJ / gads</v>
      </c>
      <c r="I316" s="521" t="str">
        <f>IF(SUMIF(F_ProductBM!$P:$P,$P316,F_ProductBM!I:I)&gt;0,SUMIF(F_ProductBM!$P:$P,$P316,F_ProductBM!I:I),"")</f>
        <v/>
      </c>
      <c r="J316" s="521" t="str">
        <f>IF(SUMIF(F_ProductBM!$P:$P,$P316,F_ProductBM!J:J)&gt;0,SUMIF(F_ProductBM!$P:$P,$P316,F_ProductBM!J:J),"")</f>
        <v/>
      </c>
      <c r="K316" s="521" t="str">
        <f>IF(SUMIF(F_ProductBM!$P:$P,$P316,F_ProductBM!K:K)&gt;0,SUMIF(F_ProductBM!$P:$P,$P316,F_ProductBM!K:K),"")</f>
        <v/>
      </c>
      <c r="L316" s="521" t="str">
        <f>IF(SUMIF(F_ProductBM!$P:$P,$P316,F_ProductBM!L:L)&gt;0,SUMIF(F_ProductBM!$P:$P,$P316,F_ProductBM!L:L),"")</f>
        <v/>
      </c>
      <c r="M316" s="521" t="str">
        <f>IF(SUMIF(F_ProductBM!$P:$P,$P316,F_ProductBM!M:M)&gt;0,SUMIF(F_ProductBM!$P:$P,$P316,F_ProductBM!M:M),"")</f>
        <v/>
      </c>
      <c r="N316" s="25"/>
      <c r="O316" s="25"/>
      <c r="P316" s="453" t="str">
        <f t="shared" si="16"/>
        <v>WasteGasCons_</v>
      </c>
      <c r="S316" s="714"/>
    </row>
    <row r="317" spans="2:19" x14ac:dyDescent="0.2">
      <c r="B317" s="38"/>
      <c r="C317" s="38"/>
      <c r="D317" s="440" t="s">
        <v>303</v>
      </c>
      <c r="E317" s="1571" t="str">
        <f t="shared" si="14"/>
        <v/>
      </c>
      <c r="F317" s="1571"/>
      <c r="G317" s="1571"/>
      <c r="H317" s="450" t="str">
        <f t="shared" si="15"/>
        <v>TJ / gads</v>
      </c>
      <c r="I317" s="521" t="str">
        <f>IF(SUMIF(F_ProductBM!$P:$P,$P317,F_ProductBM!I:I)&gt;0,SUMIF(F_ProductBM!$P:$P,$P317,F_ProductBM!I:I),"")</f>
        <v/>
      </c>
      <c r="J317" s="521" t="str">
        <f>IF(SUMIF(F_ProductBM!$P:$P,$P317,F_ProductBM!J:J)&gt;0,SUMIF(F_ProductBM!$P:$P,$P317,F_ProductBM!J:J),"")</f>
        <v/>
      </c>
      <c r="K317" s="521" t="str">
        <f>IF(SUMIF(F_ProductBM!$P:$P,$P317,F_ProductBM!K:K)&gt;0,SUMIF(F_ProductBM!$P:$P,$P317,F_ProductBM!K:K),"")</f>
        <v/>
      </c>
      <c r="L317" s="521" t="str">
        <f>IF(SUMIF(F_ProductBM!$P:$P,$P317,F_ProductBM!L:L)&gt;0,SUMIF(F_ProductBM!$P:$P,$P317,F_ProductBM!L:L),"")</f>
        <v/>
      </c>
      <c r="M317" s="521" t="str">
        <f>IF(SUMIF(F_ProductBM!$P:$P,$P317,F_ProductBM!M:M)&gt;0,SUMIF(F_ProductBM!$P:$P,$P317,F_ProductBM!M:M),"")</f>
        <v/>
      </c>
      <c r="N317" s="25"/>
      <c r="O317" s="25"/>
      <c r="P317" s="453" t="str">
        <f t="shared" si="16"/>
        <v>WasteGasCons_</v>
      </c>
      <c r="S317" s="714"/>
    </row>
    <row r="318" spans="2:19" x14ac:dyDescent="0.2">
      <c r="B318" s="38"/>
      <c r="C318" s="38"/>
      <c r="D318" s="440" t="s">
        <v>304</v>
      </c>
      <c r="E318" s="1571" t="str">
        <f t="shared" si="14"/>
        <v/>
      </c>
      <c r="F318" s="1571"/>
      <c r="G318" s="1571"/>
      <c r="H318" s="450" t="str">
        <f t="shared" si="15"/>
        <v>TJ / gads</v>
      </c>
      <c r="I318" s="521" t="str">
        <f>IF(SUMIF(F_ProductBM!$P:$P,$P318,F_ProductBM!I:I)&gt;0,SUMIF(F_ProductBM!$P:$P,$P318,F_ProductBM!I:I),"")</f>
        <v/>
      </c>
      <c r="J318" s="521" t="str">
        <f>IF(SUMIF(F_ProductBM!$P:$P,$P318,F_ProductBM!J:J)&gt;0,SUMIF(F_ProductBM!$P:$P,$P318,F_ProductBM!J:J),"")</f>
        <v/>
      </c>
      <c r="K318" s="521" t="str">
        <f>IF(SUMIF(F_ProductBM!$P:$P,$P318,F_ProductBM!K:K)&gt;0,SUMIF(F_ProductBM!$P:$P,$P318,F_ProductBM!K:K),"")</f>
        <v/>
      </c>
      <c r="L318" s="521" t="str">
        <f>IF(SUMIF(F_ProductBM!$P:$P,$P318,F_ProductBM!L:L)&gt;0,SUMIF(F_ProductBM!$P:$P,$P318,F_ProductBM!L:L),"")</f>
        <v/>
      </c>
      <c r="M318" s="521" t="str">
        <f>IF(SUMIF(F_ProductBM!$P:$P,$P318,F_ProductBM!M:M)&gt;0,SUMIF(F_ProductBM!$P:$P,$P318,F_ProductBM!M:M),"")</f>
        <v/>
      </c>
      <c r="N318" s="25"/>
      <c r="O318" s="25"/>
      <c r="P318" s="453" t="str">
        <f t="shared" si="16"/>
        <v>WasteGasCons_</v>
      </c>
      <c r="S318" s="714"/>
    </row>
    <row r="319" spans="2:19" x14ac:dyDescent="0.2">
      <c r="B319" s="38"/>
      <c r="C319" s="38"/>
      <c r="D319" s="440" t="s">
        <v>305</v>
      </c>
      <c r="E319" s="1571" t="str">
        <f t="shared" si="14"/>
        <v/>
      </c>
      <c r="F319" s="1571"/>
      <c r="G319" s="1571"/>
      <c r="H319" s="450" t="str">
        <f t="shared" si="15"/>
        <v>TJ / gads</v>
      </c>
      <c r="I319" s="521" t="str">
        <f>IF(SUMIF(F_ProductBM!$P:$P,$P319,F_ProductBM!I:I)&gt;0,SUMIF(F_ProductBM!$P:$P,$P319,F_ProductBM!I:I),"")</f>
        <v/>
      </c>
      <c r="J319" s="521" t="str">
        <f>IF(SUMIF(F_ProductBM!$P:$P,$P319,F_ProductBM!J:J)&gt;0,SUMIF(F_ProductBM!$P:$P,$P319,F_ProductBM!J:J),"")</f>
        <v/>
      </c>
      <c r="K319" s="521" t="str">
        <f>IF(SUMIF(F_ProductBM!$P:$P,$P319,F_ProductBM!K:K)&gt;0,SUMIF(F_ProductBM!$P:$P,$P319,F_ProductBM!K:K),"")</f>
        <v/>
      </c>
      <c r="L319" s="521" t="str">
        <f>IF(SUMIF(F_ProductBM!$P:$P,$P319,F_ProductBM!L:L)&gt;0,SUMIF(F_ProductBM!$P:$P,$P319,F_ProductBM!L:L),"")</f>
        <v/>
      </c>
      <c r="M319" s="521" t="str">
        <f>IF(SUMIF(F_ProductBM!$P:$P,$P319,F_ProductBM!M:M)&gt;0,SUMIF(F_ProductBM!$P:$P,$P319,F_ProductBM!M:M),"")</f>
        <v/>
      </c>
      <c r="N319" s="25"/>
      <c r="O319" s="25"/>
      <c r="P319" s="453" t="str">
        <f t="shared" si="16"/>
        <v>WasteGasCons_</v>
      </c>
      <c r="S319" s="714"/>
    </row>
    <row r="320" spans="2:19" x14ac:dyDescent="0.2">
      <c r="B320" s="38"/>
      <c r="C320" s="38"/>
      <c r="D320" s="440" t="s">
        <v>306</v>
      </c>
      <c r="E320" s="1571" t="str">
        <f t="shared" si="14"/>
        <v/>
      </c>
      <c r="F320" s="1571"/>
      <c r="G320" s="1571"/>
      <c r="H320" s="450" t="str">
        <f t="shared" si="15"/>
        <v>TJ / gads</v>
      </c>
      <c r="I320" s="521" t="str">
        <f>IF(SUMIF(F_ProductBM!$P:$P,$P320,F_ProductBM!I:I)&gt;0,SUMIF(F_ProductBM!$P:$P,$P320,F_ProductBM!I:I),"")</f>
        <v/>
      </c>
      <c r="J320" s="521" t="str">
        <f>IF(SUMIF(F_ProductBM!$P:$P,$P320,F_ProductBM!J:J)&gt;0,SUMIF(F_ProductBM!$P:$P,$P320,F_ProductBM!J:J),"")</f>
        <v/>
      </c>
      <c r="K320" s="521" t="str">
        <f>IF(SUMIF(F_ProductBM!$P:$P,$P320,F_ProductBM!K:K)&gt;0,SUMIF(F_ProductBM!$P:$P,$P320,F_ProductBM!K:K),"")</f>
        <v/>
      </c>
      <c r="L320" s="521" t="str">
        <f>IF(SUMIF(F_ProductBM!$P:$P,$P320,F_ProductBM!L:L)&gt;0,SUMIF(F_ProductBM!$P:$P,$P320,F_ProductBM!L:L),"")</f>
        <v/>
      </c>
      <c r="M320" s="521" t="str">
        <f>IF(SUMIF(F_ProductBM!$P:$P,$P320,F_ProductBM!M:M)&gt;0,SUMIF(F_ProductBM!$P:$P,$P320,F_ProductBM!M:M),"")</f>
        <v/>
      </c>
      <c r="N320" s="25"/>
      <c r="O320" s="25"/>
      <c r="P320" s="453" t="str">
        <f t="shared" si="16"/>
        <v>WasteGasCons_</v>
      </c>
      <c r="S320" s="714"/>
    </row>
    <row r="321" spans="1:19" x14ac:dyDescent="0.2">
      <c r="B321" s="38"/>
      <c r="C321" s="38"/>
      <c r="D321" s="440" t="s">
        <v>307</v>
      </c>
      <c r="E321" s="1571" t="str">
        <f t="shared" si="14"/>
        <v/>
      </c>
      <c r="F321" s="1571"/>
      <c r="G321" s="1571"/>
      <c r="H321" s="450" t="str">
        <f t="shared" si="15"/>
        <v>TJ / gads</v>
      </c>
      <c r="I321" s="521" t="str">
        <f>IF(SUMIF(F_ProductBM!$P:$P,$P321,F_ProductBM!I:I)&gt;0,SUMIF(F_ProductBM!$P:$P,$P321,F_ProductBM!I:I),"")</f>
        <v/>
      </c>
      <c r="J321" s="521" t="str">
        <f>IF(SUMIF(F_ProductBM!$P:$P,$P321,F_ProductBM!J:J)&gt;0,SUMIF(F_ProductBM!$P:$P,$P321,F_ProductBM!J:J),"")</f>
        <v/>
      </c>
      <c r="K321" s="521" t="str">
        <f>IF(SUMIF(F_ProductBM!$P:$P,$P321,F_ProductBM!K:K)&gt;0,SUMIF(F_ProductBM!$P:$P,$P321,F_ProductBM!K:K),"")</f>
        <v/>
      </c>
      <c r="L321" s="521" t="str">
        <f>IF(SUMIF(F_ProductBM!$P:$P,$P321,F_ProductBM!L:L)&gt;0,SUMIF(F_ProductBM!$P:$P,$P321,F_ProductBM!L:L),"")</f>
        <v/>
      </c>
      <c r="M321" s="521" t="str">
        <f>IF(SUMIF(F_ProductBM!$P:$P,$P321,F_ProductBM!M:M)&gt;0,SUMIF(F_ProductBM!$P:$P,$P321,F_ProductBM!M:M),"")</f>
        <v/>
      </c>
      <c r="N321" s="25"/>
      <c r="O321" s="25"/>
      <c r="P321" s="453" t="str">
        <f t="shared" si="16"/>
        <v>WasteGasCons_</v>
      </c>
      <c r="S321" s="714"/>
    </row>
    <row r="322" spans="1:19" x14ac:dyDescent="0.2">
      <c r="B322" s="38"/>
      <c r="C322" s="38"/>
      <c r="D322" s="440" t="s">
        <v>15</v>
      </c>
      <c r="E322" s="1595" t="str">
        <f t="shared" si="14"/>
        <v/>
      </c>
      <c r="F322" s="1595"/>
      <c r="G322" s="1595"/>
      <c r="H322" s="451" t="str">
        <f t="shared" si="15"/>
        <v>TJ / gads</v>
      </c>
      <c r="I322" s="700" t="str">
        <f>IF(SUMIF(F_ProductBM!$P:$P,$P322,F_ProductBM!I:I)&gt;0,SUMIF(F_ProductBM!$P:$P,$P322,F_ProductBM!I:I),"")</f>
        <v/>
      </c>
      <c r="J322" s="700" t="str">
        <f>IF(SUMIF(F_ProductBM!$P:$P,$P322,F_ProductBM!J:J)&gt;0,SUMIF(F_ProductBM!$P:$P,$P322,F_ProductBM!J:J),"")</f>
        <v/>
      </c>
      <c r="K322" s="700" t="str">
        <f>IF(SUMIF(F_ProductBM!$P:$P,$P322,F_ProductBM!K:K)&gt;0,SUMIF(F_ProductBM!$P:$P,$P322,F_ProductBM!K:K),"")</f>
        <v/>
      </c>
      <c r="L322" s="700" t="str">
        <f>IF(SUMIF(F_ProductBM!$P:$P,$P322,F_ProductBM!L:L)&gt;0,SUMIF(F_ProductBM!$P:$P,$P322,F_ProductBM!L:L),"")</f>
        <v/>
      </c>
      <c r="M322" s="700" t="str">
        <f>IF(SUMIF(F_ProductBM!$P:$P,$P322,F_ProductBM!M:M)&gt;0,SUMIF(F_ProductBM!$P:$P,$P322,F_ProductBM!M:M),"")</f>
        <v/>
      </c>
      <c r="N322" s="25"/>
      <c r="O322" s="25"/>
      <c r="P322" s="453" t="str">
        <f t="shared" si="16"/>
        <v>WasteGasCons_</v>
      </c>
      <c r="S322" s="714"/>
    </row>
    <row r="323" spans="1:19" ht="12.75" customHeight="1" x14ac:dyDescent="0.2">
      <c r="B323" s="38"/>
      <c r="C323" s="212"/>
      <c r="D323" s="440" t="s">
        <v>16</v>
      </c>
      <c r="E323" s="1572" t="str">
        <f>Translations!$B$536</f>
        <v>Starpsumma</v>
      </c>
      <c r="F323" s="1572"/>
      <c r="G323" s="1572"/>
      <c r="H323" s="59" t="str">
        <f t="shared" si="15"/>
        <v>TJ / gads</v>
      </c>
      <c r="I323" s="448" t="str">
        <f>IF(COUNT(I313:I322)&gt;0,SUM(I313:I322),"")</f>
        <v/>
      </c>
      <c r="J323" s="448" t="str">
        <f>IF(COUNT(J313:J322)&gt;0,SUM(J313:J322),"")</f>
        <v/>
      </c>
      <c r="K323" s="448" t="str">
        <f>IF(COUNT(K313:K322)&gt;0,SUM(K313:K322),"")</f>
        <v/>
      </c>
      <c r="L323" s="448" t="str">
        <f>IF(COUNT(L313:L322)&gt;0,SUM(L313:L322),"")</f>
        <v/>
      </c>
      <c r="M323" s="448" t="str">
        <f>IF(COUNT(M313:M322)&gt;0,SUM(M313:M322),"")</f>
        <v/>
      </c>
      <c r="N323" s="25"/>
      <c r="O323" s="25"/>
      <c r="S323" s="714"/>
    </row>
    <row r="324" spans="1:19" ht="5.0999999999999996" customHeight="1" x14ac:dyDescent="0.2">
      <c r="B324" s="21"/>
      <c r="C324" s="21"/>
      <c r="D324" s="21"/>
      <c r="E324" s="21"/>
      <c r="F324" s="21"/>
      <c r="G324" s="21"/>
      <c r="H324" s="21"/>
      <c r="I324" s="21"/>
      <c r="J324" s="21"/>
      <c r="K324" s="21"/>
      <c r="L324" s="21"/>
      <c r="M324" s="21"/>
      <c r="N324" s="21"/>
      <c r="O324" s="25"/>
      <c r="P324" s="624"/>
      <c r="S324" s="714"/>
    </row>
    <row r="325" spans="1:19" x14ac:dyDescent="0.2">
      <c r="B325" s="21"/>
      <c r="C325" s="32"/>
      <c r="D325" s="32" t="s">
        <v>82</v>
      </c>
      <c r="E325" s="1557" t="str">
        <f>Translations!$B$631</f>
        <v>Alternatīvajās apakšiekārtās patērētās atlikumgāzes</v>
      </c>
      <c r="F325" s="1558"/>
      <c r="G325" s="1558"/>
      <c r="H325" s="1558"/>
      <c r="I325" s="1558"/>
      <c r="J325" s="1558"/>
      <c r="K325" s="1558"/>
      <c r="L325" s="1558"/>
      <c r="M325" s="1558"/>
      <c r="N325" s="1558"/>
      <c r="O325" s="25"/>
      <c r="P325" s="624"/>
      <c r="S325" s="714"/>
    </row>
    <row r="326" spans="1:19" ht="12.75" customHeight="1" x14ac:dyDescent="0.2">
      <c r="B326" s="21"/>
      <c r="C326" s="34"/>
      <c r="D326" s="34"/>
      <c r="E326" s="1567" t="str">
        <f>Translations!$B$632</f>
        <v>Informācija ir ņemta no attiecīgajiem ierakstiem lapā “G_Fall-back”. Attiecīgā gadījumā pārbaudiet, vai tajā ir ievadītie dati ir pilnīgi.</v>
      </c>
      <c r="F326" s="1558"/>
      <c r="G326" s="1558"/>
      <c r="H326" s="1558"/>
      <c r="I326" s="1558"/>
      <c r="J326" s="1558"/>
      <c r="K326" s="1558"/>
      <c r="L326" s="1558"/>
      <c r="M326" s="1558"/>
      <c r="N326" s="1558"/>
      <c r="O326" s="25"/>
      <c r="P326" s="624"/>
      <c r="S326" s="714"/>
    </row>
    <row r="327" spans="1:19" x14ac:dyDescent="0.2">
      <c r="B327" s="38"/>
      <c r="C327" s="38"/>
      <c r="D327" s="38"/>
      <c r="E327" s="1568" t="str">
        <f>Translations!$B$633</f>
        <v>Alternatīvās apakšiekārtas veids</v>
      </c>
      <c r="F327" s="1569"/>
      <c r="G327" s="1569"/>
      <c r="H327" s="446" t="str">
        <f>EUconst_Unit</f>
        <v>Vienība</v>
      </c>
      <c r="I327" s="412">
        <f>I$405</f>
        <v>2019</v>
      </c>
      <c r="J327" s="412">
        <f>J$405</f>
        <v>2020</v>
      </c>
      <c r="K327" s="412">
        <f>K$405</f>
        <v>2021</v>
      </c>
      <c r="L327" s="412">
        <f>L$405</f>
        <v>2022</v>
      </c>
      <c r="M327" s="436">
        <f>M$405</f>
        <v>2023</v>
      </c>
      <c r="N327" s="498"/>
      <c r="O327" s="25"/>
      <c r="S327" s="714"/>
    </row>
    <row r="328" spans="1:19" ht="12.75" customHeight="1" x14ac:dyDescent="0.2">
      <c r="A328" s="20"/>
      <c r="B328" s="38"/>
      <c r="C328" s="38"/>
      <c r="D328" s="212" t="s">
        <v>2</v>
      </c>
      <c r="E328" s="1641" t="str">
        <f t="shared" ref="E328:E334" si="17">INDEX(EUconst_FallBackListNames,Q328)</f>
        <v>Siltuma līmeņatzīmes apakšiekārta, OEP | bez OIM)</v>
      </c>
      <c r="F328" s="1641"/>
      <c r="G328" s="1641"/>
      <c r="H328" s="449" t="str">
        <f t="shared" ref="H328:H335" si="18">EUconst_TJpa</f>
        <v>TJ / gads</v>
      </c>
      <c r="I328" s="699" t="str">
        <f>IF(SUMIF('G_Fall-back'!$P:$P,$P328,'G_Fall-back'!I:I)&gt;0,SUMIF('G_Fall-back'!$P:$P,$P328,'G_Fall-back'!I:I),"")</f>
        <v/>
      </c>
      <c r="J328" s="699" t="str">
        <f>IF(SUMIF('G_Fall-back'!$P:$P,$P328,'G_Fall-back'!J:J)&gt;0,SUMIF('G_Fall-back'!$P:$P,$P328,'G_Fall-back'!J:J),"")</f>
        <v/>
      </c>
      <c r="K328" s="699" t="str">
        <f>IF(SUMIF('G_Fall-back'!$P:$P,$P328,'G_Fall-back'!K:K)&gt;0,SUMIF('G_Fall-back'!$P:$P,$P328,'G_Fall-back'!K:K),"")</f>
        <v/>
      </c>
      <c r="L328" s="699" t="str">
        <f>IF(SUMIF('G_Fall-back'!$P:$P,$P328,'G_Fall-back'!L:L)&gt;0,SUMIF('G_Fall-back'!$P:$P,$P328,'G_Fall-back'!L:L),"")</f>
        <v/>
      </c>
      <c r="M328" s="699" t="str">
        <f>IF(SUMIF('G_Fall-back'!$P:$P,$P328,'G_Fall-back'!M:M)&gt;0,SUMIF('G_Fall-back'!$P:$P,$P328,'G_Fall-back'!M:M),"")</f>
        <v/>
      </c>
      <c r="N328" s="25"/>
      <c r="O328" s="25"/>
      <c r="P328" s="453" t="str">
        <f t="shared" ref="P328:P334" si="19">EUconst_CNTR_WGConsumed &amp; E328</f>
        <v>WasteGasCons_Siltuma līmeņatzīmes apakšiekārta, OEP | bez OIM)</v>
      </c>
      <c r="Q328" s="494">
        <v>1</v>
      </c>
      <c r="S328" s="714"/>
    </row>
    <row r="329" spans="1:19" ht="12.75" customHeight="1" x14ac:dyDescent="0.2">
      <c r="A329" s="20"/>
      <c r="B329" s="38"/>
      <c r="C329" s="38"/>
      <c r="D329" s="212" t="s">
        <v>3</v>
      </c>
      <c r="E329" s="1566" t="str">
        <f t="shared" si="17"/>
        <v>Siltuma līmeņatzīmes apakšiekārta (bez OEP | bez OIM)</v>
      </c>
      <c r="F329" s="1566"/>
      <c r="G329" s="1566"/>
      <c r="H329" s="450" t="str">
        <f t="shared" si="18"/>
        <v>TJ / gads</v>
      </c>
      <c r="I329" s="521" t="str">
        <f>IF(SUMIF('G_Fall-back'!$P:$P,$P329,'G_Fall-back'!I:I)&gt;0,SUMIF('G_Fall-back'!$P:$P,$P329,'G_Fall-back'!I:I),"")</f>
        <v/>
      </c>
      <c r="J329" s="521" t="str">
        <f>IF(SUMIF('G_Fall-back'!$P:$P,$P329,'G_Fall-back'!J:J)&gt;0,SUMIF('G_Fall-back'!$P:$P,$P329,'G_Fall-back'!J:J),"")</f>
        <v/>
      </c>
      <c r="K329" s="521" t="str">
        <f>IF(SUMIF('G_Fall-back'!$P:$P,$P329,'G_Fall-back'!K:K)&gt;0,SUMIF('G_Fall-back'!$P:$P,$P329,'G_Fall-back'!K:K),"")</f>
        <v/>
      </c>
      <c r="L329" s="521" t="str">
        <f>IF(SUMIF('G_Fall-back'!$P:$P,$P329,'G_Fall-back'!L:L)&gt;0,SUMIF('G_Fall-back'!$P:$P,$P329,'G_Fall-back'!L:L),"")</f>
        <v/>
      </c>
      <c r="M329" s="521" t="str">
        <f>IF(SUMIF('G_Fall-back'!$P:$P,$P329,'G_Fall-back'!M:M)&gt;0,SUMIF('G_Fall-back'!$P:$P,$P329,'G_Fall-back'!M:M),"")</f>
        <v/>
      </c>
      <c r="N329" s="25"/>
      <c r="O329" s="25"/>
      <c r="P329" s="453" t="str">
        <f t="shared" si="19"/>
        <v>WasteGasCons_Siltuma līmeņatzīmes apakšiekārta (bez OEP | bez OIM)</v>
      </c>
      <c r="Q329" s="494">
        <v>2</v>
      </c>
      <c r="S329" s="714"/>
    </row>
    <row r="330" spans="1:19" ht="12.75" customHeight="1" x14ac:dyDescent="0.2">
      <c r="A330" s="20"/>
      <c r="B330" s="38"/>
      <c r="C330" s="38"/>
      <c r="D330" s="212" t="s">
        <v>4</v>
      </c>
      <c r="E330" s="1566" t="str">
        <f t="shared" si="17"/>
        <v>Siltuma līmeņatzīmes apakšiekārta, OEP | OIM)</v>
      </c>
      <c r="F330" s="1566"/>
      <c r="G330" s="1566"/>
      <c r="H330" s="450" t="str">
        <f t="shared" si="18"/>
        <v>TJ / gads</v>
      </c>
      <c r="I330" s="521" t="str">
        <f>IF(SUMIF('G_Fall-back'!$P:$P,$P330,'G_Fall-back'!I:I)&gt;0,SUMIF('G_Fall-back'!$P:$P,$P330,'G_Fall-back'!I:I),"")</f>
        <v/>
      </c>
      <c r="J330" s="521" t="str">
        <f>IF(SUMIF('G_Fall-back'!$P:$P,$P330,'G_Fall-back'!J:J)&gt;0,SUMIF('G_Fall-back'!$P:$P,$P330,'G_Fall-back'!J:J),"")</f>
        <v/>
      </c>
      <c r="K330" s="521" t="str">
        <f>IF(SUMIF('G_Fall-back'!$P:$P,$P330,'G_Fall-back'!K:K)&gt;0,SUMIF('G_Fall-back'!$P:$P,$P330,'G_Fall-back'!K:K),"")</f>
        <v/>
      </c>
      <c r="L330" s="521" t="str">
        <f>IF(SUMIF('G_Fall-back'!$P:$P,$P330,'G_Fall-back'!L:L)&gt;0,SUMIF('G_Fall-back'!$P:$P,$P330,'G_Fall-back'!L:L),"")</f>
        <v/>
      </c>
      <c r="M330" s="521" t="str">
        <f>IF(SUMIF('G_Fall-back'!$P:$P,$P330,'G_Fall-back'!M:M)&gt;0,SUMIF('G_Fall-back'!$P:$P,$P330,'G_Fall-back'!M:M),"")</f>
        <v/>
      </c>
      <c r="N330" s="25"/>
      <c r="O330" s="25"/>
      <c r="P330" s="453" t="str">
        <f t="shared" si="19"/>
        <v>WasteGasCons_Siltuma līmeņatzīmes apakšiekārta, OEP | OIM)</v>
      </c>
      <c r="Q330" s="494">
        <v>3</v>
      </c>
      <c r="S330" s="714"/>
    </row>
    <row r="331" spans="1:19" ht="12.75" customHeight="1" x14ac:dyDescent="0.2">
      <c r="A331" s="20"/>
      <c r="B331" s="38"/>
      <c r="C331" s="38"/>
      <c r="D331" s="212" t="s">
        <v>6</v>
      </c>
      <c r="E331" s="1566" t="str">
        <f t="shared" si="17"/>
        <v>Centralizētās siltumapgādes apakšiekārta</v>
      </c>
      <c r="F331" s="1566"/>
      <c r="G331" s="1566"/>
      <c r="H331" s="450" t="str">
        <f t="shared" si="18"/>
        <v>TJ / gads</v>
      </c>
      <c r="I331" s="521" t="str">
        <f>IF(SUMIF('G_Fall-back'!$P:$P,$P331,'G_Fall-back'!I:I)&gt;0,SUMIF('G_Fall-back'!$P:$P,$P331,'G_Fall-back'!I:I),"")</f>
        <v/>
      </c>
      <c r="J331" s="521" t="str">
        <f>IF(SUMIF('G_Fall-back'!$P:$P,$P331,'G_Fall-back'!J:J)&gt;0,SUMIF('G_Fall-back'!$P:$P,$P331,'G_Fall-back'!J:J),"")</f>
        <v/>
      </c>
      <c r="K331" s="521" t="str">
        <f>IF(SUMIF('G_Fall-back'!$P:$P,$P331,'G_Fall-back'!K:K)&gt;0,SUMIF('G_Fall-back'!$P:$P,$P331,'G_Fall-back'!K:K),"")</f>
        <v/>
      </c>
      <c r="L331" s="521" t="str">
        <f>IF(SUMIF('G_Fall-back'!$P:$P,$P331,'G_Fall-back'!L:L)&gt;0,SUMIF('G_Fall-back'!$P:$P,$P331,'G_Fall-back'!L:L),"")</f>
        <v/>
      </c>
      <c r="M331" s="521" t="str">
        <f>IF(SUMIF('G_Fall-back'!$P:$P,$P331,'G_Fall-back'!M:M)&gt;0,SUMIF('G_Fall-back'!$P:$P,$P331,'G_Fall-back'!M:M),"")</f>
        <v/>
      </c>
      <c r="N331" s="25"/>
      <c r="O331" s="25"/>
      <c r="P331" s="453" t="str">
        <f t="shared" si="19"/>
        <v>WasteGasCons_Centralizētās siltumapgādes apakšiekārta</v>
      </c>
      <c r="Q331" s="494">
        <v>4</v>
      </c>
      <c r="S331" s="714"/>
    </row>
    <row r="332" spans="1:19" ht="12.75" customHeight="1" x14ac:dyDescent="0.2">
      <c r="A332" s="20"/>
      <c r="B332" s="38"/>
      <c r="C332" s="38"/>
      <c r="D332" s="440" t="s">
        <v>303</v>
      </c>
      <c r="E332" s="1566" t="str">
        <f t="shared" si="17"/>
        <v>Kurināmā līmeņatzīmes apakšiekārta (OEP | bez OIM)</v>
      </c>
      <c r="F332" s="1566"/>
      <c r="G332" s="1566"/>
      <c r="H332" s="450" t="str">
        <f t="shared" si="18"/>
        <v>TJ / gads</v>
      </c>
      <c r="I332" s="521" t="str">
        <f>IF(SUMIF('G_Fall-back'!$P:$P,$P332,'G_Fall-back'!I:I)&gt;0,SUMIF('G_Fall-back'!$P:$P,$P332,'G_Fall-back'!I:I),"")</f>
        <v/>
      </c>
      <c r="J332" s="521" t="str">
        <f>IF(SUMIF('G_Fall-back'!$P:$P,$P332,'G_Fall-back'!J:J)&gt;0,SUMIF('G_Fall-back'!$P:$P,$P332,'G_Fall-back'!J:J),"")</f>
        <v/>
      </c>
      <c r="K332" s="521" t="str">
        <f>IF(SUMIF('G_Fall-back'!$P:$P,$P332,'G_Fall-back'!K:K)&gt;0,SUMIF('G_Fall-back'!$P:$P,$P332,'G_Fall-back'!K:K),"")</f>
        <v/>
      </c>
      <c r="L332" s="521" t="str">
        <f>IF(SUMIF('G_Fall-back'!$P:$P,$P332,'G_Fall-back'!L:L)&gt;0,SUMIF('G_Fall-back'!$P:$P,$P332,'G_Fall-back'!L:L),"")</f>
        <v/>
      </c>
      <c r="M332" s="521" t="str">
        <f>IF(SUMIF('G_Fall-back'!$P:$P,$P332,'G_Fall-back'!M:M)&gt;0,SUMIF('G_Fall-back'!$P:$P,$P332,'G_Fall-back'!M:M),"")</f>
        <v/>
      </c>
      <c r="N332" s="25"/>
      <c r="O332" s="25"/>
      <c r="P332" s="453" t="str">
        <f t="shared" si="19"/>
        <v>WasteGasCons_Kurināmā līmeņatzīmes apakšiekārta (OEP | bez OIM)</v>
      </c>
      <c r="Q332" s="494">
        <v>5</v>
      </c>
      <c r="S332" s="714"/>
    </row>
    <row r="333" spans="1:19" ht="12.75" customHeight="1" x14ac:dyDescent="0.2">
      <c r="A333" s="20"/>
      <c r="B333" s="38"/>
      <c r="C333" s="38"/>
      <c r="D333" s="440" t="s">
        <v>304</v>
      </c>
      <c r="E333" s="1566" t="str">
        <f t="shared" si="17"/>
        <v>Kurināmā līmeņatzīmes apakšiekārta (bez OEP | bez OIM)</v>
      </c>
      <c r="F333" s="1566"/>
      <c r="G333" s="1566"/>
      <c r="H333" s="450" t="str">
        <f t="shared" si="18"/>
        <v>TJ / gads</v>
      </c>
      <c r="I333" s="521" t="str">
        <f>IF(SUMIF('G_Fall-back'!$P:$P,$P333,'G_Fall-back'!I:I)&gt;0,SUMIF('G_Fall-back'!$P:$P,$P333,'G_Fall-back'!I:I),"")</f>
        <v/>
      </c>
      <c r="J333" s="521" t="str">
        <f>IF(SUMIF('G_Fall-back'!$P:$P,$P333,'G_Fall-back'!J:J)&gt;0,SUMIF('G_Fall-back'!$P:$P,$P333,'G_Fall-back'!J:J),"")</f>
        <v/>
      </c>
      <c r="K333" s="521" t="str">
        <f>IF(SUMIF('G_Fall-back'!$P:$P,$P333,'G_Fall-back'!K:K)&gt;0,SUMIF('G_Fall-back'!$P:$P,$P333,'G_Fall-back'!K:K),"")</f>
        <v/>
      </c>
      <c r="L333" s="521" t="str">
        <f>IF(SUMIF('G_Fall-back'!$P:$P,$P333,'G_Fall-back'!L:L)&gt;0,SUMIF('G_Fall-back'!$P:$P,$P333,'G_Fall-back'!L:L),"")</f>
        <v/>
      </c>
      <c r="M333" s="521" t="str">
        <f>IF(SUMIF('G_Fall-back'!$P:$P,$P333,'G_Fall-back'!M:M)&gt;0,SUMIF('G_Fall-back'!$P:$P,$P333,'G_Fall-back'!M:M),"")</f>
        <v/>
      </c>
      <c r="N333" s="25"/>
      <c r="O333" s="25"/>
      <c r="P333" s="453" t="str">
        <f t="shared" si="19"/>
        <v>WasteGasCons_Kurināmā līmeņatzīmes apakšiekārta (bez OEP | bez OIM)</v>
      </c>
      <c r="Q333" s="494">
        <v>6</v>
      </c>
      <c r="S333" s="714"/>
    </row>
    <row r="334" spans="1:19" ht="12.75" customHeight="1" x14ac:dyDescent="0.2">
      <c r="A334" s="20"/>
      <c r="B334" s="38"/>
      <c r="C334" s="38"/>
      <c r="D334" s="440" t="s">
        <v>305</v>
      </c>
      <c r="E334" s="1636" t="str">
        <f t="shared" si="17"/>
        <v>Kurināmā līmeņatzīmes apakšiekārta (OEP | OIM)</v>
      </c>
      <c r="F334" s="1636"/>
      <c r="G334" s="1636"/>
      <c r="H334" s="451" t="str">
        <f t="shared" si="18"/>
        <v>TJ / gads</v>
      </c>
      <c r="I334" s="700" t="str">
        <f>IF(SUMIF('G_Fall-back'!$P:$P,$P334,'G_Fall-back'!I:I)&gt;0,SUMIF('G_Fall-back'!$P:$P,$P334,'G_Fall-back'!I:I),"")</f>
        <v/>
      </c>
      <c r="J334" s="700" t="str">
        <f>IF(SUMIF('G_Fall-back'!$P:$P,$P334,'G_Fall-back'!J:J)&gt;0,SUMIF('G_Fall-back'!$P:$P,$P334,'G_Fall-back'!J:J),"")</f>
        <v/>
      </c>
      <c r="K334" s="700" t="str">
        <f>IF(SUMIF('G_Fall-back'!$P:$P,$P334,'G_Fall-back'!K:K)&gt;0,SUMIF('G_Fall-back'!$P:$P,$P334,'G_Fall-back'!K:K),"")</f>
        <v/>
      </c>
      <c r="L334" s="700" t="str">
        <f>IF(SUMIF('G_Fall-back'!$P:$P,$P334,'G_Fall-back'!L:L)&gt;0,SUMIF('G_Fall-back'!$P:$P,$P334,'G_Fall-back'!L:L),"")</f>
        <v/>
      </c>
      <c r="M334" s="700" t="str">
        <f>IF(SUMIF('G_Fall-back'!$P:$P,$P334,'G_Fall-back'!M:M)&gt;0,SUMIF('G_Fall-back'!$P:$P,$P334,'G_Fall-back'!M:M),"")</f>
        <v/>
      </c>
      <c r="N334" s="25"/>
      <c r="O334" s="25"/>
      <c r="P334" s="453" t="str">
        <f t="shared" si="19"/>
        <v>WasteGasCons_Kurināmā līmeņatzīmes apakšiekārta (OEP | OIM)</v>
      </c>
      <c r="Q334" s="494">
        <v>7</v>
      </c>
      <c r="S334" s="714"/>
    </row>
    <row r="335" spans="1:19" ht="12.75" customHeight="1" x14ac:dyDescent="0.2">
      <c r="B335" s="38"/>
      <c r="C335" s="38"/>
      <c r="D335" s="440" t="s">
        <v>306</v>
      </c>
      <c r="E335" s="1572" t="str">
        <f>Translations!$B$536</f>
        <v>Starpsumma</v>
      </c>
      <c r="F335" s="1572"/>
      <c r="G335" s="1572"/>
      <c r="H335" s="60" t="str">
        <f t="shared" si="18"/>
        <v>TJ / gads</v>
      </c>
      <c r="I335" s="326" t="str">
        <f>IF(COUNT(I328:I334)&gt;0,SUM(I328:I334),"")</f>
        <v/>
      </c>
      <c r="J335" s="326" t="str">
        <f>IF(COUNT(J328:J334)&gt;0,SUM(J328:J334),"")</f>
        <v/>
      </c>
      <c r="K335" s="326" t="str">
        <f>IF(COUNT(K328:K334)&gt;0,SUM(K328:K334),"")</f>
        <v/>
      </c>
      <c r="L335" s="326" t="str">
        <f>IF(COUNT(L328:L334)&gt;0,SUM(L328:L334),"")</f>
        <v/>
      </c>
      <c r="M335" s="326" t="str">
        <f>IF(COUNT(M328:M334)&gt;0,SUM(M328:M334),"")</f>
        <v/>
      </c>
      <c r="N335" s="25"/>
      <c r="O335" s="25"/>
      <c r="S335" s="714"/>
    </row>
    <row r="336" spans="1:19" ht="5.0999999999999996" customHeight="1" x14ac:dyDescent="0.2">
      <c r="B336" s="38"/>
      <c r="C336" s="38"/>
      <c r="D336" s="38"/>
      <c r="E336" s="414"/>
      <c r="F336" s="38"/>
      <c r="G336" s="38"/>
      <c r="H336" s="38"/>
      <c r="I336" s="38"/>
      <c r="J336" s="38"/>
      <c r="K336" s="38"/>
      <c r="L336" s="38"/>
      <c r="M336" s="38"/>
      <c r="N336" s="38"/>
      <c r="O336" s="25"/>
      <c r="S336" s="714"/>
    </row>
    <row r="337" spans="2:19" x14ac:dyDescent="0.2">
      <c r="B337" s="21"/>
      <c r="C337" s="32"/>
      <c r="D337" s="32" t="s">
        <v>83</v>
      </c>
      <c r="E337" s="1557" t="str">
        <f>Translations!$B$635</f>
        <v>Elektroenerģijas ražošanai patērēto atlikumgāzu daudzums</v>
      </c>
      <c r="F337" s="1558"/>
      <c r="G337" s="1558"/>
      <c r="H337" s="1558"/>
      <c r="I337" s="1558"/>
      <c r="J337" s="1558"/>
      <c r="K337" s="1558"/>
      <c r="L337" s="1558"/>
      <c r="M337" s="1558"/>
      <c r="N337" s="1558"/>
      <c r="O337" s="25"/>
      <c r="P337" s="624"/>
      <c r="S337" s="714"/>
    </row>
    <row r="338" spans="2:19" x14ac:dyDescent="0.2">
      <c r="B338" s="38"/>
      <c r="C338" s="38"/>
      <c r="D338" s="38"/>
      <c r="E338" s="1554" t="str">
        <f>Translations!$B$636</f>
        <v>Elektroenerģijai patērētās atlikumgāzes</v>
      </c>
      <c r="F338" s="1555"/>
      <c r="G338" s="1555"/>
      <c r="H338" s="70" t="str">
        <f>EUconst_TJpa</f>
        <v>TJ / gads</v>
      </c>
      <c r="I338" s="330"/>
      <c r="J338" s="330"/>
      <c r="K338" s="330"/>
      <c r="L338" s="330"/>
      <c r="M338" s="330"/>
      <c r="N338" s="44"/>
      <c r="O338" s="25"/>
      <c r="S338" s="627" t="b">
        <f>S304</f>
        <v>0</v>
      </c>
    </row>
    <row r="339" spans="2:19" ht="5.0999999999999996" customHeight="1" x14ac:dyDescent="0.2">
      <c r="B339" s="21"/>
      <c r="C339" s="21"/>
      <c r="D339" s="21"/>
      <c r="E339" s="21"/>
      <c r="F339" s="21"/>
      <c r="G339" s="21"/>
      <c r="H339" s="21"/>
      <c r="I339" s="21"/>
      <c r="J339" s="21"/>
      <c r="K339" s="21"/>
      <c r="L339" s="21"/>
      <c r="M339" s="21"/>
      <c r="N339" s="21"/>
      <c r="O339" s="25"/>
      <c r="P339" s="624"/>
      <c r="S339" s="714"/>
    </row>
    <row r="340" spans="2:19" ht="12.75" customHeight="1" x14ac:dyDescent="0.2">
      <c r="B340" s="21"/>
      <c r="C340" s="32"/>
      <c r="D340" s="32" t="s">
        <v>211</v>
      </c>
      <c r="E340" s="1557" t="str">
        <f>Translations!$B$637</f>
        <v>Lāpā sadedzināto atlikumgāzu daudzums (izņemot to, kas sadedzināts drošības apsvērumu dēļ)</v>
      </c>
      <c r="F340" s="1558"/>
      <c r="G340" s="1558"/>
      <c r="H340" s="1558"/>
      <c r="I340" s="1558"/>
      <c r="J340" s="1558"/>
      <c r="K340" s="1558"/>
      <c r="L340" s="1558"/>
      <c r="M340" s="1558"/>
      <c r="N340" s="1558"/>
      <c r="O340" s="25"/>
      <c r="P340" s="624"/>
      <c r="S340" s="714"/>
    </row>
    <row r="341" spans="2:19" x14ac:dyDescent="0.2">
      <c r="B341" s="21"/>
      <c r="C341" s="34"/>
      <c r="D341" s="34"/>
      <c r="E341" s="1567" t="str">
        <f>Translations!$B$638</f>
        <v>Attiecībā uz produkta LA apakšiekārtām informācija ir automātiski ņemta no ierakstiem lapā “F_ProductBM”.</v>
      </c>
      <c r="F341" s="1558"/>
      <c r="G341" s="1558"/>
      <c r="H341" s="1558"/>
      <c r="I341" s="1558"/>
      <c r="J341" s="1558"/>
      <c r="K341" s="1558"/>
      <c r="L341" s="1558"/>
      <c r="M341" s="1558"/>
      <c r="N341" s="1558"/>
      <c r="O341" s="25"/>
      <c r="P341" s="624"/>
      <c r="S341" s="714"/>
    </row>
    <row r="342" spans="2:19" x14ac:dyDescent="0.2">
      <c r="B342" s="21"/>
      <c r="C342" s="34"/>
      <c r="D342" s="34"/>
      <c r="E342" s="1567" t="str">
        <f>Translations!$B$639</f>
        <v>Šeit jāieraksta ziņas par atlikumgāzēm, kas radušās ārpus produkta LA apakšiekārtām un nav sadedzinātas drošības apsvērumu dēļ.</v>
      </c>
      <c r="F342" s="1558"/>
      <c r="G342" s="1558"/>
      <c r="H342" s="1558"/>
      <c r="I342" s="1558"/>
      <c r="J342" s="1558"/>
      <c r="K342" s="1558"/>
      <c r="L342" s="1558"/>
      <c r="M342" s="1558"/>
      <c r="N342" s="1558"/>
      <c r="O342" s="25"/>
      <c r="P342" s="624"/>
      <c r="S342" s="714"/>
    </row>
    <row r="343" spans="2:19" x14ac:dyDescent="0.2">
      <c r="B343" s="38"/>
      <c r="C343" s="38"/>
      <c r="D343" s="38"/>
      <c r="E343" s="1570" t="str">
        <f>Translations!$B$614</f>
        <v>Apakšiekārta</v>
      </c>
      <c r="F343" s="1573"/>
      <c r="G343" s="1573"/>
      <c r="H343" s="52" t="str">
        <f>EUconst_Unit</f>
        <v>Vienība</v>
      </c>
      <c r="I343" s="447">
        <f>I$405</f>
        <v>2019</v>
      </c>
      <c r="J343" s="447">
        <f>J$405</f>
        <v>2020</v>
      </c>
      <c r="K343" s="447">
        <f>K$405</f>
        <v>2021</v>
      </c>
      <c r="L343" s="447">
        <f>L$405</f>
        <v>2022</v>
      </c>
      <c r="M343" s="447">
        <f>M$405</f>
        <v>2023</v>
      </c>
      <c r="N343" s="498"/>
      <c r="O343" s="25"/>
      <c r="S343" s="714"/>
    </row>
    <row r="344" spans="2:19" ht="12.75" customHeight="1" x14ac:dyDescent="0.2">
      <c r="B344" s="38"/>
      <c r="C344" s="38"/>
      <c r="D344" s="440" t="s">
        <v>2</v>
      </c>
      <c r="E344" s="1598" t="str">
        <f t="shared" ref="E344:E353" si="20">E313</f>
        <v/>
      </c>
      <c r="F344" s="1598"/>
      <c r="G344" s="1598"/>
      <c r="H344" s="449" t="str">
        <f t="shared" ref="H344:H353" si="21">EUconst_TJpa</f>
        <v>TJ / gads</v>
      </c>
      <c r="I344" s="699" t="str">
        <f>IF(SUMIF(F_ProductBM!$P:$P,$P344,F_ProductBM!I:I)&gt;0,SUMIF(F_ProductBM!$P:$P,$P344,F_ProductBM!I:I),"")</f>
        <v/>
      </c>
      <c r="J344" s="699" t="str">
        <f>IF(SUMIF(F_ProductBM!$P:$P,$P344,F_ProductBM!J:J)&gt;0,SUMIF(F_ProductBM!$P:$P,$P344,F_ProductBM!J:J),"")</f>
        <v/>
      </c>
      <c r="K344" s="699" t="str">
        <f>IF(SUMIF(F_ProductBM!$P:$P,$P344,F_ProductBM!K:K)&gt;0,SUMIF(F_ProductBM!$P:$P,$P344,F_ProductBM!K:K),"")</f>
        <v/>
      </c>
      <c r="L344" s="699" t="str">
        <f>IF(SUMIF(F_ProductBM!$P:$P,$P344,F_ProductBM!L:L)&gt;0,SUMIF(F_ProductBM!$P:$P,$P344,F_ProductBM!L:L),"")</f>
        <v/>
      </c>
      <c r="M344" s="699" t="str">
        <f>IF(SUMIF(F_ProductBM!$P:$P,$P344,F_ProductBM!M:M)&gt;0,SUMIF(F_ProductBM!$P:$P,$P344,F_ProductBM!M:M),"")</f>
        <v/>
      </c>
      <c r="N344" s="25"/>
      <c r="O344" s="25"/>
      <c r="P344" s="453" t="str">
        <f t="shared" ref="P344:P353" si="22">EUconst_CNTR_WGFlared &amp; E344</f>
        <v>WasteGasFlare_</v>
      </c>
      <c r="S344" s="714"/>
    </row>
    <row r="345" spans="2:19" ht="12.75" customHeight="1" x14ac:dyDescent="0.2">
      <c r="B345" s="38"/>
      <c r="C345" s="38"/>
      <c r="D345" s="440" t="s">
        <v>3</v>
      </c>
      <c r="E345" s="1571" t="str">
        <f t="shared" si="20"/>
        <v/>
      </c>
      <c r="F345" s="1571"/>
      <c r="G345" s="1571"/>
      <c r="H345" s="450" t="str">
        <f t="shared" si="21"/>
        <v>TJ / gads</v>
      </c>
      <c r="I345" s="521" t="str">
        <f>IF(SUMIF(F_ProductBM!$P:$P,$P345,F_ProductBM!I:I)&gt;0,SUMIF(F_ProductBM!$P:$P,$P345,F_ProductBM!I:I),"")</f>
        <v/>
      </c>
      <c r="J345" s="521" t="str">
        <f>IF(SUMIF(F_ProductBM!$P:$P,$P345,F_ProductBM!J:J)&gt;0,SUMIF(F_ProductBM!$P:$P,$P345,F_ProductBM!J:J),"")</f>
        <v/>
      </c>
      <c r="K345" s="521" t="str">
        <f>IF(SUMIF(F_ProductBM!$P:$P,$P345,F_ProductBM!K:K)&gt;0,SUMIF(F_ProductBM!$P:$P,$P345,F_ProductBM!K:K),"")</f>
        <v/>
      </c>
      <c r="L345" s="521" t="str">
        <f>IF(SUMIF(F_ProductBM!$P:$P,$P345,F_ProductBM!L:L)&gt;0,SUMIF(F_ProductBM!$P:$P,$P345,F_ProductBM!L:L),"")</f>
        <v/>
      </c>
      <c r="M345" s="521" t="str">
        <f>IF(SUMIF(F_ProductBM!$P:$P,$P345,F_ProductBM!M:M)&gt;0,SUMIF(F_ProductBM!$P:$P,$P345,F_ProductBM!M:M),"")</f>
        <v/>
      </c>
      <c r="N345" s="25"/>
      <c r="O345" s="25"/>
      <c r="P345" s="453" t="str">
        <f t="shared" si="22"/>
        <v>WasteGasFlare_</v>
      </c>
      <c r="S345" s="714"/>
    </row>
    <row r="346" spans="2:19" ht="12.75" customHeight="1" x14ac:dyDescent="0.2">
      <c r="B346" s="38"/>
      <c r="C346" s="38"/>
      <c r="D346" s="440" t="s">
        <v>4</v>
      </c>
      <c r="E346" s="1571" t="str">
        <f t="shared" si="20"/>
        <v/>
      </c>
      <c r="F346" s="1571"/>
      <c r="G346" s="1571"/>
      <c r="H346" s="450" t="str">
        <f t="shared" si="21"/>
        <v>TJ / gads</v>
      </c>
      <c r="I346" s="521" t="str">
        <f>IF(SUMIF(F_ProductBM!$P:$P,$P346,F_ProductBM!I:I)&gt;0,SUMIF(F_ProductBM!$P:$P,$P346,F_ProductBM!I:I),"")</f>
        <v/>
      </c>
      <c r="J346" s="521" t="str">
        <f>IF(SUMIF(F_ProductBM!$P:$P,$P346,F_ProductBM!J:J)&gt;0,SUMIF(F_ProductBM!$P:$P,$P346,F_ProductBM!J:J),"")</f>
        <v/>
      </c>
      <c r="K346" s="521" t="str">
        <f>IF(SUMIF(F_ProductBM!$P:$P,$P346,F_ProductBM!K:K)&gt;0,SUMIF(F_ProductBM!$P:$P,$P346,F_ProductBM!K:K),"")</f>
        <v/>
      </c>
      <c r="L346" s="521" t="str">
        <f>IF(SUMIF(F_ProductBM!$P:$P,$P346,F_ProductBM!L:L)&gt;0,SUMIF(F_ProductBM!$P:$P,$P346,F_ProductBM!L:L),"")</f>
        <v/>
      </c>
      <c r="M346" s="521" t="str">
        <f>IF(SUMIF(F_ProductBM!$P:$P,$P346,F_ProductBM!M:M)&gt;0,SUMIF(F_ProductBM!$P:$P,$P346,F_ProductBM!M:M),"")</f>
        <v/>
      </c>
      <c r="N346" s="25"/>
      <c r="O346" s="25"/>
      <c r="P346" s="453" t="str">
        <f t="shared" si="22"/>
        <v>WasteGasFlare_</v>
      </c>
      <c r="S346" s="714"/>
    </row>
    <row r="347" spans="2:19" ht="12.75" customHeight="1" x14ac:dyDescent="0.2">
      <c r="B347" s="38"/>
      <c r="C347" s="38"/>
      <c r="D347" s="440" t="s">
        <v>6</v>
      </c>
      <c r="E347" s="1571" t="str">
        <f t="shared" si="20"/>
        <v/>
      </c>
      <c r="F347" s="1571"/>
      <c r="G347" s="1571"/>
      <c r="H347" s="450" t="str">
        <f t="shared" si="21"/>
        <v>TJ / gads</v>
      </c>
      <c r="I347" s="521" t="str">
        <f>IF(SUMIF(F_ProductBM!$P:$P,$P347,F_ProductBM!I:I)&gt;0,SUMIF(F_ProductBM!$P:$P,$P347,F_ProductBM!I:I),"")</f>
        <v/>
      </c>
      <c r="J347" s="521" t="str">
        <f>IF(SUMIF(F_ProductBM!$P:$P,$P347,F_ProductBM!J:J)&gt;0,SUMIF(F_ProductBM!$P:$P,$P347,F_ProductBM!J:J),"")</f>
        <v/>
      </c>
      <c r="K347" s="521" t="str">
        <f>IF(SUMIF(F_ProductBM!$P:$P,$P347,F_ProductBM!K:K)&gt;0,SUMIF(F_ProductBM!$P:$P,$P347,F_ProductBM!K:K),"")</f>
        <v/>
      </c>
      <c r="L347" s="521" t="str">
        <f>IF(SUMIF(F_ProductBM!$P:$P,$P347,F_ProductBM!L:L)&gt;0,SUMIF(F_ProductBM!$P:$P,$P347,F_ProductBM!L:L),"")</f>
        <v/>
      </c>
      <c r="M347" s="521" t="str">
        <f>IF(SUMIF(F_ProductBM!$P:$P,$P347,F_ProductBM!M:M)&gt;0,SUMIF(F_ProductBM!$P:$P,$P347,F_ProductBM!M:M),"")</f>
        <v/>
      </c>
      <c r="N347" s="25"/>
      <c r="O347" s="25"/>
      <c r="P347" s="453" t="str">
        <f t="shared" si="22"/>
        <v>WasteGasFlare_</v>
      </c>
      <c r="S347" s="714"/>
    </row>
    <row r="348" spans="2:19" ht="12.75" customHeight="1" x14ac:dyDescent="0.2">
      <c r="B348" s="38"/>
      <c r="C348" s="38"/>
      <c r="D348" s="440" t="s">
        <v>303</v>
      </c>
      <c r="E348" s="1571" t="str">
        <f t="shared" si="20"/>
        <v/>
      </c>
      <c r="F348" s="1571"/>
      <c r="G348" s="1571"/>
      <c r="H348" s="450" t="str">
        <f t="shared" si="21"/>
        <v>TJ / gads</v>
      </c>
      <c r="I348" s="521" t="str">
        <f>IF(SUMIF(F_ProductBM!$P:$P,$P348,F_ProductBM!I:I)&gt;0,SUMIF(F_ProductBM!$P:$P,$P348,F_ProductBM!I:I),"")</f>
        <v/>
      </c>
      <c r="J348" s="521" t="str">
        <f>IF(SUMIF(F_ProductBM!$P:$P,$P348,F_ProductBM!J:J)&gt;0,SUMIF(F_ProductBM!$P:$P,$P348,F_ProductBM!J:J),"")</f>
        <v/>
      </c>
      <c r="K348" s="521" t="str">
        <f>IF(SUMIF(F_ProductBM!$P:$P,$P348,F_ProductBM!K:K)&gt;0,SUMIF(F_ProductBM!$P:$P,$P348,F_ProductBM!K:K),"")</f>
        <v/>
      </c>
      <c r="L348" s="521" t="str">
        <f>IF(SUMIF(F_ProductBM!$P:$P,$P348,F_ProductBM!L:L)&gt;0,SUMIF(F_ProductBM!$P:$P,$P348,F_ProductBM!L:L),"")</f>
        <v/>
      </c>
      <c r="M348" s="521" t="str">
        <f>IF(SUMIF(F_ProductBM!$P:$P,$P348,F_ProductBM!M:M)&gt;0,SUMIF(F_ProductBM!$P:$P,$P348,F_ProductBM!M:M),"")</f>
        <v/>
      </c>
      <c r="N348" s="25"/>
      <c r="O348" s="25"/>
      <c r="P348" s="453" t="str">
        <f t="shared" si="22"/>
        <v>WasteGasFlare_</v>
      </c>
      <c r="S348" s="714"/>
    </row>
    <row r="349" spans="2:19" ht="12.75" customHeight="1" x14ac:dyDescent="0.2">
      <c r="B349" s="38"/>
      <c r="C349" s="38"/>
      <c r="D349" s="440" t="s">
        <v>304</v>
      </c>
      <c r="E349" s="1571" t="str">
        <f t="shared" si="20"/>
        <v/>
      </c>
      <c r="F349" s="1571"/>
      <c r="G349" s="1571"/>
      <c r="H349" s="450" t="str">
        <f t="shared" si="21"/>
        <v>TJ / gads</v>
      </c>
      <c r="I349" s="521" t="str">
        <f>IF(SUMIF(F_ProductBM!$P:$P,$P349,F_ProductBM!I:I)&gt;0,SUMIF(F_ProductBM!$P:$P,$P349,F_ProductBM!I:I),"")</f>
        <v/>
      </c>
      <c r="J349" s="521" t="str">
        <f>IF(SUMIF(F_ProductBM!$P:$P,$P349,F_ProductBM!J:J)&gt;0,SUMIF(F_ProductBM!$P:$P,$P349,F_ProductBM!J:J),"")</f>
        <v/>
      </c>
      <c r="K349" s="521" t="str">
        <f>IF(SUMIF(F_ProductBM!$P:$P,$P349,F_ProductBM!K:K)&gt;0,SUMIF(F_ProductBM!$P:$P,$P349,F_ProductBM!K:K),"")</f>
        <v/>
      </c>
      <c r="L349" s="521" t="str">
        <f>IF(SUMIF(F_ProductBM!$P:$P,$P349,F_ProductBM!L:L)&gt;0,SUMIF(F_ProductBM!$P:$P,$P349,F_ProductBM!L:L),"")</f>
        <v/>
      </c>
      <c r="M349" s="521" t="str">
        <f>IF(SUMIF(F_ProductBM!$P:$P,$P349,F_ProductBM!M:M)&gt;0,SUMIF(F_ProductBM!$P:$P,$P349,F_ProductBM!M:M),"")</f>
        <v/>
      </c>
      <c r="N349" s="25"/>
      <c r="O349" s="25"/>
      <c r="P349" s="453" t="str">
        <f t="shared" si="22"/>
        <v>WasteGasFlare_</v>
      </c>
      <c r="S349" s="714"/>
    </row>
    <row r="350" spans="2:19" ht="12.75" customHeight="1" x14ac:dyDescent="0.2">
      <c r="B350" s="38"/>
      <c r="C350" s="38"/>
      <c r="D350" s="440" t="s">
        <v>305</v>
      </c>
      <c r="E350" s="1571" t="str">
        <f t="shared" si="20"/>
        <v/>
      </c>
      <c r="F350" s="1571"/>
      <c r="G350" s="1571"/>
      <c r="H350" s="450" t="str">
        <f t="shared" si="21"/>
        <v>TJ / gads</v>
      </c>
      <c r="I350" s="521" t="str">
        <f>IF(SUMIF(F_ProductBM!$P:$P,$P350,F_ProductBM!I:I)&gt;0,SUMIF(F_ProductBM!$P:$P,$P350,F_ProductBM!I:I),"")</f>
        <v/>
      </c>
      <c r="J350" s="521" t="str">
        <f>IF(SUMIF(F_ProductBM!$P:$P,$P350,F_ProductBM!J:J)&gt;0,SUMIF(F_ProductBM!$P:$P,$P350,F_ProductBM!J:J),"")</f>
        <v/>
      </c>
      <c r="K350" s="521" t="str">
        <f>IF(SUMIF(F_ProductBM!$P:$P,$P350,F_ProductBM!K:K)&gt;0,SUMIF(F_ProductBM!$P:$P,$P350,F_ProductBM!K:K),"")</f>
        <v/>
      </c>
      <c r="L350" s="521" t="str">
        <f>IF(SUMIF(F_ProductBM!$P:$P,$P350,F_ProductBM!L:L)&gt;0,SUMIF(F_ProductBM!$P:$P,$P350,F_ProductBM!L:L),"")</f>
        <v/>
      </c>
      <c r="M350" s="521" t="str">
        <f>IF(SUMIF(F_ProductBM!$P:$P,$P350,F_ProductBM!M:M)&gt;0,SUMIF(F_ProductBM!$P:$P,$P350,F_ProductBM!M:M),"")</f>
        <v/>
      </c>
      <c r="N350" s="25"/>
      <c r="O350" s="25"/>
      <c r="P350" s="453" t="str">
        <f t="shared" si="22"/>
        <v>WasteGasFlare_</v>
      </c>
      <c r="S350" s="714"/>
    </row>
    <row r="351" spans="2:19" ht="12.75" customHeight="1" x14ac:dyDescent="0.2">
      <c r="B351" s="38"/>
      <c r="C351" s="38"/>
      <c r="D351" s="440" t="s">
        <v>306</v>
      </c>
      <c r="E351" s="1571" t="str">
        <f t="shared" si="20"/>
        <v/>
      </c>
      <c r="F351" s="1571"/>
      <c r="G351" s="1571"/>
      <c r="H351" s="450" t="str">
        <f t="shared" si="21"/>
        <v>TJ / gads</v>
      </c>
      <c r="I351" s="521" t="str">
        <f>IF(SUMIF(F_ProductBM!$P:$P,$P351,F_ProductBM!I:I)&gt;0,SUMIF(F_ProductBM!$P:$P,$P351,F_ProductBM!I:I),"")</f>
        <v/>
      </c>
      <c r="J351" s="521" t="str">
        <f>IF(SUMIF(F_ProductBM!$P:$P,$P351,F_ProductBM!J:J)&gt;0,SUMIF(F_ProductBM!$P:$P,$P351,F_ProductBM!J:J),"")</f>
        <v/>
      </c>
      <c r="K351" s="521" t="str">
        <f>IF(SUMIF(F_ProductBM!$P:$P,$P351,F_ProductBM!K:K)&gt;0,SUMIF(F_ProductBM!$P:$P,$P351,F_ProductBM!K:K),"")</f>
        <v/>
      </c>
      <c r="L351" s="521" t="str">
        <f>IF(SUMIF(F_ProductBM!$P:$P,$P351,F_ProductBM!L:L)&gt;0,SUMIF(F_ProductBM!$P:$P,$P351,F_ProductBM!L:L),"")</f>
        <v/>
      </c>
      <c r="M351" s="521" t="str">
        <f>IF(SUMIF(F_ProductBM!$P:$P,$P351,F_ProductBM!M:M)&gt;0,SUMIF(F_ProductBM!$P:$P,$P351,F_ProductBM!M:M),"")</f>
        <v/>
      </c>
      <c r="N351" s="25"/>
      <c r="O351" s="25"/>
      <c r="P351" s="453" t="str">
        <f t="shared" si="22"/>
        <v>WasteGasFlare_</v>
      </c>
      <c r="S351" s="714"/>
    </row>
    <row r="352" spans="2:19" ht="12.75" customHeight="1" x14ac:dyDescent="0.2">
      <c r="B352" s="38"/>
      <c r="C352" s="38"/>
      <c r="D352" s="440" t="s">
        <v>307</v>
      </c>
      <c r="E352" s="1571" t="str">
        <f t="shared" si="20"/>
        <v/>
      </c>
      <c r="F352" s="1571"/>
      <c r="G352" s="1571"/>
      <c r="H352" s="450" t="str">
        <f t="shared" si="21"/>
        <v>TJ / gads</v>
      </c>
      <c r="I352" s="521" t="str">
        <f>IF(SUMIF(F_ProductBM!$P:$P,$P352,F_ProductBM!I:I)&gt;0,SUMIF(F_ProductBM!$P:$P,$P352,F_ProductBM!I:I),"")</f>
        <v/>
      </c>
      <c r="J352" s="521" t="str">
        <f>IF(SUMIF(F_ProductBM!$P:$P,$P352,F_ProductBM!J:J)&gt;0,SUMIF(F_ProductBM!$P:$P,$P352,F_ProductBM!J:J),"")</f>
        <v/>
      </c>
      <c r="K352" s="521" t="str">
        <f>IF(SUMIF(F_ProductBM!$P:$P,$P352,F_ProductBM!K:K)&gt;0,SUMIF(F_ProductBM!$P:$P,$P352,F_ProductBM!K:K),"")</f>
        <v/>
      </c>
      <c r="L352" s="521" t="str">
        <f>IF(SUMIF(F_ProductBM!$P:$P,$P352,F_ProductBM!L:L)&gt;0,SUMIF(F_ProductBM!$P:$P,$P352,F_ProductBM!L:L),"")</f>
        <v/>
      </c>
      <c r="M352" s="521" t="str">
        <f>IF(SUMIF(F_ProductBM!$P:$P,$P352,F_ProductBM!M:M)&gt;0,SUMIF(F_ProductBM!$P:$P,$P352,F_ProductBM!M:M),"")</f>
        <v/>
      </c>
      <c r="N352" s="25"/>
      <c r="O352" s="25"/>
      <c r="P352" s="453" t="str">
        <f t="shared" si="22"/>
        <v>WasteGasFlare_</v>
      </c>
      <c r="S352" s="714"/>
    </row>
    <row r="353" spans="2:19" ht="12.75" customHeight="1" x14ac:dyDescent="0.2">
      <c r="B353" s="38"/>
      <c r="C353" s="38"/>
      <c r="D353" s="440" t="s">
        <v>15</v>
      </c>
      <c r="E353" s="1595" t="str">
        <f t="shared" si="20"/>
        <v/>
      </c>
      <c r="F353" s="1595"/>
      <c r="G353" s="1595"/>
      <c r="H353" s="451" t="str">
        <f t="shared" si="21"/>
        <v>TJ / gads</v>
      </c>
      <c r="I353" s="700" t="str">
        <f>IF(SUMIF(F_ProductBM!$P:$P,$P353,F_ProductBM!I:I)&gt;0,SUMIF(F_ProductBM!$P:$P,$P353,F_ProductBM!I:I),"")</f>
        <v/>
      </c>
      <c r="J353" s="700" t="str">
        <f>IF(SUMIF(F_ProductBM!$P:$P,$P353,F_ProductBM!J:J)&gt;0,SUMIF(F_ProductBM!$P:$P,$P353,F_ProductBM!J:J),"")</f>
        <v/>
      </c>
      <c r="K353" s="700" t="str">
        <f>IF(SUMIF(F_ProductBM!$P:$P,$P353,F_ProductBM!K:K)&gt;0,SUMIF(F_ProductBM!$P:$P,$P353,F_ProductBM!K:K),"")</f>
        <v/>
      </c>
      <c r="L353" s="700" t="str">
        <f>IF(SUMIF(F_ProductBM!$P:$P,$P353,F_ProductBM!L:L)&gt;0,SUMIF(F_ProductBM!$P:$P,$P353,F_ProductBM!L:L),"")</f>
        <v/>
      </c>
      <c r="M353" s="700" t="str">
        <f>IF(SUMIF(F_ProductBM!$P:$P,$P353,F_ProductBM!M:M)&gt;0,SUMIF(F_ProductBM!$P:$P,$P353,F_ProductBM!M:M),"")</f>
        <v/>
      </c>
      <c r="N353" s="25"/>
      <c r="O353" s="25"/>
      <c r="P353" s="453" t="str">
        <f t="shared" si="22"/>
        <v>WasteGasFlare_</v>
      </c>
      <c r="S353" s="714"/>
    </row>
    <row r="354" spans="2:19" ht="25.5" customHeight="1" x14ac:dyDescent="0.2">
      <c r="B354" s="38"/>
      <c r="C354" s="38"/>
      <c r="D354" s="440" t="s">
        <v>16</v>
      </c>
      <c r="E354" s="1625" t="str">
        <f>Translations!$B$640</f>
        <v>radušās ārpus produkta LA apakšiekārtām</v>
      </c>
      <c r="F354" s="1573"/>
      <c r="G354" s="1573"/>
      <c r="H354" s="69" t="str">
        <f>EUconst_TJpa</f>
        <v>TJ / gads</v>
      </c>
      <c r="I354" s="338"/>
      <c r="J354" s="338"/>
      <c r="K354" s="338"/>
      <c r="L354" s="338"/>
      <c r="M354" s="338"/>
      <c r="N354" s="44"/>
      <c r="O354" s="25"/>
      <c r="S354" s="627" t="b">
        <f>S338</f>
        <v>0</v>
      </c>
    </row>
    <row r="355" spans="2:19" ht="12.75" customHeight="1" x14ac:dyDescent="0.2">
      <c r="B355" s="38"/>
      <c r="C355" s="38"/>
      <c r="D355" s="440" t="s">
        <v>17</v>
      </c>
      <c r="E355" s="1572" t="str">
        <f>Translations!$B$536</f>
        <v>Starpsumma</v>
      </c>
      <c r="F355" s="1572"/>
      <c r="G355" s="1572"/>
      <c r="H355" s="70" t="str">
        <f>EUconst_TJpa</f>
        <v>TJ / gads</v>
      </c>
      <c r="I355" s="328" t="str">
        <f>IF(COUNT(I344:I354)&gt;0,SUM(I344:I354),"")</f>
        <v/>
      </c>
      <c r="J355" s="328" t="str">
        <f>IF(COUNT(J344:J354)&gt;0,SUM(J344:J354),"")</f>
        <v/>
      </c>
      <c r="K355" s="328" t="str">
        <f>IF(COUNT(K344:K354)&gt;0,SUM(K344:K354),"")</f>
        <v/>
      </c>
      <c r="L355" s="328" t="str">
        <f>IF(COUNT(L344:L354)&gt;0,SUM(L344:L354),"")</f>
        <v/>
      </c>
      <c r="M355" s="328" t="str">
        <f>IF(COUNT(M344:M354)&gt;0,SUM(M344:M354),"")</f>
        <v/>
      </c>
      <c r="N355" s="44"/>
      <c r="O355" s="25"/>
      <c r="S355" s="714"/>
    </row>
    <row r="356" spans="2:19" ht="5.0999999999999996" customHeight="1" x14ac:dyDescent="0.2">
      <c r="B356" s="21"/>
      <c r="C356" s="21"/>
      <c r="D356" s="21"/>
      <c r="E356" s="21"/>
      <c r="F356" s="21"/>
      <c r="G356" s="21"/>
      <c r="H356" s="21"/>
      <c r="I356" s="21"/>
      <c r="J356" s="21"/>
      <c r="K356" s="21"/>
      <c r="L356" s="21"/>
      <c r="M356" s="21"/>
      <c r="N356" s="21"/>
      <c r="O356" s="25"/>
      <c r="P356" s="624"/>
      <c r="S356" s="714"/>
    </row>
    <row r="357" spans="2:19" x14ac:dyDescent="0.2">
      <c r="B357" s="21"/>
      <c r="C357" s="32"/>
      <c r="D357" s="32" t="s">
        <v>212</v>
      </c>
      <c r="E357" s="1557" t="str">
        <f>Translations!$B$1657</f>
        <v>Atlikumgāzu daudzums, kas patērēts izmērāma siltuma ražošanai UN eksportēts uz citām ES ETS iekārtām</v>
      </c>
      <c r="F357" s="1558"/>
      <c r="G357" s="1558"/>
      <c r="H357" s="1558"/>
      <c r="I357" s="1558"/>
      <c r="J357" s="1558"/>
      <c r="K357" s="1558"/>
      <c r="L357" s="1558"/>
      <c r="M357" s="1558"/>
      <c r="N357" s="1558"/>
      <c r="O357" s="25"/>
      <c r="P357" s="624"/>
      <c r="S357" s="714"/>
    </row>
    <row r="358" spans="2:19" ht="25.5" customHeight="1" x14ac:dyDescent="0.2">
      <c r="B358" s="21"/>
      <c r="C358" s="34"/>
      <c r="D358" s="34"/>
      <c r="E358" s="1567" t="str">
        <f>Translations!$B$1658</f>
        <v>Te ietilpst tikai atlikumgāzes, ko iekārtā patērē, lai ražotu izmērāmu siltumu, UN šis izmērāmais siltums tiek eksportēts uz citu ES ETS iekārtu. Jebkādas tieši eksportētās atlikumgāzes jāiekļauj nevis šeit, bet gan e) punktā.</v>
      </c>
      <c r="F358" s="1558"/>
      <c r="G358" s="1558"/>
      <c r="H358" s="1558"/>
      <c r="I358" s="1558"/>
      <c r="J358" s="1558"/>
      <c r="K358" s="1558"/>
      <c r="L358" s="1558"/>
      <c r="M358" s="1558"/>
      <c r="N358" s="1558"/>
      <c r="O358" s="25"/>
      <c r="P358" s="624"/>
      <c r="S358" s="714"/>
    </row>
    <row r="359" spans="2:19" x14ac:dyDescent="0.2">
      <c r="B359" s="38"/>
      <c r="C359" s="38"/>
      <c r="D359" s="38"/>
      <c r="E359" s="1554" t="str">
        <f>Translations!$B$1659</f>
        <v>Atlikumgāzes uz citām ES ETS siltuma vajadzībām</v>
      </c>
      <c r="F359" s="1555"/>
      <c r="G359" s="1555"/>
      <c r="H359" s="70" t="str">
        <f>EUconst_TJpa</f>
        <v>TJ / gads</v>
      </c>
      <c r="I359" s="330"/>
      <c r="J359" s="330"/>
      <c r="K359" s="330"/>
      <c r="L359" s="330"/>
      <c r="M359" s="330"/>
      <c r="N359" s="44"/>
      <c r="O359" s="25"/>
      <c r="S359" s="627" t="b">
        <f>S354</f>
        <v>0</v>
      </c>
    </row>
    <row r="360" spans="2:19" ht="5.0999999999999996" customHeight="1" thickBot="1" x14ac:dyDescent="0.25">
      <c r="B360" s="21"/>
      <c r="C360" s="21"/>
      <c r="D360" s="21"/>
      <c r="E360" s="21"/>
      <c r="F360" s="21"/>
      <c r="G360" s="21"/>
      <c r="H360" s="21"/>
      <c r="I360" s="21"/>
      <c r="J360" s="21"/>
      <c r="K360" s="21"/>
      <c r="L360" s="21"/>
      <c r="M360" s="21"/>
      <c r="N360" s="21"/>
      <c r="O360" s="25"/>
      <c r="P360" s="624"/>
      <c r="S360" s="1112"/>
    </row>
    <row r="361" spans="2:19" ht="12.75" customHeight="1" x14ac:dyDescent="0.2">
      <c r="B361" s="21"/>
      <c r="C361" s="32"/>
      <c r="D361" s="32" t="s">
        <v>213</v>
      </c>
      <c r="E361" s="1557" t="str">
        <f>Translations!$B$641</f>
        <v>Ticamības pārbaude</v>
      </c>
      <c r="F361" s="1558"/>
      <c r="G361" s="1558"/>
      <c r="H361" s="1558"/>
      <c r="I361" s="1558"/>
      <c r="J361" s="1558"/>
      <c r="K361" s="1558"/>
      <c r="L361" s="1558"/>
      <c r="M361" s="1558"/>
      <c r="N361" s="1558"/>
      <c r="O361" s="25"/>
      <c r="P361" s="624"/>
    </row>
    <row r="362" spans="2:19" x14ac:dyDescent="0.2">
      <c r="B362" s="21"/>
      <c r="C362" s="34"/>
      <c r="D362" s="34"/>
      <c r="E362" s="1567" t="str">
        <f>Translations!$B$642</f>
        <v>Pārbaudes mērķis ir pārliecināties par atlikumgāzu bilances pilnīgumu. Ja tā nav nulle, pārbaudiet, vai iepriekš norādītās vērtības nav pretrunīgas.</v>
      </c>
      <c r="F362" s="1558"/>
      <c r="G362" s="1558"/>
      <c r="H362" s="1558"/>
      <c r="I362" s="1558"/>
      <c r="J362" s="1558"/>
      <c r="K362" s="1558"/>
      <c r="L362" s="1558"/>
      <c r="M362" s="1558"/>
      <c r="N362" s="1558"/>
      <c r="O362" s="25"/>
      <c r="P362" s="624"/>
    </row>
    <row r="363" spans="2:19" ht="12.75" customHeight="1" x14ac:dyDescent="0.2">
      <c r="B363" s="38"/>
      <c r="C363" s="38"/>
      <c r="D363" s="212" t="s">
        <v>2</v>
      </c>
      <c r="E363" s="1554" t="str">
        <f>Translations!$B$643</f>
        <v>Starpība (aprēķinātā)</v>
      </c>
      <c r="F363" s="1555"/>
      <c r="G363" s="1555"/>
      <c r="H363" s="70" t="str">
        <f>EUconst_TJpa</f>
        <v>TJ / gads</v>
      </c>
      <c r="I363" s="328" t="str">
        <f>IF(COUNT(I308)&gt;0,I308-SUM(I323,I335,I338,I355,I359),"")</f>
        <v/>
      </c>
      <c r="J363" s="328" t="str">
        <f>IF(COUNT(J308)&gt;0,J308-SUM(J323,J335,J338,J355,J359),"")</f>
        <v/>
      </c>
      <c r="K363" s="328" t="str">
        <f>IF(COUNT(K308)&gt;0,K308-SUM(K323,K335,K338,K355,K359),"")</f>
        <v/>
      </c>
      <c r="L363" s="328" t="str">
        <f>IF(COUNT(L308)&gt;0,L308-SUM(L323,L335,L338,L355,L359),"")</f>
        <v/>
      </c>
      <c r="M363" s="328" t="str">
        <f>IF(COUNT(M308)&gt;0,M308-SUM(M323,M335,M338,M355,M359),"")</f>
        <v/>
      </c>
      <c r="N363" s="44"/>
      <c r="O363" s="25"/>
    </row>
    <row r="364" spans="2:19" ht="12.75" customHeight="1" x14ac:dyDescent="0.2">
      <c r="B364" s="38"/>
      <c r="C364" s="38"/>
      <c r="D364" s="212" t="s">
        <v>3</v>
      </c>
      <c r="E364" s="1554" t="str">
        <f>Translations!$B$644</f>
        <v>Starpība (kā f) daļa)</v>
      </c>
      <c r="F364" s="1555"/>
      <c r="G364" s="1555"/>
      <c r="H364" s="579" t="s">
        <v>393</v>
      </c>
      <c r="I364" s="326" t="str">
        <f>IF(I363="","",IF(I308=0,0,I363/I308*100))</f>
        <v/>
      </c>
      <c r="J364" s="326" t="str">
        <f>IF(J363="","",IF(J308=0,0,J363/J308*100))</f>
        <v/>
      </c>
      <c r="K364" s="326" t="str">
        <f>IF(K363="","",IF(K308=0,0,K363/K308*100))</f>
        <v/>
      </c>
      <c r="L364" s="326" t="str">
        <f>IF(L363="","",IF(L308=0,0,L363/L308*100))</f>
        <v/>
      </c>
      <c r="M364" s="326" t="str">
        <f>IF(M363="","",IF(M308=0,0,M363/M308*100))</f>
        <v/>
      </c>
      <c r="N364" s="44"/>
      <c r="O364" s="25"/>
    </row>
    <row r="365" spans="2:19" x14ac:dyDescent="0.2">
      <c r="B365" s="38"/>
      <c r="C365" s="38"/>
      <c r="D365" s="38"/>
      <c r="E365" s="38"/>
      <c r="F365" s="38"/>
      <c r="G365" s="38"/>
      <c r="H365" s="38"/>
      <c r="I365" s="38"/>
      <c r="J365" s="38"/>
      <c r="K365" s="38"/>
      <c r="L365" s="38"/>
      <c r="M365" s="38"/>
      <c r="N365" s="38"/>
      <c r="O365" s="25"/>
    </row>
    <row r="366" spans="2:19" ht="15.75" x14ac:dyDescent="0.25">
      <c r="B366" s="21"/>
      <c r="C366" s="30" t="s">
        <v>5</v>
      </c>
      <c r="D366" s="1596" t="str">
        <f>Translations!$B$487</f>
        <v>Elektroenerģija</v>
      </c>
      <c r="E366" s="1596"/>
      <c r="F366" s="1596"/>
      <c r="G366" s="1596"/>
      <c r="H366" s="1596"/>
      <c r="I366" s="1596"/>
      <c r="J366" s="1596"/>
      <c r="K366" s="1596"/>
      <c r="L366" s="1596"/>
      <c r="M366" s="1596"/>
      <c r="N366" s="1596"/>
      <c r="O366" s="25"/>
      <c r="P366" s="624"/>
    </row>
    <row r="367" spans="2:19" ht="5.0999999999999996" customHeight="1" x14ac:dyDescent="0.2">
      <c r="B367" s="21"/>
      <c r="C367" s="21"/>
      <c r="D367" s="21"/>
      <c r="E367" s="21"/>
      <c r="F367" s="21"/>
      <c r="G367" s="21"/>
      <c r="H367" s="21"/>
      <c r="I367" s="21"/>
      <c r="J367" s="21"/>
      <c r="K367" s="21"/>
      <c r="L367" s="21"/>
      <c r="M367" s="25"/>
      <c r="N367" s="25"/>
      <c r="O367" s="25"/>
      <c r="P367" s="624"/>
    </row>
    <row r="368" spans="2:19" ht="15" x14ac:dyDescent="0.25">
      <c r="B368" s="21"/>
      <c r="C368" s="36"/>
      <c r="D368" s="1594" t="str">
        <f>Translations!$B$645</f>
        <v>Pilnīga iekārtas elektroenerģijas bilance</v>
      </c>
      <c r="E368" s="1558"/>
      <c r="F368" s="1558"/>
      <c r="G368" s="1558"/>
      <c r="H368" s="1558"/>
      <c r="I368" s="1558"/>
      <c r="J368" s="1558"/>
      <c r="K368" s="1558"/>
      <c r="L368" s="1558"/>
      <c r="M368" s="1558"/>
      <c r="N368" s="1558"/>
      <c r="O368" s="25"/>
      <c r="P368" s="624"/>
    </row>
    <row r="369" spans="1:19" ht="5.0999999999999996" customHeight="1" thickBot="1" x14ac:dyDescent="0.25">
      <c r="B369" s="21"/>
      <c r="C369" s="21"/>
      <c r="D369" s="21"/>
      <c r="E369" s="21"/>
      <c r="F369" s="21"/>
      <c r="G369" s="21"/>
      <c r="H369" s="21"/>
      <c r="I369" s="21"/>
      <c r="J369" s="21"/>
      <c r="K369" s="21"/>
      <c r="L369" s="21"/>
      <c r="M369" s="21"/>
      <c r="N369" s="21"/>
      <c r="O369" s="25"/>
      <c r="P369" s="624"/>
    </row>
    <row r="370" spans="1:19" ht="13.5" customHeight="1" thickBot="1" x14ac:dyDescent="0.25">
      <c r="A370" s="20"/>
      <c r="B370" s="38"/>
      <c r="C370" s="38"/>
      <c r="D370" s="32" t="s">
        <v>165</v>
      </c>
      <c r="E370" s="1325" t="str">
        <f>Translations!$B$646</f>
        <v>Vai iekārta ražo elektroenerģiju?</v>
      </c>
      <c r="F370" s="1325"/>
      <c r="G370" s="1325"/>
      <c r="H370" s="1325"/>
      <c r="I370" s="1325"/>
      <c r="J370" s="1325"/>
      <c r="K370" s="1325"/>
      <c r="L370" s="1489"/>
      <c r="M370" s="883"/>
      <c r="N370" s="696"/>
      <c r="O370" s="25"/>
      <c r="P370" s="630" t="s">
        <v>477</v>
      </c>
    </row>
    <row r="371" spans="1:19" ht="25.5" customHeight="1" x14ac:dyDescent="0.2">
      <c r="A371" s="20"/>
      <c r="B371" s="38"/>
      <c r="C371" s="38"/>
      <c r="D371" s="38"/>
      <c r="E371" s="1319" t="str">
        <f>Translations!$B$1660</f>
        <v>Ja atbilde šeit ir “FALSE”/”APLAMS”, tālākie ieraksti ir fakultatīvi, izņemot f) punktu, kas vienmēr ir obligāts. Šeit varat norādīt “FALSE”/”APLAMS”, ja elektroenerģiju ražo tikai ar ārkārtas elektroblokiem.</v>
      </c>
      <c r="F371" s="1251"/>
      <c r="G371" s="1251"/>
      <c r="H371" s="1251"/>
      <c r="I371" s="1251"/>
      <c r="J371" s="1251"/>
      <c r="K371" s="1251"/>
      <c r="L371" s="1251"/>
      <c r="M371" s="1251"/>
      <c r="N371" s="1251"/>
      <c r="O371" s="25"/>
      <c r="P371" s="452"/>
    </row>
    <row r="372" spans="1:19" ht="5.0999999999999996" customHeight="1" x14ac:dyDescent="0.2">
      <c r="A372" s="20"/>
      <c r="B372" s="21"/>
      <c r="C372" s="21"/>
      <c r="D372" s="34"/>
      <c r="E372" s="38"/>
      <c r="F372" s="38"/>
      <c r="G372" s="38"/>
      <c r="H372" s="38"/>
      <c r="I372" s="38"/>
      <c r="J372" s="38"/>
      <c r="K372" s="38"/>
      <c r="L372" s="38"/>
      <c r="M372" s="38"/>
      <c r="N372" s="38"/>
      <c r="O372" s="25"/>
      <c r="P372" s="624"/>
      <c r="R372" s="624"/>
      <c r="S372" s="624"/>
    </row>
    <row r="373" spans="1:19" x14ac:dyDescent="0.2">
      <c r="B373" s="21"/>
      <c r="C373" s="21"/>
      <c r="D373" s="32" t="s">
        <v>339</v>
      </c>
      <c r="E373" s="1557" t="str">
        <f>Translations!$B$648</f>
        <v>Iekārtā saražotās elektroenerģijas kopējais neto daudzums</v>
      </c>
      <c r="F373" s="1558"/>
      <c r="G373" s="1558"/>
      <c r="H373" s="1558"/>
      <c r="I373" s="1558"/>
      <c r="J373" s="1558"/>
      <c r="K373" s="1558"/>
      <c r="L373" s="1558"/>
      <c r="M373" s="1558"/>
      <c r="N373" s="1558"/>
      <c r="O373" s="25"/>
      <c r="P373" s="624"/>
    </row>
    <row r="374" spans="1:19" x14ac:dyDescent="0.2">
      <c r="B374" s="21"/>
      <c r="C374" s="21"/>
      <c r="D374" s="34"/>
      <c r="E374" s="1567" t="str">
        <f>Translations!$B$649</f>
        <v>Pārējā saražotā elektroenerģija ietver, piem., hidroenerģiju, vēja un saules enerģiju, enerģiju no turbodetanderiem un enerģiju no citiem ETS neaptvertiem procesiem.</v>
      </c>
      <c r="F374" s="1558"/>
      <c r="G374" s="1558"/>
      <c r="H374" s="1558"/>
      <c r="I374" s="1558"/>
      <c r="J374" s="1558"/>
      <c r="K374" s="1558"/>
      <c r="L374" s="1558"/>
      <c r="M374" s="1558"/>
      <c r="N374" s="1558"/>
      <c r="O374" s="25"/>
      <c r="P374" s="624"/>
    </row>
    <row r="375" spans="1:19" ht="13.5" thickBot="1" x14ac:dyDescent="0.25">
      <c r="B375" s="38"/>
      <c r="C375" s="38"/>
      <c r="D375" s="38"/>
      <c r="E375" s="43"/>
      <c r="F375" s="40"/>
      <c r="G375" s="40"/>
      <c r="H375" s="52" t="str">
        <f>EUconst_Unit</f>
        <v>Vienība</v>
      </c>
      <c r="I375" s="412">
        <f>I$405</f>
        <v>2019</v>
      </c>
      <c r="J375" s="412">
        <f>J$405</f>
        <v>2020</v>
      </c>
      <c r="K375" s="412">
        <f>K$405</f>
        <v>2021</v>
      </c>
      <c r="L375" s="412">
        <f>L$405</f>
        <v>2022</v>
      </c>
      <c r="M375" s="412">
        <f>M$405</f>
        <v>2023</v>
      </c>
      <c r="N375" s="38"/>
      <c r="O375" s="25"/>
      <c r="S375" s="452" t="s">
        <v>514</v>
      </c>
    </row>
    <row r="376" spans="1:19" x14ac:dyDescent="0.2">
      <c r="B376" s="38"/>
      <c r="C376" s="38"/>
      <c r="D376" s="212" t="s">
        <v>2</v>
      </c>
      <c r="E376" s="1574" t="str">
        <f>Translations!$B$650</f>
        <v>Neto elektroenerģija, kas saražota no kurināmā</v>
      </c>
      <c r="F376" s="1574"/>
      <c r="G376" s="1574"/>
      <c r="H376" s="66" t="str">
        <f>EUconst_MWhpa</f>
        <v>MWh / gads</v>
      </c>
      <c r="I376" s="330"/>
      <c r="J376" s="330"/>
      <c r="K376" s="330"/>
      <c r="L376" s="330"/>
      <c r="M376" s="330"/>
      <c r="N376" s="38"/>
      <c r="O376" s="25"/>
      <c r="S376" s="713" t="str">
        <f>IF(ISBLANK(CNTR_ProdElec),"",NOT(CNTR_ProdElec))</f>
        <v/>
      </c>
    </row>
    <row r="377" spans="1:19" x14ac:dyDescent="0.2">
      <c r="B377" s="38"/>
      <c r="C377" s="38"/>
      <c r="D377" s="212" t="s">
        <v>3</v>
      </c>
      <c r="E377" s="1574" t="str">
        <f>Translations!$B$651</f>
        <v>Pārējā saražotā elektroenerģija</v>
      </c>
      <c r="F377" s="1574"/>
      <c r="G377" s="1574"/>
      <c r="H377" s="66" t="str">
        <f>EUconst_MWhpa</f>
        <v>MWh / gads</v>
      </c>
      <c r="I377" s="330"/>
      <c r="J377" s="330"/>
      <c r="K377" s="330"/>
      <c r="L377" s="330"/>
      <c r="M377" s="330"/>
      <c r="N377" s="38"/>
      <c r="O377" s="25"/>
      <c r="S377" s="627" t="str">
        <f>S376</f>
        <v/>
      </c>
    </row>
    <row r="378" spans="1:19" ht="5.0999999999999996" customHeight="1" x14ac:dyDescent="0.2">
      <c r="B378" s="21"/>
      <c r="C378" s="21"/>
      <c r="D378" s="212"/>
      <c r="E378" s="21"/>
      <c r="F378" s="21"/>
      <c r="G378" s="21"/>
      <c r="H378" s="21"/>
      <c r="I378" s="21"/>
      <c r="J378" s="21"/>
      <c r="K378" s="21"/>
      <c r="L378" s="21"/>
      <c r="M378" s="21"/>
      <c r="N378" s="21"/>
      <c r="O378" s="25"/>
      <c r="P378" s="624"/>
      <c r="S378" s="714"/>
    </row>
    <row r="379" spans="1:19" x14ac:dyDescent="0.2">
      <c r="B379" s="21"/>
      <c r="C379" s="21"/>
      <c r="D379" s="32" t="s">
        <v>11</v>
      </c>
      <c r="E379" s="1570" t="str">
        <f>Translations!$B$652</f>
        <v>Kopējā elektroenerģija, kas importēta no elektrotīkla vai citām iekārtām</v>
      </c>
      <c r="F379" s="1573"/>
      <c r="G379" s="1573"/>
      <c r="H379" s="1573"/>
      <c r="I379" s="1573"/>
      <c r="J379" s="1573"/>
      <c r="K379" s="1573"/>
      <c r="L379" s="1573"/>
      <c r="M379" s="1573"/>
      <c r="N379" s="1569"/>
      <c r="O379" s="25"/>
      <c r="P379" s="624"/>
      <c r="S379" s="714"/>
    </row>
    <row r="380" spans="1:19" x14ac:dyDescent="0.2">
      <c r="B380" s="38"/>
      <c r="C380" s="38"/>
      <c r="D380" s="38"/>
      <c r="E380" s="1574" t="str">
        <f>Translations!$B$653</f>
        <v>Importētā elektroenerģija</v>
      </c>
      <c r="F380" s="1574"/>
      <c r="G380" s="1574"/>
      <c r="H380" s="66" t="str">
        <f>EUconst_MWhpa</f>
        <v>MWh / gads</v>
      </c>
      <c r="I380" s="330"/>
      <c r="J380" s="330"/>
      <c r="K380" s="330"/>
      <c r="L380" s="330"/>
      <c r="M380" s="330"/>
      <c r="N380" s="38"/>
      <c r="O380" s="25"/>
      <c r="S380" s="627" t="str">
        <f>S376</f>
        <v/>
      </c>
    </row>
    <row r="381" spans="1:19" ht="5.0999999999999996" customHeight="1" x14ac:dyDescent="0.2">
      <c r="B381" s="21"/>
      <c r="C381" s="21"/>
      <c r="D381" s="21"/>
      <c r="E381" s="21"/>
      <c r="F381" s="21"/>
      <c r="G381" s="21"/>
      <c r="H381" s="21"/>
      <c r="I381" s="21"/>
      <c r="J381" s="21"/>
      <c r="K381" s="21"/>
      <c r="L381" s="21"/>
      <c r="M381" s="21"/>
      <c r="N381" s="21"/>
      <c r="O381" s="25"/>
      <c r="P381" s="624"/>
      <c r="S381" s="714"/>
    </row>
    <row r="382" spans="1:19" x14ac:dyDescent="0.2">
      <c r="B382" s="21"/>
      <c r="C382" s="21"/>
      <c r="D382" s="32" t="s">
        <v>342</v>
      </c>
      <c r="E382" s="1570" t="str">
        <f>Translations!$B$654</f>
        <v>Kopējā elektroenerģija, kas eksportēta uz elektrotīklu vai citām iekārtām</v>
      </c>
      <c r="F382" s="1573"/>
      <c r="G382" s="1573"/>
      <c r="H382" s="1573"/>
      <c r="I382" s="1573"/>
      <c r="J382" s="1573"/>
      <c r="K382" s="1573"/>
      <c r="L382" s="1573"/>
      <c r="M382" s="1573"/>
      <c r="N382" s="1569"/>
      <c r="O382" s="25"/>
      <c r="P382" s="624"/>
      <c r="S382" s="714"/>
    </row>
    <row r="383" spans="1:19" x14ac:dyDescent="0.2">
      <c r="B383" s="38"/>
      <c r="C383" s="38"/>
      <c r="D383" s="38"/>
      <c r="E383" s="1574" t="str">
        <f>Translations!$B$655</f>
        <v>Eksportētā elektroenerģija</v>
      </c>
      <c r="F383" s="1574"/>
      <c r="G383" s="1574"/>
      <c r="H383" s="66" t="str">
        <f>EUconst_MWhpa</f>
        <v>MWh / gads</v>
      </c>
      <c r="I383" s="330"/>
      <c r="J383" s="330"/>
      <c r="K383" s="330"/>
      <c r="L383" s="330"/>
      <c r="M383" s="330"/>
      <c r="N383" s="38"/>
      <c r="O383" s="25"/>
      <c r="S383" s="627" t="str">
        <f>S376</f>
        <v/>
      </c>
    </row>
    <row r="384" spans="1:19" ht="5.0999999999999996" customHeight="1" x14ac:dyDescent="0.2">
      <c r="B384" s="21"/>
      <c r="C384" s="21"/>
      <c r="D384" s="21"/>
      <c r="E384" s="21"/>
      <c r="F384" s="21"/>
      <c r="G384" s="21"/>
      <c r="H384" s="21"/>
      <c r="I384" s="21"/>
      <c r="J384" s="21"/>
      <c r="K384" s="21"/>
      <c r="L384" s="21"/>
      <c r="M384" s="21"/>
      <c r="N384" s="21"/>
      <c r="O384" s="25"/>
      <c r="P384" s="624"/>
      <c r="S384" s="714"/>
    </row>
    <row r="385" spans="1:19" x14ac:dyDescent="0.2">
      <c r="B385" s="21"/>
      <c r="C385" s="21"/>
      <c r="D385" s="32" t="s">
        <v>12</v>
      </c>
      <c r="E385" s="1570" t="str">
        <f>Translations!$B$656</f>
        <v>Kopējā elektroenerģija, kas pieejama izmantošanai iekārtā (= b+c-d)</v>
      </c>
      <c r="F385" s="1573"/>
      <c r="G385" s="1573"/>
      <c r="H385" s="1573"/>
      <c r="I385" s="1573"/>
      <c r="J385" s="1573"/>
      <c r="K385" s="1573"/>
      <c r="L385" s="1573"/>
      <c r="M385" s="1573"/>
      <c r="N385" s="1569"/>
      <c r="O385" s="25"/>
      <c r="P385" s="624"/>
      <c r="S385" s="714"/>
    </row>
    <row r="386" spans="1:19" x14ac:dyDescent="0.2">
      <c r="B386" s="38"/>
      <c r="C386" s="38"/>
      <c r="D386" s="38"/>
      <c r="E386" s="1574" t="str">
        <f>Translations!$B$657</f>
        <v>Izmantojamā elektroenerģija</v>
      </c>
      <c r="F386" s="1574"/>
      <c r="G386" s="1574"/>
      <c r="H386" s="66" t="str">
        <f>EUconst_MWhpa</f>
        <v>MWh / gads</v>
      </c>
      <c r="I386" s="328" t="str">
        <f>IF(COUNT(I376:I377,I380,I383)&gt;0,SUM(I376:I377,I380,-I383),"")</f>
        <v/>
      </c>
      <c r="J386" s="328" t="str">
        <f>IF(COUNT(J376:J377,J380,J383)&gt;0,SUM(J376:J377,J380,-J383),"")</f>
        <v/>
      </c>
      <c r="K386" s="328" t="str">
        <f>IF(COUNT(K376:K377,K380,K383)&gt;0,SUM(K376:K377,K380,-K383),"")</f>
        <v/>
      </c>
      <c r="L386" s="328" t="str">
        <f>IF(COUNT(L376:L377,L380,L383)&gt;0,SUM(L376:L377,L380,-L383),"")</f>
        <v/>
      </c>
      <c r="M386" s="328" t="str">
        <f>IF(COUNT(M376:M377,M380,M383)&gt;0,SUM(M376:M377,M380,-M383),"")</f>
        <v/>
      </c>
      <c r="N386" s="38"/>
      <c r="O386" s="25"/>
      <c r="S386" s="714"/>
    </row>
    <row r="387" spans="1:19" ht="5.0999999999999996" customHeight="1" x14ac:dyDescent="0.2">
      <c r="B387" s="21"/>
      <c r="C387" s="21"/>
      <c r="D387" s="21"/>
      <c r="E387" s="21"/>
      <c r="F387" s="21"/>
      <c r="G387" s="21"/>
      <c r="H387" s="21"/>
      <c r="I387" s="21"/>
      <c r="J387" s="21"/>
      <c r="K387" s="21"/>
      <c r="L387" s="21"/>
      <c r="M387" s="21"/>
      <c r="N387" s="21"/>
      <c r="O387" s="25"/>
      <c r="P387" s="624"/>
      <c r="S387" s="714"/>
    </row>
    <row r="388" spans="1:19" x14ac:dyDescent="0.2">
      <c r="B388" s="21"/>
      <c r="C388" s="21"/>
      <c r="D388" s="32" t="s">
        <v>13</v>
      </c>
      <c r="E388" s="1570" t="str">
        <f>Translations!$B$658</f>
        <v>Kopējā iekārtā patērētā elektroenerģija</v>
      </c>
      <c r="F388" s="1573"/>
      <c r="G388" s="1573"/>
      <c r="H388" s="1573"/>
      <c r="I388" s="1573"/>
      <c r="J388" s="1573"/>
      <c r="K388" s="1573"/>
      <c r="L388" s="1573"/>
      <c r="M388" s="1573"/>
      <c r="N388" s="1569"/>
      <c r="O388" s="25"/>
      <c r="P388" s="624"/>
      <c r="S388" s="714"/>
    </row>
    <row r="389" spans="1:19" ht="13.5" thickBot="1" x14ac:dyDescent="0.25">
      <c r="B389" s="38"/>
      <c r="C389" s="38"/>
      <c r="D389" s="38"/>
      <c r="E389" s="1574" t="str">
        <f>Translations!$B$659</f>
        <v>Iekārtā patērētā elektroenerģija</v>
      </c>
      <c r="F389" s="1574"/>
      <c r="G389" s="1574"/>
      <c r="H389" s="66" t="str">
        <f>EUconst_MWhpa</f>
        <v>MWh / gads</v>
      </c>
      <c r="I389" s="330"/>
      <c r="J389" s="330"/>
      <c r="K389" s="330"/>
      <c r="L389" s="330"/>
      <c r="M389" s="330"/>
      <c r="N389" s="38"/>
      <c r="O389" s="25"/>
      <c r="S389" s="628"/>
    </row>
    <row r="390" spans="1:19" ht="5.0999999999999996" customHeight="1" x14ac:dyDescent="0.2">
      <c r="B390" s="21"/>
      <c r="C390" s="21"/>
      <c r="D390" s="21"/>
      <c r="E390" s="21"/>
      <c r="F390" s="21"/>
      <c r="G390" s="21"/>
      <c r="H390" s="21"/>
      <c r="I390" s="21"/>
      <c r="J390" s="21"/>
      <c r="K390" s="21"/>
      <c r="L390" s="21"/>
      <c r="M390" s="21"/>
      <c r="N390" s="38"/>
      <c r="O390" s="25"/>
      <c r="P390" s="624"/>
    </row>
    <row r="391" spans="1:19" x14ac:dyDescent="0.2">
      <c r="B391" s="21"/>
      <c r="C391" s="21"/>
      <c r="D391" s="32" t="s">
        <v>81</v>
      </c>
      <c r="E391" s="1570" t="str">
        <f>Translations!$B$1661</f>
        <v>Ticamības pārbaude: lapā "F_ProductBM" par relevanto elektroenerģijas patēriņu norādītā kopējā elektroenerģijas ielaide</v>
      </c>
      <c r="F391" s="1573"/>
      <c r="G391" s="1573"/>
      <c r="H391" s="1573"/>
      <c r="I391" s="1573"/>
      <c r="J391" s="1573"/>
      <c r="K391" s="1573"/>
      <c r="L391" s="1573"/>
      <c r="M391" s="1573"/>
      <c r="N391" s="1569"/>
      <c r="O391" s="25"/>
      <c r="P391" s="624"/>
    </row>
    <row r="392" spans="1:19" x14ac:dyDescent="0.2">
      <c r="B392" s="38"/>
      <c r="C392" s="38"/>
      <c r="D392" s="212" t="s">
        <v>2</v>
      </c>
      <c r="E392" s="1554" t="str">
        <f>Translations!$B$1662</f>
        <v>Elektroenerģija, kas ievadīta kā patērēta</v>
      </c>
      <c r="F392" s="1574"/>
      <c r="G392" s="1574"/>
      <c r="H392" s="66" t="str">
        <f>EUconst_MWhpa</f>
        <v>MWh / gads</v>
      </c>
      <c r="I392" s="328" t="str">
        <f>F_ProductBM!I1833</f>
        <v/>
      </c>
      <c r="J392" s="328" t="str">
        <f>F_ProductBM!J1833</f>
        <v/>
      </c>
      <c r="K392" s="328" t="str">
        <f>F_ProductBM!K1833</f>
        <v/>
      </c>
      <c r="L392" s="328" t="str">
        <f>F_ProductBM!L1833</f>
        <v/>
      </c>
      <c r="M392" s="328" t="str">
        <f>F_ProductBM!M1833</f>
        <v/>
      </c>
      <c r="N392" s="38"/>
      <c r="O392" s="25"/>
    </row>
    <row r="393" spans="1:19" x14ac:dyDescent="0.2">
      <c r="B393" s="38"/>
      <c r="C393" s="38"/>
      <c r="D393" s="212" t="s">
        <v>3</v>
      </c>
      <c r="E393" s="1554" t="str">
        <f>Translations!$B$662</f>
        <v>Salīdzinājumā ar f) punktu</v>
      </c>
      <c r="F393" s="1574"/>
      <c r="G393" s="1574"/>
      <c r="H393" s="66" t="s">
        <v>393</v>
      </c>
      <c r="I393" s="328" t="str">
        <f>IF(AND(COUNT(I389,I392)=2,I389&lt;&gt;0),I392/I389*100,"")</f>
        <v/>
      </c>
      <c r="J393" s="328" t="str">
        <f>IF(AND(COUNT(J389,J392)=2,J389&lt;&gt;0),J392/J389*100,"")</f>
        <v/>
      </c>
      <c r="K393" s="328" t="str">
        <f>IF(AND(COUNT(K389,K392)=2,K389&lt;&gt;0),K392/K389*100,"")</f>
        <v/>
      </c>
      <c r="L393" s="328" t="str">
        <f>IF(AND(COUNT(L389,L392)=2,L389&lt;&gt;0),L392/L389*100,"")</f>
        <v/>
      </c>
      <c r="M393" s="328" t="str">
        <f>IF(AND(COUNT(M389,M392)=2,M389&lt;&gt;0),M392/M389*100,"")</f>
        <v/>
      </c>
      <c r="N393" s="38"/>
      <c r="O393" s="25"/>
    </row>
    <row r="394" spans="1:19" ht="5.0999999999999996" customHeight="1" x14ac:dyDescent="0.2">
      <c r="B394" s="21"/>
      <c r="C394" s="21"/>
      <c r="D394" s="21"/>
      <c r="E394" s="21"/>
      <c r="F394" s="21"/>
      <c r="G394" s="21"/>
      <c r="H394" s="21"/>
      <c r="I394" s="21"/>
      <c r="J394" s="21"/>
      <c r="K394" s="21"/>
      <c r="L394" s="21"/>
      <c r="M394" s="21"/>
      <c r="N394" s="21"/>
      <c r="O394" s="25"/>
      <c r="P394" s="624"/>
    </row>
    <row r="395" spans="1:19" x14ac:dyDescent="0.2">
      <c r="B395" s="38"/>
      <c r="C395" s="38"/>
      <c r="D395" s="38"/>
      <c r="E395" s="38"/>
      <c r="F395" s="38"/>
      <c r="G395" s="38"/>
      <c r="H395" s="38"/>
      <c r="I395" s="38"/>
      <c r="J395" s="38"/>
      <c r="K395" s="38"/>
      <c r="L395" s="38"/>
      <c r="M395" s="38"/>
      <c r="N395" s="38"/>
      <c r="O395" s="25"/>
    </row>
    <row r="396" spans="1:19" x14ac:dyDescent="0.2">
      <c r="B396" s="38"/>
      <c r="C396" s="38"/>
      <c r="D396" s="1519" t="str">
        <f>Translations!$B$73</f>
        <v xml:space="preserve">&lt;&lt;&lt; Lai pārietu uz nākamo lapu, klikšķiniet šeit &gt;&gt;&gt; </v>
      </c>
      <c r="E396" s="1519"/>
      <c r="F396" s="1519"/>
      <c r="G396" s="1519"/>
      <c r="H396" s="1519"/>
      <c r="I396" s="1519"/>
      <c r="J396" s="1519"/>
      <c r="K396" s="1519"/>
      <c r="L396" s="1519"/>
      <c r="M396" s="1519"/>
      <c r="N396" s="1519"/>
      <c r="O396" s="25"/>
    </row>
    <row r="397" spans="1:19" x14ac:dyDescent="0.2">
      <c r="B397" s="38"/>
      <c r="C397" s="38"/>
      <c r="D397" s="38"/>
      <c r="E397" s="38"/>
      <c r="F397" s="38"/>
      <c r="G397" s="38"/>
      <c r="H397" s="38"/>
      <c r="I397" s="38"/>
      <c r="J397" s="38"/>
      <c r="K397" s="38"/>
      <c r="L397" s="38"/>
      <c r="M397" s="38"/>
      <c r="N397" s="38"/>
      <c r="O397" s="25"/>
    </row>
    <row r="398" spans="1:19" hidden="1" x14ac:dyDescent="0.2">
      <c r="A398" s="445" t="s">
        <v>93</v>
      </c>
      <c r="B398" s="20" t="s">
        <v>336</v>
      </c>
      <c r="C398" s="20" t="s">
        <v>336</v>
      </c>
      <c r="D398" s="20" t="s">
        <v>336</v>
      </c>
      <c r="E398" s="20" t="s">
        <v>336</v>
      </c>
      <c r="F398" s="20" t="s">
        <v>336</v>
      </c>
      <c r="G398" s="20"/>
      <c r="H398" s="20" t="s">
        <v>336</v>
      </c>
      <c r="I398" s="20" t="s">
        <v>336</v>
      </c>
      <c r="J398" s="20" t="s">
        <v>336</v>
      </c>
      <c r="K398" s="20" t="s">
        <v>336</v>
      </c>
      <c r="L398" s="20" t="s">
        <v>336</v>
      </c>
      <c r="M398" s="20" t="s">
        <v>336</v>
      </c>
      <c r="N398" s="20" t="s">
        <v>336</v>
      </c>
      <c r="O398" s="20" t="s">
        <v>336</v>
      </c>
      <c r="P398" s="445" t="s">
        <v>336</v>
      </c>
      <c r="Q398" s="445" t="s">
        <v>336</v>
      </c>
      <c r="R398" s="445" t="s">
        <v>336</v>
      </c>
      <c r="S398" s="445" t="s">
        <v>336</v>
      </c>
    </row>
    <row r="399" spans="1:19" hidden="1" x14ac:dyDescent="0.2">
      <c r="A399" s="445" t="s">
        <v>93</v>
      </c>
      <c r="B399" s="445"/>
      <c r="C399" s="445"/>
      <c r="D399" s="445"/>
      <c r="E399" s="445"/>
      <c r="F399" s="445"/>
      <c r="G399" s="445"/>
      <c r="H399" s="445"/>
      <c r="I399" s="445"/>
      <c r="J399" s="445"/>
      <c r="K399" s="445"/>
      <c r="L399" s="445"/>
      <c r="M399" s="445"/>
      <c r="N399" s="445"/>
      <c r="O399" s="445"/>
    </row>
    <row r="400" spans="1:19" hidden="1" x14ac:dyDescent="0.2">
      <c r="A400" s="445" t="s">
        <v>93</v>
      </c>
      <c r="B400" s="20"/>
      <c r="C400" s="20"/>
      <c r="D400" s="63" t="s">
        <v>337</v>
      </c>
      <c r="E400" s="20"/>
      <c r="F400" s="20"/>
      <c r="G400" s="20"/>
      <c r="H400" s="20"/>
      <c r="I400" s="20"/>
      <c r="J400" s="20"/>
      <c r="K400" s="20"/>
      <c r="L400" s="20"/>
      <c r="M400" s="20"/>
      <c r="N400" s="20"/>
      <c r="O400" s="20"/>
    </row>
    <row r="401" spans="1:16" ht="13.5" hidden="1" thickBot="1" x14ac:dyDescent="0.25">
      <c r="A401" s="445" t="s">
        <v>93</v>
      </c>
    </row>
    <row r="402" spans="1:16" hidden="1" x14ac:dyDescent="0.2">
      <c r="A402" s="445" t="s">
        <v>93</v>
      </c>
      <c r="E402" s="180" t="s">
        <v>227</v>
      </c>
      <c r="F402" s="84"/>
      <c r="G402" s="84"/>
      <c r="H402" s="84"/>
      <c r="I402" s="84"/>
      <c r="J402" s="84"/>
      <c r="K402" s="84"/>
      <c r="L402" s="84"/>
      <c r="M402" s="84"/>
      <c r="N402" s="86"/>
    </row>
    <row r="403" spans="1:16" hidden="1" x14ac:dyDescent="0.2">
      <c r="A403" s="445" t="s">
        <v>93</v>
      </c>
      <c r="E403" s="119" t="s">
        <v>340</v>
      </c>
      <c r="F403" s="41"/>
      <c r="G403" s="41"/>
      <c r="H403" s="41"/>
      <c r="I403" s="170">
        <v>1</v>
      </c>
      <c r="J403" s="170">
        <v>2</v>
      </c>
      <c r="K403" s="170">
        <v>3</v>
      </c>
      <c r="L403" s="170">
        <v>4</v>
      </c>
      <c r="M403" s="170">
        <v>5</v>
      </c>
      <c r="N403" s="173"/>
    </row>
    <row r="404" spans="1:16" hidden="1" x14ac:dyDescent="0.2">
      <c r="A404" s="20" t="s">
        <v>93</v>
      </c>
      <c r="E404" s="174" t="s">
        <v>457</v>
      </c>
      <c r="F404" s="41"/>
      <c r="G404" s="41"/>
      <c r="H404" s="41"/>
      <c r="I404" s="170">
        <f>INDEX(EUconst_ReportingYears,I403)</f>
        <v>2014</v>
      </c>
      <c r="J404" s="170">
        <f>INDEX(EUconst_ReportingYears,J403)</f>
        <v>2015</v>
      </c>
      <c r="K404" s="170">
        <f>INDEX(EUconst_ReportingYears,K403)</f>
        <v>2016</v>
      </c>
      <c r="L404" s="170">
        <f>INDEX(EUconst_ReportingYears,L403)</f>
        <v>2017</v>
      </c>
      <c r="M404" s="170">
        <f>INDEX(EUconst_ReportingYears,M403)</f>
        <v>2018</v>
      </c>
      <c r="N404" s="173"/>
    </row>
    <row r="405" spans="1:16" hidden="1" x14ac:dyDescent="0.2">
      <c r="A405" s="20" t="s">
        <v>93</v>
      </c>
      <c r="E405" s="174" t="s">
        <v>456</v>
      </c>
      <c r="F405" s="171"/>
      <c r="G405" s="171"/>
      <c r="H405" s="171"/>
      <c r="I405" s="172">
        <f>IF(CNTR_BaselinePeriod=EUconst_NA,I404,INDEX(EUconst_ReportingYears,I403)+(CNTR_BaselinePeriod-1)*5)</f>
        <v>2019</v>
      </c>
      <c r="J405" s="172">
        <f>IF(CNTR_BaselinePeriod=EUconst_NA,J404,INDEX(EUconst_ReportingYears,J403)+(CNTR_BaselinePeriod-1)*5)</f>
        <v>2020</v>
      </c>
      <c r="K405" s="172">
        <f>IF(CNTR_BaselinePeriod=EUconst_NA,K404,INDEX(EUconst_ReportingYears,K403)+(CNTR_BaselinePeriod-1)*5)</f>
        <v>2021</v>
      </c>
      <c r="L405" s="172">
        <f>IF(CNTR_BaselinePeriod=EUconst_NA,L404,INDEX(EUconst_ReportingYears,L403)+(CNTR_BaselinePeriod-1)*5)</f>
        <v>2022</v>
      </c>
      <c r="M405" s="172">
        <f>IF(CNTR_BaselinePeriod=EUconst_NA,M404,INDEX(EUconst_ReportingYears,M403)+(CNTR_BaselinePeriod-1)*5)</f>
        <v>2023</v>
      </c>
      <c r="N405" s="175"/>
      <c r="O405" s="38"/>
    </row>
    <row r="406" spans="1:16" hidden="1" x14ac:dyDescent="0.2">
      <c r="A406" s="445" t="s">
        <v>93</v>
      </c>
      <c r="E406" s="174" t="s">
        <v>226</v>
      </c>
      <c r="F406" s="171"/>
      <c r="G406" s="171"/>
      <c r="H406" s="171"/>
      <c r="I406" s="172">
        <v>1</v>
      </c>
      <c r="J406" s="172">
        <v>1</v>
      </c>
      <c r="K406" s="172">
        <v>1</v>
      </c>
      <c r="L406" s="172">
        <v>1</v>
      </c>
      <c r="M406" s="172">
        <v>1</v>
      </c>
      <c r="N406" s="175"/>
    </row>
    <row r="407" spans="1:16" hidden="1" x14ac:dyDescent="0.2">
      <c r="A407" s="445" t="s">
        <v>93</v>
      </c>
      <c r="E407" s="174" t="s">
        <v>224</v>
      </c>
      <c r="F407" s="171"/>
      <c r="G407" s="171"/>
      <c r="H407" s="171"/>
      <c r="I407" s="171" t="b">
        <f>(I406=CNTR_BaselinePeriod)</f>
        <v>0</v>
      </c>
      <c r="J407" s="171" t="b">
        <f>(J406=CNTR_BaselinePeriod)</f>
        <v>0</v>
      </c>
      <c r="K407" s="171" t="b">
        <f>(K406=CNTR_BaselinePeriod)</f>
        <v>0</v>
      </c>
      <c r="L407" s="171" t="b">
        <f>(L406=CNTR_BaselinePeriod)</f>
        <v>0</v>
      </c>
      <c r="M407" s="171" t="b">
        <f>(M406=CNTR_BaselinePeriod)</f>
        <v>0</v>
      </c>
      <c r="N407" s="176"/>
    </row>
    <row r="408" spans="1:16" ht="13.5" hidden="1" thickBot="1" x14ac:dyDescent="0.25">
      <c r="A408" s="445" t="s">
        <v>93</v>
      </c>
      <c r="E408" s="177" t="s">
        <v>225</v>
      </c>
      <c r="F408" s="178"/>
      <c r="G408" s="178"/>
      <c r="H408" s="178"/>
      <c r="I408" s="178">
        <f>INDEX(CNTR_BaslineYearRelevant,I403)</f>
        <v>0</v>
      </c>
      <c r="J408" s="178">
        <f>INDEX(CNTR_BaslineYearRelevant,J403)</f>
        <v>0</v>
      </c>
      <c r="K408" s="178">
        <f>INDEX(CNTR_BaslineYearRelevant,K403)</f>
        <v>0</v>
      </c>
      <c r="L408" s="178">
        <f>INDEX(CNTR_BaslineYearRelevant,L403)</f>
        <v>0</v>
      </c>
      <c r="M408" s="178">
        <f>INDEX(CNTR_BaslineYearRelevant,M403)</f>
        <v>0</v>
      </c>
      <c r="N408" s="179"/>
    </row>
    <row r="409" spans="1:16" hidden="1" x14ac:dyDescent="0.2">
      <c r="A409" s="445" t="s">
        <v>93</v>
      </c>
    </row>
    <row r="410" spans="1:16" hidden="1" x14ac:dyDescent="0.2">
      <c r="A410" s="445" t="s">
        <v>93</v>
      </c>
    </row>
    <row r="411" spans="1:16" ht="13.5" hidden="1" thickBot="1" x14ac:dyDescent="0.25">
      <c r="A411" s="445" t="s">
        <v>93</v>
      </c>
      <c r="E411" s="583" t="s">
        <v>531</v>
      </c>
    </row>
    <row r="412" spans="1:16" hidden="1" x14ac:dyDescent="0.2">
      <c r="A412" s="445" t="s">
        <v>93</v>
      </c>
      <c r="D412" s="19">
        <v>1</v>
      </c>
      <c r="E412" s="562" t="str">
        <f>INDEX(EUconst_FallBackListNames,D412)</f>
        <v>Siltuma līmeņatzīmes apakšiekārta, OEP | bez OIM)</v>
      </c>
      <c r="F412" s="563"/>
      <c r="G412" s="563"/>
      <c r="H412" s="191" t="str">
        <f>EUconst_TJpa</f>
        <v>TJ / gads</v>
      </c>
      <c r="I412" s="564" t="str">
        <f t="shared" ref="I412:M415" si="23">IF(ISNUMBER(I240),INDEX(I$240:I$248,MATCH(EUconst_CNTR_HAL&amp;$E412,$P$240:$P$248,0)),"")</f>
        <v/>
      </c>
      <c r="J412" s="564" t="str">
        <f t="shared" si="23"/>
        <v/>
      </c>
      <c r="K412" s="564" t="str">
        <f t="shared" si="23"/>
        <v/>
      </c>
      <c r="L412" s="564" t="str">
        <f t="shared" si="23"/>
        <v/>
      </c>
      <c r="M412" s="565" t="str">
        <f t="shared" si="23"/>
        <v/>
      </c>
      <c r="P412" s="445" t="str">
        <f>"Needed for G.I." &amp; D412 &amp;".a"</f>
        <v>Needed for G.I.1.a</v>
      </c>
    </row>
    <row r="413" spans="1:16" hidden="1" x14ac:dyDescent="0.2">
      <c r="A413" s="445" t="s">
        <v>93</v>
      </c>
      <c r="D413" s="19">
        <v>2</v>
      </c>
      <c r="E413" s="566" t="str">
        <f>INDEX(EUconst_FallBackListNames,D413)</f>
        <v>Siltuma līmeņatzīmes apakšiekārta (bez OEP | bez OIM)</v>
      </c>
      <c r="F413" s="567"/>
      <c r="G413" s="567"/>
      <c r="H413" s="568" t="str">
        <f>EUconst_TJpa</f>
        <v>TJ / gads</v>
      </c>
      <c r="I413" s="569" t="str">
        <f t="shared" si="23"/>
        <v/>
      </c>
      <c r="J413" s="569" t="str">
        <f t="shared" si="23"/>
        <v/>
      </c>
      <c r="K413" s="569" t="str">
        <f t="shared" si="23"/>
        <v/>
      </c>
      <c r="L413" s="569" t="str">
        <f t="shared" si="23"/>
        <v/>
      </c>
      <c r="M413" s="570" t="str">
        <f t="shared" si="23"/>
        <v/>
      </c>
      <c r="P413" s="445" t="str">
        <f>"Needed for G.I." &amp; D413 &amp;".a"</f>
        <v>Needed for G.I.2.a</v>
      </c>
    </row>
    <row r="414" spans="1:16" hidden="1" x14ac:dyDescent="0.2">
      <c r="A414" s="445" t="s">
        <v>93</v>
      </c>
      <c r="D414" s="19">
        <v>3</v>
      </c>
      <c r="E414" s="1062" t="str">
        <f>INDEX(EUconst_FallBackListNames,D414)</f>
        <v>Siltuma līmeņatzīmes apakšiekārta, OEP | OIM)</v>
      </c>
      <c r="F414" s="1063"/>
      <c r="G414" s="1063"/>
      <c r="H414" s="568" t="str">
        <f>EUconst_TJpa</f>
        <v>TJ / gads</v>
      </c>
      <c r="I414" s="1064" t="str">
        <f t="shared" si="23"/>
        <v/>
      </c>
      <c r="J414" s="1064" t="str">
        <f t="shared" si="23"/>
        <v/>
      </c>
      <c r="K414" s="1064" t="str">
        <f t="shared" si="23"/>
        <v/>
      </c>
      <c r="L414" s="1064" t="str">
        <f t="shared" si="23"/>
        <v/>
      </c>
      <c r="M414" s="1065" t="str">
        <f t="shared" si="23"/>
        <v/>
      </c>
      <c r="P414" s="445" t="str">
        <f>"Needed for G.I." &amp; D414 &amp;".a"</f>
        <v>Needed for G.I.3.a</v>
      </c>
    </row>
    <row r="415" spans="1:16" ht="13.5" hidden="1" thickBot="1" x14ac:dyDescent="0.25">
      <c r="A415" s="445" t="s">
        <v>93</v>
      </c>
      <c r="D415" s="19">
        <v>4</v>
      </c>
      <c r="E415" s="131" t="str">
        <f>INDEX(EUconst_FallBackListNames,D415)</f>
        <v>Centralizētās siltumapgādes apakšiekārta</v>
      </c>
      <c r="F415" s="130"/>
      <c r="G415" s="130"/>
      <c r="H415" s="192" t="str">
        <f>EUconst_TJpa</f>
        <v>TJ / gads</v>
      </c>
      <c r="I415" s="127" t="str">
        <f t="shared" si="23"/>
        <v/>
      </c>
      <c r="J415" s="127" t="str">
        <f t="shared" si="23"/>
        <v/>
      </c>
      <c r="K415" s="127" t="str">
        <f t="shared" si="23"/>
        <v/>
      </c>
      <c r="L415" s="127" t="str">
        <f t="shared" si="23"/>
        <v/>
      </c>
      <c r="M415" s="126" t="str">
        <f t="shared" si="23"/>
        <v/>
      </c>
      <c r="P415" s="445" t="str">
        <f>"Needed for G.I." &amp; D415 &amp;".a"</f>
        <v>Needed for G.I.4.a</v>
      </c>
    </row>
    <row r="416" spans="1:16" hidden="1" x14ac:dyDescent="0.2">
      <c r="A416" s="445" t="s">
        <v>93</v>
      </c>
    </row>
    <row r="417" spans="1:16" ht="13.5" hidden="1" thickBot="1" x14ac:dyDescent="0.25">
      <c r="A417" s="445" t="s">
        <v>93</v>
      </c>
      <c r="E417" s="19" t="s">
        <v>78</v>
      </c>
    </row>
    <row r="418" spans="1:16" hidden="1" x14ac:dyDescent="0.2">
      <c r="A418" s="445" t="s">
        <v>93</v>
      </c>
      <c r="D418" s="19">
        <v>5</v>
      </c>
      <c r="E418" s="562" t="str">
        <f>INDEX(EUconst_FallBackListNames,D418)</f>
        <v>Kurināmā līmeņatzīmes apakšiekārta (OEP | bez OIM)</v>
      </c>
      <c r="F418" s="563"/>
      <c r="G418" s="563"/>
      <c r="H418" s="191" t="str">
        <f>EUconst_TJpa</f>
        <v>TJ / gads</v>
      </c>
      <c r="I418" s="564" t="str">
        <f t="shared" ref="I418:M420" si="24">IF(ISNUMBER(I44),INDEX(I$44:I$57,MATCH(EUconst_CNTR_HAL&amp;$E418,$P$44:$P$57,0)),"")</f>
        <v/>
      </c>
      <c r="J418" s="564" t="str">
        <f t="shared" si="24"/>
        <v/>
      </c>
      <c r="K418" s="564" t="str">
        <f t="shared" si="24"/>
        <v/>
      </c>
      <c r="L418" s="564" t="str">
        <f t="shared" si="24"/>
        <v/>
      </c>
      <c r="M418" s="565" t="str">
        <f t="shared" si="24"/>
        <v/>
      </c>
      <c r="P418" s="445" t="str">
        <f>"Needed for G.I." &amp; D418 &amp;".a"</f>
        <v>Needed for G.I.5.a</v>
      </c>
    </row>
    <row r="419" spans="1:16" hidden="1" x14ac:dyDescent="0.2">
      <c r="A419" s="445" t="s">
        <v>93</v>
      </c>
      <c r="D419" s="19">
        <v>6</v>
      </c>
      <c r="E419" s="566" t="str">
        <f>INDEX(EUconst_FallBackListNames,D419)</f>
        <v>Kurināmā līmeņatzīmes apakšiekārta (bez OEP | bez OIM)</v>
      </c>
      <c r="F419" s="567"/>
      <c r="G419" s="567"/>
      <c r="H419" s="568" t="str">
        <f>EUconst_TJpa</f>
        <v>TJ / gads</v>
      </c>
      <c r="I419" s="569" t="str">
        <f t="shared" si="24"/>
        <v/>
      </c>
      <c r="J419" s="569" t="str">
        <f t="shared" si="24"/>
        <v/>
      </c>
      <c r="K419" s="569" t="str">
        <f t="shared" si="24"/>
        <v/>
      </c>
      <c r="L419" s="569" t="str">
        <f t="shared" si="24"/>
        <v/>
      </c>
      <c r="M419" s="570" t="str">
        <f t="shared" si="24"/>
        <v/>
      </c>
      <c r="P419" s="445" t="str">
        <f>"Needed for G.I." &amp; D419 &amp;".a"</f>
        <v>Needed for G.I.6.a</v>
      </c>
    </row>
    <row r="420" spans="1:16" ht="13.5" hidden="1" thickBot="1" x14ac:dyDescent="0.25">
      <c r="A420" s="445" t="s">
        <v>93</v>
      </c>
      <c r="D420" s="19">
        <v>7</v>
      </c>
      <c r="E420" s="131" t="str">
        <f>INDEX(EUconst_FallBackListNames,D420)</f>
        <v>Kurināmā līmeņatzīmes apakšiekārta (OEP | OIM)</v>
      </c>
      <c r="F420" s="130"/>
      <c r="G420" s="130"/>
      <c r="H420" s="192" t="str">
        <f>EUconst_TJpa</f>
        <v>TJ / gads</v>
      </c>
      <c r="I420" s="127" t="str">
        <f t="shared" si="24"/>
        <v/>
      </c>
      <c r="J420" s="127" t="str">
        <f t="shared" si="24"/>
        <v/>
      </c>
      <c r="K420" s="127" t="str">
        <f t="shared" si="24"/>
        <v/>
      </c>
      <c r="L420" s="127" t="str">
        <f t="shared" si="24"/>
        <v/>
      </c>
      <c r="M420" s="126" t="str">
        <f t="shared" si="24"/>
        <v/>
      </c>
      <c r="P420" s="445" t="str">
        <f>"Needed for G.I." &amp; D420 &amp;".a"</f>
        <v>Needed for G.I.7.a</v>
      </c>
    </row>
    <row r="421" spans="1:16" hidden="1" x14ac:dyDescent="0.2">
      <c r="A421" s="445" t="s">
        <v>93</v>
      </c>
    </row>
    <row r="422" spans="1:16" ht="5.0999999999999996" hidden="1" customHeight="1" x14ac:dyDescent="0.2">
      <c r="A422" s="445" t="s">
        <v>93</v>
      </c>
      <c r="B422" s="219"/>
      <c r="C422" s="219"/>
      <c r="D422" s="219"/>
      <c r="E422" s="219"/>
      <c r="F422" s="219"/>
      <c r="G422" s="219"/>
      <c r="H422" s="219"/>
      <c r="I422" s="219"/>
      <c r="J422" s="219"/>
      <c r="K422" s="219"/>
      <c r="L422" s="219"/>
      <c r="M422" s="219"/>
      <c r="N422" s="219"/>
      <c r="O422" s="159"/>
      <c r="P422" s="624"/>
    </row>
    <row r="423" spans="1:16" ht="5.0999999999999996" hidden="1" customHeight="1" x14ac:dyDescent="0.2">
      <c r="A423" s="445" t="s">
        <v>93</v>
      </c>
      <c r="B423" s="219"/>
      <c r="C423" s="219"/>
      <c r="D423" s="219"/>
      <c r="E423" s="219"/>
      <c r="F423" s="219"/>
      <c r="G423" s="219"/>
      <c r="H423" s="219"/>
      <c r="I423" s="219"/>
      <c r="J423" s="219"/>
      <c r="K423" s="219"/>
      <c r="L423" s="219"/>
      <c r="M423" s="219"/>
      <c r="N423" s="219"/>
      <c r="O423" s="159"/>
      <c r="P423" s="624"/>
    </row>
    <row r="424" spans="1:16" hidden="1" x14ac:dyDescent="0.2">
      <c r="A424" s="445" t="s">
        <v>93</v>
      </c>
      <c r="E424" s="376" t="s">
        <v>527</v>
      </c>
    </row>
    <row r="425" spans="1:16" hidden="1" x14ac:dyDescent="0.2">
      <c r="A425" s="445" t="s">
        <v>93</v>
      </c>
      <c r="E425" s="19" t="s">
        <v>56</v>
      </c>
      <c r="I425" s="205">
        <f>I$405</f>
        <v>2019</v>
      </c>
      <c r="J425" s="205">
        <f>J$405</f>
        <v>2020</v>
      </c>
      <c r="K425" s="205">
        <f>K$405</f>
        <v>2021</v>
      </c>
      <c r="L425" s="205">
        <f>L$405</f>
        <v>2022</v>
      </c>
      <c r="M425" s="205">
        <f>M$405</f>
        <v>2023</v>
      </c>
    </row>
    <row r="426" spans="1:16" hidden="1" x14ac:dyDescent="0.2">
      <c r="A426" s="445" t="s">
        <v>93</v>
      </c>
      <c r="D426" s="19" t="s">
        <v>342</v>
      </c>
      <c r="E426" s="41" t="s">
        <v>57</v>
      </c>
      <c r="H426" s="170" t="str">
        <f>EUconst_TJpa</f>
        <v>TJ / gads</v>
      </c>
      <c r="I426" s="41">
        <f>IF(ISNUMBER(I123),I123*(SUM(I129)/100),0)</f>
        <v>0</v>
      </c>
      <c r="J426" s="41">
        <f>IF(ISNUMBER(J123),J123*(SUM(J129)/100),0)</f>
        <v>0</v>
      </c>
      <c r="K426" s="41">
        <f>IF(ISNUMBER(K123),K123*(SUM(K129)/100),0)</f>
        <v>0</v>
      </c>
      <c r="L426" s="41">
        <f>IF(ISNUMBER(L123),L123*(SUM(L129)/100),0)</f>
        <v>0</v>
      </c>
      <c r="M426" s="41">
        <f>IF(ISNUMBER(M123),M123*(SUM(M129)/100),0)</f>
        <v>0</v>
      </c>
    </row>
    <row r="427" spans="1:16" hidden="1" x14ac:dyDescent="0.2">
      <c r="A427" s="445" t="s">
        <v>93</v>
      </c>
      <c r="E427" s="19" t="s">
        <v>58</v>
      </c>
      <c r="H427" s="170" t="str">
        <f>EUconst_TJpa</f>
        <v>TJ / gads</v>
      </c>
      <c r="I427" s="41">
        <f>IF(ISNUMBER(I123),I123*(1-SUM(I129)/100),0)</f>
        <v>0</v>
      </c>
      <c r="J427" s="41">
        <f>IF(ISNUMBER(J123),J123*(1-SUM(J129)/100),0)</f>
        <v>0</v>
      </c>
      <c r="K427" s="41">
        <f>IF(ISNUMBER(K123),K123*(1-SUM(K129)/100),0)</f>
        <v>0</v>
      </c>
      <c r="L427" s="41">
        <f>IF(ISNUMBER(L123),L123*(1-SUM(L129)/100),0)</f>
        <v>0</v>
      </c>
      <c r="M427" s="41">
        <f>IF(ISNUMBER(M123),M123*(1-SUM(M129)/100),0)</f>
        <v>0</v>
      </c>
    </row>
    <row r="428" spans="1:16" hidden="1" x14ac:dyDescent="0.2">
      <c r="A428" s="445" t="s">
        <v>93</v>
      </c>
    </row>
    <row r="429" spans="1:16" hidden="1" x14ac:dyDescent="0.2">
      <c r="A429" s="445" t="s">
        <v>93</v>
      </c>
      <c r="D429" s="19" t="s">
        <v>13</v>
      </c>
      <c r="E429" s="19" t="s">
        <v>60</v>
      </c>
    </row>
    <row r="430" spans="1:16" hidden="1" x14ac:dyDescent="0.2">
      <c r="A430" s="445" t="s">
        <v>93</v>
      </c>
      <c r="E430" s="41" t="s">
        <v>59</v>
      </c>
      <c r="H430" s="170" t="str">
        <f>EUconst_TJpa</f>
        <v>TJ / gads</v>
      </c>
      <c r="I430" s="41">
        <f>IF(ISNUMBER(I140),I140-I431,0)</f>
        <v>0</v>
      </c>
      <c r="J430" s="41">
        <f>IF(ISNUMBER(J140),J140-J431,0)</f>
        <v>0</v>
      </c>
      <c r="K430" s="41">
        <f>IF(ISNUMBER(K140),K140-K431,0)</f>
        <v>0</v>
      </c>
      <c r="L430" s="41">
        <f>IF(ISNUMBER(L140),L140-L431,0)</f>
        <v>0</v>
      </c>
      <c r="M430" s="41">
        <f>IF(ISNUMBER(M140),M140-M431,0)</f>
        <v>0</v>
      </c>
    </row>
    <row r="431" spans="1:16" hidden="1" x14ac:dyDescent="0.2">
      <c r="A431" s="445" t="s">
        <v>93</v>
      </c>
      <c r="E431" s="19" t="s">
        <v>58</v>
      </c>
      <c r="H431" s="170" t="str">
        <f>EUconst_TJpa</f>
        <v>TJ / gads</v>
      </c>
      <c r="I431" s="41">
        <f>IF(ISNUMBER(I142),IF(I142&lt;I427,I142,I427),IF(ISNUMBER(I141),I141,0))</f>
        <v>0</v>
      </c>
      <c r="J431" s="41">
        <f>IF(ISNUMBER(J142),IF(J142&lt;J427,J142,J427),IF(ISNUMBER(J141),J141,0))</f>
        <v>0</v>
      </c>
      <c r="K431" s="41">
        <f>IF(ISNUMBER(K142),IF(K142&lt;K427,K142,K427),IF(ISNUMBER(K141),K141,0))</f>
        <v>0</v>
      </c>
      <c r="L431" s="41">
        <f>IF(ISNUMBER(L142),IF(L142&lt;L427,L142,L427),IF(ISNUMBER(L141),L141,0))</f>
        <v>0</v>
      </c>
      <c r="M431" s="41">
        <f>IF(ISNUMBER(M142),IF(M142&lt;M427,M142,M427),IF(ISNUMBER(M141),M141,0))</f>
        <v>0</v>
      </c>
    </row>
    <row r="432" spans="1:16" hidden="1" x14ac:dyDescent="0.2">
      <c r="A432" s="445" t="s">
        <v>93</v>
      </c>
      <c r="E432" s="19" t="s">
        <v>61</v>
      </c>
    </row>
    <row r="433" spans="1:13" hidden="1" x14ac:dyDescent="0.2">
      <c r="A433" s="445" t="s">
        <v>93</v>
      </c>
      <c r="E433" s="41" t="s">
        <v>59</v>
      </c>
      <c r="H433" s="170" t="str">
        <f>EUconst_TJpa</f>
        <v>TJ / gads</v>
      </c>
      <c r="I433" s="41">
        <f>IF(I430&lt;I426,I426-I430-IF(I431&gt;I427,I431-I427,0),0)</f>
        <v>0</v>
      </c>
      <c r="J433" s="41">
        <f>IF(J430&lt;J426,J426-J430-IF(J431&gt;J427,J431-J427,0),0)</f>
        <v>0</v>
      </c>
      <c r="K433" s="41">
        <f>IF(K430&lt;K426,K426-K430-IF(K431&gt;K427,K431-K427,0),0)</f>
        <v>0</v>
      </c>
      <c r="L433" s="41">
        <f>IF(L430&lt;L426,L426-L430-IF(L431&gt;L427,L431-L427,0),0)</f>
        <v>0</v>
      </c>
      <c r="M433" s="41">
        <f>IF(M430&lt;M426,M426-M430-IF(M431&gt;M427,M431-M427,0),0)</f>
        <v>0</v>
      </c>
    </row>
    <row r="434" spans="1:13" hidden="1" x14ac:dyDescent="0.2">
      <c r="A434" s="445" t="s">
        <v>93</v>
      </c>
      <c r="E434" s="19" t="s">
        <v>58</v>
      </c>
      <c r="H434" s="170" t="str">
        <f>EUconst_TJpa</f>
        <v>TJ / gads</v>
      </c>
      <c r="I434" s="41">
        <f>IF(I431&lt;I427,I427-I431-IF(I430&gt;I426,I430-I426,0),0)</f>
        <v>0</v>
      </c>
      <c r="J434" s="41">
        <f>IF(J431&lt;J427,J427-J431-IF(J430&gt;J426,J430-J426,0),0)</f>
        <v>0</v>
      </c>
      <c r="K434" s="41">
        <f>IF(K431&lt;K427,K427-K431-IF(K430&gt;K426,K430-K426,0),0)</f>
        <v>0</v>
      </c>
      <c r="L434" s="41">
        <f>IF(L431&lt;L427,L427-L431-IF(L430&gt;L426,L430-L426,0),0)</f>
        <v>0</v>
      </c>
      <c r="M434" s="41">
        <f>IF(M431&lt;M427,M427-M431-IF(M430&gt;M426,M430-M426,0),0)</f>
        <v>0</v>
      </c>
    </row>
    <row r="435" spans="1:13" hidden="1" x14ac:dyDescent="0.2">
      <c r="A435" s="445" t="s">
        <v>93</v>
      </c>
    </row>
    <row r="436" spans="1:13" hidden="1" x14ac:dyDescent="0.2">
      <c r="A436" s="445" t="s">
        <v>93</v>
      </c>
      <c r="D436" s="19" t="s">
        <v>81</v>
      </c>
      <c r="E436" s="19" t="s">
        <v>62</v>
      </c>
    </row>
    <row r="437" spans="1:13" hidden="1" x14ac:dyDescent="0.2">
      <c r="A437" s="445" t="s">
        <v>93</v>
      </c>
      <c r="E437" s="41" t="s">
        <v>59</v>
      </c>
      <c r="H437" s="170" t="str">
        <f>EUconst_TJpa</f>
        <v>TJ / gads</v>
      </c>
      <c r="I437" s="41">
        <f>IF(ISNUMBER(I158),I158-I438,0)</f>
        <v>0</v>
      </c>
      <c r="J437" s="41">
        <f>IF(ISNUMBER(J158),J158-J438,0)</f>
        <v>0</v>
      </c>
      <c r="K437" s="41">
        <f>IF(ISNUMBER(K158),K158-K438,0)</f>
        <v>0</v>
      </c>
      <c r="L437" s="41">
        <f>IF(ISNUMBER(L158),L158-L438,0)</f>
        <v>0</v>
      </c>
      <c r="M437" s="41">
        <f>IF(ISNUMBER(M158),M158-M438,0)</f>
        <v>0</v>
      </c>
    </row>
    <row r="438" spans="1:13" hidden="1" x14ac:dyDescent="0.2">
      <c r="A438" s="445" t="s">
        <v>93</v>
      </c>
      <c r="E438" s="19" t="s">
        <v>58</v>
      </c>
      <c r="H438" s="170" t="str">
        <f>EUconst_TJpa</f>
        <v>TJ / gads</v>
      </c>
      <c r="I438" s="41">
        <f>IF(ISNUMBER(I161),IF(I161&lt;I434,I161,I434),0)</f>
        <v>0</v>
      </c>
      <c r="J438" s="41">
        <f>IF(ISNUMBER(J161),IF(J161&lt;J434,J161,J434),0)</f>
        <v>0</v>
      </c>
      <c r="K438" s="41">
        <f>IF(ISNUMBER(K161),IF(K161&lt;K434,K161,K434),0)</f>
        <v>0</v>
      </c>
      <c r="L438" s="41">
        <f>IF(ISNUMBER(L161),IF(L161&lt;L434,L161,L434),0)</f>
        <v>0</v>
      </c>
      <c r="M438" s="41">
        <f>IF(ISNUMBER(M161),IF(M161&lt;M434,M161,M434),0)</f>
        <v>0</v>
      </c>
    </row>
    <row r="439" spans="1:13" hidden="1" x14ac:dyDescent="0.2">
      <c r="A439" s="445" t="s">
        <v>93</v>
      </c>
      <c r="E439" s="19" t="s">
        <v>63</v>
      </c>
    </row>
    <row r="440" spans="1:13" hidden="1" x14ac:dyDescent="0.2">
      <c r="A440" s="445" t="s">
        <v>93</v>
      </c>
      <c r="E440" s="41" t="s">
        <v>59</v>
      </c>
      <c r="H440" s="170" t="str">
        <f>EUconst_TJpa</f>
        <v>TJ / gads</v>
      </c>
      <c r="I440" s="41">
        <f>IF(I437&lt;I433,I433-I437-IF(I438&gt;I434,I438-I434,0),0)</f>
        <v>0</v>
      </c>
      <c r="J440" s="41">
        <f>IF(J437&lt;J433,J433-J437-IF(J438&gt;J434,J438-J434,0),0)</f>
        <v>0</v>
      </c>
      <c r="K440" s="41">
        <f>IF(K437&lt;K433,K433-K437-IF(K438&gt;K434,K438-K434,0),0)</f>
        <v>0</v>
      </c>
      <c r="L440" s="41">
        <f>IF(L437&lt;L433,L433-L437-IF(L438&gt;L434,L438-L434,0),0)</f>
        <v>0</v>
      </c>
      <c r="M440" s="41">
        <f>IF(M437&lt;M433,M433-M437-IF(M438&gt;M434,M438-M434,0),0)</f>
        <v>0</v>
      </c>
    </row>
    <row r="441" spans="1:13" hidden="1" x14ac:dyDescent="0.2">
      <c r="A441" s="445" t="s">
        <v>93</v>
      </c>
      <c r="E441" s="19" t="s">
        <v>58</v>
      </c>
      <c r="H441" s="170" t="str">
        <f>EUconst_TJpa</f>
        <v>TJ / gads</v>
      </c>
      <c r="I441" s="41">
        <f>IF(I438&lt;I434,I434-I438-IF(I437&gt;I433,I437-I433,0),0)</f>
        <v>0</v>
      </c>
      <c r="J441" s="41">
        <f>IF(J438&lt;J434,J434-J438-IF(J437&gt;J433,J437-J433,0),0)</f>
        <v>0</v>
      </c>
      <c r="K441" s="41">
        <f>IF(K438&lt;K434,K434-K438-IF(K437&gt;K433,K437-K433,0),0)</f>
        <v>0</v>
      </c>
      <c r="L441" s="41">
        <f>IF(L438&lt;L434,L434-L438-IF(L437&gt;L433,L437-L433,0),0)</f>
        <v>0</v>
      </c>
      <c r="M441" s="41">
        <f>IF(M438&lt;M434,M434-M438-IF(M437&gt;M433,M437-M433,0),0)</f>
        <v>0</v>
      </c>
    </row>
    <row r="442" spans="1:13" hidden="1" x14ac:dyDescent="0.2">
      <c r="A442" s="445" t="s">
        <v>93</v>
      </c>
    </row>
    <row r="443" spans="1:13" hidden="1" x14ac:dyDescent="0.2">
      <c r="A443" s="445" t="s">
        <v>93</v>
      </c>
      <c r="D443" s="19" t="s">
        <v>82</v>
      </c>
      <c r="E443" s="19" t="s">
        <v>65</v>
      </c>
    </row>
    <row r="444" spans="1:13" hidden="1" x14ac:dyDescent="0.2">
      <c r="A444" s="445" t="s">
        <v>93</v>
      </c>
      <c r="E444" s="41" t="s">
        <v>59</v>
      </c>
      <c r="H444" s="170" t="str">
        <f>EUconst_TJpa</f>
        <v>TJ / gads</v>
      </c>
      <c r="I444" s="41">
        <f>IF(ISNUMBER(I182),I182,0)</f>
        <v>0</v>
      </c>
      <c r="J444" s="41">
        <f>IF(ISNUMBER(J182),J182,0)</f>
        <v>0</v>
      </c>
      <c r="K444" s="41">
        <f>IF(ISNUMBER(K182),K182,0)</f>
        <v>0</v>
      </c>
      <c r="L444" s="41">
        <f>IF(ISNUMBER(L182),L182,0)</f>
        <v>0</v>
      </c>
      <c r="M444" s="41">
        <f>IF(ISNUMBER(M182),M182,0)</f>
        <v>0</v>
      </c>
    </row>
    <row r="445" spans="1:13" hidden="1" x14ac:dyDescent="0.2">
      <c r="A445" s="445" t="s">
        <v>93</v>
      </c>
      <c r="E445" s="19" t="s">
        <v>58</v>
      </c>
      <c r="H445" s="170" t="str">
        <f>EUconst_TJpa</f>
        <v>TJ / gads</v>
      </c>
      <c r="I445" s="41"/>
      <c r="J445" s="41"/>
      <c r="K445" s="41"/>
      <c r="L445" s="41"/>
      <c r="M445" s="41"/>
    </row>
    <row r="446" spans="1:13" ht="13.5" hidden="1" thickBot="1" x14ac:dyDescent="0.25">
      <c r="A446" s="445" t="s">
        <v>93</v>
      </c>
      <c r="E446" s="19" t="s">
        <v>64</v>
      </c>
    </row>
    <row r="447" spans="1:13" hidden="1" x14ac:dyDescent="0.2">
      <c r="A447" s="445" t="s">
        <v>93</v>
      </c>
      <c r="E447" s="278" t="s">
        <v>59</v>
      </c>
      <c r="F447" s="279"/>
      <c r="G447" s="279"/>
      <c r="H447" s="280" t="str">
        <f>EUconst_TJpa</f>
        <v>TJ / gads</v>
      </c>
      <c r="I447" s="194">
        <f>IF(I444&lt;I440,I440-I444-IF(I445&gt;I441,I445-I441,0),0)</f>
        <v>0</v>
      </c>
      <c r="J447" s="194">
        <f>IF(J444&lt;J440,J440-J444-IF(J445&gt;J441,J445-J441,0),0)</f>
        <v>0</v>
      </c>
      <c r="K447" s="194">
        <f>IF(K444&lt;K440,K440-K444-IF(K445&gt;K441,K445-K441,0),0)</f>
        <v>0</v>
      </c>
      <c r="L447" s="194">
        <f>IF(L444&lt;L440,L440-L444-IF(L445&gt;L441,L445-L441,0),0)</f>
        <v>0</v>
      </c>
      <c r="M447" s="195">
        <f>IF(M444&lt;M440,M440-M444-IF(M445&gt;M441,M445-M441,0),0)</f>
        <v>0</v>
      </c>
    </row>
    <row r="448" spans="1:13" ht="13.5" hidden="1" thickBot="1" x14ac:dyDescent="0.25">
      <c r="A448" s="445" t="s">
        <v>93</v>
      </c>
      <c r="E448" s="281" t="s">
        <v>58</v>
      </c>
      <c r="F448" s="282"/>
      <c r="G448" s="282"/>
      <c r="H448" s="283" t="str">
        <f>EUconst_TJpa</f>
        <v>TJ / gads</v>
      </c>
      <c r="I448" s="284">
        <f>IF(I445&lt;I441,I441-I445-IF(I444&gt;I440,I444-I440,0),0)</f>
        <v>0</v>
      </c>
      <c r="J448" s="284">
        <f>IF(J445&lt;J441,J441-J445-IF(J444&gt;J440,J444-J440,0),0)</f>
        <v>0</v>
      </c>
      <c r="K448" s="284">
        <f>IF(K445&lt;K441,K441-K445-IF(K444&gt;K440,K444-K440,0),0)</f>
        <v>0</v>
      </c>
      <c r="L448" s="284">
        <f>IF(L445&lt;L441,L441-L445-IF(L444&gt;L440,L444-L440,0),0)</f>
        <v>0</v>
      </c>
      <c r="M448" s="285">
        <f>IF(M445&lt;M441,M441-M445-IF(M444&gt;M440,M444-M440,0),0)</f>
        <v>0</v>
      </c>
    </row>
    <row r="449" spans="1:16" hidden="1" x14ac:dyDescent="0.2">
      <c r="A449" s="445" t="s">
        <v>93</v>
      </c>
    </row>
    <row r="450" spans="1:16" hidden="1" x14ac:dyDescent="0.2">
      <c r="A450" s="445" t="s">
        <v>93</v>
      </c>
    </row>
    <row r="451" spans="1:16" hidden="1" x14ac:dyDescent="0.2">
      <c r="A451" s="445" t="s">
        <v>93</v>
      </c>
    </row>
    <row r="452" spans="1:16" ht="13.5" hidden="1" thickBot="1" x14ac:dyDescent="0.25">
      <c r="A452" s="445" t="s">
        <v>93</v>
      </c>
      <c r="E452" s="583" t="s">
        <v>660</v>
      </c>
    </row>
    <row r="453" spans="1:16" hidden="1" x14ac:dyDescent="0.2">
      <c r="A453" s="445" t="s">
        <v>93</v>
      </c>
      <c r="D453" s="19">
        <v>5</v>
      </c>
      <c r="E453" s="562" t="str">
        <f>INDEX(EUconst_FallBackListNames,D453)</f>
        <v>Kurināmā līmeņatzīmes apakšiekārta (OEP | bez OIM)</v>
      </c>
      <c r="F453" s="563"/>
      <c r="G453" s="563"/>
      <c r="H453" s="191" t="str">
        <f>EUconst_TJpa</f>
        <v>TJ / gads</v>
      </c>
      <c r="I453" s="1174">
        <f>SUMIFS('G_Fall-back'!I:I,'G_Fall-back'!$P:$P,$P453)</f>
        <v>0</v>
      </c>
      <c r="J453" s="1174">
        <f>SUMIFS('G_Fall-back'!J:J,'G_Fall-back'!$P:$P,$P453)</f>
        <v>0</v>
      </c>
      <c r="K453" s="1174">
        <f>SUMIFS('G_Fall-back'!K:K,'G_Fall-back'!$P:$P,$P453)</f>
        <v>0</v>
      </c>
      <c r="L453" s="1174">
        <f>SUMIFS('G_Fall-back'!L:L,'G_Fall-back'!$P:$P,$P453)</f>
        <v>0</v>
      </c>
      <c r="M453" s="1175">
        <f>SUMIFS('G_Fall-back'!M:M,'G_Fall-back'!$P:$P,$P453)</f>
        <v>0</v>
      </c>
      <c r="P453" s="1025" t="str">
        <f>EUconst_CNTR_HeatExport &amp; E453</f>
        <v>HeatEx_Kurināmā līmeņatzīmes apakšiekārta (OEP | bez OIM)</v>
      </c>
    </row>
    <row r="454" spans="1:16" hidden="1" x14ac:dyDescent="0.2">
      <c r="A454" s="445" t="s">
        <v>93</v>
      </c>
      <c r="D454" s="19">
        <v>6</v>
      </c>
      <c r="E454" s="566" t="str">
        <f>INDEX(EUconst_FallBackListNames,D454)</f>
        <v>Kurināmā līmeņatzīmes apakšiekārta (bez OEP | bez OIM)</v>
      </c>
      <c r="F454" s="567"/>
      <c r="G454" s="567"/>
      <c r="H454" s="568" t="str">
        <f>EUconst_TJpa</f>
        <v>TJ / gads</v>
      </c>
      <c r="I454" s="1176">
        <f>SUMIFS('G_Fall-back'!I:I,'G_Fall-back'!$P:$P,$P454)</f>
        <v>0</v>
      </c>
      <c r="J454" s="1176">
        <f>SUMIFS('G_Fall-back'!J:J,'G_Fall-back'!$P:$P,$P454)</f>
        <v>0</v>
      </c>
      <c r="K454" s="1176">
        <f>SUMIFS('G_Fall-back'!K:K,'G_Fall-back'!$P:$P,$P454)</f>
        <v>0</v>
      </c>
      <c r="L454" s="1176">
        <f>SUMIFS('G_Fall-back'!L:L,'G_Fall-back'!$P:$P,$P454)</f>
        <v>0</v>
      </c>
      <c r="M454" s="1177">
        <f>SUMIFS('G_Fall-back'!M:M,'G_Fall-back'!$P:$P,$P454)</f>
        <v>0</v>
      </c>
      <c r="P454" s="1025" t="str">
        <f>EUconst_CNTR_HeatExport &amp; E454</f>
        <v>HeatEx_Kurināmā līmeņatzīmes apakšiekārta (bez OEP | bez OIM)</v>
      </c>
    </row>
    <row r="455" spans="1:16" ht="13.5" hidden="1" thickBot="1" x14ac:dyDescent="0.25">
      <c r="A455" s="445" t="s">
        <v>93</v>
      </c>
      <c r="D455" s="19">
        <v>7</v>
      </c>
      <c r="E455" s="131" t="str">
        <f>INDEX(EUconst_FallBackListNames,D455)</f>
        <v>Kurināmā līmeņatzīmes apakšiekārta (OEP | OIM)</v>
      </c>
      <c r="F455" s="130"/>
      <c r="G455" s="130"/>
      <c r="H455" s="192" t="str">
        <f>EUconst_TJpa</f>
        <v>TJ / gads</v>
      </c>
      <c r="I455" s="1178">
        <f>SUMIFS('G_Fall-back'!I:I,'G_Fall-back'!$P:$P,$P455)</f>
        <v>0</v>
      </c>
      <c r="J455" s="1178">
        <f>SUMIFS('G_Fall-back'!J:J,'G_Fall-back'!$P:$P,$P455)</f>
        <v>0</v>
      </c>
      <c r="K455" s="1178">
        <f>SUMIFS('G_Fall-back'!K:K,'G_Fall-back'!$P:$P,$P455)</f>
        <v>0</v>
      </c>
      <c r="L455" s="1178">
        <f>SUMIFS('G_Fall-back'!L:L,'G_Fall-back'!$P:$P,$P455)</f>
        <v>0</v>
      </c>
      <c r="M455" s="1179">
        <f>SUMIFS('G_Fall-back'!M:M,'G_Fall-back'!$P:$P,$P455)</f>
        <v>0</v>
      </c>
      <c r="P455" s="1025" t="str">
        <f>EUconst_CNTR_HeatExport &amp; E455</f>
        <v>HeatEx_Kurināmā līmeņatzīmes apakšiekārta (OEP | OIM)</v>
      </c>
    </row>
    <row r="456" spans="1:16" hidden="1" x14ac:dyDescent="0.2">
      <c r="A456" s="445" t="s">
        <v>93</v>
      </c>
    </row>
  </sheetData>
  <sheetCalcPr fullCalcOnLoad="1"/>
  <sheetProtection sheet="1" objects="1" scenarios="1" formatCells="0" formatColumns="0" formatRows="0"/>
  <mergeCells count="327">
    <mergeCell ref="D87:N87"/>
    <mergeCell ref="E250:G250"/>
    <mergeCell ref="E249:G249"/>
    <mergeCell ref="E206:G206"/>
    <mergeCell ref="E118:G118"/>
    <mergeCell ref="E178:G178"/>
    <mergeCell ref="E127:N127"/>
    <mergeCell ref="E126:N126"/>
    <mergeCell ref="E136:N136"/>
    <mergeCell ref="E91:N91"/>
    <mergeCell ref="E84:N84"/>
    <mergeCell ref="E102:G102"/>
    <mergeCell ref="E93:N93"/>
    <mergeCell ref="E85:N85"/>
    <mergeCell ref="D75:N75"/>
    <mergeCell ref="E70:M70"/>
    <mergeCell ref="E100:N100"/>
    <mergeCell ref="D76:N76"/>
    <mergeCell ref="E94:N94"/>
    <mergeCell ref="E97:G97"/>
    <mergeCell ref="E14:N14"/>
    <mergeCell ref="F15:N15"/>
    <mergeCell ref="F17:N17"/>
    <mergeCell ref="F16:N16"/>
    <mergeCell ref="F18:N18"/>
    <mergeCell ref="E170:N170"/>
    <mergeCell ref="E20:G20"/>
    <mergeCell ref="E22:G22"/>
    <mergeCell ref="E21:G21"/>
    <mergeCell ref="E92:N92"/>
    <mergeCell ref="E89:N89"/>
    <mergeCell ref="E41:G41"/>
    <mergeCell ref="E288:G288"/>
    <mergeCell ref="E280:G280"/>
    <mergeCell ref="E281:G281"/>
    <mergeCell ref="E282:G282"/>
    <mergeCell ref="E265:G265"/>
    <mergeCell ref="D61:N61"/>
    <mergeCell ref="E65:L65"/>
    <mergeCell ref="E287:N287"/>
    <mergeCell ref="E351:G351"/>
    <mergeCell ref="E328:G328"/>
    <mergeCell ref="E341:N341"/>
    <mergeCell ref="E331:G331"/>
    <mergeCell ref="E329:G329"/>
    <mergeCell ref="E330:G330"/>
    <mergeCell ref="E340:N340"/>
    <mergeCell ref="E348:G348"/>
    <mergeCell ref="E349:G349"/>
    <mergeCell ref="E350:G350"/>
    <mergeCell ref="E342:N342"/>
    <mergeCell ref="E46:G46"/>
    <mergeCell ref="B2:D4"/>
    <mergeCell ref="E165:N165"/>
    <mergeCell ref="E296:G296"/>
    <mergeCell ref="E142:G142"/>
    <mergeCell ref="E151:G151"/>
    <mergeCell ref="E54:G54"/>
    <mergeCell ref="E50:N50"/>
    <mergeCell ref="E278:M278"/>
    <mergeCell ref="E364:G364"/>
    <mergeCell ref="E334:G334"/>
    <mergeCell ref="E335:G335"/>
    <mergeCell ref="E337:N337"/>
    <mergeCell ref="E338:G338"/>
    <mergeCell ref="E352:G352"/>
    <mergeCell ref="E361:N361"/>
    <mergeCell ref="E354:G354"/>
    <mergeCell ref="E353:G353"/>
    <mergeCell ref="E358:N358"/>
    <mergeCell ref="E141:G141"/>
    <mergeCell ref="E138:N138"/>
    <mergeCell ref="E161:G161"/>
    <mergeCell ref="E137:N137"/>
    <mergeCell ref="E149:G149"/>
    <mergeCell ref="E158:G158"/>
    <mergeCell ref="E140:G140"/>
    <mergeCell ref="E156:G156"/>
    <mergeCell ref="E157:G157"/>
    <mergeCell ref="F32:N32"/>
    <mergeCell ref="F34:N34"/>
    <mergeCell ref="F33:N33"/>
    <mergeCell ref="E164:N164"/>
    <mergeCell ref="E66:N66"/>
    <mergeCell ref="E42:G42"/>
    <mergeCell ref="E55:G55"/>
    <mergeCell ref="E57:G57"/>
    <mergeCell ref="E163:N163"/>
    <mergeCell ref="E43:G43"/>
    <mergeCell ref="E26:N26"/>
    <mergeCell ref="E27:N27"/>
    <mergeCell ref="D63:N63"/>
    <mergeCell ref="D10:N10"/>
    <mergeCell ref="E48:G48"/>
    <mergeCell ref="E13:N13"/>
    <mergeCell ref="E53:G53"/>
    <mergeCell ref="E29:N29"/>
    <mergeCell ref="E36:N36"/>
    <mergeCell ref="E35:M35"/>
    <mergeCell ref="E37:N37"/>
    <mergeCell ref="E47:G47"/>
    <mergeCell ref="D72:N72"/>
    <mergeCell ref="D74:N74"/>
    <mergeCell ref="E38:N38"/>
    <mergeCell ref="E44:G44"/>
    <mergeCell ref="E59:G59"/>
    <mergeCell ref="E39:N39"/>
    <mergeCell ref="G4:H4"/>
    <mergeCell ref="K4:L4"/>
    <mergeCell ref="D8:N8"/>
    <mergeCell ref="E25:H25"/>
    <mergeCell ref="F31:N31"/>
    <mergeCell ref="E58:G58"/>
    <mergeCell ref="I25:J25"/>
    <mergeCell ref="E30:N30"/>
    <mergeCell ref="E23:G23"/>
    <mergeCell ref="D6:N6"/>
    <mergeCell ref="I2:J2"/>
    <mergeCell ref="K2:L2"/>
    <mergeCell ref="M3:N3"/>
    <mergeCell ref="E67:N67"/>
    <mergeCell ref="E69:L69"/>
    <mergeCell ref="E52:G52"/>
    <mergeCell ref="I4:J4"/>
    <mergeCell ref="G2:H2"/>
    <mergeCell ref="M2:N2"/>
    <mergeCell ref="E3:F3"/>
    <mergeCell ref="D79:N79"/>
    <mergeCell ref="E80:N80"/>
    <mergeCell ref="E114:N114"/>
    <mergeCell ref="E125:N125"/>
    <mergeCell ref="K3:L3"/>
    <mergeCell ref="G3:H3"/>
    <mergeCell ref="I3:J3"/>
    <mergeCell ref="M4:N4"/>
    <mergeCell ref="E4:F4"/>
    <mergeCell ref="E78:N78"/>
    <mergeCell ref="E82:N82"/>
    <mergeCell ref="E96:G96"/>
    <mergeCell ref="E180:G180"/>
    <mergeCell ref="E150:G150"/>
    <mergeCell ref="E134:N134"/>
    <mergeCell ref="E177:G177"/>
    <mergeCell ref="E104:N104"/>
    <mergeCell ref="E117:G117"/>
    <mergeCell ref="E123:G123"/>
    <mergeCell ref="E86:N86"/>
    <mergeCell ref="D396:N396"/>
    <mergeCell ref="E182:G182"/>
    <mergeCell ref="E77:N77"/>
    <mergeCell ref="E154:G154"/>
    <mergeCell ref="E83:N83"/>
    <mergeCell ref="E105:N105"/>
    <mergeCell ref="E153:G153"/>
    <mergeCell ref="E110:G110"/>
    <mergeCell ref="E115:N115"/>
    <mergeCell ref="E81:N81"/>
    <mergeCell ref="E120:G120"/>
    <mergeCell ref="E152:G152"/>
    <mergeCell ref="E199:N199"/>
    <mergeCell ref="E174:N174"/>
    <mergeCell ref="E179:G179"/>
    <mergeCell ref="E181:G181"/>
    <mergeCell ref="E167:N167"/>
    <mergeCell ref="E155:G155"/>
    <mergeCell ref="E194:G194"/>
    <mergeCell ref="E122:N122"/>
    <mergeCell ref="E209:G209"/>
    <mergeCell ref="E184:N184"/>
    <mergeCell ref="E189:G189"/>
    <mergeCell ref="E204:N204"/>
    <mergeCell ref="E201:G201"/>
    <mergeCell ref="E207:G207"/>
    <mergeCell ref="E200:N200"/>
    <mergeCell ref="E208:G208"/>
    <mergeCell ref="E191:N191"/>
    <mergeCell ref="E196:N196"/>
    <mergeCell ref="E210:G210"/>
    <mergeCell ref="E176:G176"/>
    <mergeCell ref="E232:N232"/>
    <mergeCell ref="E219:G219"/>
    <mergeCell ref="E221:N221"/>
    <mergeCell ref="E212:G212"/>
    <mergeCell ref="E222:G222"/>
    <mergeCell ref="E211:G211"/>
    <mergeCell ref="E197:G197"/>
    <mergeCell ref="E203:N203"/>
    <mergeCell ref="E215:N215"/>
    <mergeCell ref="E218:G218"/>
    <mergeCell ref="E216:N216"/>
    <mergeCell ref="E225:N225"/>
    <mergeCell ref="E224:N224"/>
    <mergeCell ref="E228:G228"/>
    <mergeCell ref="E226:N226"/>
    <mergeCell ref="E230:H230"/>
    <mergeCell ref="D254:N254"/>
    <mergeCell ref="E245:G245"/>
    <mergeCell ref="E246:G246"/>
    <mergeCell ref="D252:N252"/>
    <mergeCell ref="E235:N235"/>
    <mergeCell ref="I230:J230"/>
    <mergeCell ref="E239:G239"/>
    <mergeCell ref="E346:G346"/>
    <mergeCell ref="E317:G317"/>
    <mergeCell ref="E316:G316"/>
    <mergeCell ref="E270:G270"/>
    <mergeCell ref="E273:G273"/>
    <mergeCell ref="E274:G274"/>
    <mergeCell ref="E272:G272"/>
    <mergeCell ref="E344:G344"/>
    <mergeCell ref="E312:G312"/>
    <mergeCell ref="E318:G318"/>
    <mergeCell ref="E376:G376"/>
    <mergeCell ref="E266:G266"/>
    <mergeCell ref="E267:G267"/>
    <mergeCell ref="D255:N255"/>
    <mergeCell ref="D256:N256"/>
    <mergeCell ref="E291:N291"/>
    <mergeCell ref="E269:G269"/>
    <mergeCell ref="E260:N260"/>
    <mergeCell ref="E313:G313"/>
    <mergeCell ref="E314:G314"/>
    <mergeCell ref="E377:G377"/>
    <mergeCell ref="E371:N371"/>
    <mergeCell ref="E370:L370"/>
    <mergeCell ref="E275:G275"/>
    <mergeCell ref="E379:N379"/>
    <mergeCell ref="D366:N366"/>
    <mergeCell ref="D368:N368"/>
    <mergeCell ref="E373:N373"/>
    <mergeCell ref="E343:G343"/>
    <mergeCell ref="E347:G347"/>
    <mergeCell ref="E374:N374"/>
    <mergeCell ref="E297:G297"/>
    <mergeCell ref="E279:N279"/>
    <mergeCell ref="E345:G345"/>
    <mergeCell ref="E362:N362"/>
    <mergeCell ref="E363:G363"/>
    <mergeCell ref="E355:G355"/>
    <mergeCell ref="E322:G322"/>
    <mergeCell ref="E310:N310"/>
    <mergeCell ref="E320:G320"/>
    <mergeCell ref="E393:G393"/>
    <mergeCell ref="E389:G389"/>
    <mergeCell ref="E391:N391"/>
    <mergeCell ref="E380:G380"/>
    <mergeCell ref="E382:N382"/>
    <mergeCell ref="E383:G383"/>
    <mergeCell ref="E385:N385"/>
    <mergeCell ref="E388:N388"/>
    <mergeCell ref="E386:G386"/>
    <mergeCell ref="E392:G392"/>
    <mergeCell ref="E119:G119"/>
    <mergeCell ref="E111:G111"/>
    <mergeCell ref="E113:N113"/>
    <mergeCell ref="E108:G108"/>
    <mergeCell ref="E109:G109"/>
    <mergeCell ref="E107:G107"/>
    <mergeCell ref="E116:G116"/>
    <mergeCell ref="E99:N99"/>
    <mergeCell ref="E160:N160"/>
    <mergeCell ref="E129:G129"/>
    <mergeCell ref="E131:N131"/>
    <mergeCell ref="E132:N132"/>
    <mergeCell ref="E133:N133"/>
    <mergeCell ref="E148:G148"/>
    <mergeCell ref="E145:N145"/>
    <mergeCell ref="E144:N144"/>
    <mergeCell ref="E146:N146"/>
    <mergeCell ref="E262:N262"/>
    <mergeCell ref="E248:G248"/>
    <mergeCell ref="E302:G302"/>
    <mergeCell ref="E264:G264"/>
    <mergeCell ref="E175:N175"/>
    <mergeCell ref="E241:G241"/>
    <mergeCell ref="E214:N214"/>
    <mergeCell ref="E237:N237"/>
    <mergeCell ref="E277:N277"/>
    <mergeCell ref="E234:N234"/>
    <mergeCell ref="E283:G283"/>
    <mergeCell ref="E290:N290"/>
    <mergeCell ref="E292:N292"/>
    <mergeCell ref="E186:N186"/>
    <mergeCell ref="E192:N192"/>
    <mergeCell ref="E193:G193"/>
    <mergeCell ref="E244:G244"/>
    <mergeCell ref="E236:N236"/>
    <mergeCell ref="E231:N231"/>
    <mergeCell ref="E240:G240"/>
    <mergeCell ref="E171:G171"/>
    <mergeCell ref="E173:N173"/>
    <mergeCell ref="E168:G168"/>
    <mergeCell ref="E271:G271"/>
    <mergeCell ref="E263:N263"/>
    <mergeCell ref="E242:G242"/>
    <mergeCell ref="E243:G243"/>
    <mergeCell ref="E258:L258"/>
    <mergeCell ref="E259:M259"/>
    <mergeCell ref="E268:G268"/>
    <mergeCell ref="E315:G315"/>
    <mergeCell ref="E301:G301"/>
    <mergeCell ref="E321:G321"/>
    <mergeCell ref="E308:G308"/>
    <mergeCell ref="E305:G305"/>
    <mergeCell ref="E294:G294"/>
    <mergeCell ref="E299:N299"/>
    <mergeCell ref="E304:G304"/>
    <mergeCell ref="E326:N326"/>
    <mergeCell ref="E327:G327"/>
    <mergeCell ref="E293:G293"/>
    <mergeCell ref="E300:N300"/>
    <mergeCell ref="E303:G303"/>
    <mergeCell ref="E319:G319"/>
    <mergeCell ref="E307:N307"/>
    <mergeCell ref="E295:G295"/>
    <mergeCell ref="E323:G323"/>
    <mergeCell ref="E311:N311"/>
    <mergeCell ref="E285:G285"/>
    <mergeCell ref="E284:M284"/>
    <mergeCell ref="E357:N357"/>
    <mergeCell ref="E359:G359"/>
    <mergeCell ref="E45:G45"/>
    <mergeCell ref="E56:G56"/>
    <mergeCell ref="E247:G247"/>
    <mergeCell ref="E332:G332"/>
    <mergeCell ref="E333:G333"/>
    <mergeCell ref="E325:N325"/>
  </mergeCells>
  <phoneticPr fontId="34" type="noConversion"/>
  <conditionalFormatting sqref="I141:M141">
    <cfRule type="expression" dxfId="310" priority="50" stopIfTrue="1">
      <formula>ISNUMBER(I142)</formula>
    </cfRule>
  </conditionalFormatting>
  <conditionalFormatting sqref="I389:M389 I383:M383 I380:M380 I376:M377">
    <cfRule type="expression" dxfId="309" priority="41" stopIfTrue="1">
      <formula>$S376</formula>
    </cfRule>
  </conditionalFormatting>
  <conditionalFormatting sqref="I354:M354 I338:M338 I302:M304 E302:G304 I294:M296 E294:G296 I102:M102 I21:M22">
    <cfRule type="expression" dxfId="308" priority="11" stopIfTrue="1">
      <formula>$S21</formula>
    </cfRule>
  </conditionalFormatting>
  <conditionalFormatting sqref="I96:M96 E108:G110 I108:M110 E117:G119 I117:M119 I140:M140 I142:M142 I148:M157 E177:G181 I177:M181 I201:M201 E207:G211 I207:M211 I230 I240:M243">
    <cfRule type="expression" dxfId="307" priority="9" stopIfTrue="1">
      <formula>$S96</formula>
    </cfRule>
  </conditionalFormatting>
  <conditionalFormatting sqref="I42:M42 I44:M46">
    <cfRule type="expression" dxfId="306" priority="8" stopIfTrue="1">
      <formula>$S42</formula>
    </cfRule>
  </conditionalFormatting>
  <conditionalFormatting sqref="E35:M35">
    <cfRule type="expression" dxfId="305" priority="7" stopIfTrue="1">
      <formula>INDEX($AA:$AA,MATCH(MAX(INDIRECT(ADDRESS(1,3)&amp;":"&amp;ADDRESS(ROW(F35),3))),$C:$C,0))</formula>
    </cfRule>
  </conditionalFormatting>
  <conditionalFormatting sqref="M69">
    <cfRule type="expression" dxfId="304" priority="360" stopIfTrue="1">
      <formula>$M$65</formula>
    </cfRule>
  </conditionalFormatting>
  <conditionalFormatting sqref="I359:M359">
    <cfRule type="expression" dxfId="303" priority="3" stopIfTrue="1">
      <formula>$S359</formula>
    </cfRule>
  </conditionalFormatting>
  <conditionalFormatting sqref="I285:M285">
    <cfRule type="expression" dxfId="302" priority="2" stopIfTrue="1">
      <formula>$S285</formula>
    </cfRule>
  </conditionalFormatting>
  <conditionalFormatting sqref="I250:M250">
    <cfRule type="cellIs" dxfId="301" priority="1" stopIfTrue="1" operator="notEqual">
      <formula>100</formula>
    </cfRule>
  </conditionalFormatting>
  <dataValidations count="4">
    <dataValidation type="list" allowBlank="1" showInputMessage="1" showErrorMessage="1" sqref="I230:J230 I25:J25">
      <formula1>EUconst_AbsRel</formula1>
    </dataValidation>
    <dataValidation type="list" allowBlank="1" showInputMessage="1" showErrorMessage="1" sqref="E207:G211 E177:G181 E108:G110 E294:G296 E302:G304">
      <formula1>CNTR_ConnectionEntityList</formula1>
    </dataValidation>
    <dataValidation type="list" allowBlank="1" showInputMessage="1" showErrorMessage="1" sqref="E117:G119">
      <formula1>CNTR_ConnectionListAndWithinInst</formula1>
    </dataValidation>
    <dataValidation type="list" allowBlank="1" showInputMessage="1" showErrorMessage="1" sqref="M370 M258 M69">
      <formula1>Euconst_TrueFalse</formula1>
    </dataValidation>
  </dataValidations>
  <hyperlinks>
    <hyperlink ref="G2:H2" location="JUMP_TOC_Home" display="Table of contents"/>
    <hyperlink ref="M2:N2" location="JUMP_K_I" display="Summary"/>
    <hyperlink ref="I2:J2" location="JUMP_D_Top" display="Previous sheet"/>
    <hyperlink ref="E3:F3" location="JUMP_E_Top" display="Top of sheet"/>
    <hyperlink ref="D396:N396" location="JUMP_F_Top" display="&lt;&lt;&lt; Click here to proceed to next sheet &gt;&gt;&gt; "/>
    <hyperlink ref="E4:F4" location="JUMP_E_Bottom" display="End of sheet"/>
    <hyperlink ref="K2:L2" location="JUMP_F_Top" display="Next sheet"/>
    <hyperlink ref="G3:H3" location="JUMP_E_I" display="Attribution of Fuels"/>
    <hyperlink ref="I3:J3" location="JUMP_E_II" display="Measurable heat (general)"/>
    <hyperlink ref="M3:N3" location="JUMP_E_III" display="Waste gases"/>
    <hyperlink ref="K3:L3" location="JUMP_E_HeatFinal" display="JUMP_E_HeatFinal"/>
    <hyperlink ref="G4:H4" location="JUMP_E_IV" display="JUMP_E_IV"/>
    <hyperlink ref="E278:M278" location="JUMP_D_IV" display="Information is taken from section D.IV. If relevant, you must ensure that you have entered complete data there."/>
    <hyperlink ref="E35:M35" location="JUMP_D_III" display="For attributing emissions from cogeneration (CHP) to production of heat and electricity, the &quot;CHP tool&quot; in section D.III. has to be used."/>
  </hyperlinks>
  <pageMargins left="0.78740157480314965" right="0.78740157480314965" top="0.78740157480314965" bottom="0.78740157480314965" header="0.51181102362204722" footer="0.51181102362204722"/>
  <pageSetup paperSize="9" scale="61" fitToHeight="10" orientation="portrait" r:id="rId1"/>
  <headerFooter alignWithMargins="0">
    <oddHeader>&amp;L&amp;F; &amp;A&amp;R&amp;D; &amp;T</oddHeader>
    <oddFooter>&amp;C&amp;P / &amp;N</oddFooter>
  </headerFooter>
  <rowBreaks count="5" manualBreakCount="5">
    <brk id="60" min="1" max="13" man="1"/>
    <brk id="123" min="1" max="13" man="1"/>
    <brk id="182" min="1" max="13" man="1"/>
    <brk id="251" min="1" max="13" man="1"/>
    <brk id="365" min="1" max="1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tabColor indexed="48"/>
    <pageSetUpPr fitToPage="1"/>
  </sheetPr>
  <dimension ref="A1:AA1854"/>
  <sheetViews>
    <sheetView topLeftCell="B1" zoomScaleNormal="100" workbookViewId="0">
      <pane ySplit="5" topLeftCell="A6" activePane="bottomLeft" state="frozen"/>
      <selection sqref="B2:D4"/>
      <selection pane="bottomLeft" sqref="B2:D4"/>
    </sheetView>
  </sheetViews>
  <sheetFormatPr defaultColWidth="11.42578125" defaultRowHeight="12.75" x14ac:dyDescent="0.2"/>
  <cols>
    <col min="1" max="1" width="5" style="20" hidden="1" customWidth="1"/>
    <col min="2" max="2" width="2.7109375" style="19" customWidth="1"/>
    <col min="3" max="4" width="4.7109375" style="19" customWidth="1"/>
    <col min="5" max="14" width="12.7109375" style="19" customWidth="1"/>
    <col min="15" max="15" width="4.7109375" style="19" customWidth="1"/>
    <col min="16" max="16" width="12.7109375" style="20" hidden="1" customWidth="1"/>
    <col min="17" max="27" width="11.42578125" style="20" hidden="1" customWidth="1"/>
    <col min="28" max="16384" width="11.42578125" style="696"/>
  </cols>
  <sheetData>
    <row r="1" spans="1:27" ht="13.5" hidden="1" thickBot="1" x14ac:dyDescent="0.25">
      <c r="A1" s="20" t="s">
        <v>93</v>
      </c>
      <c r="B1" s="20"/>
      <c r="C1" s="20"/>
      <c r="D1" s="20"/>
      <c r="E1" s="20"/>
      <c r="F1" s="20"/>
      <c r="G1" s="20"/>
      <c r="H1" s="20"/>
      <c r="I1" s="20"/>
      <c r="J1" s="20"/>
      <c r="K1" s="20"/>
      <c r="L1" s="20"/>
      <c r="M1" s="20"/>
      <c r="N1" s="20"/>
      <c r="O1" s="20"/>
      <c r="P1" s="20" t="s">
        <v>93</v>
      </c>
      <c r="Q1" s="20" t="s">
        <v>93</v>
      </c>
      <c r="R1" s="20" t="s">
        <v>93</v>
      </c>
      <c r="S1" s="20" t="s">
        <v>93</v>
      </c>
      <c r="T1" s="20" t="s">
        <v>93</v>
      </c>
      <c r="U1" s="20" t="s">
        <v>93</v>
      </c>
      <c r="V1" s="20" t="s">
        <v>93</v>
      </c>
      <c r="W1" s="20" t="s">
        <v>93</v>
      </c>
      <c r="X1" s="20" t="s">
        <v>93</v>
      </c>
      <c r="Y1" s="20" t="s">
        <v>93</v>
      </c>
      <c r="Z1" s="20" t="s">
        <v>93</v>
      </c>
      <c r="AA1" s="20" t="s">
        <v>93</v>
      </c>
    </row>
    <row r="2" spans="1:27" ht="13.5" thickBot="1" x14ac:dyDescent="0.25">
      <c r="B2" s="1671" t="str">
        <f>Translations!$B$663</f>
        <v>F. Produkta LA</v>
      </c>
      <c r="C2" s="1672"/>
      <c r="D2" s="1673"/>
      <c r="E2" s="953" t="str">
        <f>Translations!$B$2</f>
        <v>Navigācijas josla:</v>
      </c>
      <c r="F2" s="954"/>
      <c r="G2" s="1388" t="str">
        <f>Translations!$B$18</f>
        <v>Saturs</v>
      </c>
      <c r="H2" s="7"/>
      <c r="I2" s="7" t="str">
        <f>Translations!$B$19</f>
        <v>Iepriekšējā lapa</v>
      </c>
      <c r="J2" s="7"/>
      <c r="K2" s="7" t="str">
        <f>Translations!$B$3</f>
        <v>Nākamā lapa</v>
      </c>
      <c r="L2" s="7"/>
      <c r="M2" s="7" t="str">
        <f>Translations!$B$4</f>
        <v>Kopsavilkums</v>
      </c>
      <c r="N2" s="7"/>
      <c r="O2" s="34"/>
      <c r="P2" s="955"/>
      <c r="Q2" s="956" t="s">
        <v>465</v>
      </c>
      <c r="R2" s="957" t="str">
        <f>ADDRESS(ROW($B$6),COLUMN($B$6)) &amp; ":" &amp; ADDRESS(MATCH("PRINT",$P:$P,0),COLUMN($O$6))</f>
        <v>$B$6:$O$244</v>
      </c>
      <c r="S2" s="955"/>
      <c r="T2" s="955"/>
      <c r="U2" s="955"/>
      <c r="V2" s="955"/>
      <c r="W2" s="955"/>
      <c r="X2" s="955"/>
      <c r="Y2" s="958"/>
      <c r="Z2" s="958"/>
      <c r="AA2" s="955"/>
    </row>
    <row r="3" spans="1:27" ht="13.5" thickBot="1" x14ac:dyDescent="0.25">
      <c r="B3" s="6"/>
      <c r="C3" s="1674"/>
      <c r="D3" s="1675"/>
      <c r="E3" s="7" t="str">
        <f>Translations!$B$5</f>
        <v>Lapas sākums</v>
      </c>
      <c r="F3" s="1392"/>
      <c r="G3" s="1683" t="str">
        <f>HYPERLINK("#JUMP_F"&amp;P3,IF(INDEX(CNTR_SubInstListIsProdBM,P3),"BM "&amp;P3&amp;": "&amp;INDEX(CNTR_SubInstListNames,P3),IF(CNTR_ExistSubInstEntries,"",EUconst_BM&amp;" "&amp;P3)))</f>
        <v>Līmeņatzīme 1</v>
      </c>
      <c r="H3" s="1681"/>
      <c r="I3" s="1681" t="str">
        <f>HYPERLINK("#JUMP_F"&amp;R3,IF(INDEX(CNTR_SubInstListIsProdBM,R3),"BM "&amp;R3&amp;": "&amp;INDEX(CNTR_SubInstListNames,R3),IF(CNTR_ExistSubInstEntries,"",EUconst_BM&amp;" "&amp;R3)))</f>
        <v>Līmeņatzīme 2</v>
      </c>
      <c r="J3" s="1681"/>
      <c r="K3" s="1681" t="str">
        <f>HYPERLINK("#JUMP_F"&amp;T3,IF(INDEX(CNTR_SubInstListIsProdBM,T3),"BM "&amp;T3&amp;": "&amp;INDEX(CNTR_SubInstListNames,T3),IF(CNTR_ExistSubInstEntries,"",EUconst_BM&amp;" "&amp;T3)))</f>
        <v>Līmeņatzīme 3</v>
      </c>
      <c r="L3" s="1681"/>
      <c r="M3" s="1681" t="str">
        <f>HYPERLINK("#JUMP_F"&amp;V3,IF(INDEX(CNTR_SubInstListIsProdBM,V3),"BM "&amp;V3&amp;": "&amp;INDEX(CNTR_SubInstListNames,V3),IF(CNTR_ExistSubInstEntries,"",EUconst_BM&amp;" "&amp;V3)))</f>
        <v>Līmeņatzīme 4</v>
      </c>
      <c r="N3" s="1681"/>
      <c r="O3" s="34"/>
      <c r="P3" s="1686">
        <v>1</v>
      </c>
      <c r="Q3" s="1687"/>
      <c r="R3" s="1685">
        <v>2</v>
      </c>
      <c r="S3" s="1685"/>
      <c r="T3" s="1685">
        <v>3</v>
      </c>
      <c r="U3" s="1685"/>
      <c r="V3" s="1685">
        <v>4</v>
      </c>
      <c r="W3" s="1685"/>
      <c r="X3" s="955"/>
      <c r="Y3" s="955"/>
      <c r="Z3" s="955"/>
      <c r="AA3" s="955"/>
    </row>
    <row r="4" spans="1:27" ht="13.5" thickBot="1" x14ac:dyDescent="0.25">
      <c r="B4" s="1676"/>
      <c r="C4" s="1677"/>
      <c r="D4" s="1678"/>
      <c r="E4" s="7" t="str">
        <f>Translations!$B$6</f>
        <v>Lapas beigas</v>
      </c>
      <c r="F4" s="7"/>
      <c r="G4" s="1682" t="str">
        <f>HYPERLINK("#JUMP_F"&amp;P4,IF(INDEX(CNTR_SubInstListIsProdBM,P4),"BM "&amp;P4&amp;": "&amp;INDEX(CNTR_SubInstListNames,P4),IF(CNTR_ExistSubInstEntries,"",EUconst_BM&amp;" "&amp;P4)))</f>
        <v>Līmeņatzīme 5</v>
      </c>
      <c r="H4" s="1669"/>
      <c r="I4" s="1669" t="str">
        <f>HYPERLINK("#JUMP_F"&amp;R4,IF(INDEX(CNTR_SubInstListIsProdBM,R4),"BM "&amp;R4&amp;": "&amp;INDEX(CNTR_SubInstListNames,R4),IF(CNTR_ExistSubInstEntries,"",EUconst_BM&amp;" "&amp;R4)))</f>
        <v>Līmeņatzīme 6</v>
      </c>
      <c r="J4" s="1669"/>
      <c r="K4" s="1669" t="str">
        <f>HYPERLINK("#JUMP_F"&amp;T4,IF(INDEX(CNTR_SubInstListIsProdBM,T4),"BM "&amp;T4&amp;": "&amp;INDEX(CNTR_SubInstListNames,T4),IF(CNTR_ExistSubInstEntries,"",EUconst_BM&amp;" "&amp;T4)))</f>
        <v>Līmeņatzīme 7</v>
      </c>
      <c r="L4" s="1669"/>
      <c r="M4" s="1688" t="str">
        <f>HYPERLINK("#JUMP_F"&amp;V4,IF(INDEX(CNTR_SubInstListIsProdBM,V4),"BM "&amp;V4&amp;": "&amp;INDEX(CNTR_SubInstListNames,V4),IF(CNTR_ExistSubInstEntries,"",EUconst_BM&amp;" "&amp;V4)))</f>
        <v>Līmeņatzīme 8</v>
      </c>
      <c r="N4" s="1669"/>
      <c r="O4" s="34"/>
      <c r="P4" s="1684">
        <v>5</v>
      </c>
      <c r="Q4" s="1617"/>
      <c r="R4" s="1617">
        <v>6</v>
      </c>
      <c r="S4" s="1617"/>
      <c r="T4" s="1617">
        <v>7</v>
      </c>
      <c r="U4" s="1617"/>
      <c r="V4" s="1617">
        <v>8</v>
      </c>
      <c r="W4" s="1617"/>
      <c r="X4" s="955"/>
      <c r="Y4" s="955"/>
      <c r="Z4" s="955"/>
      <c r="AA4" s="955"/>
    </row>
    <row r="5" spans="1:27" x14ac:dyDescent="0.2">
      <c r="B5" s="1197"/>
      <c r="C5" s="1197"/>
      <c r="D5" s="1197"/>
      <c r="E5" s="1198"/>
      <c r="F5" s="1198"/>
      <c r="G5" s="1669" t="str">
        <f>HYPERLINK("#JUMP_F"&amp;P5,IF(INDEX(CNTR_SubInstListIsProdBM,P5),"BM "&amp;P5&amp;": "&amp;INDEX(CNTR_SubInstListNames,P5),IF(CNTR_ExistSubInstEntries,"",EUconst_BM&amp;" "&amp;P5)))</f>
        <v>Līmeņatzīme 9</v>
      </c>
      <c r="H5" s="1669"/>
      <c r="I5" s="1669" t="str">
        <f>HYPERLINK("#JUMP_F"&amp;R5,IF(INDEX(CNTR_SubInstListIsProdBM,R5),"BM "&amp;R5&amp;": "&amp;INDEX(CNTR_SubInstListNames,R5),IF(CNTR_ExistSubInstEntries,"",EUconst_BM&amp;" "&amp;R5)))</f>
        <v>Līmeņatzīme 10</v>
      </c>
      <c r="J5" s="1669"/>
      <c r="K5" s="1668"/>
      <c r="L5" s="1668"/>
      <c r="M5" s="1668"/>
      <c r="N5" s="1668"/>
      <c r="O5" s="34"/>
      <c r="P5" s="1617">
        <v>9</v>
      </c>
      <c r="Q5" s="1617"/>
      <c r="R5" s="1679">
        <v>10</v>
      </c>
      <c r="S5" s="1680"/>
      <c r="T5" s="1679"/>
      <c r="U5" s="1680"/>
      <c r="V5" s="1680"/>
      <c r="W5" s="1680"/>
      <c r="X5" s="955"/>
      <c r="Y5" s="955"/>
      <c r="Z5" s="955"/>
      <c r="AA5" s="955"/>
    </row>
    <row r="6" spans="1:27" x14ac:dyDescent="0.2">
      <c r="B6" s="224"/>
      <c r="C6" s="959"/>
      <c r="D6" s="225"/>
      <c r="E6" s="225"/>
      <c r="F6" s="381"/>
      <c r="G6" s="381"/>
      <c r="H6" s="381"/>
      <c r="I6" s="224"/>
      <c r="J6" s="224"/>
      <c r="K6" s="224"/>
      <c r="L6" s="224"/>
      <c r="M6" s="34"/>
      <c r="N6" s="34"/>
      <c r="O6" s="34"/>
      <c r="P6" s="955"/>
      <c r="Q6" s="960"/>
      <c r="R6" s="955"/>
      <c r="S6" s="955"/>
      <c r="T6" s="955"/>
      <c r="U6" s="955"/>
      <c r="V6" s="955"/>
      <c r="W6" s="955"/>
      <c r="X6" s="955"/>
      <c r="Y6" s="955"/>
      <c r="Z6" s="955"/>
      <c r="AA6" s="955"/>
    </row>
    <row r="7" spans="1:27" ht="23.25" customHeight="1" x14ac:dyDescent="0.2">
      <c r="B7" s="224"/>
      <c r="C7" s="27" t="s">
        <v>255</v>
      </c>
      <c r="D7" s="1281" t="str">
        <f>Translations!$B$664</f>
        <v>Lapa “ProductBM” — APAKŠIEKĀRTU DATI, KAS SAISTĪTI AR PRODUKTU LĪMEŅATZĪMĒM</v>
      </c>
      <c r="E7" s="1251"/>
      <c r="F7" s="1251"/>
      <c r="G7" s="1251"/>
      <c r="H7" s="1251"/>
      <c r="I7" s="1251"/>
      <c r="J7" s="1251"/>
      <c r="K7" s="1251"/>
      <c r="L7" s="1251"/>
      <c r="M7" s="1251"/>
      <c r="N7" s="1251"/>
      <c r="O7" s="25"/>
    </row>
    <row r="8" spans="1:27" ht="5.0999999999999996" customHeight="1" x14ac:dyDescent="0.2">
      <c r="B8" s="224"/>
      <c r="C8" s="224"/>
      <c r="D8" s="224"/>
      <c r="E8" s="224"/>
      <c r="F8" s="224"/>
      <c r="G8" s="224"/>
      <c r="H8" s="224"/>
      <c r="I8" s="224"/>
      <c r="J8" s="224"/>
      <c r="K8" s="224"/>
      <c r="L8" s="224"/>
      <c r="M8" s="34"/>
      <c r="N8" s="34"/>
      <c r="O8" s="25"/>
      <c r="P8" s="961"/>
      <c r="Q8" s="961"/>
      <c r="R8" s="961"/>
      <c r="S8" s="961"/>
      <c r="T8" s="961"/>
      <c r="U8" s="961"/>
      <c r="V8" s="961"/>
      <c r="W8" s="961"/>
      <c r="X8" s="961"/>
      <c r="Y8" s="961"/>
      <c r="Z8" s="961"/>
      <c r="AA8" s="961"/>
    </row>
    <row r="9" spans="1:27" ht="15" customHeight="1" x14ac:dyDescent="0.2">
      <c r="B9" s="224"/>
      <c r="C9" s="224"/>
      <c r="D9" s="224"/>
      <c r="E9" s="1670" t="str">
        <f>Translations!$B$665</f>
        <v>Navigācijas joslā lapas augšā ir tikai saites uz relevantajām apakšiekārtām, kas uzskaitītas A lapas III sadaļas 1. punktā.</v>
      </c>
      <c r="F9" s="1670"/>
      <c r="G9" s="1670"/>
      <c r="H9" s="1670"/>
      <c r="I9" s="1670"/>
      <c r="J9" s="1670"/>
      <c r="K9" s="1670"/>
      <c r="L9" s="1670"/>
      <c r="M9" s="1670"/>
      <c r="N9" s="34"/>
      <c r="O9" s="25"/>
      <c r="P9" s="28" t="s">
        <v>73</v>
      </c>
      <c r="Q9" s="28" t="s">
        <v>73</v>
      </c>
      <c r="R9" s="28" t="s">
        <v>73</v>
      </c>
      <c r="S9" s="28" t="s">
        <v>73</v>
      </c>
      <c r="T9" s="28" t="s">
        <v>73</v>
      </c>
      <c r="U9" s="28" t="s">
        <v>73</v>
      </c>
      <c r="V9" s="28" t="s">
        <v>73</v>
      </c>
      <c r="W9" s="28" t="s">
        <v>73</v>
      </c>
      <c r="X9" s="28" t="s">
        <v>73</v>
      </c>
      <c r="Y9" s="28" t="s">
        <v>73</v>
      </c>
      <c r="Z9" s="28" t="s">
        <v>73</v>
      </c>
      <c r="AA9" s="28" t="s">
        <v>73</v>
      </c>
    </row>
    <row r="10" spans="1:27" ht="13.5" thickBot="1" x14ac:dyDescent="0.25">
      <c r="B10" s="224"/>
      <c r="C10" s="224"/>
      <c r="D10" s="224"/>
      <c r="E10" s="224"/>
      <c r="F10" s="224"/>
      <c r="G10" s="224"/>
      <c r="H10" s="224"/>
      <c r="I10" s="224"/>
      <c r="J10" s="224"/>
      <c r="K10" s="224"/>
      <c r="L10" s="224"/>
      <c r="M10" s="34"/>
      <c r="N10" s="34"/>
      <c r="O10" s="25"/>
      <c r="P10" s="962" t="s">
        <v>265</v>
      </c>
      <c r="Q10" s="962" t="s">
        <v>265</v>
      </c>
      <c r="R10" s="962" t="s">
        <v>265</v>
      </c>
      <c r="S10" s="962" t="s">
        <v>265</v>
      </c>
      <c r="T10" s="962" t="s">
        <v>265</v>
      </c>
      <c r="U10" s="962" t="s">
        <v>265</v>
      </c>
      <c r="V10" s="962" t="s">
        <v>265</v>
      </c>
      <c r="W10" s="962" t="s">
        <v>265</v>
      </c>
      <c r="X10" s="962" t="s">
        <v>265</v>
      </c>
      <c r="Y10" s="962" t="s">
        <v>265</v>
      </c>
      <c r="Z10" s="962" t="s">
        <v>265</v>
      </c>
      <c r="AA10" s="962" t="s">
        <v>265</v>
      </c>
    </row>
    <row r="11" spans="1:27" ht="16.5" thickBot="1" x14ac:dyDescent="0.25">
      <c r="B11" s="224"/>
      <c r="C11" s="963" t="s">
        <v>391</v>
      </c>
      <c r="D11" s="1249" t="str">
        <f>Translations!$B$666</f>
        <v>Vēsturiskie darbības līmeņi un dezagregēti ražošanas dati</v>
      </c>
      <c r="E11" s="1249"/>
      <c r="F11" s="1249"/>
      <c r="G11" s="1249"/>
      <c r="H11" s="1249"/>
      <c r="I11" s="1249"/>
      <c r="J11" s="1249"/>
      <c r="K11" s="1249"/>
      <c r="L11" s="1249"/>
      <c r="M11" s="1249"/>
      <c r="N11" s="1249"/>
      <c r="O11" s="25"/>
      <c r="P11" s="964" t="s">
        <v>297</v>
      </c>
      <c r="Q11" s="385"/>
      <c r="R11" s="385"/>
      <c r="S11" s="385"/>
      <c r="T11" s="385"/>
      <c r="U11" s="385"/>
      <c r="V11" s="385"/>
      <c r="W11" s="385"/>
      <c r="X11" s="365" t="s">
        <v>397</v>
      </c>
      <c r="Y11" s="363"/>
      <c r="Z11" s="385"/>
      <c r="AA11" s="364"/>
    </row>
    <row r="12" spans="1:27" ht="5.0999999999999996" customHeight="1" thickBot="1" x14ac:dyDescent="0.25">
      <c r="B12" s="224"/>
      <c r="C12" s="224"/>
      <c r="D12" s="224"/>
      <c r="E12" s="224"/>
      <c r="F12" s="224"/>
      <c r="G12" s="224"/>
      <c r="H12" s="224"/>
      <c r="I12" s="224"/>
      <c r="J12" s="224"/>
      <c r="K12" s="224"/>
      <c r="L12" s="224"/>
      <c r="M12" s="34"/>
      <c r="N12" s="34"/>
      <c r="O12" s="25"/>
      <c r="P12" s="955"/>
      <c r="R12" s="955"/>
      <c r="S12" s="955"/>
    </row>
    <row r="13" spans="1:27" ht="15.75" thickBot="1" x14ac:dyDescent="0.25">
      <c r="B13" s="224"/>
      <c r="C13" s="965">
        <v>1</v>
      </c>
      <c r="D13" s="1318" t="str">
        <f>EUconst_BMSubinst &amp; ":"</f>
        <v>Apakšiekārta ar produkta līmeņatzīmi:</v>
      </c>
      <c r="E13" s="1251"/>
      <c r="F13" s="1251"/>
      <c r="G13" s="1251"/>
      <c r="H13" s="1328"/>
      <c r="I13" s="1701" t="str">
        <f>IF(INDEX(CNTR_SubInstListIsProdBM,$C13),INDEX(CNTR_SubInstListNames,$C13),"")</f>
        <v/>
      </c>
      <c r="J13" s="1457"/>
      <c r="K13" s="1457"/>
      <c r="L13" s="1457"/>
      <c r="M13" s="1457"/>
      <c r="N13" s="1259"/>
      <c r="O13" s="25"/>
      <c r="P13" s="362">
        <f>C13</f>
        <v>1</v>
      </c>
      <c r="Q13" s="966" t="s">
        <v>225</v>
      </c>
      <c r="R13" s="967" t="str">
        <f>IF(I13="","",INDEX(CNTR_SubInstStartDate,MATCH($I13,CNTR_SubInstListNames,0)))</f>
        <v/>
      </c>
      <c r="S13" s="968" t="b">
        <f>IF($I13="",FALSE,AND(I$1823,YEAR($R13)&lt;I$1820))</f>
        <v>0</v>
      </c>
      <c r="T13" s="968" t="b">
        <f>IF($I13="",FALSE,AND(J$1823,YEAR($R13)&lt;J$1820))</f>
        <v>0</v>
      </c>
      <c r="U13" s="968" t="b">
        <f>IF($I13="",FALSE,AND(K$1823,YEAR($R13)&lt;K$1820))</f>
        <v>0</v>
      </c>
      <c r="V13" s="968" t="b">
        <f>IF($I13="",FALSE,AND(L$1823,YEAR($R13)&lt;L$1820))</f>
        <v>0</v>
      </c>
      <c r="W13" s="968" t="b">
        <f>IF($I13="",FALSE,AND(M$1823,YEAR($R13)&lt;M$1820))</f>
        <v>0</v>
      </c>
      <c r="Z13" s="732" t="s">
        <v>529</v>
      </c>
      <c r="AA13" s="734" t="b">
        <f>AND(CNTR_ExistSubInstEntries,I13="")</f>
        <v>0</v>
      </c>
    </row>
    <row r="14" spans="1:27" x14ac:dyDescent="0.2">
      <c r="B14" s="224"/>
      <c r="C14" s="224"/>
      <c r="D14" s="34"/>
      <c r="E14" s="1319" t="str">
        <f>Translations!$B$512</f>
        <v>Produkta līmeņatzīmes apakšiekārtas nosaukums parādās automātiski saskaņā ar lapā "A_InstallationData" ievadītajiem datiem.</v>
      </c>
      <c r="F14" s="1251"/>
      <c r="G14" s="1251"/>
      <c r="H14" s="1251"/>
      <c r="I14" s="1251"/>
      <c r="J14" s="1251"/>
      <c r="K14" s="1251"/>
      <c r="L14" s="1251"/>
      <c r="M14" s="1251"/>
      <c r="N14" s="1251"/>
      <c r="O14" s="25"/>
      <c r="P14" s="955"/>
      <c r="R14" s="955"/>
      <c r="S14" s="955"/>
      <c r="T14" s="955"/>
      <c r="U14" s="955"/>
      <c r="V14" s="955"/>
      <c r="W14" s="955"/>
    </row>
    <row r="15" spans="1:27" x14ac:dyDescent="0.2">
      <c r="B15" s="224"/>
      <c r="C15" s="224"/>
      <c r="D15" s="34"/>
      <c r="E15" s="1720" t="str">
        <f>Translations!$B$667</f>
        <v>Šīs lapas mērķis ir nodrošināt</v>
      </c>
      <c r="F15" s="1721"/>
      <c r="G15" s="1721"/>
      <c r="H15" s="1721"/>
      <c r="I15" s="1721"/>
      <c r="J15" s="1721"/>
      <c r="K15" s="1721"/>
      <c r="L15" s="1721"/>
      <c r="M15" s="1721"/>
      <c r="N15" s="1721"/>
      <c r="O15" s="25"/>
      <c r="P15" s="955"/>
      <c r="R15" s="955"/>
      <c r="S15" s="955"/>
    </row>
    <row r="16" spans="1:27" ht="12.75" customHeight="1" x14ac:dyDescent="0.2">
      <c r="B16" s="224"/>
      <c r="C16" s="224"/>
      <c r="D16" s="34"/>
      <c r="E16" s="623" t="s">
        <v>392</v>
      </c>
      <c r="F16" s="1720" t="str">
        <f>Translations!$B$668</f>
        <v>datus, kas vajadzīgi, lai noteiktu bezmaksas kvotu iedales apjomu produkta līmeņatzīmes apakšiekārtām;</v>
      </c>
      <c r="G16" s="1721"/>
      <c r="H16" s="1721"/>
      <c r="I16" s="1721"/>
      <c r="J16" s="1721"/>
      <c r="K16" s="1721"/>
      <c r="L16" s="1721"/>
      <c r="M16" s="1721"/>
      <c r="N16" s="1721"/>
      <c r="O16" s="25"/>
      <c r="P16" s="955"/>
      <c r="R16" s="955"/>
      <c r="S16" s="955"/>
    </row>
    <row r="17" spans="2:27" ht="12.75" customHeight="1" x14ac:dyDescent="0.2">
      <c r="B17" s="224"/>
      <c r="C17" s="224"/>
      <c r="D17" s="34"/>
      <c r="E17" s="623" t="s">
        <v>392</v>
      </c>
      <c r="F17" s="1720" t="str">
        <f>Translations!$B$669</f>
        <v>datus, kas vajadzīgi, lai noteiktu produkta līmeņatzīmju vērtību uzlabošanas rādītājus.</v>
      </c>
      <c r="G17" s="1721"/>
      <c r="H17" s="1721"/>
      <c r="I17" s="1721"/>
      <c r="J17" s="1721"/>
      <c r="K17" s="1721"/>
      <c r="L17" s="1721"/>
      <c r="M17" s="1721"/>
      <c r="N17" s="1721"/>
      <c r="O17" s="25"/>
      <c r="P17" s="955"/>
      <c r="R17" s="955"/>
      <c r="S17" s="955"/>
    </row>
    <row r="18" spans="2:27" ht="5.0999999999999996" customHeight="1" x14ac:dyDescent="0.2">
      <c r="B18" s="224"/>
      <c r="C18" s="224"/>
      <c r="D18" s="224"/>
      <c r="E18" s="224"/>
      <c r="F18" s="224"/>
      <c r="G18" s="224"/>
      <c r="H18" s="224"/>
      <c r="I18" s="224"/>
      <c r="J18" s="224"/>
      <c r="K18" s="224"/>
      <c r="L18" s="224"/>
      <c r="M18" s="34"/>
      <c r="N18" s="34"/>
      <c r="O18" s="25"/>
      <c r="P18" s="955"/>
      <c r="R18" s="955"/>
      <c r="S18" s="955"/>
    </row>
    <row r="19" spans="2:27" x14ac:dyDescent="0.2">
      <c r="B19" s="224"/>
      <c r="C19" s="224"/>
      <c r="D19" s="32" t="s">
        <v>165</v>
      </c>
      <c r="E19" s="1250" t="str">
        <f>Translations!$B$670</f>
        <v>Vēsturiskie darbības līmeņi</v>
      </c>
      <c r="F19" s="1251"/>
      <c r="G19" s="1251"/>
      <c r="H19" s="1251"/>
      <c r="I19" s="1251"/>
      <c r="J19" s="1251"/>
      <c r="K19" s="1251"/>
      <c r="L19" s="1251"/>
      <c r="M19" s="1251"/>
      <c r="N19" s="1251"/>
      <c r="O19" s="25"/>
      <c r="P19" s="955"/>
      <c r="R19" s="955"/>
      <c r="S19" s="955"/>
    </row>
    <row r="20" spans="2:27" x14ac:dyDescent="0.2">
      <c r="B20" s="224"/>
      <c r="C20" s="224"/>
      <c r="D20" s="34"/>
      <c r="E20" s="1319" t="str">
        <f>Translations!$B$671</f>
        <v>Šajā punktā jāziņo par "galvenajiem darbības līmeņiem", t. i., dati, kas tieši attiecas uz iedales apjoma aprēķinu.</v>
      </c>
      <c r="F20" s="1251"/>
      <c r="G20" s="1251"/>
      <c r="H20" s="1251"/>
      <c r="I20" s="1251"/>
      <c r="J20" s="1251"/>
      <c r="K20" s="1251"/>
      <c r="L20" s="1251"/>
      <c r="M20" s="1251"/>
      <c r="N20" s="1251"/>
      <c r="O20" s="25"/>
      <c r="P20" s="955"/>
      <c r="R20" s="955"/>
      <c r="S20" s="955"/>
    </row>
    <row r="21" spans="2:27" x14ac:dyDescent="0.2">
      <c r="B21" s="224"/>
      <c r="C21" s="224"/>
      <c r="D21" s="34"/>
      <c r="E21" s="1319" t="str">
        <f>Translations!$B$672</f>
        <v xml:space="preserve">Parasti tie ir produkta ražošanas dati, piemēram, pelēkā cementa klinkera tonnas vai stikla pudeļu tonnas, kā noteikts FAR I pielikumā. </v>
      </c>
      <c r="F21" s="1251"/>
      <c r="G21" s="1251"/>
      <c r="H21" s="1251"/>
      <c r="I21" s="1251"/>
      <c r="J21" s="1251"/>
      <c r="K21" s="1251"/>
      <c r="L21" s="1251"/>
      <c r="M21" s="1251"/>
      <c r="N21" s="1251"/>
      <c r="O21" s="25"/>
      <c r="P21" s="955"/>
      <c r="R21" s="955"/>
      <c r="S21" s="955"/>
    </row>
    <row r="22" spans="2:27" x14ac:dyDescent="0.2">
      <c r="B22" s="224"/>
      <c r="C22" s="224"/>
      <c r="D22" s="34"/>
      <c r="E22" s="1319" t="str">
        <f>Translations!$B$673</f>
        <v>Tomēr, ja b) punktā parādās ziņojums, jāizmanto attiecīgais aprēķinu rīks un tā rezultāti automātiski jāiekopē šīs tabulas ii) apakšpunktā.</v>
      </c>
      <c r="F22" s="1251"/>
      <c r="G22" s="1251"/>
      <c r="H22" s="1251"/>
      <c r="I22" s="1251"/>
      <c r="J22" s="1251"/>
      <c r="K22" s="1251"/>
      <c r="L22" s="1251"/>
      <c r="M22" s="1251"/>
      <c r="N22" s="1251"/>
      <c r="O22" s="25"/>
      <c r="P22" s="955"/>
      <c r="R22" s="955"/>
      <c r="S22" s="955"/>
      <c r="T22" s="955"/>
      <c r="U22" s="955"/>
      <c r="V22" s="955"/>
      <c r="W22" s="955"/>
      <c r="Y22" s="437"/>
    </row>
    <row r="23" spans="2:27" ht="25.5" customHeight="1" thickBot="1" x14ac:dyDescent="0.25">
      <c r="B23" s="224"/>
      <c r="C23" s="224"/>
      <c r="D23" s="34"/>
      <c r="E23" s="1319" t="str">
        <f>Translations!$B$674</f>
        <v>Balstoties uz A lapas III sadaļā ievadīto normālās ekspluatācijas sākumu, tiks automātiski noteikts, vai šī iekārta bāzlīnijas periodā darbojusies mazāk par vienu gadu. Tādā gadījumā vēsturiskais darbības līmenis tiks noteikts, balstoties uz pirmo kalendāro gadu pēc normālas ekspluatācijas sākuma saskaņā ar 15. panta 7. punkta trešo daļu.</v>
      </c>
      <c r="F23" s="1251"/>
      <c r="G23" s="1251"/>
      <c r="H23" s="1251"/>
      <c r="I23" s="1251"/>
      <c r="J23" s="1251"/>
      <c r="K23" s="1251"/>
      <c r="L23" s="1251"/>
      <c r="M23" s="1251"/>
      <c r="N23" s="1251"/>
      <c r="O23" s="25"/>
      <c r="P23" s="955"/>
      <c r="R23" s="955"/>
      <c r="S23" s="955"/>
      <c r="AA23" s="437"/>
    </row>
    <row r="24" spans="2:27" ht="13.5" customHeight="1" thickBot="1" x14ac:dyDescent="0.25">
      <c r="B24" s="38"/>
      <c r="C24" s="38"/>
      <c r="D24" s="32"/>
      <c r="E24" s="1320" t="str">
        <f>Translations!$B$676</f>
        <v>Gada darbības līmeņi:</v>
      </c>
      <c r="F24" s="1320"/>
      <c r="G24" s="1320"/>
      <c r="H24" s="52" t="str">
        <f>EUconst_Unit</f>
        <v>Vienība</v>
      </c>
      <c r="I24" s="412">
        <f>I$1820</f>
        <v>2019</v>
      </c>
      <c r="J24" s="412">
        <f>J$1820</f>
        <v>2020</v>
      </c>
      <c r="K24" s="412">
        <f>K$1820</f>
        <v>2021</v>
      </c>
      <c r="L24" s="412">
        <f>L$1820</f>
        <v>2022</v>
      </c>
      <c r="M24" s="412">
        <f>M$1820</f>
        <v>2023</v>
      </c>
      <c r="N24" s="34"/>
      <c r="O24" s="25"/>
      <c r="P24" s="955"/>
      <c r="Q24" s="439" t="s">
        <v>416</v>
      </c>
      <c r="R24" s="289"/>
      <c r="S24" s="289"/>
      <c r="T24" s="289"/>
      <c r="U24" s="289"/>
      <c r="V24" s="289"/>
      <c r="W24" s="290"/>
      <c r="AA24" s="437" t="s">
        <v>262</v>
      </c>
    </row>
    <row r="25" spans="2:27" ht="13.5" thickBot="1" x14ac:dyDescent="0.25">
      <c r="B25" s="38"/>
      <c r="C25" s="38"/>
      <c r="D25" s="212" t="s">
        <v>2</v>
      </c>
      <c r="E25" s="1716" t="str">
        <f>I13</f>
        <v/>
      </c>
      <c r="F25" s="1716"/>
      <c r="G25" s="1716"/>
      <c r="H25" s="116" t="str">
        <f>IF(INDEX(CNTR_SubInstListIsProdBM,$C13),INDEX(CNTR_SubInstListHALUnit,$C13),EUconst_Tons)</f>
        <v>tonnas</v>
      </c>
      <c r="I25" s="595"/>
      <c r="J25" s="595"/>
      <c r="K25" s="595"/>
      <c r="L25" s="595"/>
      <c r="M25" s="595"/>
      <c r="N25" s="34"/>
      <c r="O25" s="25"/>
      <c r="P25" s="182" t="s">
        <v>228</v>
      </c>
      <c r="Q25" s="1023" t="s">
        <v>618</v>
      </c>
      <c r="R25" s="204" t="s">
        <v>629</v>
      </c>
      <c r="S25" s="454">
        <f>I24</f>
        <v>2019</v>
      </c>
      <c r="T25" s="455">
        <f>J24</f>
        <v>2020</v>
      </c>
      <c r="U25" s="455">
        <f>K24</f>
        <v>2021</v>
      </c>
      <c r="V25" s="455">
        <f>L24</f>
        <v>2022</v>
      </c>
      <c r="W25" s="456">
        <f>M24</f>
        <v>2023</v>
      </c>
      <c r="Z25" s="437"/>
      <c r="AA25" s="643" t="b">
        <f>IF(CNTR_ExistSubInstEntries,AND(I13&lt;&gt;"",Q29),FALSE)</f>
        <v>0</v>
      </c>
    </row>
    <row r="26" spans="2:27" ht="13.5" thickBot="1" x14ac:dyDescent="0.25">
      <c r="B26" s="38"/>
      <c r="C26" s="38"/>
      <c r="D26" s="212" t="s">
        <v>3</v>
      </c>
      <c r="E26" s="1716" t="str">
        <f>Translations!$B$677</f>
        <v>No lapas “H_SpecialBM”:</v>
      </c>
      <c r="F26" s="1716"/>
      <c r="G26" s="1716"/>
      <c r="H26" s="116" t="str">
        <f>H25</f>
        <v>tonnas</v>
      </c>
      <c r="I26" s="336" t="str">
        <f>IF($I13="","",IF($Q29,SUMIF(H_SpecialBM!$P$9:$P$401,$P26,H_SpecialBM!I$9:I$401),""))</f>
        <v/>
      </c>
      <c r="J26" s="336" t="str">
        <f>IF($I13="","",IF($Q29,SUMIF(H_SpecialBM!$P$9:$P$401,$P26,H_SpecialBM!J$9:J$401),""))</f>
        <v/>
      </c>
      <c r="K26" s="336" t="str">
        <f>IF($I13="","",IF($Q29,SUMIF(H_SpecialBM!$P$9:$P$401,$P26,H_SpecialBM!K$9:K$401),""))</f>
        <v/>
      </c>
      <c r="L26" s="336" t="str">
        <f>IF($I13="","",IF($Q29,SUMIF(H_SpecialBM!$P$9:$P$401,$P26,H_SpecialBM!L$9:L$401),""))</f>
        <v/>
      </c>
      <c r="M26" s="336" t="str">
        <f>IF($I13="","",IF($Q29,SUMIF(H_SpecialBM!$P$9:$P$401,$P26,H_SpecialBM!M$9:M$401),""))</f>
        <v/>
      </c>
      <c r="N26" s="34"/>
      <c r="O26" s="25"/>
      <c r="P26" s="969" t="str">
        <f>EUconst_CNTR_HALspecial&amp;I13</f>
        <v>HALspecial_</v>
      </c>
      <c r="Q26" s="1093" t="str">
        <f>IF(COUNT($U26:$V26)&gt;0,SUM($U26:$V26),"")</f>
        <v/>
      </c>
      <c r="R26" s="1094" t="str">
        <f>IF(COUNT(S26:W26)&gt;0,MEDIAN(S26:W26),"")</f>
        <v/>
      </c>
      <c r="S26" s="1095" t="str">
        <f>IF(S13,IF(ISNUMBER(I26),I26,""),"")</f>
        <v/>
      </c>
      <c r="T26" s="1096" t="str">
        <f>IF(T13,IF(ISNUMBER(J26),J26,""),"")</f>
        <v/>
      </c>
      <c r="U26" s="1096" t="str">
        <f>IF(U13,IF(ISNUMBER(K26),K26,""),"")</f>
        <v/>
      </c>
      <c r="V26" s="1096" t="str">
        <f>IF(V13,IF(ISNUMBER(L26),L26,""),"")</f>
        <v/>
      </c>
      <c r="W26" s="1094" t="str">
        <f>IF(W13,IF(ISNUMBER(M26),M26,""),"")</f>
        <v/>
      </c>
      <c r="AA26" s="719" t="b">
        <f>Q29=FALSE</f>
        <v>0</v>
      </c>
    </row>
    <row r="27" spans="2:27" ht="13.5" thickBot="1" x14ac:dyDescent="0.25">
      <c r="B27" s="38"/>
      <c r="C27" s="38"/>
      <c r="D27" s="212" t="s">
        <v>4</v>
      </c>
      <c r="E27" s="1716" t="str">
        <f>Translations!$B$678</f>
        <v>Aprēķinā izmantotās vērtības:</v>
      </c>
      <c r="F27" s="1716"/>
      <c r="G27" s="1716"/>
      <c r="H27" s="116" t="str">
        <f>H26</f>
        <v>tonnas</v>
      </c>
      <c r="I27" s="336" t="str">
        <f>IF($I13="","",IF($Q29=TRUE,IF(ISNUMBER(I26),I26,0),IF(ISNUMBER(I25),I25,0)))</f>
        <v/>
      </c>
      <c r="J27" s="336" t="str">
        <f>IF($I13="","",IF($Q29=TRUE,IF(ISNUMBER(J26),J26,0),IF(ISNUMBER(J25),J25,0)))</f>
        <v/>
      </c>
      <c r="K27" s="336" t="str">
        <f>IF($I13="","",IF($Q29=TRUE,IF(ISNUMBER(K26),K26,0),IF(ISNUMBER(K25),K25,0)))</f>
        <v/>
      </c>
      <c r="L27" s="336" t="str">
        <f>IF($I13="","",IF($Q29=TRUE,IF(ISNUMBER(L26),L26,0),IF(ISNUMBER(L25),L25,0)))</f>
        <v/>
      </c>
      <c r="M27" s="336" t="str">
        <f>IF($I13="","",IF($Q29=TRUE,IF(ISNUMBER(M26),M26,0),IF(ISNUMBER(M25),M25,0)))</f>
        <v/>
      </c>
      <c r="N27" s="34"/>
      <c r="O27" s="25"/>
      <c r="P27" s="969" t="str">
        <f>EUconst_CNTR_HAL&amp;I13</f>
        <v>HAL_</v>
      </c>
      <c r="Q27" s="1097" t="str">
        <f>IF(COUNT($U27:$V27)&gt;0,SUM($U27:$V27),"")</f>
        <v/>
      </c>
      <c r="R27" s="1098" t="str">
        <f>IF(COUNT(S27:W27)&gt;0,MEDIAN(S27:W27),"")</f>
        <v/>
      </c>
      <c r="S27" s="1099" t="str">
        <f>IF(S13,IF(ISNUMBER(I27),I27,""),"")</f>
        <v/>
      </c>
      <c r="T27" s="1100" t="str">
        <f>IF(T13,IF(ISNUMBER(J27),J27,""),"")</f>
        <v/>
      </c>
      <c r="U27" s="1100" t="str">
        <f>IF(U13,IF(ISNUMBER(K27),K27,""),"")</f>
        <v/>
      </c>
      <c r="V27" s="1100" t="str">
        <f>IF(V13,IF(ISNUMBER(L27),L27,""),"")</f>
        <v/>
      </c>
      <c r="W27" s="1098" t="str">
        <f>IF(W13,IF(ISNUMBER(M27),M27,""),"")</f>
        <v/>
      </c>
    </row>
    <row r="28" spans="2:27" ht="5.0999999999999996" customHeight="1" x14ac:dyDescent="0.2">
      <c r="B28" s="224"/>
      <c r="C28" s="224"/>
      <c r="D28" s="224"/>
      <c r="E28" s="224"/>
      <c r="F28" s="224"/>
      <c r="G28" s="224"/>
      <c r="H28" s="224"/>
      <c r="I28" s="224"/>
      <c r="J28" s="224"/>
      <c r="K28" s="224"/>
      <c r="L28" s="224"/>
      <c r="M28" s="34"/>
      <c r="N28" s="34"/>
      <c r="O28" s="25"/>
      <c r="P28" s="955"/>
      <c r="R28" s="955"/>
      <c r="S28" s="955"/>
    </row>
    <row r="29" spans="2:27" x14ac:dyDescent="0.2">
      <c r="B29" s="224"/>
      <c r="C29" s="224"/>
      <c r="D29" s="32" t="s">
        <v>339</v>
      </c>
      <c r="E29" s="1250" t="str">
        <f>Translations!$B$679</f>
        <v>Īpašas ziņošanas prasības:</v>
      </c>
      <c r="F29" s="1250"/>
      <c r="G29" s="1524"/>
      <c r="H29" s="1713" t="str">
        <f>IF(I13="","",HYPERLINK(INDEX(EUconst_BMlistSpecialJumpTable,MATCH(I13,EUconst_BMlistNames,0)),INDEX(EUconst_BMlistSpecialReporting,MATCH(I13,EUconst_BMlistNames,0))))</f>
        <v/>
      </c>
      <c r="I29" s="1718"/>
      <c r="J29" s="1718"/>
      <c r="K29" s="1718"/>
      <c r="L29" s="1718"/>
      <c r="M29" s="1718"/>
      <c r="N29" s="1719"/>
      <c r="O29" s="25"/>
      <c r="P29" s="966" t="s">
        <v>37</v>
      </c>
      <c r="Q29" s="134" t="str">
        <f>IF(I13="","",IF(AND(INDEX(EUconst_BMlistSpecialJumpTable,MATCH(I13,EUconst_BMlistNames,0))&lt;&gt;"",INDEX(EUconst_BMlistMainNumberOfBM,MATCH(I13,EUconst_BMlistNames,0))&lt;&gt;47),TRUE,FALSE))</f>
        <v/>
      </c>
      <c r="R29" s="966" t="s">
        <v>574</v>
      </c>
      <c r="S29" s="134" t="b">
        <f>IF(I13="",FALSE,INDEX(CNTR_SubInstLess1Year,MATCH(I13,CNTR_SubInstListNames,0)))</f>
        <v>0</v>
      </c>
    </row>
    <row r="30" spans="2:27" x14ac:dyDescent="0.2">
      <c r="B30" s="224"/>
      <c r="C30" s="224"/>
      <c r="D30" s="34"/>
      <c r="E30" s="1319" t="str">
        <f>Translations!$B$680</f>
        <v>Attiecībā uz dažām produktu līmeņatzīmēm ir jāziņo specifiska informācija (piem., CWT vērtības). Attiecīgā gadījumā šeit parādīsies automātisks ziņojums.</v>
      </c>
      <c r="F30" s="1251"/>
      <c r="G30" s="1251"/>
      <c r="H30" s="1251"/>
      <c r="I30" s="1251"/>
      <c r="J30" s="1251"/>
      <c r="K30" s="1251"/>
      <c r="L30" s="1251"/>
      <c r="M30" s="1251"/>
      <c r="N30" s="1251"/>
      <c r="O30" s="25"/>
      <c r="P30" s="955"/>
      <c r="R30" s="955"/>
      <c r="S30" s="955"/>
    </row>
    <row r="31" spans="2:27" ht="5.0999999999999996" customHeight="1" x14ac:dyDescent="0.2">
      <c r="B31" s="224"/>
      <c r="C31" s="224"/>
      <c r="D31" s="224"/>
      <c r="E31" s="224"/>
      <c r="F31" s="224"/>
      <c r="G31" s="224"/>
      <c r="H31" s="224"/>
      <c r="I31" s="224"/>
      <c r="J31" s="224"/>
      <c r="K31" s="224"/>
      <c r="L31" s="224"/>
      <c r="M31" s="224"/>
      <c r="N31" s="224"/>
      <c r="O31" s="25"/>
      <c r="P31" s="955"/>
      <c r="R31" s="955"/>
      <c r="S31" s="955"/>
    </row>
    <row r="32" spans="2:27" ht="12.75" customHeight="1" x14ac:dyDescent="0.2">
      <c r="B32" s="38"/>
      <c r="C32" s="38"/>
      <c r="D32" s="32" t="s">
        <v>11</v>
      </c>
      <c r="E32" s="1717" t="str">
        <f>Translations!$B$1663</f>
        <v>Elektroenerģijas patēriņš</v>
      </c>
      <c r="F32" s="1717"/>
      <c r="G32" s="1717"/>
      <c r="H32" s="1717"/>
      <c r="I32" s="1717"/>
      <c r="J32" s="1717"/>
      <c r="K32" s="1717"/>
      <c r="L32" s="1717"/>
      <c r="M32" s="1717"/>
      <c r="N32" s="1717"/>
      <c r="O32" s="25"/>
      <c r="P32" s="20" t="s">
        <v>192</v>
      </c>
      <c r="Q32" s="362" t="str">
        <f>"#"&amp;ADDRESS(ROW(D37),COLUMN(D37))</f>
        <v>#$D$37</v>
      </c>
      <c r="R32" s="955"/>
      <c r="S32" s="955"/>
      <c r="AA32" s="955"/>
    </row>
    <row r="33" spans="1:27" ht="25.5" customHeight="1" x14ac:dyDescent="0.2">
      <c r="B33" s="224"/>
      <c r="C33" s="224"/>
      <c r="D33" s="34"/>
      <c r="E33" s="1319" t="str">
        <f>Translations!$B$1664</f>
        <v>Šeit norādiet šīs apakšiekārtas sistēmas robežās patērēto elektroenerģiju. Attiecībā uz produktu līmeņatzīmēm, kas norādītas FAR I pielikuma 2. iedaļā, ieraksti šeit ir obligāti, un tiem jāatbilst saistītajām sistēmas robežām, kas norādītas minētajā iedaļā.</v>
      </c>
      <c r="F33" s="1251"/>
      <c r="G33" s="1251"/>
      <c r="H33" s="1251"/>
      <c r="I33" s="1251"/>
      <c r="J33" s="1251"/>
      <c r="K33" s="1251"/>
      <c r="L33" s="1251"/>
      <c r="M33" s="1251"/>
      <c r="N33" s="1251"/>
      <c r="O33" s="25"/>
      <c r="R33" s="955"/>
      <c r="S33" s="955"/>
    </row>
    <row r="34" spans="1:27" s="697" customFormat="1" ht="13.5" thickBot="1" x14ac:dyDescent="0.25">
      <c r="A34" s="437"/>
      <c r="B34" s="414"/>
      <c r="C34" s="414"/>
      <c r="D34" s="32"/>
      <c r="E34" s="1320" t="str">
        <f>Translations!$B$686</f>
        <v>Parametrs</v>
      </c>
      <c r="F34" s="1275"/>
      <c r="G34" s="1275"/>
      <c r="H34" s="52" t="str">
        <f>EUconst_Unit</f>
        <v>Vienība</v>
      </c>
      <c r="I34" s="412">
        <f>I24</f>
        <v>2019</v>
      </c>
      <c r="J34" s="412">
        <f>J24</f>
        <v>2020</v>
      </c>
      <c r="K34" s="412">
        <f>K24</f>
        <v>2021</v>
      </c>
      <c r="L34" s="412">
        <f>L24</f>
        <v>2022</v>
      </c>
      <c r="M34" s="412">
        <f>M24</f>
        <v>2023</v>
      </c>
      <c r="N34" s="34"/>
      <c r="O34" s="25"/>
      <c r="P34" s="437"/>
      <c r="Q34" s="437"/>
      <c r="R34" s="955"/>
      <c r="S34" s="955"/>
      <c r="T34" s="955"/>
      <c r="U34" s="955"/>
      <c r="V34" s="955"/>
      <c r="W34" s="955"/>
      <c r="X34" s="20"/>
      <c r="Y34" s="20"/>
      <c r="Z34" s="437"/>
      <c r="AA34" s="955" t="s">
        <v>633</v>
      </c>
    </row>
    <row r="35" spans="1:27" s="697" customFormat="1" ht="12.75" customHeight="1" thickBot="1" x14ac:dyDescent="0.25">
      <c r="A35" s="437"/>
      <c r="B35" s="414"/>
      <c r="C35" s="414"/>
      <c r="D35" s="440"/>
      <c r="E35" s="1711" t="str">
        <f>Translations!$B$689</f>
        <v>Relevantais elektroenerģijas patēriņš</v>
      </c>
      <c r="F35" s="1712"/>
      <c r="G35" s="1712"/>
      <c r="H35" s="610" t="str">
        <f>EUconst_MWhpa</f>
        <v>MWh / gads</v>
      </c>
      <c r="I35" s="1102"/>
      <c r="J35" s="1102"/>
      <c r="K35" s="1102"/>
      <c r="L35" s="1102"/>
      <c r="M35" s="1102"/>
      <c r="N35" s="34"/>
      <c r="O35" s="25"/>
      <c r="P35" s="202" t="str">
        <f>EUconst_CNTR_HAL&amp;EUconst_CNTR_ELEXCH</f>
        <v>HAL_ELEXCH_</v>
      </c>
      <c r="Q35" s="202" t="str">
        <f>EUconst_CNTR_HAL&amp;EUconst_CNTR_ELEXCH &amp; I13</f>
        <v>HAL_ELEXCH_</v>
      </c>
      <c r="R35" s="955"/>
      <c r="S35" s="955"/>
      <c r="T35" s="955"/>
      <c r="U35" s="955"/>
      <c r="V35" s="955"/>
      <c r="W35" s="955"/>
      <c r="X35" s="20"/>
      <c r="Y35" s="20"/>
      <c r="Z35" s="437"/>
      <c r="AA35" s="885" t="b">
        <f>IF(CNTR_ExistSubInstEntries,IF(I13&lt;&gt;"",IF(INDEX(EUconst_BMlistElExchangability,MATCH(I13,EUconst_BMlistNames,0)),FALSE,TRUE),TRUE),FALSE)</f>
        <v>0</v>
      </c>
    </row>
    <row r="36" spans="1:27" ht="5.0999999999999996" customHeight="1" x14ac:dyDescent="0.2">
      <c r="B36" s="224"/>
      <c r="C36" s="224"/>
      <c r="D36" s="224"/>
      <c r="E36" s="224"/>
      <c r="F36" s="224"/>
      <c r="G36" s="224"/>
      <c r="H36" s="224"/>
      <c r="I36" s="224"/>
      <c r="J36" s="224"/>
      <c r="K36" s="224"/>
      <c r="L36" s="224"/>
      <c r="M36" s="34"/>
      <c r="N36" s="34"/>
      <c r="O36" s="25"/>
      <c r="P36" s="955"/>
    </row>
    <row r="37" spans="1:27" x14ac:dyDescent="0.2">
      <c r="B37" s="224"/>
      <c r="C37" s="224"/>
      <c r="D37" s="32" t="s">
        <v>342</v>
      </c>
      <c r="E37" s="1250" t="str">
        <f>Translations!$B$692</f>
        <v>No ETS neaptvertām iekārtām vai vienībām importētais siltums:</v>
      </c>
      <c r="F37" s="1250"/>
      <c r="G37" s="1250"/>
      <c r="H37" s="1250"/>
      <c r="I37" s="1524"/>
      <c r="J37" s="1713" t="str">
        <f>IF(I13="","",HYPERLINK(Q37,EUconst_MsgGoOnIfNotRelevant))</f>
        <v/>
      </c>
      <c r="K37" s="1714"/>
      <c r="L37" s="1714"/>
      <c r="M37" s="1714"/>
      <c r="N37" s="1715"/>
      <c r="O37" s="25"/>
      <c r="P37" s="20" t="s">
        <v>192</v>
      </c>
      <c r="Q37" s="362" t="str">
        <f>"#"&amp;ADDRESS(ROW(D47),COLUMN(D47))</f>
        <v>#$D$47</v>
      </c>
    </row>
    <row r="38" spans="1:27" x14ac:dyDescent="0.2">
      <c r="B38" s="224"/>
      <c r="C38" s="224"/>
      <c r="D38" s="34"/>
      <c r="E38" s="1319" t="str">
        <f>Translations!$B$693</f>
        <v>Saskaņā ar FAR 21. pantu no produkta līmeņatzīmes apakšiekārtu provizoriskā ikgadējā iedales apjoma jāatskaita noteikts emisiju daudzums.</v>
      </c>
      <c r="F38" s="1251"/>
      <c r="G38" s="1251"/>
      <c r="H38" s="1251"/>
      <c r="I38" s="1251"/>
      <c r="J38" s="1251"/>
      <c r="K38" s="1251"/>
      <c r="L38" s="1251"/>
      <c r="M38" s="1251"/>
      <c r="N38" s="1251"/>
      <c r="O38" s="25"/>
      <c r="P38" s="955"/>
      <c r="R38" s="955"/>
      <c r="S38" s="955"/>
    </row>
    <row r="39" spans="1:27" x14ac:dyDescent="0.2">
      <c r="B39" s="224"/>
      <c r="C39" s="224"/>
      <c r="D39" s="34"/>
      <c r="E39" s="1319" t="str">
        <f>Translations!$B$694</f>
        <v>Šis daudzums ir izmērāmā siltuma daudzums, kas importēts no ETS neaptvertām iekārtām (arī siltums no slāpekļskābes apakšiekārtām) vai vienībām, reizināts ar siltuma līmeņatzīmi.</v>
      </c>
      <c r="F39" s="1251"/>
      <c r="G39" s="1251"/>
      <c r="H39" s="1251"/>
      <c r="I39" s="1251"/>
      <c r="J39" s="1251"/>
      <c r="K39" s="1251"/>
      <c r="L39" s="1251"/>
      <c r="M39" s="1251"/>
      <c r="N39" s="1251"/>
      <c r="O39" s="25"/>
      <c r="P39" s="955"/>
      <c r="R39" s="955"/>
      <c r="S39" s="955"/>
    </row>
    <row r="40" spans="1:27" x14ac:dyDescent="0.2">
      <c r="B40" s="224"/>
      <c r="C40" s="224"/>
      <c r="D40" s="34"/>
      <c r="E40" s="1319" t="str">
        <f>Translations!$B$695</f>
        <v>Šeit norādiet attiecīgās vērtības. Ievērojiet, ka šīm vērtībām jāsaskan ar starpsummām, kas par importu no ETS neaptvertām iekārtām/vienībām norādītas lapas "E_Energy flows" II sadaļas c) punktā.</v>
      </c>
      <c r="F40" s="1251"/>
      <c r="G40" s="1251"/>
      <c r="H40" s="1251"/>
      <c r="I40" s="1251"/>
      <c r="J40" s="1251"/>
      <c r="K40" s="1251"/>
      <c r="L40" s="1251"/>
      <c r="M40" s="1251"/>
      <c r="N40" s="1251"/>
      <c r="O40" s="25"/>
      <c r="P40" s="955"/>
      <c r="R40" s="955"/>
      <c r="S40" s="955"/>
    </row>
    <row r="41" spans="1:27" x14ac:dyDescent="0.2">
      <c r="B41" s="224"/>
      <c r="C41" s="224"/>
      <c r="D41" s="34"/>
      <c r="E41" s="1319" t="str">
        <f>Translations!$B$696</f>
        <v>Datiem jāsaskan arī ar neto kopējo importēto izmērāmo siltumu, kas ievadīts k) punkta i. apakšpunktā.</v>
      </c>
      <c r="F41" s="1251"/>
      <c r="G41" s="1251"/>
      <c r="H41" s="1251"/>
      <c r="I41" s="1251"/>
      <c r="J41" s="1251"/>
      <c r="K41" s="1251"/>
      <c r="L41" s="1251"/>
      <c r="M41" s="1251"/>
      <c r="N41" s="1251"/>
      <c r="O41" s="25"/>
      <c r="P41" s="955"/>
      <c r="R41" s="955"/>
      <c r="S41" s="955"/>
    </row>
    <row r="42" spans="1:27" ht="13.5" thickBot="1" x14ac:dyDescent="0.25">
      <c r="B42" s="38"/>
      <c r="C42" s="38"/>
      <c r="D42" s="32"/>
      <c r="E42" s="1320" t="str">
        <f>Translations!$B$686</f>
        <v>Parametrs</v>
      </c>
      <c r="F42" s="1275"/>
      <c r="G42" s="1275"/>
      <c r="H42" s="52" t="str">
        <f>EUconst_Unit</f>
        <v>Vienība</v>
      </c>
      <c r="I42" s="412">
        <f>I24</f>
        <v>2019</v>
      </c>
      <c r="J42" s="412">
        <f>J24</f>
        <v>2020</v>
      </c>
      <c r="K42" s="412">
        <f>K24</f>
        <v>2021</v>
      </c>
      <c r="L42" s="412">
        <f>L24</f>
        <v>2022</v>
      </c>
      <c r="M42" s="412">
        <f>M24</f>
        <v>2023</v>
      </c>
      <c r="N42" s="34"/>
      <c r="O42" s="25"/>
      <c r="Q42" s="63"/>
      <c r="R42" s="955"/>
      <c r="S42" s="63">
        <f>I42</f>
        <v>2019</v>
      </c>
      <c r="T42" s="63">
        <f>J42</f>
        <v>2020</v>
      </c>
      <c r="U42" s="63">
        <f>K42</f>
        <v>2021</v>
      </c>
      <c r="V42" s="63">
        <f>L42</f>
        <v>2022</v>
      </c>
      <c r="W42" s="63">
        <f>M42</f>
        <v>2023</v>
      </c>
      <c r="Z42" s="63"/>
      <c r="AA42" s="437" t="s">
        <v>262</v>
      </c>
    </row>
    <row r="43" spans="1:27" ht="13.5" thickBot="1" x14ac:dyDescent="0.25">
      <c r="B43" s="38"/>
      <c r="C43" s="38"/>
      <c r="D43" s="212" t="s">
        <v>2</v>
      </c>
      <c r="E43" s="1517" t="str">
        <f>Translations!$B$697</f>
        <v>No ETS neaptvertām iekārtām/vienībām importēts izmērāmais siltums</v>
      </c>
      <c r="F43" s="1517"/>
      <c r="G43" s="1517"/>
      <c r="H43" s="66" t="str">
        <f>EUconst_TJpa</f>
        <v>TJ / gads</v>
      </c>
      <c r="I43" s="330"/>
      <c r="J43" s="330"/>
      <c r="K43" s="330"/>
      <c r="L43" s="330"/>
      <c r="M43" s="330"/>
      <c r="N43" s="34"/>
      <c r="O43" s="25"/>
      <c r="P43" s="134" t="str">
        <f>EUconst_CNTR_HAL&amp;EUconst_CNTR_nonETSMeasHeat</f>
        <v>HAL_ETS neaptverts izmērāmais siltums</v>
      </c>
      <c r="R43" s="955"/>
      <c r="S43" s="454" t="str">
        <f>IF(S13,IF(ISNUMBER(I43),I43,0),"")</f>
        <v/>
      </c>
      <c r="T43" s="455" t="str">
        <f>IF(T13,IF(ISNUMBER(J43),J43,0),"")</f>
        <v/>
      </c>
      <c r="U43" s="455" t="str">
        <f>IF(U13,IF(ISNUMBER(K43),K43,0),"")</f>
        <v/>
      </c>
      <c r="V43" s="455" t="str">
        <f>IF(V13,IF(ISNUMBER(L43),L43,0),"")</f>
        <v/>
      </c>
      <c r="W43" s="456" t="str">
        <f>IF(W13,IF(ISNUMBER(M43),M43,0),"")</f>
        <v/>
      </c>
      <c r="AA43" s="643" t="b">
        <f>AND(CNTR_ExistSubInstEntries,I13="")</f>
        <v>0</v>
      </c>
    </row>
    <row r="44" spans="1:27" ht="25.5" customHeight="1" thickBot="1" x14ac:dyDescent="0.25">
      <c r="B44" s="38"/>
      <c r="C44" s="38"/>
      <c r="D44" s="212" t="s">
        <v>3</v>
      </c>
      <c r="E44" s="1541" t="str">
        <f>Translations!$B$698</f>
        <v>Konsekvences pārbaude — saskanība ar lapu “E_Energy flows”:</v>
      </c>
      <c r="F44" s="1541"/>
      <c r="G44" s="1541"/>
      <c r="H44" s="45" t="s">
        <v>393</v>
      </c>
      <c r="I44" s="317" t="str">
        <f>IF(AND(ISNUMBER(I43),ISNUMBER(E_EnergyFlows!I$120)), I43/E_EnergyFlows!I$120*100,"")</f>
        <v/>
      </c>
      <c r="J44" s="317" t="str">
        <f>IF(AND(ISNUMBER(J43),ISNUMBER(E_EnergyFlows!J$120)), J43/E_EnergyFlows!J$120*100,"")</f>
        <v/>
      </c>
      <c r="K44" s="317" t="str">
        <f>IF(AND(ISNUMBER(K43),ISNUMBER(E_EnergyFlows!K$120)), K43/E_EnergyFlows!K$120*100,"")</f>
        <v/>
      </c>
      <c r="L44" s="317" t="str">
        <f>IF(AND(ISNUMBER(L43),ISNUMBER(E_EnergyFlows!L$120)), L43/E_EnergyFlows!L$120*100,"")</f>
        <v/>
      </c>
      <c r="M44" s="317" t="str">
        <f>IF(AND(ISNUMBER(M43),ISNUMBER(E_EnergyFlows!M$120)), M43/E_EnergyFlows!M$120*100,"")</f>
        <v/>
      </c>
      <c r="N44" s="38"/>
      <c r="O44" s="25"/>
      <c r="P44" s="182" t="str">
        <f>EUconst_CNTR_HEAT &amp; I13</f>
        <v>HEAT_</v>
      </c>
      <c r="Q44" s="315" t="str">
        <f>IF(COUNT(S43:X43)&gt;0,AVERAGE(S43:X43)*EUconst_HeatBMvalue,EUconst_NA)</f>
        <v>NA</v>
      </c>
      <c r="R44" s="955"/>
      <c r="S44" s="955"/>
      <c r="AA44" s="607"/>
    </row>
    <row r="45" spans="1:27" x14ac:dyDescent="0.2">
      <c r="B45" s="38"/>
      <c r="C45" s="38"/>
      <c r="D45" s="212" t="s">
        <v>4</v>
      </c>
      <c r="E45" s="1373" t="str">
        <f>Translations!$B$699</f>
        <v>Konsekvences pārbaude — saskanība ar k) punkta i. apakšpunktu.</v>
      </c>
      <c r="F45" s="1550"/>
      <c r="G45" s="1550"/>
      <c r="H45" s="48" t="s">
        <v>393</v>
      </c>
      <c r="I45" s="316" t="str">
        <f>IF(AND(I153&gt;0,ISNUMBER(I43)), I43/I153*100,"")</f>
        <v/>
      </c>
      <c r="J45" s="316" t="str">
        <f>IF(AND(J153&gt;0,ISNUMBER(J43)), J43/J153*100,"")</f>
        <v/>
      </c>
      <c r="K45" s="316" t="str">
        <f>IF(AND(K153&gt;0,ISNUMBER(K43)), K43/K153*100,"")</f>
        <v/>
      </c>
      <c r="L45" s="316" t="str">
        <f>IF(AND(L153&gt;0,ISNUMBER(L43)), L43/L153*100,"")</f>
        <v/>
      </c>
      <c r="M45" s="316" t="str">
        <f>IF(AND(M153&gt;0,ISNUMBER(M43)), M43/M153*100,"")</f>
        <v/>
      </c>
      <c r="N45" s="38"/>
      <c r="O45" s="25"/>
      <c r="R45" s="955"/>
      <c r="S45" s="955"/>
      <c r="AA45" s="607"/>
    </row>
    <row r="46" spans="1:27" ht="12.75" customHeight="1" x14ac:dyDescent="0.2">
      <c r="B46" s="38"/>
      <c r="C46" s="38"/>
      <c r="D46" s="38"/>
      <c r="E46" s="38"/>
      <c r="F46" s="38"/>
      <c r="G46" s="38"/>
      <c r="H46" s="38"/>
      <c r="I46" s="125"/>
      <c r="J46" s="38"/>
      <c r="K46" s="38"/>
      <c r="L46" s="38"/>
      <c r="M46" s="38"/>
      <c r="N46" s="38"/>
      <c r="O46" s="25"/>
      <c r="P46" s="157"/>
      <c r="R46" s="955"/>
      <c r="S46" s="955"/>
      <c r="AA46" s="607"/>
    </row>
    <row r="47" spans="1:27" ht="15" x14ac:dyDescent="0.2">
      <c r="B47" s="38"/>
      <c r="C47" s="972"/>
      <c r="D47" s="1318" t="str">
        <f>Translations!$B$700</f>
        <v>Ražošanas dati</v>
      </c>
      <c r="E47" s="1251"/>
      <c r="F47" s="1251"/>
      <c r="G47" s="1251"/>
      <c r="H47" s="1251"/>
      <c r="I47" s="1251"/>
      <c r="J47" s="1251"/>
      <c r="K47" s="1251"/>
      <c r="L47" s="1251"/>
      <c r="M47" s="1251"/>
      <c r="N47" s="1251"/>
      <c r="O47" s="25"/>
      <c r="R47" s="955"/>
      <c r="S47" s="955"/>
      <c r="AA47" s="607"/>
    </row>
    <row r="48" spans="1:27" ht="5.0999999999999996" customHeight="1" x14ac:dyDescent="0.2">
      <c r="B48" s="224"/>
      <c r="C48" s="224"/>
      <c r="D48" s="224"/>
      <c r="E48" s="224"/>
      <c r="F48" s="224"/>
      <c r="G48" s="224"/>
      <c r="H48" s="224"/>
      <c r="I48" s="224"/>
      <c r="J48" s="224"/>
      <c r="K48" s="224"/>
      <c r="L48" s="224"/>
      <c r="M48" s="224"/>
      <c r="N48" s="224"/>
      <c r="O48" s="25"/>
      <c r="P48" s="955"/>
      <c r="Q48" s="955"/>
      <c r="R48" s="955"/>
      <c r="S48" s="955"/>
      <c r="AA48" s="607"/>
    </row>
    <row r="49" spans="2:27" x14ac:dyDescent="0.2">
      <c r="B49" s="224"/>
      <c r="C49" s="32"/>
      <c r="D49" s="32" t="s">
        <v>12</v>
      </c>
      <c r="E49" s="1250" t="str">
        <f>Translations!$B$701</f>
        <v>Šajā produkta līmeņatzīmes apakšiekārtā ietverto produktu identificēšana</v>
      </c>
      <c r="F49" s="1251"/>
      <c r="G49" s="1251"/>
      <c r="H49" s="1251"/>
      <c r="I49" s="1251"/>
      <c r="J49" s="1251"/>
      <c r="K49" s="1251"/>
      <c r="L49" s="1251"/>
      <c r="M49" s="1251"/>
      <c r="N49" s="1251"/>
      <c r="O49" s="25"/>
      <c r="P49" s="955"/>
      <c r="R49" s="955"/>
      <c r="S49" s="955"/>
      <c r="AA49" s="607"/>
    </row>
    <row r="50" spans="2:27" ht="25.5" customHeight="1" x14ac:dyDescent="0.2">
      <c r="B50" s="224"/>
      <c r="C50" s="34"/>
      <c r="D50" s="34"/>
      <c r="E50" s="1319" t="str">
        <f>Translations!$B$702</f>
        <v>Produkta līmeņatzīme var ietvert vairākus līdzīgus produktus (vai produktu grupas). Dažos gadījumos iedales vajadzībām relevanti var būt arī starpprodukti. Relevantie produkti jānorāda šeit, lai kompetentā iestāde varētu pārbaudīt, vai ir ievērotas produkta līmeņatzīmei noteiktās robežas.</v>
      </c>
      <c r="F50" s="1251"/>
      <c r="G50" s="1251"/>
      <c r="H50" s="1251"/>
      <c r="I50" s="1251"/>
      <c r="J50" s="1251"/>
      <c r="K50" s="1251"/>
      <c r="L50" s="1251"/>
      <c r="M50" s="1251"/>
      <c r="N50" s="1251"/>
      <c r="O50" s="25"/>
      <c r="P50" s="955"/>
      <c r="R50" s="955"/>
      <c r="S50" s="955"/>
      <c r="AA50" s="607"/>
    </row>
    <row r="51" spans="2:27" ht="25.5" customHeight="1" x14ac:dyDescent="0.2">
      <c r="B51" s="224"/>
      <c r="C51" s="34"/>
      <c r="D51" s="34"/>
      <c r="E51" s="1319" t="str">
        <f>Translations!$B$703</f>
        <v>PRODCOM kodi jāievada formā “nnnnnnnn”, t. i., bez punktiem vai citām atdalītājzīmēm. Tikai tad, ja PRODCOM kods nav pieejams, “nnnn” veidā jānorāda vismaz 4 ciparu līmeņa NACE kods.</v>
      </c>
      <c r="F51" s="1251"/>
      <c r="G51" s="1251"/>
      <c r="H51" s="1251"/>
      <c r="I51" s="1251"/>
      <c r="J51" s="1251"/>
      <c r="K51" s="1251"/>
      <c r="L51" s="1251"/>
      <c r="M51" s="1251"/>
      <c r="N51" s="1251"/>
      <c r="O51" s="25"/>
      <c r="P51" s="955"/>
      <c r="R51" s="955"/>
      <c r="S51" s="955"/>
      <c r="AA51" s="607"/>
    </row>
    <row r="52" spans="2:27" x14ac:dyDescent="0.2">
      <c r="B52" s="224"/>
      <c r="C52" s="34"/>
      <c r="D52" s="34"/>
      <c r="E52" s="1319" t="str">
        <f>Translations!$B$704</f>
        <v>PRODCOM 2010 kodu saraksts pieejams šeit:</v>
      </c>
      <c r="F52" s="1251"/>
      <c r="G52" s="1251"/>
      <c r="H52" s="1251"/>
      <c r="I52" s="1251"/>
      <c r="J52" s="1251"/>
      <c r="K52" s="1251"/>
      <c r="L52" s="1251"/>
      <c r="M52" s="1251"/>
      <c r="N52" s="1251"/>
      <c r="O52" s="25"/>
      <c r="P52" s="955"/>
      <c r="R52" s="955"/>
      <c r="S52" s="955"/>
      <c r="AA52" s="607"/>
    </row>
    <row r="53" spans="2:27" x14ac:dyDescent="0.2">
      <c r="B53" s="224"/>
      <c r="C53" s="34"/>
      <c r="D53" s="34"/>
      <c r="E53" s="1722" t="str">
        <f>Translations!$B$1665</f>
        <v>https://eur-lex.europa.eu/eli/reg/2010/860/oj?locale=lv</v>
      </c>
      <c r="F53" s="1609"/>
      <c r="G53" s="1609"/>
      <c r="H53" s="1609"/>
      <c r="I53" s="1609"/>
      <c r="J53" s="1609"/>
      <c r="K53" s="1609"/>
      <c r="L53" s="1609"/>
      <c r="M53" s="1609"/>
      <c r="N53" s="1609"/>
      <c r="O53" s="25"/>
      <c r="P53" s="955"/>
      <c r="R53" s="955"/>
      <c r="S53" s="955"/>
      <c r="AA53" s="607"/>
    </row>
    <row r="54" spans="2:27" ht="12.75" customHeight="1" x14ac:dyDescent="0.2">
      <c r="B54" s="224"/>
      <c r="C54" s="34"/>
      <c r="D54" s="34"/>
      <c r="E54" s="1319" t="str">
        <f>Translations!$B$1666</f>
        <v>KN kodi ir tie, kas norādīti Regulā (EEK) Nr. 2658/87; tā atrodama šeit:</v>
      </c>
      <c r="F54" s="1251"/>
      <c r="G54" s="1251"/>
      <c r="H54" s="1251"/>
      <c r="I54" s="1251"/>
      <c r="J54" s="1251"/>
      <c r="K54" s="1251"/>
      <c r="L54" s="1251"/>
      <c r="M54" s="1251"/>
      <c r="N54" s="1251"/>
      <c r="O54" s="25"/>
      <c r="P54" s="955"/>
      <c r="R54" s="955"/>
      <c r="S54" s="955"/>
      <c r="AA54" s="607"/>
    </row>
    <row r="55" spans="2:27" x14ac:dyDescent="0.2">
      <c r="B55" s="224"/>
      <c r="C55" s="34"/>
      <c r="D55" s="34"/>
      <c r="E55" s="1722" t="str">
        <f>Translations!$B$1667</f>
        <v>https://eur-lex.europa.eu/eli/reg/1987/2658/2023-06-17</v>
      </c>
      <c r="F55" s="1609"/>
      <c r="G55" s="1609"/>
      <c r="H55" s="1609"/>
      <c r="I55" s="1609"/>
      <c r="J55" s="1609"/>
      <c r="K55" s="1609"/>
      <c r="L55" s="1609"/>
      <c r="M55" s="1609"/>
      <c r="N55" s="1609"/>
      <c r="O55" s="25"/>
      <c r="P55" s="955"/>
      <c r="R55" s="955"/>
      <c r="S55" s="955"/>
      <c r="AA55" s="607"/>
    </row>
    <row r="56" spans="2:27" ht="5.0999999999999996" customHeight="1" x14ac:dyDescent="0.2">
      <c r="B56" s="224"/>
      <c r="C56" s="224"/>
      <c r="D56" s="224"/>
      <c r="E56" s="224"/>
      <c r="F56" s="224"/>
      <c r="G56" s="224"/>
      <c r="H56" s="224"/>
      <c r="I56" s="224"/>
      <c r="J56" s="224"/>
      <c r="K56" s="224"/>
      <c r="L56" s="224"/>
      <c r="M56" s="224"/>
      <c r="N56" s="224"/>
      <c r="O56" s="25"/>
      <c r="P56" s="955"/>
      <c r="Q56" s="955"/>
      <c r="R56" s="955"/>
      <c r="S56" s="955"/>
      <c r="AA56" s="607"/>
    </row>
    <row r="57" spans="2:27" x14ac:dyDescent="0.2">
      <c r="B57" s="224"/>
      <c r="C57" s="32"/>
      <c r="D57" s="32" t="s">
        <v>13</v>
      </c>
      <c r="E57" s="1250" t="str">
        <f>Translations!$B$706</f>
        <v>Šajā produkta līmeņatzīmes apakšiekārtā ietverto produktu atsevišķie ražošanas līmeņi</v>
      </c>
      <c r="F57" s="1251"/>
      <c r="G57" s="1251"/>
      <c r="H57" s="1251"/>
      <c r="I57" s="1251"/>
      <c r="J57" s="1251"/>
      <c r="K57" s="1251"/>
      <c r="L57" s="1251"/>
      <c r="M57" s="1251"/>
      <c r="N57" s="1251"/>
      <c r="O57" s="25"/>
      <c r="P57" s="955"/>
      <c r="R57" s="955"/>
      <c r="S57" s="955"/>
      <c r="AA57" s="607"/>
    </row>
    <row r="58" spans="2:27" ht="5.0999999999999996" customHeight="1" x14ac:dyDescent="0.2">
      <c r="B58" s="224"/>
      <c r="C58" s="224"/>
      <c r="D58" s="34"/>
      <c r="E58" s="35"/>
      <c r="F58" s="35"/>
      <c r="G58" s="35"/>
      <c r="H58" s="35"/>
      <c r="I58" s="35"/>
      <c r="J58" s="39"/>
      <c r="K58" s="39"/>
      <c r="L58" s="39"/>
      <c r="M58" s="34"/>
      <c r="N58" s="34"/>
      <c r="O58" s="25"/>
      <c r="P58" s="955"/>
      <c r="R58" s="955"/>
      <c r="S58" s="955"/>
      <c r="AA58" s="607"/>
    </row>
    <row r="59" spans="2:27" ht="25.5" customHeight="1" x14ac:dyDescent="0.2">
      <c r="B59" s="38"/>
      <c r="C59" s="38"/>
      <c r="D59" s="360"/>
      <c r="E59" s="1121" t="str">
        <f>Translations!$B$1668</f>
        <v>PRODCOM 2010</v>
      </c>
      <c r="F59" s="1703" t="str">
        <f>Translations!$B$707</f>
        <v>Produkta vai produktu grupas nosaukums</v>
      </c>
      <c r="G59" s="1704"/>
      <c r="H59" s="1129" t="str">
        <f>EUconst_Unit</f>
        <v>Vienība</v>
      </c>
      <c r="I59" s="1130">
        <f>I$1820</f>
        <v>2019</v>
      </c>
      <c r="J59" s="1130">
        <f>J$1820</f>
        <v>2020</v>
      </c>
      <c r="K59" s="1130">
        <f>K$1820</f>
        <v>2021</v>
      </c>
      <c r="L59" s="1130">
        <f>L$1820</f>
        <v>2022</v>
      </c>
      <c r="M59" s="1130">
        <f>M$1820</f>
        <v>2023</v>
      </c>
      <c r="N59" s="1131" t="str">
        <f>Translations!$B$1669</f>
        <v>KN kodi</v>
      </c>
      <c r="O59" s="25"/>
      <c r="R59" s="955"/>
      <c r="S59" s="955"/>
      <c r="AA59" s="607"/>
    </row>
    <row r="60" spans="2:27" x14ac:dyDescent="0.2">
      <c r="B60" s="38"/>
      <c r="C60" s="38"/>
      <c r="D60" s="55">
        <v>1</v>
      </c>
      <c r="E60" s="1199"/>
      <c r="F60" s="1705"/>
      <c r="G60" s="1706"/>
      <c r="H60" s="800"/>
      <c r="I60" s="484"/>
      <c r="J60" s="484"/>
      <c r="K60" s="484"/>
      <c r="L60" s="484"/>
      <c r="M60" s="484"/>
      <c r="N60" s="1145"/>
      <c r="O60" s="25"/>
      <c r="R60" s="955"/>
      <c r="S60" s="955"/>
      <c r="AA60" s="361" t="b">
        <f>AA43</f>
        <v>0</v>
      </c>
    </row>
    <row r="61" spans="2:27" x14ac:dyDescent="0.2">
      <c r="B61" s="38"/>
      <c r="C61" s="38"/>
      <c r="D61" s="56">
        <f>D60+1</f>
        <v>2</v>
      </c>
      <c r="E61" s="1200"/>
      <c r="F61" s="1707"/>
      <c r="G61" s="1708"/>
      <c r="H61" s="573"/>
      <c r="I61" s="557"/>
      <c r="J61" s="557"/>
      <c r="K61" s="557"/>
      <c r="L61" s="557"/>
      <c r="M61" s="557"/>
      <c r="N61" s="1146"/>
      <c r="O61" s="25"/>
      <c r="R61" s="955"/>
      <c r="S61" s="955"/>
      <c r="AA61" s="361" t="b">
        <f>AA60</f>
        <v>0</v>
      </c>
    </row>
    <row r="62" spans="2:27" x14ac:dyDescent="0.2">
      <c r="B62" s="38"/>
      <c r="C62" s="38"/>
      <c r="D62" s="56">
        <f t="shared" ref="D62:D69" si="0">D61+1</f>
        <v>3</v>
      </c>
      <c r="E62" s="1200"/>
      <c r="F62" s="1691"/>
      <c r="G62" s="1692"/>
      <c r="H62" s="573"/>
      <c r="I62" s="557"/>
      <c r="J62" s="557"/>
      <c r="K62" s="557"/>
      <c r="L62" s="557"/>
      <c r="M62" s="557"/>
      <c r="N62" s="1147"/>
      <c r="O62" s="25"/>
      <c r="R62" s="955"/>
      <c r="S62" s="955"/>
      <c r="AA62" s="361" t="b">
        <f t="shared" ref="AA62:AA70" si="1">AA61</f>
        <v>0</v>
      </c>
    </row>
    <row r="63" spans="2:27" x14ac:dyDescent="0.2">
      <c r="B63" s="38"/>
      <c r="C63" s="38"/>
      <c r="D63" s="56">
        <f t="shared" si="0"/>
        <v>4</v>
      </c>
      <c r="E63" s="1200"/>
      <c r="F63" s="1691"/>
      <c r="G63" s="1692"/>
      <c r="H63" s="573"/>
      <c r="I63" s="557"/>
      <c r="J63" s="557"/>
      <c r="K63" s="557"/>
      <c r="L63" s="557"/>
      <c r="M63" s="557"/>
      <c r="N63" s="1147"/>
      <c r="O63" s="25"/>
      <c r="R63" s="955"/>
      <c r="S63" s="955"/>
      <c r="AA63" s="361" t="b">
        <f t="shared" si="1"/>
        <v>0</v>
      </c>
    </row>
    <row r="64" spans="2:27" x14ac:dyDescent="0.2">
      <c r="B64" s="38"/>
      <c r="C64" s="38"/>
      <c r="D64" s="56">
        <f t="shared" si="0"/>
        <v>5</v>
      </c>
      <c r="E64" s="1200"/>
      <c r="F64" s="1691"/>
      <c r="G64" s="1692"/>
      <c r="H64" s="573"/>
      <c r="I64" s="557"/>
      <c r="J64" s="557"/>
      <c r="K64" s="557"/>
      <c r="L64" s="557"/>
      <c r="M64" s="557"/>
      <c r="N64" s="1147"/>
      <c r="O64" s="25"/>
      <c r="R64" s="955"/>
      <c r="S64" s="955"/>
      <c r="AA64" s="361" t="b">
        <f t="shared" si="1"/>
        <v>0</v>
      </c>
    </row>
    <row r="65" spans="2:27" x14ac:dyDescent="0.2">
      <c r="B65" s="38"/>
      <c r="C65" s="38"/>
      <c r="D65" s="56">
        <f t="shared" si="0"/>
        <v>6</v>
      </c>
      <c r="E65" s="1200"/>
      <c r="F65" s="1691"/>
      <c r="G65" s="1692"/>
      <c r="H65" s="573"/>
      <c r="I65" s="557"/>
      <c r="J65" s="557"/>
      <c r="K65" s="557"/>
      <c r="L65" s="557"/>
      <c r="M65" s="557"/>
      <c r="N65" s="1147"/>
      <c r="O65" s="25"/>
      <c r="R65" s="955"/>
      <c r="S65" s="955"/>
      <c r="AA65" s="361" t="b">
        <f t="shared" si="1"/>
        <v>0</v>
      </c>
    </row>
    <row r="66" spans="2:27" x14ac:dyDescent="0.2">
      <c r="B66" s="38"/>
      <c r="C66" s="38"/>
      <c r="D66" s="56">
        <f t="shared" si="0"/>
        <v>7</v>
      </c>
      <c r="E66" s="1200"/>
      <c r="F66" s="1691"/>
      <c r="G66" s="1692"/>
      <c r="H66" s="573"/>
      <c r="I66" s="557"/>
      <c r="J66" s="557"/>
      <c r="K66" s="557"/>
      <c r="L66" s="557"/>
      <c r="M66" s="557"/>
      <c r="N66" s="1147"/>
      <c r="O66" s="25"/>
      <c r="R66" s="955"/>
      <c r="S66" s="955"/>
      <c r="AA66" s="361" t="b">
        <f t="shared" si="1"/>
        <v>0</v>
      </c>
    </row>
    <row r="67" spans="2:27" x14ac:dyDescent="0.2">
      <c r="B67" s="38"/>
      <c r="C67" s="38"/>
      <c r="D67" s="56">
        <f t="shared" si="0"/>
        <v>8</v>
      </c>
      <c r="E67" s="1200"/>
      <c r="F67" s="1691"/>
      <c r="G67" s="1692"/>
      <c r="H67" s="573"/>
      <c r="I67" s="557"/>
      <c r="J67" s="557"/>
      <c r="K67" s="557"/>
      <c r="L67" s="557"/>
      <c r="M67" s="557"/>
      <c r="N67" s="1147"/>
      <c r="O67" s="25"/>
      <c r="R67" s="955"/>
      <c r="S67" s="955"/>
      <c r="AA67" s="361" t="b">
        <f t="shared" si="1"/>
        <v>0</v>
      </c>
    </row>
    <row r="68" spans="2:27" x14ac:dyDescent="0.2">
      <c r="B68" s="38"/>
      <c r="C68" s="38"/>
      <c r="D68" s="56">
        <f t="shared" si="0"/>
        <v>9</v>
      </c>
      <c r="E68" s="1200"/>
      <c r="F68" s="1691"/>
      <c r="G68" s="1692"/>
      <c r="H68" s="573"/>
      <c r="I68" s="557"/>
      <c r="J68" s="557"/>
      <c r="K68" s="557"/>
      <c r="L68" s="557"/>
      <c r="M68" s="557"/>
      <c r="N68" s="1147"/>
      <c r="O68" s="25"/>
      <c r="R68" s="955"/>
      <c r="S68" s="955"/>
      <c r="AA68" s="361" t="b">
        <f t="shared" si="1"/>
        <v>0</v>
      </c>
    </row>
    <row r="69" spans="2:27" x14ac:dyDescent="0.2">
      <c r="B69" s="38"/>
      <c r="C69" s="38"/>
      <c r="D69" s="59">
        <f t="shared" si="0"/>
        <v>10</v>
      </c>
      <c r="E69" s="1201"/>
      <c r="F69" s="1694"/>
      <c r="G69" s="1695"/>
      <c r="H69" s="574"/>
      <c r="I69" s="458"/>
      <c r="J69" s="458"/>
      <c r="K69" s="458"/>
      <c r="L69" s="458"/>
      <c r="M69" s="458"/>
      <c r="N69" s="1148"/>
      <c r="O69" s="25"/>
      <c r="R69" s="955"/>
      <c r="S69" s="955"/>
      <c r="AA69" s="361" t="b">
        <f t="shared" si="1"/>
        <v>0</v>
      </c>
    </row>
    <row r="70" spans="2:27" ht="12.75" customHeight="1" thickBot="1" x14ac:dyDescent="0.25">
      <c r="B70" s="38"/>
      <c r="C70" s="38"/>
      <c r="D70" s="115"/>
      <c r="E70" s="1696" t="str">
        <f>Translations!$B$708</f>
        <v>Ražošanas līmeņu summa</v>
      </c>
      <c r="F70" s="1696"/>
      <c r="G70" s="1696"/>
      <c r="H70" s="733"/>
      <c r="I70" s="343" t="str">
        <f>IF(COUNT(I60:I69)&gt;0,SUM(I60:I69),"")</f>
        <v/>
      </c>
      <c r="J70" s="343" t="str">
        <f>IF(COUNT(J60:J69)&gt;0,SUM(J60:J69),"")</f>
        <v/>
      </c>
      <c r="K70" s="343" t="str">
        <f>IF(COUNT(K60:K69)&gt;0,SUM(K60:K69),"")</f>
        <v/>
      </c>
      <c r="L70" s="343" t="str">
        <f>IF(COUNT(L60:L69)&gt;0,SUM(L60:L69),"")</f>
        <v/>
      </c>
      <c r="M70" s="343" t="str">
        <f>IF(COUNT(M60:M69)&gt;0,SUM(M60:M69),"")</f>
        <v/>
      </c>
      <c r="N70" s="34"/>
      <c r="O70" s="25"/>
      <c r="R70" s="955"/>
      <c r="S70" s="955"/>
      <c r="AA70" s="186" t="b">
        <f t="shared" si="1"/>
        <v>0</v>
      </c>
    </row>
    <row r="71" spans="2:27" ht="12.75" customHeight="1" thickBot="1" x14ac:dyDescent="0.25">
      <c r="B71" s="224"/>
      <c r="C71" s="224"/>
      <c r="D71" s="224"/>
      <c r="E71" s="224"/>
      <c r="F71" s="224"/>
      <c r="G71" s="224"/>
      <c r="H71" s="224"/>
      <c r="I71" s="224"/>
      <c r="J71" s="224"/>
      <c r="K71" s="224"/>
      <c r="L71" s="224"/>
      <c r="M71" s="34"/>
      <c r="N71" s="34"/>
      <c r="O71" s="25"/>
      <c r="P71" s="955"/>
      <c r="R71" s="955"/>
      <c r="S71" s="955"/>
    </row>
    <row r="72" spans="2:27" ht="5.0999999999999996" customHeight="1" x14ac:dyDescent="0.2">
      <c r="B72" s="224"/>
      <c r="C72" s="973"/>
      <c r="D72" s="974"/>
      <c r="E72" s="974"/>
      <c r="F72" s="974"/>
      <c r="G72" s="974"/>
      <c r="H72" s="974"/>
      <c r="I72" s="974"/>
      <c r="J72" s="974"/>
      <c r="K72" s="974"/>
      <c r="L72" s="974"/>
      <c r="M72" s="975"/>
      <c r="N72" s="976"/>
      <c r="O72" s="25"/>
      <c r="P72" s="955"/>
      <c r="R72" s="955"/>
      <c r="S72" s="955"/>
    </row>
    <row r="73" spans="2:27" ht="15" customHeight="1" x14ac:dyDescent="0.2">
      <c r="B73" s="38"/>
      <c r="C73" s="977"/>
      <c r="D73" s="1697" t="str">
        <f>Translations!$B$709</f>
        <v>Dati, kas vajadzīgi, lai noteiktu līmeņatzīmju uzlabošanas rādītāju saskaņā ar ES ETS direktīvas 10.a panta 2. punktu.</v>
      </c>
      <c r="E73" s="1655"/>
      <c r="F73" s="1655"/>
      <c r="G73" s="1655"/>
      <c r="H73" s="1655"/>
      <c r="I73" s="1655"/>
      <c r="J73" s="1655"/>
      <c r="K73" s="1655"/>
      <c r="L73" s="1655"/>
      <c r="M73" s="1655"/>
      <c r="N73" s="1656"/>
      <c r="O73" s="25"/>
      <c r="R73" s="955"/>
      <c r="S73" s="955"/>
    </row>
    <row r="74" spans="2:27" ht="5.0999999999999996" customHeight="1" x14ac:dyDescent="0.2">
      <c r="B74" s="38"/>
      <c r="C74" s="472"/>
      <c r="D74" s="461"/>
      <c r="E74" s="461"/>
      <c r="F74" s="461"/>
      <c r="G74" s="461"/>
      <c r="H74" s="461"/>
      <c r="I74" s="461"/>
      <c r="J74" s="461"/>
      <c r="K74" s="461"/>
      <c r="L74" s="461"/>
      <c r="M74" s="461"/>
      <c r="N74" s="473"/>
      <c r="O74" s="25"/>
      <c r="R74" s="955"/>
      <c r="S74" s="955"/>
    </row>
    <row r="75" spans="2:27" ht="15" customHeight="1" x14ac:dyDescent="0.2">
      <c r="B75" s="38"/>
      <c r="C75" s="472"/>
      <c r="D75" s="1698" t="str">
        <f>EUconst_BMSubinst &amp; ":"</f>
        <v>Apakšiekārta ar produkta līmeņatzīmi:</v>
      </c>
      <c r="E75" s="1699"/>
      <c r="F75" s="1699"/>
      <c r="G75" s="1699"/>
      <c r="H75" s="1700"/>
      <c r="I75" s="1701" t="str">
        <f>I13</f>
        <v/>
      </c>
      <c r="J75" s="1457"/>
      <c r="K75" s="1457"/>
      <c r="L75" s="1457"/>
      <c r="M75" s="1457"/>
      <c r="N75" s="1702"/>
      <c r="O75" s="25"/>
      <c r="R75" s="955"/>
      <c r="S75" s="955"/>
    </row>
    <row r="76" spans="2:27" ht="5.0999999999999996" customHeight="1" x14ac:dyDescent="0.2">
      <c r="B76" s="38"/>
      <c r="C76" s="472"/>
      <c r="D76" s="461"/>
      <c r="E76" s="461"/>
      <c r="F76" s="461"/>
      <c r="G76" s="461"/>
      <c r="H76" s="461"/>
      <c r="I76" s="461"/>
      <c r="J76" s="461"/>
      <c r="K76" s="461"/>
      <c r="L76" s="461"/>
      <c r="M76" s="461"/>
      <c r="N76" s="473"/>
      <c r="O76" s="25"/>
      <c r="R76" s="955"/>
      <c r="S76" s="955"/>
    </row>
    <row r="77" spans="2:27" ht="30" customHeight="1" x14ac:dyDescent="0.2">
      <c r="B77" s="224"/>
      <c r="C77" s="977"/>
      <c r="D77" s="978"/>
      <c r="E77" s="1670" t="str">
        <f>Translations!$B$710</f>
        <v>Šī apakšsadaļa attiecas uz tādu emisiju attiecināšanu, kas saistītas ar avota plūsmām, emisiju avotiem, izmērāma siltuma un atlikumgāzu importu un eksportu, arī siltuma zudumiem saskaņā ar FAR VII pielikuma 10. iedaļu.</v>
      </c>
      <c r="F77" s="1670"/>
      <c r="G77" s="1670"/>
      <c r="H77" s="1670"/>
      <c r="I77" s="1670"/>
      <c r="J77" s="1670"/>
      <c r="K77" s="1670"/>
      <c r="L77" s="1670"/>
      <c r="M77" s="1670"/>
      <c r="N77" s="698"/>
      <c r="O77" s="25"/>
      <c r="P77" s="955"/>
    </row>
    <row r="78" spans="2:27" ht="30" customHeight="1" x14ac:dyDescent="0.2">
      <c r="B78" s="224"/>
      <c r="C78" s="977"/>
      <c r="D78" s="978"/>
      <c r="E78" s="1670" t="str">
        <f>Translations!$B$711</f>
        <v xml:space="preserve">Ņemiet vērā, ka, lai gan ir sniegti daži norādījumi par katru no nākamajiem punktiem, papildu informācija būtu jāmeklē Norādījumu dokumentā Nr. 5 (“Monitoring and Reporting in relation to the FAR” — “Ar FAR saistītais monitorings un ziņošana”), kurā ietverti arī piemēri. </v>
      </c>
      <c r="F78" s="1670"/>
      <c r="G78" s="1670"/>
      <c r="H78" s="1670"/>
      <c r="I78" s="1670"/>
      <c r="J78" s="1670"/>
      <c r="K78" s="1670"/>
      <c r="L78" s="1670"/>
      <c r="M78" s="1670"/>
      <c r="N78" s="698"/>
      <c r="O78" s="25"/>
      <c r="P78" s="955"/>
    </row>
    <row r="79" spans="2:27" ht="12.75" customHeight="1" x14ac:dyDescent="0.2">
      <c r="B79" s="224"/>
      <c r="C79" s="977"/>
      <c r="D79" s="978"/>
      <c r="E79" s="1670" t="str">
        <f>Translations!$B$712</f>
        <v xml:space="preserve">Šos norādījumus var lejupielādēt šeit: </v>
      </c>
      <c r="F79" s="1268"/>
      <c r="G79" s="1268"/>
      <c r="H79" s="1268"/>
      <c r="I79" s="1268"/>
      <c r="J79" s="1268"/>
      <c r="K79" s="1268"/>
      <c r="L79" s="1268"/>
      <c r="M79" s="1268"/>
      <c r="N79" s="698"/>
      <c r="O79" s="25"/>
      <c r="P79" s="955"/>
    </row>
    <row r="80" spans="2:27" ht="15" customHeight="1" x14ac:dyDescent="0.2">
      <c r="B80" s="224"/>
      <c r="C80" s="977"/>
      <c r="D80" s="978"/>
      <c r="E80" s="1549" t="str">
        <f>Translations!$B$713</f>
        <v>https://ec.europa.eu/clima/policies/ets/allowances_en#tab-0-1</v>
      </c>
      <c r="F80" s="1549"/>
      <c r="G80" s="1549"/>
      <c r="H80" s="1549"/>
      <c r="I80" s="1549"/>
      <c r="J80" s="1549"/>
      <c r="K80" s="1549"/>
      <c r="L80" s="1549"/>
      <c r="M80" s="1549"/>
      <c r="N80" s="698"/>
      <c r="O80" s="25"/>
      <c r="P80" s="955"/>
    </row>
    <row r="81" spans="2:23" ht="5.0999999999999996" customHeight="1" x14ac:dyDescent="0.2">
      <c r="B81" s="38"/>
      <c r="C81" s="472"/>
      <c r="D81" s="461"/>
      <c r="E81" s="461"/>
      <c r="F81" s="461"/>
      <c r="G81" s="461"/>
      <c r="H81" s="461"/>
      <c r="I81" s="461"/>
      <c r="J81" s="461"/>
      <c r="K81" s="461"/>
      <c r="L81" s="461"/>
      <c r="M81" s="461"/>
      <c r="N81" s="473"/>
      <c r="O81" s="25"/>
      <c r="R81" s="955"/>
      <c r="S81" s="955"/>
    </row>
    <row r="82" spans="2:23" ht="15" customHeight="1" x14ac:dyDescent="0.2">
      <c r="B82" s="224"/>
      <c r="C82" s="977"/>
      <c r="D82" s="978"/>
      <c r="E82" s="1693" t="str">
        <f>Translations!$B$714</f>
        <v>Balstoties uz tālāk izdarītajiem ierakstiem, attiecināmās emisijas tiek aprēķinātas kopsavilkuma lapas K III sadaļas 2. punktā.</v>
      </c>
      <c r="F82" s="1693"/>
      <c r="G82" s="1693"/>
      <c r="H82" s="1693"/>
      <c r="I82" s="1693"/>
      <c r="J82" s="1693"/>
      <c r="K82" s="1693"/>
      <c r="L82" s="1693"/>
      <c r="M82" s="1693"/>
      <c r="N82" s="698"/>
      <c r="O82" s="25"/>
      <c r="P82" s="955"/>
    </row>
    <row r="83" spans="2:23" ht="5.0999999999999996" customHeight="1" x14ac:dyDescent="0.2">
      <c r="B83" s="38"/>
      <c r="C83" s="472"/>
      <c r="D83" s="461"/>
      <c r="E83" s="461"/>
      <c r="F83" s="461"/>
      <c r="G83" s="461"/>
      <c r="H83" s="461"/>
      <c r="I83" s="461"/>
      <c r="J83" s="461"/>
      <c r="K83" s="461"/>
      <c r="L83" s="461"/>
      <c r="M83" s="461"/>
      <c r="N83" s="473"/>
      <c r="O83" s="25"/>
      <c r="R83" s="955"/>
      <c r="S83" s="955"/>
    </row>
    <row r="84" spans="2:23" ht="12.75" customHeight="1" x14ac:dyDescent="0.2">
      <c r="B84" s="224"/>
      <c r="C84" s="977"/>
      <c r="D84" s="474" t="s">
        <v>81</v>
      </c>
      <c r="E84" s="1654" t="str">
        <f>Translations!$B$715</f>
        <v>Uz šo apakšiekārtu tieši attiecināmas emisijas (DirEm* (MP avota plūsmas))</v>
      </c>
      <c r="F84" s="1655"/>
      <c r="G84" s="1655"/>
      <c r="H84" s="1655"/>
      <c r="I84" s="1655"/>
      <c r="J84" s="1655"/>
      <c r="K84" s="1655"/>
      <c r="L84" s="1655"/>
      <c r="M84" s="1655"/>
      <c r="N84" s="1656"/>
      <c r="O84" s="25"/>
      <c r="P84" s="955"/>
      <c r="R84" s="955"/>
      <c r="S84" s="955"/>
    </row>
    <row r="85" spans="2:23" ht="12.75" customHeight="1" x14ac:dyDescent="0.2">
      <c r="B85" s="224"/>
      <c r="C85" s="977"/>
      <c r="D85" s="695"/>
      <c r="E85" s="1723" t="str">
        <f>Translations!$B$716</f>
        <v>Šeit sniegtie dati ietekmēs attiecināmās emisijas saskaņā ar FAR VII pielikuma 10.1.1. iedaļu.</v>
      </c>
      <c r="F85" s="1654"/>
      <c r="G85" s="1654"/>
      <c r="H85" s="1654"/>
      <c r="I85" s="1654"/>
      <c r="J85" s="1654"/>
      <c r="K85" s="1654"/>
      <c r="L85" s="1654"/>
      <c r="M85" s="1654"/>
      <c r="N85" s="1724"/>
      <c r="O85" s="25"/>
      <c r="P85" s="955"/>
      <c r="R85" s="955"/>
      <c r="S85" s="955"/>
    </row>
    <row r="86" spans="2:23" ht="12.75" customHeight="1" x14ac:dyDescent="0.2">
      <c r="B86" s="224"/>
      <c r="C86" s="977"/>
      <c r="D86" s="978"/>
      <c r="E86" s="1725" t="str">
        <f>Translations!$B$717</f>
        <v>Šeit ievadiet uz šo apakšiekārtu tieši attiecināmās emisijas (DirEm* (MP avota plūsmas)), ņemot vērā šādus noteikumus.</v>
      </c>
      <c r="F86" s="1725"/>
      <c r="G86" s="1725"/>
      <c r="H86" s="1725"/>
      <c r="I86" s="1725"/>
      <c r="J86" s="1725"/>
      <c r="K86" s="1725"/>
      <c r="L86" s="1725"/>
      <c r="M86" s="1725"/>
      <c r="N86" s="1726"/>
      <c r="O86" s="25"/>
      <c r="P86" s="955"/>
      <c r="R86" s="955"/>
    </row>
    <row r="87" spans="2:23" ht="25.5" customHeight="1" x14ac:dyDescent="0.2">
      <c r="B87" s="224"/>
      <c r="C87" s="977"/>
      <c r="D87" s="978"/>
      <c r="E87" s="672" t="s">
        <v>392</v>
      </c>
      <c r="F87" s="1727" t="str">
        <f>Translations!$B$718</f>
        <v>Tieši attiecināmās emisijas monitorē saskaņā ar monitoringa plānu, kas apstiprināts saskaņā ar MZR, t. i., ņemot vērā emisijas, kas iegūtas ar aprēķinos balstītām metodikām (izmantojot avota plūsmas), mērījumos balstītām metodikām (CEMS), kā arī bezpakāpju pieejām (“rezerves pieejas”).</v>
      </c>
      <c r="G87" s="1728"/>
      <c r="H87" s="1728"/>
      <c r="I87" s="1728"/>
      <c r="J87" s="1728"/>
      <c r="K87" s="1728"/>
      <c r="L87" s="1728"/>
      <c r="M87" s="1728"/>
      <c r="N87" s="1729"/>
      <c r="O87" s="25"/>
      <c r="P87" s="955"/>
      <c r="R87" s="955"/>
    </row>
    <row r="88" spans="2:23" ht="38.25" customHeight="1" x14ac:dyDescent="0.2">
      <c r="B88" s="224"/>
      <c r="C88" s="977"/>
      <c r="D88" s="978"/>
      <c r="E88" s="672"/>
      <c r="F88" s="1730" t="str">
        <f>Translations!$B$719</f>
        <v>Tomēr vairākos gadījumos "tieši attiecināmās emisijas" šajā sadaļā nav identiskas tām, ko ziņo saskaņā ar MZR. Tā ir, piemēram, ja izmērāma siltuma, atlikumgāzu utt. ieguvei izmanto noteiktas avota plūsmas. Citiem vārdiem sakot, lai izvairītos no divkāršas uzskaites vai izlaidumiem, aizpildot tālākās sadaļas, rūpīgi jāievēro norādījumi.</v>
      </c>
      <c r="G88" s="1268"/>
      <c r="H88" s="1268"/>
      <c r="I88" s="1268"/>
      <c r="J88" s="1268"/>
      <c r="K88" s="1268"/>
      <c r="L88" s="1268"/>
      <c r="M88" s="1268"/>
      <c r="N88" s="1731"/>
      <c r="O88" s="25"/>
      <c r="P88" s="955"/>
      <c r="R88" s="955"/>
    </row>
    <row r="89" spans="2:23" ht="12.75" customHeight="1" x14ac:dyDescent="0.2">
      <c r="B89" s="224"/>
      <c r="C89" s="977"/>
      <c r="D89" s="978"/>
      <c r="E89" s="672" t="s">
        <v>392</v>
      </c>
      <c r="F89" s="1727" t="str">
        <f>Translations!$B$720</f>
        <v xml:space="preserve">Izmērāmais siltums: ja siltums tiek ražots tikai vienai apakšiekārtai, emisijas šeit var attiecināt tieši, izmantojot kurināmā emisijas. </v>
      </c>
      <c r="G89" s="1728"/>
      <c r="H89" s="1728"/>
      <c r="I89" s="1728"/>
      <c r="J89" s="1728"/>
      <c r="K89" s="1728"/>
      <c r="L89" s="1728"/>
      <c r="M89" s="1728"/>
      <c r="N89" s="1729"/>
      <c r="O89" s="25"/>
      <c r="P89" s="955"/>
      <c r="R89" s="955"/>
    </row>
    <row r="90" spans="2:23" ht="38.85" customHeight="1" x14ac:dyDescent="0.2">
      <c r="B90" s="224"/>
      <c r="C90" s="977"/>
      <c r="D90" s="978"/>
      <c r="E90" s="672"/>
      <c r="F90" s="1727" t="str">
        <f>Translations!$B$721</f>
        <v>Ja kurināmo izmanto, lai saražotu izmērāmu siltumu, ko par ielaidi izmanto vairāk nekā vienā apakšiekārtā, kurā siltums tiek patērēts (tas attiecas arī uz situācijām, kad siltumu importē no citām iekārtām un eksportē uz citām iekārtām), kurināmais jāiekļauj nevis apakšiekārtas tieši attiecināmajās emisijās, bet gan tālāk k) punktā.</v>
      </c>
      <c r="G90" s="1728"/>
      <c r="H90" s="1728"/>
      <c r="I90" s="1728"/>
      <c r="J90" s="1728"/>
      <c r="K90" s="1728"/>
      <c r="L90" s="1728"/>
      <c r="M90" s="1728"/>
      <c r="N90" s="1729"/>
      <c r="O90" s="25"/>
      <c r="P90" s="955"/>
      <c r="R90" s="955"/>
    </row>
    <row r="91" spans="2:23" ht="25.5" customHeight="1" x14ac:dyDescent="0.2">
      <c r="B91" s="224"/>
      <c r="C91" s="977"/>
      <c r="D91" s="978"/>
      <c r="E91" s="672"/>
      <c r="F91" s="1727" t="str">
        <f>Translations!$B$722</f>
        <v>Ielaide ietver izmērāmu siltumu no lokāla bloka (piem., iekārtas elektrocentrāles vai sarežģītāka tvaika tīkla ar vairākiem siltumblokiem), kas nodrošina siltumu vairāk nekā vienai apakšiekārtai. Arī tādā gadījumā emisijas ir attiecināmas nevis šeit, bet k) punkta i. apakšpunktā.</v>
      </c>
      <c r="G91" s="1728"/>
      <c r="H91" s="1728"/>
      <c r="I91" s="1728"/>
      <c r="J91" s="1728"/>
      <c r="K91" s="1728"/>
      <c r="L91" s="1728"/>
      <c r="M91" s="1728"/>
      <c r="N91" s="1729"/>
      <c r="O91" s="25"/>
      <c r="P91" s="955"/>
      <c r="R91" s="955"/>
    </row>
    <row r="92" spans="2:23" ht="25.5" customHeight="1" x14ac:dyDescent="0.2">
      <c r="B92" s="224"/>
      <c r="C92" s="977"/>
      <c r="D92" s="978"/>
      <c r="E92" s="672" t="s">
        <v>392</v>
      </c>
      <c r="F92" s="1727" t="str">
        <f>Translations!$B$723</f>
        <v>Eksportētais izmērāmais siltums: ja šādu siltumu atgūst no procesa un eksportē, korekcijas šeit neveic. Atskaitījumu par saistītajām emisijām izdara, balstoties uz ierakstiem k) punkta v. apakšpunktā.</v>
      </c>
      <c r="G92" s="1728"/>
      <c r="H92" s="1728"/>
      <c r="I92" s="1728"/>
      <c r="J92" s="1728"/>
      <c r="K92" s="1728"/>
      <c r="L92" s="1728"/>
      <c r="M92" s="1728"/>
      <c r="N92" s="1729"/>
      <c r="O92" s="25"/>
      <c r="P92" s="955"/>
      <c r="R92" s="955"/>
    </row>
    <row r="93" spans="2:23" ht="25.5" customHeight="1" thickBot="1" x14ac:dyDescent="0.25">
      <c r="B93" s="224"/>
      <c r="C93" s="977"/>
      <c r="D93" s="978"/>
      <c r="E93" s="672" t="s">
        <v>392</v>
      </c>
      <c r="F93" s="1727" t="str">
        <f>Translations!$B$724</f>
        <v>Atlikumgāzes: emisijas no atlikumgāzēm, kas IMPORTĒTAS no citām iekārtām vai apakšiekārtām un patērētas šajā apakšiekārtā, norāda nevis šeit, bet gan l) punktā.</v>
      </c>
      <c r="G93" s="1728"/>
      <c r="H93" s="1728"/>
      <c r="I93" s="1728"/>
      <c r="J93" s="1728"/>
      <c r="K93" s="1728"/>
      <c r="L93" s="1728"/>
      <c r="M93" s="1728"/>
      <c r="N93" s="1729"/>
      <c r="O93" s="25"/>
      <c r="P93" s="955"/>
      <c r="R93" s="955"/>
    </row>
    <row r="94" spans="2:23" ht="12.75" customHeight="1" x14ac:dyDescent="0.2">
      <c r="B94" s="224"/>
      <c r="C94" s="977"/>
      <c r="D94" s="474"/>
      <c r="E94" s="1653" t="str">
        <f>Translations!$B$725</f>
        <v>Tieši attiecināmās emisijas (DirEm*)</v>
      </c>
      <c r="F94" s="1657"/>
      <c r="G94" s="1657"/>
      <c r="H94" s="462" t="str">
        <f>EUconst_Unit</f>
        <v>Vienība</v>
      </c>
      <c r="I94" s="463">
        <f>I$1820</f>
        <v>2019</v>
      </c>
      <c r="J94" s="463">
        <f>J$1820</f>
        <v>2020</v>
      </c>
      <c r="K94" s="463">
        <f>K$1820</f>
        <v>2021</v>
      </c>
      <c r="L94" s="463">
        <f>L$1820</f>
        <v>2022</v>
      </c>
      <c r="M94" s="463">
        <f>M$1820</f>
        <v>2023</v>
      </c>
      <c r="N94" s="661"/>
      <c r="O94" s="25"/>
      <c r="P94" s="955"/>
      <c r="R94" s="970"/>
      <c r="S94" s="809">
        <f>I94</f>
        <v>2019</v>
      </c>
      <c r="T94" s="809">
        <f>J94</f>
        <v>2020</v>
      </c>
      <c r="U94" s="809">
        <f>K94</f>
        <v>2021</v>
      </c>
      <c r="V94" s="809">
        <f>L94</f>
        <v>2022</v>
      </c>
      <c r="W94" s="810">
        <f>M94</f>
        <v>2023</v>
      </c>
    </row>
    <row r="95" spans="2:23" ht="12.75" customHeight="1" thickBot="1" x14ac:dyDescent="0.25">
      <c r="B95" s="224"/>
      <c r="C95" s="977"/>
      <c r="D95" s="978"/>
      <c r="E95" s="1689" t="str">
        <f>I13</f>
        <v/>
      </c>
      <c r="F95" s="1689"/>
      <c r="G95" s="1689"/>
      <c r="H95" s="464" t="str">
        <f>EUconst_tCO2epa</f>
        <v>t CO2e/gads</v>
      </c>
      <c r="I95" s="330"/>
      <c r="J95" s="330"/>
      <c r="K95" s="330"/>
      <c r="L95" s="330"/>
      <c r="M95" s="330"/>
      <c r="N95" s="661"/>
      <c r="O95" s="25"/>
      <c r="P95" s="979" t="str">
        <f>EUconst_CNTR_Emissions &amp; I13</f>
        <v>DirEmissions_</v>
      </c>
      <c r="R95" s="971" t="str">
        <f>EUconst_CNTR_AttributedEmissions &amp; I13</f>
        <v>AttrEmissions_</v>
      </c>
      <c r="S95" s="137" t="str">
        <f>IF(S13,SUM(I95),"")</f>
        <v/>
      </c>
      <c r="T95" s="137" t="str">
        <f>IF(T13,SUM(J95),"")</f>
        <v/>
      </c>
      <c r="U95" s="137" t="str">
        <f>IF(U13,SUM(K95),"")</f>
        <v/>
      </c>
      <c r="V95" s="137" t="str">
        <f>IF(V13,SUM(L95),"")</f>
        <v/>
      </c>
      <c r="W95" s="138" t="str">
        <f>IF(W13,SUM(M95),"")</f>
        <v/>
      </c>
    </row>
    <row r="96" spans="2:23" ht="12.75" customHeight="1" x14ac:dyDescent="0.2">
      <c r="B96" s="224"/>
      <c r="C96" s="977"/>
      <c r="D96" s="978"/>
      <c r="E96" s="978"/>
      <c r="F96" s="978"/>
      <c r="G96" s="978"/>
      <c r="H96" s="978"/>
      <c r="I96" s="978"/>
      <c r="J96" s="978"/>
      <c r="K96" s="978"/>
      <c r="L96" s="978"/>
      <c r="M96" s="980"/>
      <c r="N96" s="661"/>
      <c r="O96" s="25"/>
      <c r="P96" s="955"/>
      <c r="R96" s="955"/>
    </row>
    <row r="97" spans="2:19" ht="12.75" customHeight="1" x14ac:dyDescent="0.2">
      <c r="B97" s="224"/>
      <c r="C97" s="977"/>
      <c r="D97" s="474" t="s">
        <v>82</v>
      </c>
      <c r="E97" s="1663" t="str">
        <f>Translations!$B$1670</f>
        <v>Enerģijas ielaide šajā apakšiekārtā un relevantais emisijas faktors</v>
      </c>
      <c r="F97" s="1663"/>
      <c r="G97" s="1663"/>
      <c r="H97" s="1663"/>
      <c r="I97" s="1663"/>
      <c r="J97" s="1663"/>
      <c r="K97" s="1663"/>
      <c r="L97" s="1663"/>
      <c r="M97" s="1663"/>
      <c r="N97" s="1690"/>
      <c r="O97" s="25"/>
      <c r="P97" s="955"/>
      <c r="Q97" s="955"/>
      <c r="R97" s="955"/>
    </row>
    <row r="98" spans="2:19" ht="38.25" customHeight="1" x14ac:dyDescent="0.2">
      <c r="B98" s="224"/>
      <c r="C98" s="977"/>
      <c r="D98" s="978"/>
      <c r="E98" s="1727" t="str">
        <f>Translations!$B$1671</f>
        <v>Kā nosaka FAR IV pielikuma 2.4. iedaļas a) punkts, norādiet apakšiekārtas kopējo enerģijas ielaidi no kurināmā, materiāliem un siltuma no elektroenerģijas šajā apakšiekārtā un attiecīgo svērto emisijas faktoru, ņemot vērā katra tāda kurināmā enerģijas saturu, kas ir iekļauts g) punkta rādītājā, un piemērojot tās pašas sistēmas robežas, ko g) punktā.</v>
      </c>
      <c r="F98" s="1655"/>
      <c r="G98" s="1655"/>
      <c r="H98" s="1655"/>
      <c r="I98" s="1655"/>
      <c r="J98" s="1655"/>
      <c r="K98" s="1655"/>
      <c r="L98" s="1655"/>
      <c r="M98" s="1655"/>
      <c r="N98" s="1656"/>
      <c r="O98" s="25"/>
      <c r="P98" s="955"/>
      <c r="Q98" s="955"/>
      <c r="R98" s="955"/>
    </row>
    <row r="99" spans="2:19" ht="25.5" customHeight="1" x14ac:dyDescent="0.2">
      <c r="B99" s="224"/>
      <c r="C99" s="977"/>
      <c r="D99" s="978"/>
      <c r="E99" s="1727" t="str">
        <f>Translations!$B$728</f>
        <v>Jēdziens “kurināmais” apzīmē jebkuru avota plūsmu saskaņā ar MZR, kas ir sadedzināma un kam var noteikt zemāko siltumspēju. Svērto emisijas faktoru nosaka, kurināmo kumulatīvās emisijas dalot ar kopējo enerģētisko saturu.</v>
      </c>
      <c r="F99" s="1655"/>
      <c r="G99" s="1655"/>
      <c r="H99" s="1655"/>
      <c r="I99" s="1655"/>
      <c r="J99" s="1655"/>
      <c r="K99" s="1655"/>
      <c r="L99" s="1655"/>
      <c r="M99" s="1655"/>
      <c r="N99" s="1656"/>
      <c r="O99" s="25"/>
      <c r="P99" s="955"/>
      <c r="R99" s="955"/>
    </row>
    <row r="100" spans="2:19" ht="12.75" customHeight="1" x14ac:dyDescent="0.2">
      <c r="B100" s="224"/>
      <c r="C100" s="977"/>
      <c r="D100" s="978"/>
      <c r="E100" s="1727" t="str">
        <f>Translations!$B$729</f>
        <v>Turklāt svērtajam emisijas faktoram attiecīgā gadījumā būtu jāietver arī emisijas no attiecīgo dūmgāzu attīrīšanas.</v>
      </c>
      <c r="F100" s="1655"/>
      <c r="G100" s="1655"/>
      <c r="H100" s="1655"/>
      <c r="I100" s="1655"/>
      <c r="J100" s="1655"/>
      <c r="K100" s="1655"/>
      <c r="L100" s="1655"/>
      <c r="M100" s="1655"/>
      <c r="N100" s="1656"/>
      <c r="O100" s="25"/>
      <c r="P100" s="955"/>
      <c r="R100" s="955"/>
    </row>
    <row r="101" spans="2:19" ht="12.75" customHeight="1" x14ac:dyDescent="0.2">
      <c r="B101" s="224"/>
      <c r="C101" s="977"/>
      <c r="D101" s="978"/>
      <c r="E101" s="1723" t="str">
        <f>Translations!$B$730</f>
        <v>Šeit sniegtie dati tiek izmantoti tikai konsekvences pārbaudei, un tiem nav tiešas ietekmes ne uz attiecināmajām emisijām, ne iedales apjomu.</v>
      </c>
      <c r="F101" s="1654"/>
      <c r="G101" s="1654"/>
      <c r="H101" s="1654"/>
      <c r="I101" s="1654"/>
      <c r="J101" s="1654"/>
      <c r="K101" s="1654"/>
      <c r="L101" s="1654"/>
      <c r="M101" s="1654"/>
      <c r="N101" s="1724"/>
      <c r="O101" s="25"/>
      <c r="P101" s="955"/>
      <c r="R101" s="955"/>
    </row>
    <row r="102" spans="2:19" ht="12.75" customHeight="1" x14ac:dyDescent="0.2">
      <c r="B102" s="224"/>
      <c r="C102" s="977"/>
      <c r="D102" s="474"/>
      <c r="E102" s="1653"/>
      <c r="F102" s="1657"/>
      <c r="G102" s="1657"/>
      <c r="H102" s="462" t="str">
        <f>EUconst_Unit</f>
        <v>Vienība</v>
      </c>
      <c r="I102" s="463">
        <f>I$1820</f>
        <v>2019</v>
      </c>
      <c r="J102" s="463">
        <f>J$1820</f>
        <v>2020</v>
      </c>
      <c r="K102" s="463">
        <f>K$1820</f>
        <v>2021</v>
      </c>
      <c r="L102" s="463">
        <f>L$1820</f>
        <v>2022</v>
      </c>
      <c r="M102" s="463">
        <f>M$1820</f>
        <v>2023</v>
      </c>
      <c r="N102" s="661"/>
      <c r="O102" s="25"/>
      <c r="P102" s="955"/>
      <c r="R102" s="955"/>
    </row>
    <row r="103" spans="2:19" ht="12.75" customHeight="1" x14ac:dyDescent="0.2">
      <c r="B103" s="224"/>
      <c r="C103" s="977"/>
      <c r="D103" s="695" t="s">
        <v>2</v>
      </c>
      <c r="E103" s="1651" t="str">
        <f>Translations!$B$1672</f>
        <v>Enerģijas ielaide</v>
      </c>
      <c r="F103" s="1652"/>
      <c r="G103" s="1652"/>
      <c r="H103" s="465" t="str">
        <f>EUconst_TJpa</f>
        <v>TJ / gads</v>
      </c>
      <c r="I103" s="330"/>
      <c r="J103" s="330"/>
      <c r="K103" s="330"/>
      <c r="L103" s="330"/>
      <c r="M103" s="330"/>
      <c r="N103" s="698"/>
      <c r="O103" s="25"/>
      <c r="P103" s="979" t="str">
        <f>EUconst_CNTR_FuelInput &amp; I13</f>
        <v>FuelInput_</v>
      </c>
      <c r="R103" s="955"/>
    </row>
    <row r="104" spans="2:19" ht="12.75" customHeight="1" x14ac:dyDescent="0.2">
      <c r="B104" s="224"/>
      <c r="C104" s="977"/>
      <c r="D104" s="695" t="s">
        <v>3</v>
      </c>
      <c r="E104" s="1709" t="str">
        <f>Translations!$B$732</f>
        <v>Svērtais emisijas faktors</v>
      </c>
      <c r="F104" s="1710"/>
      <c r="G104" s="1710"/>
      <c r="H104" s="577" t="str">
        <f>EUconst_tCO2pTJ</f>
        <v>t CO2 / TJ</v>
      </c>
      <c r="I104" s="338"/>
      <c r="J104" s="338"/>
      <c r="K104" s="338"/>
      <c r="L104" s="338"/>
      <c r="M104" s="338"/>
      <c r="N104" s="661"/>
      <c r="O104" s="25"/>
      <c r="P104" s="979" t="str">
        <f>EUconst_CNTR_FuelEF &amp; I13</f>
        <v>FuelEF_</v>
      </c>
      <c r="R104" s="955"/>
    </row>
    <row r="105" spans="2:19" ht="12.75" customHeight="1" x14ac:dyDescent="0.2">
      <c r="B105" s="224"/>
      <c r="C105" s="977"/>
      <c r="D105" s="978"/>
      <c r="E105" s="978"/>
      <c r="F105" s="978"/>
      <c r="G105" s="978"/>
      <c r="H105" s="978"/>
      <c r="I105" s="978"/>
      <c r="J105" s="978"/>
      <c r="K105" s="978"/>
      <c r="L105" s="978"/>
      <c r="M105" s="980"/>
      <c r="N105" s="661"/>
      <c r="O105" s="25"/>
      <c r="P105" s="955"/>
      <c r="R105" s="955"/>
    </row>
    <row r="106" spans="2:19" ht="12.75" customHeight="1" x14ac:dyDescent="0.2">
      <c r="B106" s="224"/>
      <c r="C106" s="977"/>
      <c r="D106" s="474" t="s">
        <v>83</v>
      </c>
      <c r="E106" s="1663" t="str">
        <f>Translations!$B$733</f>
        <v>Citas iekšējās avota plūsmas, kas importētas uz šo apakšiekārtu vai eksportētas no tās</v>
      </c>
      <c r="F106" s="1663"/>
      <c r="G106" s="1663"/>
      <c r="H106" s="1663"/>
      <c r="I106" s="1663"/>
      <c r="J106" s="1663"/>
      <c r="K106" s="1663"/>
      <c r="L106" s="1663"/>
      <c r="M106" s="1663"/>
      <c r="N106" s="1690"/>
      <c r="O106" s="25"/>
      <c r="P106" s="955"/>
      <c r="Q106" s="955"/>
      <c r="R106" s="955"/>
    </row>
    <row r="107" spans="2:19" ht="12.75" customHeight="1" x14ac:dyDescent="0.2">
      <c r="B107" s="224"/>
      <c r="C107" s="977"/>
      <c r="D107" s="695"/>
      <c r="E107" s="1723" t="str">
        <f>Translations!$B$716</f>
        <v>Šeit sniegtie dati ietekmēs attiecināmās emisijas saskaņā ar FAR VII pielikuma 10.1.1. iedaļu.</v>
      </c>
      <c r="F107" s="1654"/>
      <c r="G107" s="1654"/>
      <c r="H107" s="1654"/>
      <c r="I107" s="1654"/>
      <c r="J107" s="1654"/>
      <c r="K107" s="1654"/>
      <c r="L107" s="1654"/>
      <c r="M107" s="1654"/>
      <c r="N107" s="1724"/>
      <c r="O107" s="25"/>
      <c r="P107" s="955"/>
      <c r="R107" s="955"/>
      <c r="S107" s="955"/>
    </row>
    <row r="108" spans="2:19" ht="25.5" customHeight="1" x14ac:dyDescent="0.2">
      <c r="B108" s="224"/>
      <c r="C108" s="977"/>
      <c r="D108" s="978"/>
      <c r="E108" s="1723" t="str">
        <f>Translations!$B$734</f>
        <v>Ņemiet vērā, ka, lai izvairītos no datu iztrūkumiem vai divkāršas uzskaites, avota plūsmas šeit jānorāda tikai tad, ja tās jau nav ietvertas tiešajās emisijās g) punktā. Ar atlikumgāzēm saistītās emisijas jānorāda nevis šeit, bet gan l) punktā.</v>
      </c>
      <c r="F108" s="1654"/>
      <c r="G108" s="1654"/>
      <c r="H108" s="1654"/>
      <c r="I108" s="1654"/>
      <c r="J108" s="1654"/>
      <c r="K108" s="1654"/>
      <c r="L108" s="1654"/>
      <c r="M108" s="1654"/>
      <c r="N108" s="1724"/>
      <c r="O108" s="25"/>
      <c r="P108" s="955"/>
      <c r="Q108" s="955"/>
      <c r="R108" s="955"/>
    </row>
    <row r="109" spans="2:19" ht="12.75" customHeight="1" x14ac:dyDescent="0.2">
      <c r="B109" s="224"/>
      <c r="C109" s="977"/>
      <c r="D109" s="978"/>
      <c r="E109" s="1727" t="str">
        <f>Translations!$B$735</f>
        <v>Šeit norādiet informāciju par tā dēvētajām iekšējām avota plūsmām, kas tiek pārvadītas starp apakšiekārtām, t. i., kas importētas šajā apakšiekārtā vai no tās eksportētas.</v>
      </c>
      <c r="F109" s="1655"/>
      <c r="G109" s="1655"/>
      <c r="H109" s="1655"/>
      <c r="I109" s="1655"/>
      <c r="J109" s="1655"/>
      <c r="K109" s="1655"/>
      <c r="L109" s="1655"/>
      <c r="M109" s="1655"/>
      <c r="N109" s="1656"/>
      <c r="O109" s="25"/>
      <c r="P109" s="955"/>
      <c r="Q109" s="955"/>
      <c r="R109" s="955"/>
    </row>
    <row r="110" spans="2:19" ht="38.85" customHeight="1" x14ac:dyDescent="0.2">
      <c r="B110" s="224"/>
      <c r="C110" s="977"/>
      <c r="D110" s="978"/>
      <c r="E110" s="1727" t="str">
        <f>Translations!$B$736</f>
        <v>Piemēram, ja šī ir integrētas dzelzs un tērauda stacijas koksa apakšiekārta, ar koksa patēriņu saistītās emisijas rodas domnā un nav ieskaitāmas šajā (proti, koksa) apakšiekārtā. Tomēr daļa no emisijām iekļaujama g) punktā, jo koksa krāsnī padotās ogles ir viena no avota plūsmām, kas uz to attiecināma pirmajā solī.</v>
      </c>
      <c r="F110" s="1655"/>
      <c r="G110" s="1655"/>
      <c r="H110" s="1655"/>
      <c r="I110" s="1655"/>
      <c r="J110" s="1655"/>
      <c r="K110" s="1655"/>
      <c r="L110" s="1655"/>
      <c r="M110" s="1655"/>
      <c r="N110" s="1656"/>
      <c r="O110" s="25"/>
      <c r="P110" s="955"/>
      <c r="R110" s="955"/>
    </row>
    <row r="111" spans="2:19" ht="51" customHeight="1" x14ac:dyDescent="0.2">
      <c r="B111" s="224"/>
      <c r="C111" s="977"/>
      <c r="D111" s="978"/>
      <c r="E111" s="1727" t="str">
        <f>Translations!$B$737</f>
        <v>Lai izvairīto no divkāršas uzskaites, jāizdara korekcija attiecībā uz koksu, kas atstāj koksa apakšiekārtu, kā ārupēju “iekšējo avota plūsmu”. To dara, “eksporta” gadījumā norādot negatīvu koksa daudzuma vērtību. Lai iegūtu pilnīgu to ogļu emisiju bilanci, kas tiek padotas koksa apakšiekārtā, ar koksa gāzes (=atlikumgāzes) izmantošanu saistītās emisijas jau ir iekļautas g) punktā (iekļautas ogļu emisijās) tādā mērā, kādā gāze tiek izmantota šajā apakšiekārtā. Korekcijas, ar kurām ņem vērā eksportētos atlikumgāzes daudzumus, izdara nevis šeit, bet gan l) punkta xx. apakšpunktā.</v>
      </c>
      <c r="F111" s="1655"/>
      <c r="G111" s="1655"/>
      <c r="H111" s="1655"/>
      <c r="I111" s="1655"/>
      <c r="J111" s="1655"/>
      <c r="K111" s="1655"/>
      <c r="L111" s="1655"/>
      <c r="M111" s="1655"/>
      <c r="N111" s="1656"/>
      <c r="O111" s="25"/>
      <c r="P111" s="955"/>
      <c r="R111" s="955"/>
    </row>
    <row r="112" spans="2:19" ht="25.5" customHeight="1" thickBot="1" x14ac:dyDescent="0.25">
      <c r="B112" s="224"/>
      <c r="C112" s="977"/>
      <c r="D112" s="978"/>
      <c r="E112" s="1727" t="str">
        <f>Translations!$B$738</f>
        <v>Savukārt, ja tā ir integrētas dzelzs un tērauda stacijas karstā metāla līmeņatzīmes apakšiekārta, kokss te jānorāda kā ienākoša/importēta “iekšēja” avota plūsma un daudzumi jānorāda pozitīvi.</v>
      </c>
      <c r="F112" s="1655"/>
      <c r="G112" s="1655"/>
      <c r="H112" s="1655"/>
      <c r="I112" s="1655"/>
      <c r="J112" s="1655"/>
      <c r="K112" s="1655"/>
      <c r="L112" s="1655"/>
      <c r="M112" s="1655"/>
      <c r="N112" s="1656"/>
      <c r="O112" s="25"/>
      <c r="P112" s="955"/>
      <c r="R112" s="955"/>
    </row>
    <row r="113" spans="2:27" ht="12.75" customHeight="1" thickBot="1" x14ac:dyDescent="0.25">
      <c r="B113" s="224"/>
      <c r="C113" s="977"/>
      <c r="D113" s="695" t="s">
        <v>2</v>
      </c>
      <c r="E113" s="1732" t="str">
        <f>Translations!$B$739</f>
        <v>Vai šai apakšiekārtai ir relevantas vēl citas importētas vai eksportētas iekšējās avota plūsmas?</v>
      </c>
      <c r="F113" s="1732"/>
      <c r="G113" s="1732"/>
      <c r="H113" s="1732"/>
      <c r="I113" s="1732"/>
      <c r="J113" s="1732"/>
      <c r="K113" s="1733"/>
      <c r="L113" s="527"/>
      <c r="M113" s="1202"/>
      <c r="N113" s="1203"/>
      <c r="O113" s="25"/>
      <c r="P113" s="955"/>
      <c r="R113" s="955"/>
      <c r="W113" s="966" t="s">
        <v>398</v>
      </c>
      <c r="X113" s="964" t="b">
        <f>IF(AND(I13&lt;&gt;"",ISBLANK(L113)),EUconst_Error&amp;"BM"&amp;C13,FALSE)</f>
        <v>0</v>
      </c>
    </row>
    <row r="114" spans="2:27" ht="12.75" customHeight="1" thickBot="1" x14ac:dyDescent="0.25">
      <c r="B114" s="224"/>
      <c r="C114" s="977"/>
      <c r="D114" s="978"/>
      <c r="E114" s="1727" t="str">
        <f>Translations!$B$740</f>
        <v>Ja importētas vai eksportētas tiek vairāk nekā divas avota plūsmas, vairākas avota plūsmas būtu jāsagrupē kopā un jānorāda to attiecīgie nosaukumi.</v>
      </c>
      <c r="F114" s="1655"/>
      <c r="G114" s="1655"/>
      <c r="H114" s="1655"/>
      <c r="I114" s="1655"/>
      <c r="J114" s="1655"/>
      <c r="K114" s="1655"/>
      <c r="L114" s="1655"/>
      <c r="M114" s="1655"/>
      <c r="N114" s="1656"/>
      <c r="O114" s="25"/>
      <c r="P114" s="955"/>
      <c r="R114" s="955"/>
      <c r="AA114" s="437" t="s">
        <v>262</v>
      </c>
    </row>
    <row r="115" spans="2:27" ht="12.75" customHeight="1" x14ac:dyDescent="0.2">
      <c r="B115" s="224"/>
      <c r="C115" s="977"/>
      <c r="D115" s="695" t="s">
        <v>3</v>
      </c>
      <c r="E115" s="1663" t="str">
        <f>Translations!$B$741</f>
        <v>Citu avota plūsmu nosaukums, 1:</v>
      </c>
      <c r="F115" s="1663"/>
      <c r="G115" s="1663"/>
      <c r="H115" s="1663"/>
      <c r="I115" s="1664"/>
      <c r="J115" s="1665"/>
      <c r="K115" s="1665"/>
      <c r="L115" s="1665"/>
      <c r="M115" s="1666"/>
      <c r="N115" s="660"/>
      <c r="O115" s="25"/>
      <c r="P115" s="955"/>
      <c r="R115" s="955"/>
      <c r="AA115" s="643" t="b">
        <f>IF(I13&lt;&gt;"",AND(L113&lt;&gt;"",L113=FALSE),FALSE)</f>
        <v>0</v>
      </c>
    </row>
    <row r="116" spans="2:27" ht="5.0999999999999996" customHeight="1" x14ac:dyDescent="0.2">
      <c r="B116" s="224"/>
      <c r="C116" s="977"/>
      <c r="D116" s="978"/>
      <c r="E116" s="1204"/>
      <c r="F116" s="1202"/>
      <c r="G116" s="1202"/>
      <c r="H116" s="1202"/>
      <c r="I116" s="1202"/>
      <c r="J116" s="1202"/>
      <c r="K116" s="1202"/>
      <c r="L116" s="1202"/>
      <c r="M116" s="1202"/>
      <c r="N116" s="1203"/>
      <c r="O116" s="25"/>
      <c r="P116" s="955"/>
      <c r="R116" s="955"/>
      <c r="AA116" s="607"/>
    </row>
    <row r="117" spans="2:27" ht="12.75" customHeight="1" x14ac:dyDescent="0.2">
      <c r="B117" s="224"/>
      <c r="C117" s="977"/>
      <c r="D117" s="978"/>
      <c r="E117" s="1653" t="str">
        <f>Translations!$B$742</f>
        <v>Citas avota plūsmas, 1:</v>
      </c>
      <c r="F117" s="1657"/>
      <c r="G117" s="1657"/>
      <c r="H117" s="462" t="str">
        <f>EUconst_Unit</f>
        <v>Vienība</v>
      </c>
      <c r="I117" s="463">
        <f>I$1820</f>
        <v>2019</v>
      </c>
      <c r="J117" s="463">
        <f>J$1820</f>
        <v>2020</v>
      </c>
      <c r="K117" s="463">
        <f>K$1820</f>
        <v>2021</v>
      </c>
      <c r="L117" s="463">
        <f>L$1820</f>
        <v>2022</v>
      </c>
      <c r="M117" s="463">
        <f>M$1820</f>
        <v>2023</v>
      </c>
      <c r="N117" s="661"/>
      <c r="O117" s="25"/>
      <c r="P117" s="955"/>
      <c r="R117" s="955"/>
      <c r="AA117" s="607"/>
    </row>
    <row r="118" spans="2:27" ht="12.75" customHeight="1" x14ac:dyDescent="0.2">
      <c r="B118" s="224"/>
      <c r="C118" s="977"/>
      <c r="D118" s="695" t="s">
        <v>4</v>
      </c>
      <c r="E118" s="1667" t="str">
        <f>Translations!$B$743</f>
        <v>Importētais vai eksportētais daudzums</v>
      </c>
      <c r="F118" s="1660"/>
      <c r="G118" s="1660"/>
      <c r="H118" s="466" t="str">
        <f>EUconst_tpa</f>
        <v>t / gads</v>
      </c>
      <c r="I118" s="348"/>
      <c r="J118" s="348"/>
      <c r="K118" s="348"/>
      <c r="L118" s="348"/>
      <c r="M118" s="348"/>
      <c r="N118" s="661"/>
      <c r="O118" s="25"/>
      <c r="P118" s="955"/>
      <c r="R118" s="955"/>
      <c r="AA118" s="361" t="b">
        <f>AA115</f>
        <v>0</v>
      </c>
    </row>
    <row r="119" spans="2:27" ht="12.75" customHeight="1" x14ac:dyDescent="0.2">
      <c r="B119" s="224"/>
      <c r="C119" s="977"/>
      <c r="D119" s="695" t="s">
        <v>6</v>
      </c>
      <c r="E119" s="1658" t="str">
        <f>Translations!$B$744</f>
        <v>Zemākā siltumspēja (attiecīgā gadījumā)</v>
      </c>
      <c r="F119" s="1658"/>
      <c r="G119" s="1658"/>
      <c r="H119" s="551" t="str">
        <f>EUconst_GJpt</f>
        <v>GJ / t</v>
      </c>
      <c r="I119" s="347"/>
      <c r="J119" s="347"/>
      <c r="K119" s="347"/>
      <c r="L119" s="347"/>
      <c r="M119" s="347"/>
      <c r="N119" s="661"/>
      <c r="O119" s="25"/>
      <c r="P119" s="955"/>
      <c r="R119" s="955"/>
      <c r="AA119" s="361" t="b">
        <f>AA118</f>
        <v>0</v>
      </c>
    </row>
    <row r="120" spans="2:27" ht="12.75" customHeight="1" thickBot="1" x14ac:dyDescent="0.25">
      <c r="B120" s="224"/>
      <c r="C120" s="977"/>
      <c r="D120" s="695" t="s">
        <v>303</v>
      </c>
      <c r="E120" s="1658" t="str">
        <f>Translations!$B$745</f>
        <v>Oglekļa saturs (masas %)</v>
      </c>
      <c r="F120" s="1658"/>
      <c r="G120" s="1658"/>
      <c r="H120" s="552" t="s">
        <v>341</v>
      </c>
      <c r="I120" s="347"/>
      <c r="J120" s="347"/>
      <c r="K120" s="347"/>
      <c r="L120" s="347"/>
      <c r="M120" s="347"/>
      <c r="N120" s="661"/>
      <c r="O120" s="25"/>
      <c r="P120" s="955"/>
      <c r="R120" s="955"/>
      <c r="AA120" s="361" t="b">
        <f>AA119</f>
        <v>0</v>
      </c>
    </row>
    <row r="121" spans="2:27" ht="12.75" customHeight="1" x14ac:dyDescent="0.2">
      <c r="B121" s="224"/>
      <c r="C121" s="977"/>
      <c r="D121" s="695" t="s">
        <v>304</v>
      </c>
      <c r="E121" s="1659" t="str">
        <f>Translations!$B$746</f>
        <v>Biomasas saturs (kā oglekļa frakcija)</v>
      </c>
      <c r="F121" s="1659"/>
      <c r="G121" s="1659"/>
      <c r="H121" s="485" t="s">
        <v>341</v>
      </c>
      <c r="I121" s="345"/>
      <c r="J121" s="345"/>
      <c r="K121" s="345"/>
      <c r="L121" s="345"/>
      <c r="M121" s="345"/>
      <c r="N121" s="661"/>
      <c r="O121" s="25"/>
      <c r="P121" s="955"/>
      <c r="R121" s="970"/>
      <c r="S121" s="809">
        <f>I117</f>
        <v>2019</v>
      </c>
      <c r="T121" s="809">
        <f>J117</f>
        <v>2020</v>
      </c>
      <c r="U121" s="809">
        <f>K117</f>
        <v>2021</v>
      </c>
      <c r="V121" s="809">
        <f>L117</f>
        <v>2022</v>
      </c>
      <c r="W121" s="810">
        <f>M117</f>
        <v>2023</v>
      </c>
      <c r="AA121" s="361" t="b">
        <f>AA120</f>
        <v>0</v>
      </c>
    </row>
    <row r="122" spans="2:27" ht="12.75" customHeight="1" thickBot="1" x14ac:dyDescent="0.25">
      <c r="B122" s="224"/>
      <c r="C122" s="977"/>
      <c r="D122" s="695" t="s">
        <v>305</v>
      </c>
      <c r="E122" s="1660" t="str">
        <f>Translations!$B$747</f>
        <v>Emisijas (no fosilajiem avotiem, aprēķinātās)</v>
      </c>
      <c r="F122" s="1660"/>
      <c r="G122" s="1660"/>
      <c r="H122" s="553" t="str">
        <f>EUconst_tCO2pa</f>
        <v>t CO2 / gads</v>
      </c>
      <c r="I122" s="341" t="str">
        <f>IF(AND(COUNT(I118:I121)&gt;0,I125=""),3.664*I118*(I120/100)*(1-I121/100),"")</f>
        <v/>
      </c>
      <c r="J122" s="341" t="str">
        <f>IF(AND(COUNT(J118:J121)&gt;0,J125=""),3.664*J118*(J120/100)*(1-J121/100),"")</f>
        <v/>
      </c>
      <c r="K122" s="341" t="str">
        <f>IF(AND(COUNT(K118:K121)&gt;0,K125=""),3.664*K118*(K120/100)*(1-K121/100),"")</f>
        <v/>
      </c>
      <c r="L122" s="341" t="str">
        <f>IF(AND(COUNT(L118:L121)&gt;0,L125=""),3.664*L118*(L120/100)*(1-L121/100),"")</f>
        <v/>
      </c>
      <c r="M122" s="341" t="str">
        <f>IF(AND(COUNT(M118:M121)&gt;0,M125=""),3.664*M118*(M120/100)*(1-M121/100),"")</f>
        <v/>
      </c>
      <c r="N122" s="661"/>
      <c r="O122" s="25"/>
      <c r="P122" s="979" t="str">
        <f>EUconst_CNTR_EmissionsIntSource1 &amp; I13</f>
        <v>EmInternalSource1_</v>
      </c>
      <c r="R122" s="971" t="str">
        <f>EUconst_CNTR_AttributedEmissions &amp; I13</f>
        <v>AttrEmissions_</v>
      </c>
      <c r="S122" s="137" t="str">
        <f>IF(S13,SUM(I122),"")</f>
        <v/>
      </c>
      <c r="T122" s="137" t="str">
        <f>IF(T13,SUM(J122),"")</f>
        <v/>
      </c>
      <c r="U122" s="137" t="str">
        <f>IF(U13,SUM(K122),"")</f>
        <v/>
      </c>
      <c r="V122" s="137" t="str">
        <f>IF(V13,SUM(L122),"")</f>
        <v/>
      </c>
      <c r="W122" s="138" t="str">
        <f>IF(W13,SUM(M122),"")</f>
        <v/>
      </c>
      <c r="AA122" s="607"/>
    </row>
    <row r="123" spans="2:27" ht="12.75" customHeight="1" x14ac:dyDescent="0.2">
      <c r="B123" s="224"/>
      <c r="C123" s="977"/>
      <c r="D123" s="695" t="s">
        <v>306</v>
      </c>
      <c r="E123" s="1661" t="str">
        <f>Translations!$B$1617</f>
        <v>Nulles faktora biomasas emisijas</v>
      </c>
      <c r="F123" s="1661"/>
      <c r="G123" s="1661"/>
      <c r="H123" s="554" t="str">
        <f>EUconst_tCO2pa</f>
        <v>t CO2 / gads</v>
      </c>
      <c r="I123" s="340" t="str">
        <f>IF(ISNUMBER(I122),3.664*I118*(I120/100)*(I121/100),"")</f>
        <v/>
      </c>
      <c r="J123" s="340" t="str">
        <f>IF(ISNUMBER(J122),3.664*J118*(J120/100)*(J121/100),"")</f>
        <v/>
      </c>
      <c r="K123" s="340" t="str">
        <f>IF(ISNUMBER(K122),3.664*K118*(K120/100)*(K121/100),"")</f>
        <v/>
      </c>
      <c r="L123" s="340" t="str">
        <f>IF(ISNUMBER(L122),3.664*L118*(L120/100)*(L121/100),"")</f>
        <v/>
      </c>
      <c r="M123" s="340" t="str">
        <f>IF(ISNUMBER(M122),3.664*M118*(M120/100)*(M121/100),"")</f>
        <v/>
      </c>
      <c r="N123" s="661"/>
      <c r="O123" s="25"/>
      <c r="P123" s="955"/>
      <c r="R123" s="955"/>
      <c r="AA123" s="607"/>
    </row>
    <row r="124" spans="2:27" ht="12.75" customHeight="1" x14ac:dyDescent="0.2">
      <c r="B124" s="224"/>
      <c r="C124" s="977"/>
      <c r="D124" s="695" t="s">
        <v>307</v>
      </c>
      <c r="E124" s="1659" t="str">
        <f>Translations!$B$749</f>
        <v>Enerģētiskais saturs (aprēķinātais)</v>
      </c>
      <c r="F124" s="1659"/>
      <c r="G124" s="1659"/>
      <c r="H124" s="555" t="str">
        <f>EUconst_TJpa</f>
        <v>TJ / gads</v>
      </c>
      <c r="I124" s="343" t="str">
        <f>IF(COUNT(I118:I119)=2,I118*I119/1000,"")</f>
        <v/>
      </c>
      <c r="J124" s="343" t="str">
        <f>IF(COUNT(J118:J119)=2,J118*J119/1000,"")</f>
        <v/>
      </c>
      <c r="K124" s="343" t="str">
        <f>IF(COUNT(K118:K119)=2,K118*K119/1000,"")</f>
        <v/>
      </c>
      <c r="L124" s="343" t="str">
        <f>IF(COUNT(L118:L119)=2,L118*L119/1000,"")</f>
        <v/>
      </c>
      <c r="M124" s="343" t="str">
        <f>IF(COUNT(M118:M119)=2,M118*M119/1000,"")</f>
        <v/>
      </c>
      <c r="N124" s="661"/>
      <c r="O124" s="25"/>
      <c r="P124" s="955"/>
      <c r="R124" s="955"/>
      <c r="AA124" s="607"/>
    </row>
    <row r="125" spans="2:27" ht="12.75" customHeight="1" x14ac:dyDescent="0.2">
      <c r="B125" s="224"/>
      <c r="C125" s="977"/>
      <c r="D125" s="695" t="s">
        <v>15</v>
      </c>
      <c r="E125" s="1662" t="str">
        <f>Translations!$B$750</f>
        <v>Kļūdas ziņojumi (emisijas)</v>
      </c>
      <c r="F125" s="1662"/>
      <c r="G125" s="1662"/>
      <c r="H125" s="556"/>
      <c r="I125" s="662" t="str">
        <f>IF(COUNT(I118,I120:I121)&gt;0,IF(COUNTIF(I119:I121,"&lt;0")&gt;0,EUconst_Negative,IF(COUNT(I118,I120:I121)&lt;3,EUconst_Incomplete,"")),"")</f>
        <v/>
      </c>
      <c r="J125" s="662" t="str">
        <f>IF(COUNT(J118,J120:J121)&gt;0,IF(COUNTIF(J119:J121,"&lt;0")&gt;0,EUconst_Negative,IF(COUNT(J118,J120:J121)&lt;3,EUconst_Incomplete,"")),"")</f>
        <v/>
      </c>
      <c r="K125" s="662" t="str">
        <f>IF(COUNT(K118,K120:K121)&gt;0,IF(COUNTIF(K119:K121,"&lt;0")&gt;0,EUconst_Negative,IF(COUNT(K118,K120:K121)&lt;3,EUconst_Incomplete,"")),"")</f>
        <v/>
      </c>
      <c r="L125" s="662" t="str">
        <f>IF(COUNT(L118,L120:L121)&gt;0,IF(COUNTIF(L119:L121,"&lt;0")&gt;0,EUconst_Negative,IF(COUNT(L118,L120:L121)&lt;3,EUconst_Incomplete,"")),"")</f>
        <v/>
      </c>
      <c r="M125" s="662" t="str">
        <f>IF(COUNT(M118,M120:M121)&gt;0,IF(COUNTIF(M119:M121,"&lt;0")&gt;0,EUconst_Negative,IF(COUNT(M118,M120:M121)&lt;3,EUconst_Incomplete,"")),"")</f>
        <v/>
      </c>
      <c r="N125" s="661"/>
      <c r="O125" s="25"/>
      <c r="P125" s="955"/>
      <c r="R125" s="955"/>
      <c r="AA125" s="607"/>
    </row>
    <row r="126" spans="2:27" ht="12.75" customHeight="1" x14ac:dyDescent="0.2">
      <c r="B126" s="224"/>
      <c r="C126" s="977"/>
      <c r="D126" s="695"/>
      <c r="E126" s="978"/>
      <c r="F126" s="978"/>
      <c r="G126" s="978"/>
      <c r="H126" s="978"/>
      <c r="I126" s="978"/>
      <c r="J126" s="978"/>
      <c r="K126" s="978"/>
      <c r="L126" s="978"/>
      <c r="M126" s="980"/>
      <c r="N126" s="661"/>
      <c r="O126" s="25"/>
      <c r="P126" s="955"/>
      <c r="R126" s="955"/>
      <c r="AA126" s="607"/>
    </row>
    <row r="127" spans="2:27" ht="12.75" customHeight="1" x14ac:dyDescent="0.2">
      <c r="B127" s="224"/>
      <c r="C127" s="977"/>
      <c r="D127" s="695" t="s">
        <v>16</v>
      </c>
      <c r="E127" s="1663" t="str">
        <f>Translations!$B$751</f>
        <v>Citu avota plūsmu nosaukums, 2:</v>
      </c>
      <c r="F127" s="1663"/>
      <c r="G127" s="1663"/>
      <c r="H127" s="1663"/>
      <c r="I127" s="1664"/>
      <c r="J127" s="1665"/>
      <c r="K127" s="1665"/>
      <c r="L127" s="1665"/>
      <c r="M127" s="1666"/>
      <c r="N127" s="1203"/>
      <c r="O127" s="25"/>
      <c r="P127" s="955"/>
      <c r="R127" s="955"/>
      <c r="AA127" s="361" t="b">
        <f>AA115</f>
        <v>0</v>
      </c>
    </row>
    <row r="128" spans="2:27" ht="5.0999999999999996" customHeight="1" x14ac:dyDescent="0.2">
      <c r="B128" s="224"/>
      <c r="C128" s="977"/>
      <c r="D128" s="978"/>
      <c r="E128" s="1204"/>
      <c r="F128" s="1202"/>
      <c r="G128" s="1202"/>
      <c r="H128" s="1202"/>
      <c r="I128" s="1202"/>
      <c r="J128" s="1202"/>
      <c r="K128" s="1202"/>
      <c r="L128" s="1202"/>
      <c r="M128" s="1202"/>
      <c r="N128" s="1203"/>
      <c r="O128" s="25"/>
      <c r="P128" s="955"/>
      <c r="R128" s="955"/>
      <c r="AA128" s="607"/>
    </row>
    <row r="129" spans="2:27" ht="12.75" customHeight="1" x14ac:dyDescent="0.2">
      <c r="B129" s="224"/>
      <c r="C129" s="977"/>
      <c r="D129" s="695"/>
      <c r="E129" s="1653" t="str">
        <f>Translations!$B$752</f>
        <v>Citas avota plūsmas, 2:</v>
      </c>
      <c r="F129" s="1657"/>
      <c r="G129" s="1657"/>
      <c r="H129" s="462" t="str">
        <f>EUconst_Unit</f>
        <v>Vienība</v>
      </c>
      <c r="I129" s="463">
        <f>I$1820</f>
        <v>2019</v>
      </c>
      <c r="J129" s="463">
        <f>J$1820</f>
        <v>2020</v>
      </c>
      <c r="K129" s="463">
        <f>K$1820</f>
        <v>2021</v>
      </c>
      <c r="L129" s="463">
        <f>L$1820</f>
        <v>2022</v>
      </c>
      <c r="M129" s="463">
        <f>M$1820</f>
        <v>2023</v>
      </c>
      <c r="N129" s="661"/>
      <c r="O129" s="25"/>
      <c r="P129" s="955"/>
      <c r="R129" s="955"/>
      <c r="AA129" s="607"/>
    </row>
    <row r="130" spans="2:27" ht="12.75" customHeight="1" x14ac:dyDescent="0.2">
      <c r="B130" s="224"/>
      <c r="C130" s="977"/>
      <c r="D130" s="695" t="s">
        <v>17</v>
      </c>
      <c r="E130" s="1667" t="str">
        <f>Translations!$B$743</f>
        <v>Importētais vai eksportētais daudzums</v>
      </c>
      <c r="F130" s="1660"/>
      <c r="G130" s="1660"/>
      <c r="H130" s="466" t="str">
        <f>EUconst_tpa</f>
        <v>t / gads</v>
      </c>
      <c r="I130" s="348"/>
      <c r="J130" s="348"/>
      <c r="K130" s="348"/>
      <c r="L130" s="348"/>
      <c r="M130" s="348"/>
      <c r="N130" s="661"/>
      <c r="O130" s="25"/>
      <c r="P130" s="955"/>
      <c r="R130" s="955"/>
      <c r="AA130" s="361" t="b">
        <f>AA127</f>
        <v>0</v>
      </c>
    </row>
    <row r="131" spans="2:27" ht="12.75" customHeight="1" x14ac:dyDescent="0.2">
      <c r="B131" s="224"/>
      <c r="C131" s="977"/>
      <c r="D131" s="695" t="s">
        <v>438</v>
      </c>
      <c r="E131" s="1658" t="str">
        <f>Translations!$B$744</f>
        <v>Zemākā siltumspēja (attiecīgā gadījumā)</v>
      </c>
      <c r="F131" s="1658"/>
      <c r="G131" s="1658"/>
      <c r="H131" s="551" t="str">
        <f>EUconst_GJpt</f>
        <v>GJ / t</v>
      </c>
      <c r="I131" s="347"/>
      <c r="J131" s="347"/>
      <c r="K131" s="347"/>
      <c r="L131" s="347"/>
      <c r="M131" s="347"/>
      <c r="N131" s="661"/>
      <c r="O131" s="25"/>
      <c r="P131" s="955"/>
      <c r="R131" s="955"/>
      <c r="AA131" s="361" t="b">
        <f>AA130</f>
        <v>0</v>
      </c>
    </row>
    <row r="132" spans="2:27" ht="12.75" customHeight="1" thickBot="1" x14ac:dyDescent="0.25">
      <c r="B132" s="224"/>
      <c r="C132" s="977"/>
      <c r="D132" s="695" t="s">
        <v>439</v>
      </c>
      <c r="E132" s="1658" t="str">
        <f>Translations!$B$745</f>
        <v>Oglekļa saturs (masas %)</v>
      </c>
      <c r="F132" s="1658"/>
      <c r="G132" s="1658"/>
      <c r="H132" s="552" t="s">
        <v>341</v>
      </c>
      <c r="I132" s="347"/>
      <c r="J132" s="347"/>
      <c r="K132" s="347"/>
      <c r="L132" s="347"/>
      <c r="M132" s="347"/>
      <c r="N132" s="661"/>
      <c r="O132" s="25"/>
      <c r="P132" s="955"/>
      <c r="R132" s="955"/>
      <c r="AA132" s="361" t="b">
        <f>AA131</f>
        <v>0</v>
      </c>
    </row>
    <row r="133" spans="2:27" ht="12.75" customHeight="1" thickBot="1" x14ac:dyDescent="0.25">
      <c r="B133" s="224"/>
      <c r="C133" s="977"/>
      <c r="D133" s="695" t="s">
        <v>440</v>
      </c>
      <c r="E133" s="1659" t="str">
        <f>Translations!$B$746</f>
        <v>Biomasas saturs (kā oglekļa frakcija)</v>
      </c>
      <c r="F133" s="1659"/>
      <c r="G133" s="1659"/>
      <c r="H133" s="485" t="s">
        <v>341</v>
      </c>
      <c r="I133" s="345"/>
      <c r="J133" s="345"/>
      <c r="K133" s="345"/>
      <c r="L133" s="345"/>
      <c r="M133" s="345"/>
      <c r="N133" s="661"/>
      <c r="O133" s="25"/>
      <c r="P133" s="955"/>
      <c r="R133" s="970"/>
      <c r="S133" s="809">
        <f>I129</f>
        <v>2019</v>
      </c>
      <c r="T133" s="809">
        <f>J129</f>
        <v>2020</v>
      </c>
      <c r="U133" s="809">
        <f>K129</f>
        <v>2021</v>
      </c>
      <c r="V133" s="809">
        <f>L129</f>
        <v>2022</v>
      </c>
      <c r="W133" s="810">
        <f>M129</f>
        <v>2023</v>
      </c>
      <c r="AA133" s="186" t="b">
        <f>AA132</f>
        <v>0</v>
      </c>
    </row>
    <row r="134" spans="2:27" ht="12.75" customHeight="1" thickBot="1" x14ac:dyDescent="0.25">
      <c r="B134" s="224"/>
      <c r="C134" s="977"/>
      <c r="D134" s="695" t="s">
        <v>441</v>
      </c>
      <c r="E134" s="1660" t="str">
        <f>Translations!$B$747</f>
        <v>Emisijas (no fosilajiem avotiem, aprēķinātās)</v>
      </c>
      <c r="F134" s="1660"/>
      <c r="G134" s="1660"/>
      <c r="H134" s="553" t="str">
        <f>EUconst_tCO2pa</f>
        <v>t CO2 / gads</v>
      </c>
      <c r="I134" s="341" t="str">
        <f>IF(AND(COUNT(I130:I133)&gt;0,I137=""),3.664*I130*(I132/100)*(1-I133/100),"")</f>
        <v/>
      </c>
      <c r="J134" s="341" t="str">
        <f>IF(AND(COUNT(J130:J133)&gt;0,J137=""),3.664*J130*(J132/100)*(1-J133/100),"")</f>
        <v/>
      </c>
      <c r="K134" s="341" t="str">
        <f>IF(AND(COUNT(K130:K133)&gt;0,K137=""),3.664*K130*(K132/100)*(1-K133/100),"")</f>
        <v/>
      </c>
      <c r="L134" s="341" t="str">
        <f>IF(AND(COUNT(L130:L133)&gt;0,L137=""),3.664*L130*(L132/100)*(1-L133/100),"")</f>
        <v/>
      </c>
      <c r="M134" s="341" t="str">
        <f>IF(AND(COUNT(M130:M133)&gt;0,M137=""),3.664*M130*(M132/100)*(1-M133/100),"")</f>
        <v/>
      </c>
      <c r="N134" s="661"/>
      <c r="O134" s="25"/>
      <c r="P134" s="979" t="str">
        <f>EUconst_CNTR_EmissionsIntSource2 &amp; I13</f>
        <v>EmInternalSource2_</v>
      </c>
      <c r="R134" s="971" t="str">
        <f>EUconst_CNTR_AttributedEmissions &amp; I13</f>
        <v>AttrEmissions_</v>
      </c>
      <c r="S134" s="137" t="str">
        <f>IF(S13,SUM(I134),"")</f>
        <v/>
      </c>
      <c r="T134" s="137" t="str">
        <f>IF(T13,SUM(J134),"")</f>
        <v/>
      </c>
      <c r="U134" s="137" t="str">
        <f>IF(U13,SUM(K134),"")</f>
        <v/>
      </c>
      <c r="V134" s="137" t="str">
        <f>IF(V13,SUM(L134),"")</f>
        <v/>
      </c>
      <c r="W134" s="138" t="str">
        <f>IF(W13,SUM(M134),"")</f>
        <v/>
      </c>
    </row>
    <row r="135" spans="2:27" ht="12.75" customHeight="1" x14ac:dyDescent="0.2">
      <c r="B135" s="224"/>
      <c r="C135" s="977"/>
      <c r="D135" s="695" t="s">
        <v>442</v>
      </c>
      <c r="E135" s="1661" t="str">
        <f>Translations!$B$1617</f>
        <v>Nulles faktora biomasas emisijas</v>
      </c>
      <c r="F135" s="1661"/>
      <c r="G135" s="1661"/>
      <c r="H135" s="554" t="str">
        <f>EUconst_tCO2pa</f>
        <v>t CO2 / gads</v>
      </c>
      <c r="I135" s="340" t="str">
        <f>IF(ISNUMBER(I134),3.664*I130*(I132/100)*(I133/100),"")</f>
        <v/>
      </c>
      <c r="J135" s="340" t="str">
        <f>IF(ISNUMBER(J134),3.664*J130*(J132/100)*(J133/100),"")</f>
        <v/>
      </c>
      <c r="K135" s="340" t="str">
        <f>IF(ISNUMBER(K134),3.664*K130*(K132/100)*(K133/100),"")</f>
        <v/>
      </c>
      <c r="L135" s="340" t="str">
        <f>IF(ISNUMBER(L134),3.664*L130*(L132/100)*(L133/100),"")</f>
        <v/>
      </c>
      <c r="M135" s="340" t="str">
        <f>IF(ISNUMBER(M134),3.664*M130*(M132/100)*(M133/100),"")</f>
        <v/>
      </c>
      <c r="N135" s="661"/>
      <c r="O135" s="25"/>
      <c r="P135" s="955"/>
      <c r="R135" s="955"/>
    </row>
    <row r="136" spans="2:27" ht="12.75" customHeight="1" x14ac:dyDescent="0.2">
      <c r="B136" s="224"/>
      <c r="C136" s="977"/>
      <c r="D136" s="695" t="s">
        <v>443</v>
      </c>
      <c r="E136" s="1659" t="str">
        <f>Translations!$B$749</f>
        <v>Enerģētiskais saturs (aprēķinātais)</v>
      </c>
      <c r="F136" s="1659"/>
      <c r="G136" s="1659"/>
      <c r="H136" s="555" t="str">
        <f>EUconst_TJpa</f>
        <v>TJ / gads</v>
      </c>
      <c r="I136" s="343" t="str">
        <f>IF(COUNT(I130:I131)=2,I130*I131/1000,"")</f>
        <v/>
      </c>
      <c r="J136" s="343" t="str">
        <f>IF(COUNT(J130:J131)=2,J130*J131/1000,"")</f>
        <v/>
      </c>
      <c r="K136" s="343" t="str">
        <f>IF(COUNT(K130:K131)=2,K130*K131/1000,"")</f>
        <v/>
      </c>
      <c r="L136" s="343" t="str">
        <f>IF(COUNT(L130:L131)=2,L130*L131/1000,"")</f>
        <v/>
      </c>
      <c r="M136" s="343" t="str">
        <f>IF(COUNT(M130:M131)=2,M130*M131/1000,"")</f>
        <v/>
      </c>
      <c r="N136" s="661"/>
      <c r="O136" s="25"/>
      <c r="P136" s="955"/>
      <c r="R136" s="955"/>
    </row>
    <row r="137" spans="2:27" ht="12.75" customHeight="1" x14ac:dyDescent="0.2">
      <c r="B137" s="224"/>
      <c r="C137" s="977"/>
      <c r="D137" s="695" t="s">
        <v>439</v>
      </c>
      <c r="E137" s="1662" t="str">
        <f>Translations!$B$750</f>
        <v>Kļūdas ziņojumi (emisijas)</v>
      </c>
      <c r="F137" s="1662"/>
      <c r="G137" s="1662"/>
      <c r="H137" s="556"/>
      <c r="I137" s="662" t="str">
        <f>IF(COUNT(I130,I132:I133)&gt;0,IF(COUNTIF(I131:I133,"&lt;0")&gt;0,EUconst_Negative,IF(COUNT(I130,I132:I133)&lt;3,EUconst_Incomplete,"")),"")</f>
        <v/>
      </c>
      <c r="J137" s="662" t="str">
        <f>IF(COUNT(J130,J132:J133)&gt;0,IF(COUNTIF(J131:J133,"&lt;0")&gt;0,EUconst_Negative,IF(COUNT(J130,J132:J133)&lt;3,EUconst_Incomplete,"")),"")</f>
        <v/>
      </c>
      <c r="K137" s="662" t="str">
        <f>IF(COUNT(K130,K132:K133)&gt;0,IF(COUNTIF(K131:K133,"&lt;0")&gt;0,EUconst_Negative,IF(COUNT(K130,K132:K133)&lt;3,EUconst_Incomplete,"")),"")</f>
        <v/>
      </c>
      <c r="L137" s="662" t="str">
        <f>IF(COUNT(L130,L132:L133)&gt;0,IF(COUNTIF(L131:L133,"&lt;0")&gt;0,EUconst_Negative,IF(COUNT(L130,L132:L133)&lt;3,EUconst_Incomplete,"")),"")</f>
        <v/>
      </c>
      <c r="M137" s="662" t="str">
        <f>IF(COUNT(M130,M132:M133)&gt;0,IF(COUNTIF(M131:M133,"&lt;0")&gt;0,EUconst_Negative,IF(COUNT(M130,M132:M133)&lt;3,EUconst_Incomplete,"")),"")</f>
        <v/>
      </c>
      <c r="N137" s="661"/>
      <c r="O137" s="25"/>
      <c r="P137" s="955"/>
      <c r="R137" s="955"/>
    </row>
    <row r="138" spans="2:27" ht="12.75" customHeight="1" x14ac:dyDescent="0.2">
      <c r="B138" s="224"/>
      <c r="C138" s="977"/>
      <c r="D138" s="978"/>
      <c r="E138" s="978"/>
      <c r="F138" s="978"/>
      <c r="G138" s="978"/>
      <c r="H138" s="978"/>
      <c r="I138" s="978"/>
      <c r="J138" s="978"/>
      <c r="K138" s="978"/>
      <c r="L138" s="978"/>
      <c r="M138" s="980"/>
      <c r="N138" s="661"/>
      <c r="O138" s="25"/>
      <c r="P138" s="955"/>
      <c r="R138" s="955"/>
    </row>
    <row r="139" spans="2:27" ht="12.75" customHeight="1" x14ac:dyDescent="0.2">
      <c r="B139" s="224"/>
      <c r="C139" s="977"/>
      <c r="D139" s="474" t="s">
        <v>211</v>
      </c>
      <c r="E139" s="1654" t="str">
        <f>Translations!$B$753</f>
        <v>To SEG daudzums, kas importētas vai eksportētas kā ievadmateriāli</v>
      </c>
      <c r="F139" s="1655"/>
      <c r="G139" s="1655"/>
      <c r="H139" s="1655"/>
      <c r="I139" s="1655"/>
      <c r="J139" s="1655"/>
      <c r="K139" s="1655"/>
      <c r="L139" s="1655"/>
      <c r="M139" s="1655"/>
      <c r="N139" s="1656"/>
      <c r="O139" s="25"/>
      <c r="P139" s="955"/>
      <c r="R139" s="955"/>
    </row>
    <row r="140" spans="2:27" ht="12.75" customHeight="1" x14ac:dyDescent="0.2">
      <c r="B140" s="224"/>
      <c r="C140" s="977"/>
      <c r="D140" s="695"/>
      <c r="E140" s="1723" t="str">
        <f>Translations!$B$716</f>
        <v>Šeit sniegtie dati ietekmēs attiecināmās emisijas saskaņā ar FAR VII pielikuma 10.1.1. iedaļu.</v>
      </c>
      <c r="F140" s="1654"/>
      <c r="G140" s="1654"/>
      <c r="H140" s="1654"/>
      <c r="I140" s="1654"/>
      <c r="J140" s="1654"/>
      <c r="K140" s="1654"/>
      <c r="L140" s="1654"/>
      <c r="M140" s="1654"/>
      <c r="N140" s="1724"/>
      <c r="O140" s="25"/>
      <c r="P140" s="955"/>
      <c r="R140" s="955"/>
      <c r="S140" s="955"/>
    </row>
    <row r="141" spans="2:27" ht="25.5" customHeight="1" x14ac:dyDescent="0.2">
      <c r="B141" s="224"/>
      <c r="C141" s="977"/>
      <c r="D141" s="978"/>
      <c r="E141" s="1727" t="str">
        <f>Translations!$B$754</f>
        <v>Kā prasa FAR IV pielikuma 3.1. iedaļas k) un l) punkts, šeit norādiet pārvietotā CO2 daudzumu, kas importēts no citām apakšiekārtām, iekārtām vai citām vienībām vai uz tām eksportēts, saskaņā ar MZR noteikumiem.</v>
      </c>
      <c r="F141" s="1655"/>
      <c r="G141" s="1655"/>
      <c r="H141" s="1655"/>
      <c r="I141" s="1655"/>
      <c r="J141" s="1655"/>
      <c r="K141" s="1655"/>
      <c r="L141" s="1655"/>
      <c r="M141" s="1655"/>
      <c r="N141" s="1656"/>
      <c r="O141" s="25"/>
      <c r="P141" s="955"/>
      <c r="R141" s="955"/>
    </row>
    <row r="142" spans="2:27" ht="12.75" customHeight="1" thickBot="1" x14ac:dyDescent="0.25">
      <c r="B142" s="224"/>
      <c r="C142" s="977"/>
      <c r="D142" s="978"/>
      <c r="E142" s="1727" t="str">
        <f>Translations!$B$755</f>
        <v>Eksportētie daudzumi jānorāda kā negatīvas vērtības, un tiem jāatbilst CO2 daudzumiem, kas no šīs apakšiekārtas eksportēti, nevis izvadīti atmosfērā.</v>
      </c>
      <c r="F142" s="1655"/>
      <c r="G142" s="1655"/>
      <c r="H142" s="1655"/>
      <c r="I142" s="1655"/>
      <c r="J142" s="1655"/>
      <c r="K142" s="1655"/>
      <c r="L142" s="1655"/>
      <c r="M142" s="1655"/>
      <c r="N142" s="1656"/>
      <c r="O142" s="25"/>
      <c r="P142" s="955"/>
      <c r="R142" s="955"/>
    </row>
    <row r="143" spans="2:27" ht="12.75" customHeight="1" x14ac:dyDescent="0.2">
      <c r="B143" s="224"/>
      <c r="C143" s="977"/>
      <c r="D143" s="474"/>
      <c r="E143" s="1653"/>
      <c r="F143" s="1657"/>
      <c r="G143" s="1657"/>
      <c r="H143" s="462" t="str">
        <f>EUconst_Unit</f>
        <v>Vienība</v>
      </c>
      <c r="I143" s="463">
        <f>I$1820</f>
        <v>2019</v>
      </c>
      <c r="J143" s="463">
        <f>J$1820</f>
        <v>2020</v>
      </c>
      <c r="K143" s="463">
        <f>K$1820</f>
        <v>2021</v>
      </c>
      <c r="L143" s="463">
        <f>L$1820</f>
        <v>2022</v>
      </c>
      <c r="M143" s="463">
        <f>M$1820</f>
        <v>2023</v>
      </c>
      <c r="N143" s="661"/>
      <c r="O143" s="25"/>
      <c r="P143" s="955"/>
      <c r="R143" s="970"/>
      <c r="S143" s="809">
        <f>I143</f>
        <v>2019</v>
      </c>
      <c r="T143" s="809">
        <f>J143</f>
        <v>2020</v>
      </c>
      <c r="U143" s="809">
        <f>K143</f>
        <v>2021</v>
      </c>
      <c r="V143" s="809">
        <f>L143</f>
        <v>2022</v>
      </c>
      <c r="W143" s="810">
        <f>M143</f>
        <v>2023</v>
      </c>
    </row>
    <row r="144" spans="2:27" ht="12.75" customHeight="1" thickBot="1" x14ac:dyDescent="0.25">
      <c r="B144" s="224"/>
      <c r="C144" s="977"/>
      <c r="D144" s="695"/>
      <c r="E144" s="1651" t="str">
        <f>Translations!$B$756</f>
        <v>Importētās vai eksportētās SEG</v>
      </c>
      <c r="F144" s="1652"/>
      <c r="G144" s="1652"/>
      <c r="H144" s="465" t="str">
        <f>EUconst_tCO2epa</f>
        <v>t CO2e/gads</v>
      </c>
      <c r="I144" s="483"/>
      <c r="J144" s="483"/>
      <c r="K144" s="483"/>
      <c r="L144" s="483"/>
      <c r="M144" s="483"/>
      <c r="N144" s="1205"/>
      <c r="O144" s="25"/>
      <c r="P144" s="979" t="str">
        <f>EUconst_CNTR_CO2Feedstock &amp; I13</f>
        <v>EmCO2Feedstock_</v>
      </c>
      <c r="R144" s="971" t="str">
        <f>EUconst_CNTR_AttributedEmissions &amp; I13</f>
        <v>AttrEmissions_</v>
      </c>
      <c r="S144" s="137" t="str">
        <f>IF(S13,SUM(I144),"")</f>
        <v/>
      </c>
      <c r="T144" s="137" t="str">
        <f>IF(T13,SUM(J144),"")</f>
        <v/>
      </c>
      <c r="U144" s="137" t="str">
        <f>IF(U13,SUM(K144),"")</f>
        <v/>
      </c>
      <c r="V144" s="137" t="str">
        <f>IF(V13,SUM(L144),"")</f>
        <v/>
      </c>
      <c r="W144" s="138" t="str">
        <f>IF(W13,SUM(M144),"")</f>
        <v/>
      </c>
    </row>
    <row r="145" spans="2:24" ht="12.75" customHeight="1" x14ac:dyDescent="0.2">
      <c r="B145" s="224"/>
      <c r="C145" s="977"/>
      <c r="D145" s="978"/>
      <c r="E145" s="978"/>
      <c r="F145" s="978"/>
      <c r="G145" s="978"/>
      <c r="H145" s="978"/>
      <c r="I145" s="978"/>
      <c r="J145" s="978"/>
      <c r="K145" s="978"/>
      <c r="L145" s="978"/>
      <c r="M145" s="980"/>
      <c r="N145" s="661"/>
      <c r="O145" s="25"/>
      <c r="P145" s="955"/>
      <c r="R145" s="955"/>
    </row>
    <row r="146" spans="2:24" ht="12.75" customHeight="1" x14ac:dyDescent="0.2">
      <c r="B146" s="224"/>
      <c r="C146" s="977"/>
      <c r="D146" s="474" t="s">
        <v>212</v>
      </c>
      <c r="E146" s="1654" t="str">
        <f>Translations!$B$757</f>
        <v>Šajā apakšiekārtā importētais un no tās eksportētais izmērāmais siltums</v>
      </c>
      <c r="F146" s="1655"/>
      <c r="G146" s="1655"/>
      <c r="H146" s="1655"/>
      <c r="I146" s="1655"/>
      <c r="J146" s="1655"/>
      <c r="K146" s="1655"/>
      <c r="L146" s="1655"/>
      <c r="M146" s="1655"/>
      <c r="N146" s="1656"/>
      <c r="O146" s="25"/>
      <c r="P146" s="955"/>
      <c r="R146" s="955"/>
    </row>
    <row r="147" spans="2:24" ht="12.75" customHeight="1" x14ac:dyDescent="0.2">
      <c r="B147" s="224"/>
      <c r="C147" s="977"/>
      <c r="D147" s="695"/>
      <c r="E147" s="1723" t="str">
        <f>Translations!$B$758</f>
        <v>Šeit sniegtie dati ietekmēs attiecināmās emisijas saskaņā ar FAR VII pielikuma 10.1.2. un 10.1.3. iedaļu.</v>
      </c>
      <c r="F147" s="1654"/>
      <c r="G147" s="1654"/>
      <c r="H147" s="1654"/>
      <c r="I147" s="1654"/>
      <c r="J147" s="1654"/>
      <c r="K147" s="1654"/>
      <c r="L147" s="1654"/>
      <c r="M147" s="1654"/>
      <c r="N147" s="1724"/>
      <c r="O147" s="25"/>
      <c r="P147" s="955"/>
      <c r="R147" s="955"/>
      <c r="S147" s="955"/>
    </row>
    <row r="148" spans="2:24" ht="38.85" customHeight="1" x14ac:dyDescent="0.2">
      <c r="B148" s="224"/>
      <c r="C148" s="977"/>
      <c r="D148" s="978"/>
      <c r="E148" s="1727" t="str">
        <f>Translations!$B$759</f>
        <v>Te ietilpst kopējais siltuma daudzums, kas saražots ES ETS aptvertās (apakš)iekārtās vai ES ETS neaptvertās iekārtās vai vienībās, no tām importēts vai uz tām eksportēts. Ar siltumu saistītajos īpatnējos emisijas faktoros (EF) jāņem vērā FAR VII pielikuma 8. un 10. iedaļas, it sevišķi 10.1.2. un 10.1.3. iedaļas, noteikumi.</v>
      </c>
      <c r="F148" s="1655"/>
      <c r="G148" s="1655"/>
      <c r="H148" s="1655"/>
      <c r="I148" s="1655"/>
      <c r="J148" s="1655"/>
      <c r="K148" s="1655"/>
      <c r="L148" s="1655"/>
      <c r="M148" s="1655"/>
      <c r="N148" s="1656"/>
      <c r="O148" s="25"/>
      <c r="P148" s="955"/>
      <c r="R148" s="955"/>
    </row>
    <row r="149" spans="2:24" ht="25.5" customHeight="1" x14ac:dyDescent="0.2">
      <c r="B149" s="224"/>
      <c r="C149" s="977"/>
      <c r="D149" s="978"/>
      <c r="E149" s="1727" t="str">
        <f>Translations!$B$760</f>
        <v>Arī emisijas, kas saistītas ar izmērāmu siltumu, kas lokāli saražots blokos, kuri apkalpo vairāk nekā vienu apakšiekārtu, ievadāmas šeit pie importa, nevis tieši attiecināmas g) punktā, izmantojot kurināmā emisijas faktoru. Tas pats attiecas uz visu siltumu, kas importēts no citām apakšiekārtām.</v>
      </c>
      <c r="F149" s="1655"/>
      <c r="G149" s="1655"/>
      <c r="H149" s="1655"/>
      <c r="I149" s="1655"/>
      <c r="J149" s="1655"/>
      <c r="K149" s="1655"/>
      <c r="L149" s="1655"/>
      <c r="M149" s="1655"/>
      <c r="N149" s="1656"/>
      <c r="O149" s="25"/>
      <c r="P149" s="955"/>
      <c r="R149" s="955"/>
    </row>
    <row r="150" spans="2:24" ht="25.5" customHeight="1" x14ac:dyDescent="0.2">
      <c r="B150" s="224"/>
      <c r="C150" s="977"/>
      <c r="D150" s="978"/>
      <c r="E150" s="1727" t="str">
        <f>Translations!$B$761</f>
        <v xml:space="preserve">Ja siltums tiek ražots tikai vienai apakšiekārtai un attiecīgās emisijas tāpēc ievadītas g) punktā, tad, lai izvairītos no divkāršas uzskaites, attiecīgos daudzumus te neziņo. </v>
      </c>
      <c r="F150" s="1655"/>
      <c r="G150" s="1655"/>
      <c r="H150" s="1655"/>
      <c r="I150" s="1655"/>
      <c r="J150" s="1655"/>
      <c r="K150" s="1655"/>
      <c r="L150" s="1655"/>
      <c r="M150" s="1655"/>
      <c r="N150" s="1656"/>
      <c r="O150" s="25"/>
      <c r="P150" s="955"/>
      <c r="R150" s="955"/>
    </row>
    <row r="151" spans="2:24" ht="12.75" customHeight="1" thickBot="1" x14ac:dyDescent="0.25">
      <c r="B151" s="224"/>
      <c r="C151" s="977"/>
      <c r="D151" s="978"/>
      <c r="E151" s="1628" t="str">
        <f>Translations!$B$762</f>
        <v>Lai uz siltuma ražošanu attiecinātu emisijas no koģenerācijas, jāizmanto koģenerācijas rīks šīs veidnes D. lapas III .sadaļā.</v>
      </c>
      <c r="F151" s="1628"/>
      <c r="G151" s="1628"/>
      <c r="H151" s="1628"/>
      <c r="I151" s="1628"/>
      <c r="J151" s="1628"/>
      <c r="K151" s="1628"/>
      <c r="L151" s="1628"/>
      <c r="M151" s="1628"/>
      <c r="N151" s="1205"/>
      <c r="O151" s="25"/>
      <c r="P151" s="955"/>
    </row>
    <row r="152" spans="2:24" ht="12.75" customHeight="1" x14ac:dyDescent="0.2">
      <c r="B152" s="224"/>
      <c r="C152" s="977"/>
      <c r="D152" s="978"/>
      <c r="E152" s="1653" t="str">
        <f>Translations!$B$763</f>
        <v>Kopējais importētais siltums</v>
      </c>
      <c r="F152" s="1657"/>
      <c r="G152" s="1657"/>
      <c r="H152" s="462" t="str">
        <f>EUconst_Unit</f>
        <v>Vienība</v>
      </c>
      <c r="I152" s="463">
        <f>I$1820</f>
        <v>2019</v>
      </c>
      <c r="J152" s="463">
        <f>J$1820</f>
        <v>2020</v>
      </c>
      <c r="K152" s="463">
        <f>K$1820</f>
        <v>2021</v>
      </c>
      <c r="L152" s="463">
        <f>L$1820</f>
        <v>2022</v>
      </c>
      <c r="M152" s="463">
        <f>M$1820</f>
        <v>2023</v>
      </c>
      <c r="N152" s="1205"/>
      <c r="O152" s="25"/>
      <c r="P152" s="955"/>
      <c r="R152" s="970"/>
      <c r="S152" s="809">
        <f>I152</f>
        <v>2019</v>
      </c>
      <c r="T152" s="809">
        <f>J152</f>
        <v>2020</v>
      </c>
      <c r="U152" s="809">
        <f>K152</f>
        <v>2021</v>
      </c>
      <c r="V152" s="809">
        <f>L152</f>
        <v>2022</v>
      </c>
      <c r="W152" s="810">
        <f>M152</f>
        <v>2023</v>
      </c>
    </row>
    <row r="153" spans="2:24" ht="12.75" customHeight="1" x14ac:dyDescent="0.2">
      <c r="B153" s="224"/>
      <c r="C153" s="977"/>
      <c r="D153" s="695" t="s">
        <v>2</v>
      </c>
      <c r="E153" s="1651" t="str">
        <f>Translations!$B$764</f>
        <v>Neto importētais siltums</v>
      </c>
      <c r="F153" s="1652"/>
      <c r="G153" s="1652"/>
      <c r="H153" s="465" t="str">
        <f>EUconst_TJpa</f>
        <v>TJ / gads</v>
      </c>
      <c r="I153" s="483"/>
      <c r="J153" s="483"/>
      <c r="K153" s="483"/>
      <c r="L153" s="483"/>
      <c r="M153" s="483"/>
      <c r="N153" s="698"/>
      <c r="O153" s="25"/>
      <c r="P153" s="979" t="str">
        <f>EUconst_CNTR_HeatImport &amp; I13</f>
        <v>HeatIm_</v>
      </c>
      <c r="R153" s="981" t="str">
        <f>EUconst_ERR_AttrEmBMapplied &amp; I13</f>
        <v>ERR_AttrEmBM_ </v>
      </c>
      <c r="S153" s="134">
        <f>IF(AND(I153&lt;&gt;0,I154="",EUconst_StatusOfDataCollection=""),1,0)</f>
        <v>0</v>
      </c>
      <c r="T153" s="134">
        <f>IF(AND(J153&lt;&gt;0,J154="",EUconst_StatusOfDataCollection=""),1,0)</f>
        <v>0</v>
      </c>
      <c r="U153" s="134">
        <f>IF(AND(K153&lt;&gt;0,K154="",EUconst_StatusOfDataCollection=""),1,0)</f>
        <v>0</v>
      </c>
      <c r="V153" s="134">
        <f>IF(AND(L153&lt;&gt;0,L154="",EUconst_StatusOfDataCollection=""),1,0)</f>
        <v>0</v>
      </c>
      <c r="W153" s="135">
        <f>IF(AND(M153&lt;&gt;0,M154="",EUconst_StatusOfDataCollection=""),1,0)</f>
        <v>0</v>
      </c>
      <c r="X153" s="63"/>
    </row>
    <row r="154" spans="2:24" ht="12.75" customHeight="1" thickBot="1" x14ac:dyDescent="0.25">
      <c r="B154" s="224"/>
      <c r="C154" s="977"/>
      <c r="D154" s="695" t="s">
        <v>3</v>
      </c>
      <c r="E154" s="1651" t="str">
        <f>Translations!$B$765</f>
        <v>Īpatnējais EF (importētais siltums)</v>
      </c>
      <c r="F154" s="1652"/>
      <c r="G154" s="1652"/>
      <c r="H154" s="465" t="str">
        <f>EUconst_tCO2pTJ</f>
        <v>t CO2 / TJ</v>
      </c>
      <c r="I154" s="760"/>
      <c r="J154" s="760"/>
      <c r="K154" s="760"/>
      <c r="L154" s="760"/>
      <c r="M154" s="760"/>
      <c r="N154" s="661"/>
      <c r="O154" s="25"/>
      <c r="P154" s="979" t="str">
        <f>EUconst_CNTR_HeatImportEF &amp; I13</f>
        <v>HeatImEF_</v>
      </c>
      <c r="R154" s="971" t="str">
        <f>EUconst_CNTR_AttributedEmissions &amp; I13</f>
        <v>AttrEmissions_</v>
      </c>
      <c r="S154" s="137" t="str">
        <f>IF(S13,SUM(I153)*IF(ISNUMBER(I154),I154,EUconst_HeatBMvalueForBM),"")</f>
        <v/>
      </c>
      <c r="T154" s="137" t="str">
        <f>IF(T13,SUM(J153)*IF(ISNUMBER(J154),J154,EUconst_HeatBMvalueForBM),"")</f>
        <v/>
      </c>
      <c r="U154" s="137" t="str">
        <f>IF(U13,SUM(K153)*IF(ISNUMBER(K154),K154,EUconst_HeatBMvalueForBM),"")</f>
        <v/>
      </c>
      <c r="V154" s="137" t="str">
        <f>IF(V13,SUM(L153)*IF(ISNUMBER(L154),L154,EUconst_HeatBMvalueForBM),"")</f>
        <v/>
      </c>
      <c r="W154" s="138" t="str">
        <f>IF(W13,SUM(M153)*IF(ISNUMBER(M154),M154,EUconst_HeatBMvalueForBM),"")</f>
        <v/>
      </c>
    </row>
    <row r="155" spans="2:24" ht="5.0999999999999996" customHeight="1" x14ac:dyDescent="0.2">
      <c r="B155" s="224"/>
      <c r="C155" s="977"/>
      <c r="D155" s="978"/>
      <c r="E155" s="978"/>
      <c r="F155" s="978"/>
      <c r="G155" s="978"/>
      <c r="H155" s="978"/>
      <c r="I155" s="978"/>
      <c r="J155" s="978"/>
      <c r="K155" s="978"/>
      <c r="L155" s="978"/>
      <c r="M155" s="980"/>
      <c r="N155" s="661"/>
      <c r="O155" s="25"/>
      <c r="P155" s="955"/>
      <c r="R155" s="955"/>
      <c r="S155" s="955"/>
    </row>
    <row r="156" spans="2:24" ht="12.75" customHeight="1" x14ac:dyDescent="0.2">
      <c r="B156" s="224"/>
      <c r="C156" s="977"/>
      <c r="D156" s="978"/>
      <c r="E156" s="1653" t="str">
        <f>Translations!$B$766</f>
        <v>Īpašs importētais siltums</v>
      </c>
      <c r="F156" s="1653"/>
      <c r="G156" s="1653"/>
      <c r="H156" s="462" t="str">
        <f>EUconst_Unit</f>
        <v>Vienība</v>
      </c>
      <c r="I156" s="463">
        <f>I$1820</f>
        <v>2019</v>
      </c>
      <c r="J156" s="463">
        <f>J$1820</f>
        <v>2020</v>
      </c>
      <c r="K156" s="463">
        <f>K$1820</f>
        <v>2021</v>
      </c>
      <c r="L156" s="463">
        <f>L$1820</f>
        <v>2022</v>
      </c>
      <c r="M156" s="463">
        <f>M$1820</f>
        <v>2023</v>
      </c>
      <c r="N156" s="1205"/>
      <c r="O156" s="25"/>
      <c r="P156" s="955"/>
      <c r="R156" s="955"/>
      <c r="S156" s="955"/>
    </row>
    <row r="157" spans="2:24" ht="12.75" customHeight="1" x14ac:dyDescent="0.2">
      <c r="B157" s="224"/>
      <c r="C157" s="977"/>
      <c r="D157" s="695" t="s">
        <v>4</v>
      </c>
      <c r="E157" s="1651" t="str">
        <f>Translations!$B$767</f>
        <v>No pulpas apakšiekārtām importētais neto siltums</v>
      </c>
      <c r="F157" s="1652"/>
      <c r="G157" s="1652"/>
      <c r="H157" s="465" t="str">
        <f>EUconst_TJpa</f>
        <v>TJ / gads</v>
      </c>
      <c r="I157" s="550"/>
      <c r="J157" s="550"/>
      <c r="K157" s="550"/>
      <c r="L157" s="550"/>
      <c r="M157" s="550"/>
      <c r="N157" s="698"/>
      <c r="O157" s="25"/>
      <c r="P157" s="979" t="str">
        <f>EUconst_CNTR_HeatImportPulp &amp; I13</f>
        <v>HeatImPulp_</v>
      </c>
      <c r="R157" s="955"/>
      <c r="S157" s="955"/>
    </row>
    <row r="158" spans="2:24" ht="25.5" customHeight="1" x14ac:dyDescent="0.2">
      <c r="B158" s="224"/>
      <c r="C158" s="977"/>
      <c r="D158" s="695" t="s">
        <v>6</v>
      </c>
      <c r="E158" s="1651" t="str">
        <f>Translations!$B$768</f>
        <v>No slāpekļskābes apakšiekārtas importētais neto siltums</v>
      </c>
      <c r="F158" s="1652"/>
      <c r="G158" s="1652"/>
      <c r="H158" s="465" t="str">
        <f>EUconst_TJpa</f>
        <v>TJ / gads</v>
      </c>
      <c r="I158" s="483"/>
      <c r="J158" s="483"/>
      <c r="K158" s="483"/>
      <c r="L158" s="483"/>
      <c r="M158" s="483"/>
      <c r="N158" s="698"/>
      <c r="O158" s="25"/>
      <c r="P158" s="979" t="str">
        <f>EUconst_CNTR_HeatImportNitric &amp; I13</f>
        <v>HeatImNitric_</v>
      </c>
      <c r="R158" s="955"/>
      <c r="S158" s="955"/>
    </row>
    <row r="159" spans="2:24" ht="5.0999999999999996" customHeight="1" thickBot="1" x14ac:dyDescent="0.25">
      <c r="B159" s="224"/>
      <c r="C159" s="977"/>
      <c r="D159" s="978"/>
      <c r="E159" s="978"/>
      <c r="F159" s="978"/>
      <c r="G159" s="978"/>
      <c r="H159" s="978"/>
      <c r="I159" s="978"/>
      <c r="J159" s="978"/>
      <c r="K159" s="978"/>
      <c r="L159" s="978"/>
      <c r="M159" s="980"/>
      <c r="N159" s="661"/>
      <c r="O159" s="25"/>
      <c r="P159" s="955"/>
      <c r="R159" s="955"/>
      <c r="S159" s="955"/>
    </row>
    <row r="160" spans="2:24" ht="12.75" customHeight="1" x14ac:dyDescent="0.2">
      <c r="B160" s="224"/>
      <c r="C160" s="977"/>
      <c r="D160" s="978"/>
      <c r="E160" s="1653" t="str">
        <f>Translations!$B$769</f>
        <v>Kopējais eksportētais siltums</v>
      </c>
      <c r="F160" s="1653"/>
      <c r="G160" s="1653"/>
      <c r="H160" s="462" t="str">
        <f>EUconst_Unit</f>
        <v>Vienība</v>
      </c>
      <c r="I160" s="463">
        <f>I$1820</f>
        <v>2019</v>
      </c>
      <c r="J160" s="463">
        <f>J$1820</f>
        <v>2020</v>
      </c>
      <c r="K160" s="463">
        <f>K$1820</f>
        <v>2021</v>
      </c>
      <c r="L160" s="463">
        <f>L$1820</f>
        <v>2022</v>
      </c>
      <c r="M160" s="463">
        <f>M$1820</f>
        <v>2023</v>
      </c>
      <c r="N160" s="1205"/>
      <c r="O160" s="25"/>
      <c r="P160" s="955"/>
      <c r="R160" s="970"/>
      <c r="S160" s="809">
        <f>I160</f>
        <v>2019</v>
      </c>
      <c r="T160" s="809">
        <f>J160</f>
        <v>2020</v>
      </c>
      <c r="U160" s="809">
        <f>K160</f>
        <v>2021</v>
      </c>
      <c r="V160" s="809">
        <f>L160</f>
        <v>2022</v>
      </c>
      <c r="W160" s="810">
        <f>M160</f>
        <v>2023</v>
      </c>
    </row>
    <row r="161" spans="2:27" ht="12.75" customHeight="1" x14ac:dyDescent="0.2">
      <c r="B161" s="224"/>
      <c r="C161" s="977"/>
      <c r="D161" s="695" t="s">
        <v>303</v>
      </c>
      <c r="E161" s="1651" t="str">
        <f>Translations!$B$770</f>
        <v>Neto eksportētais siltums</v>
      </c>
      <c r="F161" s="1652"/>
      <c r="G161" s="1652"/>
      <c r="H161" s="465" t="str">
        <f>EUconst_TJpa</f>
        <v>TJ / gads</v>
      </c>
      <c r="I161" s="483"/>
      <c r="J161" s="483"/>
      <c r="K161" s="483"/>
      <c r="L161" s="483"/>
      <c r="M161" s="483"/>
      <c r="N161" s="698"/>
      <c r="O161" s="25"/>
      <c r="P161" s="979" t="str">
        <f>EUconst_CNTR_HeatExport &amp; I13</f>
        <v>HeatEx_</v>
      </c>
      <c r="R161" s="981" t="str">
        <f>EUconst_ERR_AttrEmBMapplied &amp; I13</f>
        <v>ERR_AttrEmBM_ </v>
      </c>
      <c r="S161" s="134">
        <f>IF(AND(I161&lt;&gt;0,I162="",EUconst_StatusOfDataCollection=""),1,0)</f>
        <v>0</v>
      </c>
      <c r="T161" s="134">
        <f>IF(AND(J161&lt;&gt;0,J162="",EUconst_StatusOfDataCollection=""),1,0)</f>
        <v>0</v>
      </c>
      <c r="U161" s="134">
        <f>IF(AND(K161&lt;&gt;0,K162="",EUconst_StatusOfDataCollection=""),1,0)</f>
        <v>0</v>
      </c>
      <c r="V161" s="134">
        <f>IF(AND(L161&lt;&gt;0,L162="",EUconst_StatusOfDataCollection=""),1,0)</f>
        <v>0</v>
      </c>
      <c r="W161" s="135">
        <f>IF(AND(M161&lt;&gt;0,M162="",EUconst_StatusOfDataCollection=""),1,0)</f>
        <v>0</v>
      </c>
    </row>
    <row r="162" spans="2:27" ht="12.75" customHeight="1" thickBot="1" x14ac:dyDescent="0.25">
      <c r="B162" s="224"/>
      <c r="C162" s="977"/>
      <c r="D162" s="695" t="s">
        <v>304</v>
      </c>
      <c r="E162" s="1651" t="str">
        <f>Translations!$B$771</f>
        <v>Īpatnējais EF (eksportētais siltums)</v>
      </c>
      <c r="F162" s="1652"/>
      <c r="G162" s="1652"/>
      <c r="H162" s="465" t="str">
        <f>EUconst_tCO2pTJ</f>
        <v>t CO2 / TJ</v>
      </c>
      <c r="I162" s="760"/>
      <c r="J162" s="760"/>
      <c r="K162" s="760"/>
      <c r="L162" s="760"/>
      <c r="M162" s="760"/>
      <c r="N162" s="661"/>
      <c r="O162" s="25"/>
      <c r="P162" s="979" t="str">
        <f>EUconst_CNTR_HeatExportEF &amp; I13</f>
        <v>HeatExEF_</v>
      </c>
      <c r="R162" s="971" t="str">
        <f>EUconst_CNTR_AttributedEmissions &amp; I13</f>
        <v>AttrEmissions_</v>
      </c>
      <c r="S162" s="137" t="str">
        <f>IF(S13,-SUM(I161)*IF(INDEX(EUconst_BMlistMainNumberOfBM,MATCH($I13,EUconst_BMlistNames,0))=39,0,IF(ISNUMBER(I162),I162,EUconst_HeatBMvalueForBM)),"")</f>
        <v/>
      </c>
      <c r="T162" s="137" t="str">
        <f>IF(T13,-SUM(J161)*IF(INDEX(EUconst_BMlistMainNumberOfBM,MATCH($I13,EUconst_BMlistNames,0))=39,0,IF(ISNUMBER(J162),J162,EUconst_HeatBMvalueForBM)),"")</f>
        <v/>
      </c>
      <c r="U162" s="137" t="str">
        <f>IF(U13,-SUM(K161)*IF(INDEX(EUconst_BMlistMainNumberOfBM,MATCH($I13,EUconst_BMlistNames,0))=39,0,IF(ISNUMBER(K162),K162,EUconst_HeatBMvalueForBM)),"")</f>
        <v/>
      </c>
      <c r="V162" s="137" t="str">
        <f>IF(V13,-SUM(L161)*IF(INDEX(EUconst_BMlistMainNumberOfBM,MATCH($I13,EUconst_BMlistNames,0))=39,0,IF(ISNUMBER(L162),L162,EUconst_HeatBMvalueForBM)),"")</f>
        <v/>
      </c>
      <c r="W162" s="138" t="str">
        <f>IF(W13,-SUM(M161)*IF(INDEX(EUconst_BMlistMainNumberOfBM,MATCH($I13,EUconst_BMlistNames,0))=39,0,IF(ISNUMBER(M162),M162,EUconst_HeatBMvalueForBM)),"")</f>
        <v/>
      </c>
    </row>
    <row r="163" spans="2:27" ht="12.75" customHeight="1" x14ac:dyDescent="0.2">
      <c r="B163" s="224"/>
      <c r="C163" s="977"/>
      <c r="D163" s="978"/>
      <c r="E163" s="978"/>
      <c r="F163" s="978"/>
      <c r="G163" s="978"/>
      <c r="H163" s="978"/>
      <c r="I163" s="978"/>
      <c r="J163" s="978"/>
      <c r="K163" s="978"/>
      <c r="L163" s="978"/>
      <c r="M163" s="980"/>
      <c r="N163" s="661"/>
      <c r="O163" s="25"/>
      <c r="P163" s="955"/>
      <c r="R163" s="955"/>
      <c r="S163" s="955"/>
    </row>
    <row r="164" spans="2:27" ht="12.75" customHeight="1" x14ac:dyDescent="0.2">
      <c r="B164" s="224"/>
      <c r="C164" s="977"/>
      <c r="D164" s="474" t="s">
        <v>213</v>
      </c>
      <c r="E164" s="1654" t="str">
        <f>Translations!$B$772</f>
        <v>Šīs apakšiekārtas atlikumgāzu bilance</v>
      </c>
      <c r="F164" s="1655"/>
      <c r="G164" s="1655"/>
      <c r="H164" s="1655"/>
      <c r="I164" s="1655"/>
      <c r="J164" s="1655"/>
      <c r="K164" s="1655"/>
      <c r="L164" s="1655"/>
      <c r="M164" s="1655"/>
      <c r="N164" s="1656"/>
      <c r="O164" s="25"/>
      <c r="P164" s="955"/>
      <c r="R164" s="955"/>
      <c r="S164" s="955"/>
    </row>
    <row r="165" spans="2:27" ht="5.0999999999999996" customHeight="1" thickBot="1" x14ac:dyDescent="0.25">
      <c r="B165" s="224"/>
      <c r="C165" s="977"/>
      <c r="D165" s="978"/>
      <c r="E165" s="1727"/>
      <c r="F165" s="1727"/>
      <c r="G165" s="1727"/>
      <c r="H165" s="1727"/>
      <c r="I165" s="1727"/>
      <c r="J165" s="1727"/>
      <c r="K165" s="1727"/>
      <c r="L165" s="1727"/>
      <c r="M165" s="1727"/>
      <c r="N165" s="1734"/>
      <c r="O165" s="25"/>
      <c r="P165" s="955"/>
      <c r="R165" s="955"/>
      <c r="S165" s="955"/>
    </row>
    <row r="166" spans="2:27" ht="12.75" customHeight="1" thickBot="1" x14ac:dyDescent="0.25">
      <c r="B166" s="224"/>
      <c r="C166" s="977"/>
      <c r="D166" s="695" t="s">
        <v>2</v>
      </c>
      <c r="E166" s="1735" t="str">
        <f>Translations!$B$773</f>
        <v>Vai atlikumgāzes ir šai apakšiekārtai relevantas?</v>
      </c>
      <c r="F166" s="1735"/>
      <c r="G166" s="1735"/>
      <c r="H166" s="1735"/>
      <c r="I166" s="1735"/>
      <c r="J166" s="1735"/>
      <c r="K166" s="1736"/>
      <c r="L166" s="527"/>
      <c r="M166" s="1202"/>
      <c r="N166" s="1203"/>
      <c r="O166" s="25"/>
      <c r="P166" s="955"/>
      <c r="R166" s="955"/>
      <c r="W166" s="966" t="s">
        <v>398</v>
      </c>
      <c r="X166" s="964" t="b">
        <f>IF(AND(I13&lt;&gt;"",ISBLANK(L166)),EUconst_Error&amp;"BM"&amp;C13,FALSE)</f>
        <v>0</v>
      </c>
    </row>
    <row r="167" spans="2:27" ht="12.75" customHeight="1" thickBot="1" x14ac:dyDescent="0.25">
      <c r="B167" s="224"/>
      <c r="C167" s="977"/>
      <c r="D167" s="978"/>
      <c r="E167" s="1727" t="str">
        <f>Translations!$B$774</f>
        <v>Ja atbilde ir “APLAMS” (“FALSE”), visa sadaļa tiks iezīmēta pelēka un varat pāriet pie nākamajiem punktiem.</v>
      </c>
      <c r="F167" s="1655"/>
      <c r="G167" s="1655"/>
      <c r="H167" s="1655"/>
      <c r="I167" s="1655"/>
      <c r="J167" s="1655"/>
      <c r="K167" s="1655"/>
      <c r="L167" s="1655"/>
      <c r="M167" s="1655"/>
      <c r="N167" s="1656"/>
      <c r="O167" s="25"/>
      <c r="P167" s="955"/>
      <c r="R167" s="955"/>
      <c r="AA167" s="437" t="s">
        <v>262</v>
      </c>
    </row>
    <row r="168" spans="2:27" ht="12.75" customHeight="1" x14ac:dyDescent="0.2">
      <c r="B168" s="224"/>
      <c r="C168" s="977"/>
      <c r="D168" s="695" t="s">
        <v>3</v>
      </c>
      <c r="E168" s="1663" t="str">
        <f>Translations!$B$775</f>
        <v>Radušos atlikumgāzu veidi:</v>
      </c>
      <c r="F168" s="1663"/>
      <c r="G168" s="1663"/>
      <c r="H168" s="1663"/>
      <c r="I168" s="1664"/>
      <c r="J168" s="1665"/>
      <c r="K168" s="1665"/>
      <c r="L168" s="1665"/>
      <c r="M168" s="1666"/>
      <c r="N168" s="1203"/>
      <c r="O168" s="25"/>
      <c r="P168" s="955"/>
      <c r="R168" s="955"/>
      <c r="AA168" s="643" t="b">
        <f>IF(I13&lt;&gt;"",AND(L166&lt;&gt;"",L166=FALSE),FALSE)</f>
        <v>0</v>
      </c>
    </row>
    <row r="169" spans="2:27" ht="12.75" customHeight="1" x14ac:dyDescent="0.2">
      <c r="B169" s="224"/>
      <c r="C169" s="977"/>
      <c r="D169" s="978"/>
      <c r="E169" s="1727" t="str">
        <f>Translations!$B$776</f>
        <v>Varat izvēlēties, vai tās norādīt tonnās vai 1000 Nm3. Mērvienībām jāatbilst tām, kas zemāk izmantotas NCV un EF.</v>
      </c>
      <c r="F169" s="1655"/>
      <c r="G169" s="1655"/>
      <c r="H169" s="1655"/>
      <c r="I169" s="1655"/>
      <c r="J169" s="1655"/>
      <c r="K169" s="1655"/>
      <c r="L169" s="1655"/>
      <c r="M169" s="1655"/>
      <c r="N169" s="1656"/>
      <c r="O169" s="25"/>
      <c r="P169" s="955"/>
      <c r="R169" s="955"/>
      <c r="S169" s="955"/>
      <c r="AA169" s="607"/>
    </row>
    <row r="170" spans="2:27" ht="12.75" customHeight="1" x14ac:dyDescent="0.2">
      <c r="B170" s="224"/>
      <c r="C170" s="977"/>
      <c r="D170" s="978"/>
      <c r="E170" s="1723" t="str">
        <f>Translations!$B$730</f>
        <v>Šeit sniegtie dati tiek izmantoti tikai konsekvences pārbaudei, un tiem nav tiešas ietekmes ne uz attiecināmajām emisijām, ne iedales apjomu.</v>
      </c>
      <c r="F170" s="1654"/>
      <c r="G170" s="1654"/>
      <c r="H170" s="1654"/>
      <c r="I170" s="1654"/>
      <c r="J170" s="1654"/>
      <c r="K170" s="1654"/>
      <c r="L170" s="1654"/>
      <c r="M170" s="1654"/>
      <c r="N170" s="1724"/>
      <c r="O170" s="25"/>
      <c r="P170" s="955"/>
      <c r="R170" s="955"/>
      <c r="S170" s="955"/>
      <c r="AA170" s="607"/>
    </row>
    <row r="171" spans="2:27" ht="12.75" customHeight="1" x14ac:dyDescent="0.2">
      <c r="B171" s="224"/>
      <c r="C171" s="977"/>
      <c r="D171" s="978"/>
      <c r="E171" s="1653"/>
      <c r="F171" s="1657"/>
      <c r="G171" s="1657"/>
      <c r="H171" s="462" t="str">
        <f>EUconst_Unit</f>
        <v>Vienība</v>
      </c>
      <c r="I171" s="463">
        <f>I$1820</f>
        <v>2019</v>
      </c>
      <c r="J171" s="463">
        <f>J$1820</f>
        <v>2020</v>
      </c>
      <c r="K171" s="463">
        <f>K$1820</f>
        <v>2021</v>
      </c>
      <c r="L171" s="463">
        <f>L$1820</f>
        <v>2022</v>
      </c>
      <c r="M171" s="463">
        <f>M$1820</f>
        <v>2023</v>
      </c>
      <c r="N171" s="1205"/>
      <c r="O171" s="25"/>
      <c r="P171" s="955"/>
      <c r="R171" s="955"/>
      <c r="S171" s="955"/>
      <c r="AA171" s="607"/>
    </row>
    <row r="172" spans="2:27" ht="12.75" customHeight="1" x14ac:dyDescent="0.2">
      <c r="B172" s="224"/>
      <c r="C172" s="977"/>
      <c r="D172" s="695" t="s">
        <v>4</v>
      </c>
      <c r="E172" s="1667" t="str">
        <f>Translations!$B$777</f>
        <v>Radušies daudzumi</v>
      </c>
      <c r="F172" s="1660"/>
      <c r="G172" s="1660"/>
      <c r="H172" s="245" t="s">
        <v>249</v>
      </c>
      <c r="I172" s="484"/>
      <c r="J172" s="484"/>
      <c r="K172" s="484"/>
      <c r="L172" s="484"/>
      <c r="M172" s="484"/>
      <c r="N172" s="1205"/>
      <c r="O172" s="25"/>
      <c r="P172" s="955"/>
      <c r="R172" s="955"/>
      <c r="S172" s="955"/>
      <c r="AA172" s="361" t="b">
        <f>AA168</f>
        <v>0</v>
      </c>
    </row>
    <row r="173" spans="2:27" ht="12.75" customHeight="1" x14ac:dyDescent="0.2">
      <c r="B173" s="224"/>
      <c r="C173" s="977"/>
      <c r="D173" s="695" t="s">
        <v>6</v>
      </c>
      <c r="E173" s="1737" t="str">
        <f>Translations!$B$470</f>
        <v>Zemākā siltumspēja</v>
      </c>
      <c r="F173" s="1659"/>
      <c r="G173" s="1659"/>
      <c r="H173" s="74" t="e">
        <f>IF(ISBLANK(H172),EUconst_GJperUnit,INDEX(EUconst_GJperTorKNm3,MATCH(H172,EUconst_TonnesOrkNm3pa,0)))</f>
        <v>#N/A</v>
      </c>
      <c r="I173" s="458"/>
      <c r="J173" s="458"/>
      <c r="K173" s="458"/>
      <c r="L173" s="458"/>
      <c r="M173" s="458"/>
      <c r="N173" s="1205"/>
      <c r="O173" s="25"/>
      <c r="R173" s="955"/>
      <c r="S173" s="955"/>
      <c r="T173" s="955"/>
      <c r="U173" s="955"/>
      <c r="V173" s="955"/>
      <c r="W173" s="955"/>
      <c r="AA173" s="361" t="b">
        <f>AA172</f>
        <v>0</v>
      </c>
    </row>
    <row r="174" spans="2:27" ht="12.75" customHeight="1" x14ac:dyDescent="0.2">
      <c r="B174" s="224"/>
      <c r="C174" s="977"/>
      <c r="D174" s="695" t="s">
        <v>303</v>
      </c>
      <c r="E174" s="1651" t="str">
        <f>Translations!$B$778</f>
        <v>Radusies atlikumgāze</v>
      </c>
      <c r="F174" s="1652"/>
      <c r="G174" s="1652"/>
      <c r="H174" s="465" t="str">
        <f>EUconst_TJpa</f>
        <v>TJ / gads</v>
      </c>
      <c r="I174" s="523" t="str">
        <f>IF(COUNT(I172:I173)=2,I172*I173/1000,"")</f>
        <v/>
      </c>
      <c r="J174" s="523" t="str">
        <f>IF(COUNT(J172:J173)=2,J172*J173/1000,"")</f>
        <v/>
      </c>
      <c r="K174" s="523" t="str">
        <f>IF(COUNT(K172:K173)=2,K172*K173/1000,"")</f>
        <v/>
      </c>
      <c r="L174" s="523" t="str">
        <f>IF(COUNT(L172:L173)=2,L172*L173/1000,"")</f>
        <v/>
      </c>
      <c r="M174" s="523" t="str">
        <f>IF(COUNT(M172:M173)=2,M172*M173/1000,"")</f>
        <v/>
      </c>
      <c r="N174" s="1205"/>
      <c r="O174" s="25"/>
      <c r="P174" s="979" t="str">
        <f>EUconst_CNTR_WGProduced &amp; I13</f>
        <v>WasteGasProd_</v>
      </c>
      <c r="R174" s="955"/>
      <c r="S174" s="955"/>
      <c r="T174" s="955"/>
      <c r="U174" s="955"/>
      <c r="V174" s="955"/>
      <c r="W174" s="955"/>
      <c r="AA174" s="607"/>
    </row>
    <row r="175" spans="2:27" ht="12.75" customHeight="1" x14ac:dyDescent="0.2">
      <c r="B175" s="224"/>
      <c r="C175" s="977"/>
      <c r="D175" s="695" t="s">
        <v>304</v>
      </c>
      <c r="E175" s="1651" t="str">
        <f>Translations!$B$779</f>
        <v>Īpatnējais EF (radusies atlikumgāze)</v>
      </c>
      <c r="F175" s="1652"/>
      <c r="G175" s="1652"/>
      <c r="H175" s="465" t="str">
        <f>EUconst_tCO2pTJ</f>
        <v>t CO2 / TJ</v>
      </c>
      <c r="I175" s="483"/>
      <c r="J175" s="483"/>
      <c r="K175" s="483"/>
      <c r="L175" s="483"/>
      <c r="M175" s="483"/>
      <c r="N175" s="661"/>
      <c r="O175" s="25"/>
      <c r="P175" s="979" t="str">
        <f>EUconst_CNTR_WGProducedEF &amp; I13</f>
        <v>WasteGasProdEF_</v>
      </c>
      <c r="R175" s="955"/>
      <c r="S175" s="955"/>
      <c r="T175" s="955"/>
      <c r="U175" s="955"/>
      <c r="V175" s="955"/>
      <c r="W175" s="955"/>
      <c r="AA175" s="361" t="b">
        <f>AA173</f>
        <v>0</v>
      </c>
    </row>
    <row r="176" spans="2:27" ht="12.75" customHeight="1" x14ac:dyDescent="0.2">
      <c r="B176" s="224"/>
      <c r="C176" s="977"/>
      <c r="D176" s="978"/>
      <c r="E176" s="978"/>
      <c r="F176" s="978"/>
      <c r="G176" s="978"/>
      <c r="H176" s="978"/>
      <c r="I176" s="978"/>
      <c r="J176" s="978"/>
      <c r="K176" s="978"/>
      <c r="L176" s="978"/>
      <c r="M176" s="980"/>
      <c r="N176" s="661"/>
      <c r="O176" s="25"/>
      <c r="P176" s="955"/>
      <c r="R176" s="955"/>
      <c r="S176" s="955"/>
      <c r="T176" s="955"/>
      <c r="U176" s="955"/>
      <c r="V176" s="955"/>
      <c r="W176" s="955"/>
      <c r="AA176" s="607"/>
    </row>
    <row r="177" spans="2:27" ht="12.75" customHeight="1" x14ac:dyDescent="0.2">
      <c r="B177" s="224"/>
      <c r="C177" s="977"/>
      <c r="D177" s="695" t="s">
        <v>305</v>
      </c>
      <c r="E177" s="1663" t="str">
        <f>Translations!$B$780</f>
        <v>Patērēto atlikumgāzu veidi:</v>
      </c>
      <c r="F177" s="1663"/>
      <c r="G177" s="1663"/>
      <c r="H177" s="1663"/>
      <c r="I177" s="1664"/>
      <c r="J177" s="1665"/>
      <c r="K177" s="1665"/>
      <c r="L177" s="1665"/>
      <c r="M177" s="1666"/>
      <c r="N177" s="1203"/>
      <c r="O177" s="25"/>
      <c r="P177" s="955"/>
      <c r="R177" s="955"/>
      <c r="S177" s="955"/>
      <c r="T177" s="955"/>
      <c r="U177" s="955"/>
      <c r="V177" s="955"/>
      <c r="W177" s="955"/>
      <c r="AA177" s="361" t="b">
        <f>AA175</f>
        <v>0</v>
      </c>
    </row>
    <row r="178" spans="2:27" ht="25.5" customHeight="1" x14ac:dyDescent="0.2">
      <c r="B178" s="224"/>
      <c r="C178" s="977"/>
      <c r="D178" s="695"/>
      <c r="E178" s="1727" t="str">
        <f>Translations!$B$781</f>
        <v>Te ietilpst visu veidu atlikumgāzes, kas šajā apakšiekārtā tiek patērētas izmērāma siltuma ieguvei, neizmērāma siltuma ieguvei (arī sadedzināšana lāpā drošības apsvērumu dēļ) vai mehāniskās enerģijas ieguvei (izņemot nolūkā saražot elektroenerģiju). Daudzumi, kas tiek sadedzināti lāpā, bet ne drošības apsvērumu dēļ, jānorāda nākamajā punktā.</v>
      </c>
      <c r="F178" s="1655"/>
      <c r="G178" s="1655"/>
      <c r="H178" s="1655"/>
      <c r="I178" s="1655"/>
      <c r="J178" s="1655"/>
      <c r="K178" s="1655"/>
      <c r="L178" s="1655"/>
      <c r="M178" s="1655"/>
      <c r="N178" s="1656"/>
      <c r="O178" s="25"/>
      <c r="P178" s="955"/>
      <c r="R178" s="955"/>
      <c r="S178" s="955"/>
      <c r="T178" s="955"/>
      <c r="U178" s="955"/>
      <c r="V178" s="955"/>
      <c r="W178" s="955"/>
      <c r="AA178" s="607"/>
    </row>
    <row r="179" spans="2:27" ht="12.75" customHeight="1" x14ac:dyDescent="0.2">
      <c r="B179" s="224"/>
      <c r="C179" s="977"/>
      <c r="D179" s="978"/>
      <c r="E179" s="1723" t="str">
        <f>Translations!$B$730</f>
        <v>Šeit sniegtie dati tiek izmantoti tikai konsekvences pārbaudei, un tiem nav tiešas ietekmes ne uz attiecināmajām emisijām, ne iedales apjomu.</v>
      </c>
      <c r="F179" s="1654"/>
      <c r="G179" s="1654"/>
      <c r="H179" s="1654"/>
      <c r="I179" s="1654"/>
      <c r="J179" s="1654"/>
      <c r="K179" s="1654"/>
      <c r="L179" s="1654"/>
      <c r="M179" s="1654"/>
      <c r="N179" s="1724"/>
      <c r="O179" s="25"/>
      <c r="P179" s="955"/>
      <c r="R179" s="955"/>
      <c r="S179" s="955"/>
      <c r="T179" s="955"/>
      <c r="U179" s="955"/>
      <c r="V179" s="955"/>
      <c r="W179" s="955"/>
      <c r="AA179" s="607"/>
    </row>
    <row r="180" spans="2:27" ht="12.75" customHeight="1" x14ac:dyDescent="0.2">
      <c r="B180" s="224"/>
      <c r="C180" s="977"/>
      <c r="D180" s="978"/>
      <c r="E180" s="1653"/>
      <c r="F180" s="1657"/>
      <c r="G180" s="1657"/>
      <c r="H180" s="462" t="str">
        <f>EUconst_Unit</f>
        <v>Vienība</v>
      </c>
      <c r="I180" s="463">
        <f>I$1820</f>
        <v>2019</v>
      </c>
      <c r="J180" s="463">
        <f>J$1820</f>
        <v>2020</v>
      </c>
      <c r="K180" s="463">
        <f>K$1820</f>
        <v>2021</v>
      </c>
      <c r="L180" s="463">
        <f>L$1820</f>
        <v>2022</v>
      </c>
      <c r="M180" s="463">
        <f>M$1820</f>
        <v>2023</v>
      </c>
      <c r="N180" s="1205"/>
      <c r="O180" s="25"/>
      <c r="P180" s="955"/>
      <c r="R180" s="955"/>
      <c r="S180" s="955"/>
      <c r="T180" s="955"/>
      <c r="U180" s="955"/>
      <c r="V180" s="955"/>
      <c r="W180" s="955"/>
      <c r="AA180" s="607"/>
    </row>
    <row r="181" spans="2:27" ht="12.75" customHeight="1" x14ac:dyDescent="0.2">
      <c r="B181" s="224"/>
      <c r="C181" s="977"/>
      <c r="D181" s="695" t="s">
        <v>306</v>
      </c>
      <c r="E181" s="1667" t="str">
        <f>Translations!$B$782</f>
        <v>Patērētie daudzumi</v>
      </c>
      <c r="F181" s="1660"/>
      <c r="G181" s="1660"/>
      <c r="H181" s="245" t="s">
        <v>249</v>
      </c>
      <c r="I181" s="484"/>
      <c r="J181" s="484"/>
      <c r="K181" s="484"/>
      <c r="L181" s="484"/>
      <c r="M181" s="484"/>
      <c r="N181" s="1205"/>
      <c r="O181" s="25"/>
      <c r="P181" s="955"/>
      <c r="R181" s="955"/>
      <c r="S181" s="955"/>
      <c r="T181" s="955"/>
      <c r="U181" s="955"/>
      <c r="V181" s="955"/>
      <c r="W181" s="955"/>
      <c r="AA181" s="361" t="b">
        <f>AA177</f>
        <v>0</v>
      </c>
    </row>
    <row r="182" spans="2:27" ht="12.75" customHeight="1" x14ac:dyDescent="0.2">
      <c r="B182" s="224"/>
      <c r="C182" s="977"/>
      <c r="D182" s="695" t="s">
        <v>307</v>
      </c>
      <c r="E182" s="1737" t="str">
        <f>Translations!$B$470</f>
        <v>Zemākā siltumspēja</v>
      </c>
      <c r="F182" s="1659"/>
      <c r="G182" s="1659"/>
      <c r="H182" s="74" t="e">
        <f>IF(ISBLANK(H181),EUconst_GJperUnit,INDEX(EUconst_GJperTorKNm3,MATCH(H181,EUconst_TonnesOrkNm3pa,0)))</f>
        <v>#N/A</v>
      </c>
      <c r="I182" s="458"/>
      <c r="J182" s="458"/>
      <c r="K182" s="458"/>
      <c r="L182" s="458"/>
      <c r="M182" s="458"/>
      <c r="N182" s="1205"/>
      <c r="O182" s="25"/>
      <c r="R182" s="955"/>
      <c r="S182" s="955"/>
      <c r="T182" s="955"/>
      <c r="U182" s="955"/>
      <c r="V182" s="955"/>
      <c r="W182" s="955"/>
      <c r="AA182" s="361" t="b">
        <f>AA181</f>
        <v>0</v>
      </c>
    </row>
    <row r="183" spans="2:27" ht="12.75" customHeight="1" x14ac:dyDescent="0.2">
      <c r="B183" s="224"/>
      <c r="C183" s="977"/>
      <c r="D183" s="695" t="s">
        <v>15</v>
      </c>
      <c r="E183" s="1651" t="str">
        <f>Translations!$B$783</f>
        <v>Patērētā atlikumgāze</v>
      </c>
      <c r="F183" s="1652"/>
      <c r="G183" s="1652"/>
      <c r="H183" s="465" t="str">
        <f>EUconst_TJpa</f>
        <v>TJ / gads</v>
      </c>
      <c r="I183" s="523" t="str">
        <f>IF(COUNT(I181:I182)=2,I181*I182/1000,"")</f>
        <v/>
      </c>
      <c r="J183" s="523" t="str">
        <f>IF(COUNT(J181:J182)=2,J181*J182/1000,"")</f>
        <v/>
      </c>
      <c r="K183" s="523" t="str">
        <f>IF(COUNT(K181:K182)=2,K181*K182/1000,"")</f>
        <v/>
      </c>
      <c r="L183" s="523" t="str">
        <f>IF(COUNT(L181:L182)=2,L181*L182/1000,"")</f>
        <v/>
      </c>
      <c r="M183" s="523" t="str">
        <f>IF(COUNT(M181:M182)=2,M181*M182/1000,"")</f>
        <v/>
      </c>
      <c r="N183" s="1205"/>
      <c r="O183" s="25"/>
      <c r="P183" s="979" t="str">
        <f>EUconst_CNTR_WGConsumed &amp; I13</f>
        <v>WasteGasCons_</v>
      </c>
      <c r="R183" s="955"/>
      <c r="S183" s="955"/>
      <c r="T183" s="955"/>
      <c r="U183" s="955"/>
      <c r="V183" s="955"/>
      <c r="W183" s="955"/>
      <c r="AA183" s="607"/>
    </row>
    <row r="184" spans="2:27" ht="12.75" customHeight="1" x14ac:dyDescent="0.2">
      <c r="B184" s="224"/>
      <c r="C184" s="977"/>
      <c r="D184" s="695" t="s">
        <v>16</v>
      </c>
      <c r="E184" s="1651" t="str">
        <f>Translations!$B$784</f>
        <v>Īpatnējais EF (patērētā atlikumgāze)</v>
      </c>
      <c r="F184" s="1652"/>
      <c r="G184" s="1652"/>
      <c r="H184" s="465" t="str">
        <f>EUconst_tCO2pTJ</f>
        <v>t CO2 / TJ</v>
      </c>
      <c r="I184" s="483"/>
      <c r="J184" s="483"/>
      <c r="K184" s="483"/>
      <c r="L184" s="483"/>
      <c r="M184" s="483"/>
      <c r="N184" s="661"/>
      <c r="O184" s="25"/>
      <c r="P184" s="979" t="str">
        <f>EUconst_CNTR_WGConsumedEF &amp; I13</f>
        <v>WasteGasConsEF_</v>
      </c>
      <c r="R184" s="955"/>
      <c r="S184" s="955"/>
      <c r="T184" s="955"/>
      <c r="U184" s="955"/>
      <c r="V184" s="955"/>
      <c r="W184" s="955"/>
      <c r="AA184" s="361" t="b">
        <f>AA182</f>
        <v>0</v>
      </c>
    </row>
    <row r="185" spans="2:27" ht="12.75" customHeight="1" x14ac:dyDescent="0.2">
      <c r="B185" s="224"/>
      <c r="C185" s="977"/>
      <c r="D185" s="978"/>
      <c r="E185" s="978"/>
      <c r="F185" s="978"/>
      <c r="G185" s="978"/>
      <c r="H185" s="978"/>
      <c r="I185" s="978"/>
      <c r="J185" s="978"/>
      <c r="K185" s="978"/>
      <c r="L185" s="978"/>
      <c r="M185" s="980"/>
      <c r="N185" s="661"/>
      <c r="O185" s="25"/>
      <c r="P185" s="955"/>
      <c r="R185" s="955"/>
      <c r="S185" s="955"/>
      <c r="AA185" s="607"/>
    </row>
    <row r="186" spans="2:27" ht="12.75" customHeight="1" x14ac:dyDescent="0.2">
      <c r="B186" s="224"/>
      <c r="C186" s="977"/>
      <c r="D186" s="695" t="s">
        <v>17</v>
      </c>
      <c r="E186" s="1663" t="str">
        <f>Translations!$B$785</f>
        <v>Lāpā sadedzināto atlikumgāzu veidi:</v>
      </c>
      <c r="F186" s="1663"/>
      <c r="G186" s="1663"/>
      <c r="H186" s="1663"/>
      <c r="I186" s="1664"/>
      <c r="J186" s="1665"/>
      <c r="K186" s="1665"/>
      <c r="L186" s="1665"/>
      <c r="M186" s="1666"/>
      <c r="N186" s="1203"/>
      <c r="O186" s="25"/>
      <c r="P186" s="955"/>
      <c r="R186" s="955"/>
      <c r="AA186" s="361" t="b">
        <f>AA175</f>
        <v>0</v>
      </c>
    </row>
    <row r="187" spans="2:27" ht="12.75" customHeight="1" x14ac:dyDescent="0.2">
      <c r="B187" s="224"/>
      <c r="C187" s="977"/>
      <c r="D187" s="695"/>
      <c r="E187" s="1727" t="str">
        <f>Translations!$B$786</f>
        <v>Te ietilpst visu veidu atlikumgāzes, ko galu galā sadedzina lāpā (bet ne drošības apsvērumu dēļ) vai nu šajā apakšiekārtā, vai ārpus tās.</v>
      </c>
      <c r="F187" s="1655"/>
      <c r="G187" s="1655"/>
      <c r="H187" s="1655"/>
      <c r="I187" s="1655"/>
      <c r="J187" s="1655"/>
      <c r="K187" s="1655"/>
      <c r="L187" s="1655"/>
      <c r="M187" s="1655"/>
      <c r="N187" s="1656"/>
      <c r="O187" s="25"/>
      <c r="P187" s="955"/>
      <c r="S187" s="955"/>
      <c r="AA187" s="607"/>
    </row>
    <row r="188" spans="2:27" ht="12.75" customHeight="1" x14ac:dyDescent="0.2">
      <c r="B188" s="224"/>
      <c r="C188" s="977"/>
      <c r="D188" s="978"/>
      <c r="E188" s="1727" t="str">
        <f>Translations!$B$787</f>
        <v>Šeit sniegtie dati tiek izmantoti tikai konsekvences pārbaudei, un tiem nav tiešas ietekmes uz attiecināmajām emisijām.</v>
      </c>
      <c r="F188" s="1728"/>
      <c r="G188" s="1728"/>
      <c r="H188" s="1728"/>
      <c r="I188" s="1728"/>
      <c r="J188" s="1728"/>
      <c r="K188" s="1728"/>
      <c r="L188" s="1728"/>
      <c r="M188" s="1728"/>
      <c r="N188" s="1729"/>
      <c r="O188" s="25"/>
      <c r="P188" s="955"/>
      <c r="R188" s="955"/>
      <c r="S188" s="955"/>
      <c r="AA188" s="607"/>
    </row>
    <row r="189" spans="2:27" ht="12.75" customHeight="1" x14ac:dyDescent="0.2">
      <c r="B189" s="224"/>
      <c r="C189" s="977"/>
      <c r="D189" s="978"/>
      <c r="E189" s="1723" t="str">
        <f>Translations!$B$788</f>
        <v>Tomēr no 2026. gada tiks samazināts iedales apjoms attiecībā uz atlikumgāzu sadedzināšanu lāpā (izņemot sadedzināšanu drošības apsvērumu dēļ).</v>
      </c>
      <c r="F189" s="1654"/>
      <c r="G189" s="1654"/>
      <c r="H189" s="1654"/>
      <c r="I189" s="1654"/>
      <c r="J189" s="1654"/>
      <c r="K189" s="1654"/>
      <c r="L189" s="1654"/>
      <c r="M189" s="1654"/>
      <c r="N189" s="1724"/>
      <c r="O189" s="25"/>
      <c r="P189" s="955"/>
      <c r="R189" s="955"/>
      <c r="S189" s="955"/>
      <c r="AA189" s="607"/>
    </row>
    <row r="190" spans="2:27" ht="12.75" customHeight="1" x14ac:dyDescent="0.2">
      <c r="B190" s="224"/>
      <c r="C190" s="977"/>
      <c r="D190" s="978"/>
      <c r="E190" s="1653"/>
      <c r="F190" s="1657"/>
      <c r="G190" s="1657"/>
      <c r="H190" s="462" t="str">
        <f>EUconst_Unit</f>
        <v>Vienība</v>
      </c>
      <c r="I190" s="463">
        <f>I$1820</f>
        <v>2019</v>
      </c>
      <c r="J190" s="463">
        <f>J$1820</f>
        <v>2020</v>
      </c>
      <c r="K190" s="463">
        <f>K$1820</f>
        <v>2021</v>
      </c>
      <c r="L190" s="463">
        <f>L$1820</f>
        <v>2022</v>
      </c>
      <c r="M190" s="463">
        <f>M$1820</f>
        <v>2023</v>
      </c>
      <c r="N190" s="1205"/>
      <c r="O190" s="25"/>
      <c r="P190" s="955"/>
      <c r="AA190" s="607"/>
    </row>
    <row r="191" spans="2:27" ht="12.75" customHeight="1" thickBot="1" x14ac:dyDescent="0.25">
      <c r="B191" s="224"/>
      <c r="C191" s="977"/>
      <c r="D191" s="695" t="s">
        <v>438</v>
      </c>
      <c r="E191" s="1667" t="str">
        <f>Translations!$B$789</f>
        <v>Lāpā sadedzinātie daudzumi</v>
      </c>
      <c r="F191" s="1660"/>
      <c r="G191" s="1660"/>
      <c r="H191" s="245" t="s">
        <v>249</v>
      </c>
      <c r="I191" s="484"/>
      <c r="J191" s="484"/>
      <c r="K191" s="484"/>
      <c r="L191" s="484"/>
      <c r="M191" s="484"/>
      <c r="N191" s="1205"/>
      <c r="O191" s="25"/>
      <c r="P191" s="955"/>
      <c r="R191" s="955" t="s">
        <v>525</v>
      </c>
      <c r="AA191" s="361" t="b">
        <f>AA186</f>
        <v>0</v>
      </c>
    </row>
    <row r="192" spans="2:27" ht="12.75" customHeight="1" thickBot="1" x14ac:dyDescent="0.25">
      <c r="B192" s="224"/>
      <c r="C192" s="977"/>
      <c r="D192" s="695" t="s">
        <v>439</v>
      </c>
      <c r="E192" s="1737" t="str">
        <f>Translations!$B$470</f>
        <v>Zemākā siltumspēja</v>
      </c>
      <c r="F192" s="1659"/>
      <c r="G192" s="1659"/>
      <c r="H192" s="74" t="e">
        <f>IF(ISBLANK(H191),EUconst_GJperUnit,INDEX(EUconst_GJperTorKNm3,MATCH(H191,EUconst_TonnesOrkNm3pa,0)))</f>
        <v>#N/A</v>
      </c>
      <c r="I192" s="458"/>
      <c r="J192" s="458"/>
      <c r="K192" s="458"/>
      <c r="L192" s="458"/>
      <c r="M192" s="458"/>
      <c r="N192" s="1205"/>
      <c r="O192" s="25"/>
      <c r="R192" s="708" t="s">
        <v>421</v>
      </c>
      <c r="S192" s="705">
        <f>I190</f>
        <v>2019</v>
      </c>
      <c r="T192" s="706">
        <f>J190</f>
        <v>2020</v>
      </c>
      <c r="U192" s="706">
        <f>K190</f>
        <v>2021</v>
      </c>
      <c r="V192" s="706">
        <f>L190</f>
        <v>2022</v>
      </c>
      <c r="W192" s="707">
        <f>M190</f>
        <v>2023</v>
      </c>
      <c r="AA192" s="361" t="b">
        <f>AA191</f>
        <v>0</v>
      </c>
    </row>
    <row r="193" spans="1:27" ht="12.75" customHeight="1" thickBot="1" x14ac:dyDescent="0.25">
      <c r="B193" s="224"/>
      <c r="C193" s="977"/>
      <c r="D193" s="695" t="s">
        <v>440</v>
      </c>
      <c r="E193" s="1651" t="str">
        <f>Translations!$B$790</f>
        <v>Lāpā sadedzinātā atlikumgāze</v>
      </c>
      <c r="F193" s="1652"/>
      <c r="G193" s="1652"/>
      <c r="H193" s="465" t="str">
        <f>EUconst_TJpa</f>
        <v>TJ / gads</v>
      </c>
      <c r="I193" s="523" t="str">
        <f>IF(COUNT(I191:I192)=2,I191*I192/1000,"")</f>
        <v/>
      </c>
      <c r="J193" s="523" t="str">
        <f>IF(COUNT(J191:J192)=2,J191*J192/1000,"")</f>
        <v/>
      </c>
      <c r="K193" s="523" t="str">
        <f>IF(COUNT(K191:K192)=2,K191*K192/1000,"")</f>
        <v/>
      </c>
      <c r="L193" s="523" t="str">
        <f>IF(COUNT(L191:L192)=2,L191*L192/1000,"")</f>
        <v/>
      </c>
      <c r="M193" s="523" t="str">
        <f>IF(COUNT(M191:M192)=2,M191*M192/1000,"")</f>
        <v/>
      </c>
      <c r="N193" s="1205"/>
      <c r="O193" s="25"/>
      <c r="P193" s="979" t="str">
        <f>EUconst_CNTR_WGFlared &amp; I13</f>
        <v>WasteGasFlare_</v>
      </c>
      <c r="R193" s="363" t="str">
        <f>IF(COUNT(S193:W193)&gt;0,AVERAGE(S193:W193),"")</f>
        <v/>
      </c>
      <c r="S193" s="454" t="str">
        <f>IF(S13,IF(ISNUMBER(I193),I193,0),"")</f>
        <v/>
      </c>
      <c r="T193" s="455" t="str">
        <f>IF(T13,IF(ISNUMBER(J193),J193,0),"")</f>
        <v/>
      </c>
      <c r="U193" s="455" t="str">
        <f>IF(U13,IF(ISNUMBER(K193),K193,0),"")</f>
        <v/>
      </c>
      <c r="V193" s="455" t="str">
        <f>IF(V13,IF(ISNUMBER(L193),L193,0),"")</f>
        <v/>
      </c>
      <c r="W193" s="456" t="str">
        <f>IF(W13,IF(ISNUMBER(M193),M193,0),"")</f>
        <v/>
      </c>
      <c r="AA193" s="607"/>
    </row>
    <row r="194" spans="1:27" ht="12.75" customHeight="1" thickBot="1" x14ac:dyDescent="0.25">
      <c r="B194" s="224"/>
      <c r="C194" s="977"/>
      <c r="D194" s="695" t="s">
        <v>441</v>
      </c>
      <c r="E194" s="1651" t="str">
        <f>Translations!$B$791</f>
        <v>Īpatnējais EF (lāpā sadedzinātā atlikumgāze)</v>
      </c>
      <c r="F194" s="1652"/>
      <c r="G194" s="1652"/>
      <c r="H194" s="465" t="str">
        <f>EUconst_tCO2pTJ</f>
        <v>t CO2 / TJ</v>
      </c>
      <c r="I194" s="483"/>
      <c r="J194" s="483"/>
      <c r="K194" s="483"/>
      <c r="L194" s="483"/>
      <c r="M194" s="483"/>
      <c r="N194" s="661"/>
      <c r="O194" s="25"/>
      <c r="P194" s="979" t="str">
        <f>EUconst_CNTR_WGFlaredEF &amp; I13</f>
        <v>WasteGasFlareEF_</v>
      </c>
      <c r="R194" s="843" t="str">
        <f>IF(COUNT(S194:W194)&gt;0,AVERAGE(S194:W194),"")</f>
        <v/>
      </c>
      <c r="S194" s="454" t="str">
        <f>IF(S13,SUM(I193)*SUM(I194),"")</f>
        <v/>
      </c>
      <c r="T194" s="455" t="str">
        <f>IF(T13,SUM(J193)*SUM(J194),"")</f>
        <v/>
      </c>
      <c r="U194" s="455" t="str">
        <f>IF(U13,SUM(K193)*SUM(K194),"")</f>
        <v/>
      </c>
      <c r="V194" s="455" t="str">
        <f>IF(V13,SUM(L193)*SUM(L194),"")</f>
        <v/>
      </c>
      <c r="W194" s="456" t="str">
        <f>IF(W13,SUM(M193)*SUM(M194),"")</f>
        <v/>
      </c>
      <c r="AA194" s="361" t="b">
        <f>AA192</f>
        <v>0</v>
      </c>
    </row>
    <row r="195" spans="1:27" ht="12.75" customHeight="1" x14ac:dyDescent="0.2">
      <c r="B195" s="224"/>
      <c r="C195" s="977"/>
      <c r="D195" s="978"/>
      <c r="E195" s="978"/>
      <c r="F195" s="978"/>
      <c r="G195" s="978"/>
      <c r="H195" s="978"/>
      <c r="I195" s="978"/>
      <c r="J195" s="978"/>
      <c r="K195" s="978"/>
      <c r="L195" s="978"/>
      <c r="M195" s="980"/>
      <c r="N195" s="661"/>
      <c r="O195" s="25"/>
      <c r="P195" s="955"/>
      <c r="R195" s="955"/>
      <c r="S195" s="955"/>
      <c r="AA195" s="607"/>
    </row>
    <row r="196" spans="1:27" ht="12.75" customHeight="1" x14ac:dyDescent="0.2">
      <c r="B196" s="224"/>
      <c r="C196" s="977"/>
      <c r="D196" s="695" t="s">
        <v>442</v>
      </c>
      <c r="E196" s="1663" t="str">
        <f>Translations!$B$792</f>
        <v>Importēto atlikumgāzu veidi:</v>
      </c>
      <c r="F196" s="1663"/>
      <c r="G196" s="1663"/>
      <c r="H196" s="1663"/>
      <c r="I196" s="1664"/>
      <c r="J196" s="1665"/>
      <c r="K196" s="1665"/>
      <c r="L196" s="1665"/>
      <c r="M196" s="1666"/>
      <c r="N196" s="661"/>
      <c r="O196" s="25"/>
      <c r="P196" s="955"/>
      <c r="R196" s="955"/>
      <c r="AA196" s="361" t="b">
        <f>AA173</f>
        <v>0</v>
      </c>
    </row>
    <row r="197" spans="1:27" ht="12.75" customHeight="1" x14ac:dyDescent="0.2">
      <c r="B197" s="224"/>
      <c r="C197" s="977"/>
      <c r="D197" s="695"/>
      <c r="E197" s="1723" t="str">
        <f>Translations!$B$793</f>
        <v>Šeit sniegtie dati ietekmēs attiecināmās emisijas saskaņā ar FAR VII pielikuma 10.1.5. iedaļu.</v>
      </c>
      <c r="F197" s="1654"/>
      <c r="G197" s="1654"/>
      <c r="H197" s="1654"/>
      <c r="I197" s="1654"/>
      <c r="J197" s="1654"/>
      <c r="K197" s="1654"/>
      <c r="L197" s="1654"/>
      <c r="M197" s="1654"/>
      <c r="N197" s="1724"/>
      <c r="O197" s="25"/>
      <c r="P197" s="955"/>
      <c r="R197" s="955"/>
      <c r="S197" s="955"/>
      <c r="AA197" s="607"/>
    </row>
    <row r="198" spans="1:27" ht="25.5" customHeight="1" x14ac:dyDescent="0.2">
      <c r="B198" s="224"/>
      <c r="C198" s="977"/>
      <c r="D198" s="695"/>
      <c r="E198" s="1727" t="str">
        <f>Translations!$B$794</f>
        <v>Te ietilpst visu veidu atlikumgāzes, kas rodas ārpus šīs apakšiekārtas sistēmas robežām, bet tiek šajā apakšiekārtā importētas un izmantotas izmērāma siltuma ieguvei, neizmērāma siltuma ieguvei (arī sadedzināšana lāpā drošības apsvērumu dēļ) vai mehāniskās enerģijas ieguvei (izņemot nolūkā saražot elektroenerģiju).</v>
      </c>
      <c r="F198" s="1655"/>
      <c r="G198" s="1655"/>
      <c r="H198" s="1655"/>
      <c r="I198" s="1655"/>
      <c r="J198" s="1655"/>
      <c r="K198" s="1655"/>
      <c r="L198" s="1655"/>
      <c r="M198" s="1655"/>
      <c r="N198" s="1656"/>
      <c r="O198" s="25"/>
      <c r="P198" s="955"/>
      <c r="R198" s="955"/>
      <c r="S198" s="955"/>
      <c r="AA198" s="607"/>
    </row>
    <row r="199" spans="1:27" ht="12.75" customHeight="1" x14ac:dyDescent="0.2">
      <c r="B199" s="224"/>
      <c r="C199" s="977"/>
      <c r="D199" s="978"/>
      <c r="E199" s="1653"/>
      <c r="F199" s="1657"/>
      <c r="G199" s="1657"/>
      <c r="H199" s="462" t="str">
        <f>EUconst_Unit</f>
        <v>Vienība</v>
      </c>
      <c r="I199" s="463">
        <f>I$1820</f>
        <v>2019</v>
      </c>
      <c r="J199" s="463">
        <f>J$1820</f>
        <v>2020</v>
      </c>
      <c r="K199" s="463">
        <f>K$1820</f>
        <v>2021</v>
      </c>
      <c r="L199" s="463">
        <f>L$1820</f>
        <v>2022</v>
      </c>
      <c r="M199" s="463">
        <f>M$1820</f>
        <v>2023</v>
      </c>
      <c r="N199" s="1205"/>
      <c r="O199" s="25"/>
      <c r="P199" s="955"/>
      <c r="R199" s="955"/>
      <c r="S199" s="955"/>
      <c r="AA199" s="607"/>
    </row>
    <row r="200" spans="1:27" ht="12.75" customHeight="1" thickBot="1" x14ac:dyDescent="0.25">
      <c r="B200" s="224"/>
      <c r="C200" s="977"/>
      <c r="D200" s="695" t="s">
        <v>443</v>
      </c>
      <c r="E200" s="1667" t="str">
        <f>Translations!$B$795</f>
        <v>Importētie daudzumi</v>
      </c>
      <c r="F200" s="1660"/>
      <c r="G200" s="1660"/>
      <c r="H200" s="245" t="s">
        <v>249</v>
      </c>
      <c r="I200" s="484"/>
      <c r="J200" s="484"/>
      <c r="K200" s="484"/>
      <c r="L200" s="484"/>
      <c r="M200" s="484"/>
      <c r="N200" s="1205"/>
      <c r="O200" s="25"/>
      <c r="P200" s="955"/>
      <c r="R200" s="955"/>
      <c r="S200" s="955"/>
      <c r="AA200" s="361" t="b">
        <f>AA196</f>
        <v>0</v>
      </c>
    </row>
    <row r="201" spans="1:27" ht="12.75" customHeight="1" x14ac:dyDescent="0.2">
      <c r="B201" s="224"/>
      <c r="C201" s="977"/>
      <c r="D201" s="695" t="s">
        <v>444</v>
      </c>
      <c r="E201" s="1737" t="str">
        <f>Translations!$B$470</f>
        <v>Zemākā siltumspēja</v>
      </c>
      <c r="F201" s="1659"/>
      <c r="G201" s="1659"/>
      <c r="H201" s="74" t="e">
        <f>IF(ISBLANK(H200),EUconst_GJperUnit,INDEX(EUconst_GJperTorKNm3,MATCH(H200,EUconst_TonnesOrkNm3pa,0)))</f>
        <v>#N/A</v>
      </c>
      <c r="I201" s="458"/>
      <c r="J201" s="458"/>
      <c r="K201" s="458"/>
      <c r="L201" s="458"/>
      <c r="M201" s="458"/>
      <c r="N201" s="1205"/>
      <c r="O201" s="25"/>
      <c r="P201" s="982"/>
      <c r="R201" s="970"/>
      <c r="S201" s="809">
        <f>I199</f>
        <v>2019</v>
      </c>
      <c r="T201" s="809">
        <f>J199</f>
        <v>2020</v>
      </c>
      <c r="U201" s="809">
        <f>K199</f>
        <v>2021</v>
      </c>
      <c r="V201" s="809">
        <f>L199</f>
        <v>2022</v>
      </c>
      <c r="W201" s="810">
        <f>M199</f>
        <v>2023</v>
      </c>
      <c r="AA201" s="361" t="b">
        <f>AA200</f>
        <v>0</v>
      </c>
    </row>
    <row r="202" spans="1:27" ht="12.75" customHeight="1" x14ac:dyDescent="0.2">
      <c r="B202" s="224"/>
      <c r="C202" s="977"/>
      <c r="D202" s="695" t="s">
        <v>445</v>
      </c>
      <c r="E202" s="1651" t="str">
        <f>Translations!$B$796</f>
        <v>Importētā atlikumgāze</v>
      </c>
      <c r="F202" s="1652"/>
      <c r="G202" s="1652"/>
      <c r="H202" s="465" t="str">
        <f>EUconst_TJpa</f>
        <v>TJ / gads</v>
      </c>
      <c r="I202" s="448" t="str">
        <f>IF(COUNT(I200:I201)=2,I200*I201/1000,"")</f>
        <v/>
      </c>
      <c r="J202" s="448" t="str">
        <f>IF(COUNT(J200:J201)=2,J200*J201/1000,"")</f>
        <v/>
      </c>
      <c r="K202" s="448" t="str">
        <f>IF(COUNT(K200:K201)=2,K200*K201/1000,"")</f>
        <v/>
      </c>
      <c r="L202" s="448" t="str">
        <f>IF(COUNT(L200:L201)=2,L200*L201/1000,"")</f>
        <v/>
      </c>
      <c r="M202" s="448" t="str">
        <f>IF(COUNT(M200:M201)=2,M200*M201/1000,"")</f>
        <v/>
      </c>
      <c r="N202" s="1205"/>
      <c r="O202" s="25"/>
      <c r="P202" s="979" t="str">
        <f>EUconst_CNTR_WGImport &amp; I13</f>
        <v>WasteGasIm_</v>
      </c>
      <c r="R202" s="981" t="str">
        <f>EUconst_ERR_AttrEmBMapplied &amp; I13</f>
        <v>ERR_AttrEmBM_ </v>
      </c>
      <c r="S202" s="134">
        <f>IF(AND(I202&lt;&gt;"",EUconst_StatusOfDataCollection=""),1,0)</f>
        <v>0</v>
      </c>
      <c r="T202" s="134">
        <f>IF(AND(J202&lt;&gt;"",EUconst_StatusOfDataCollection=""),1,0)</f>
        <v>0</v>
      </c>
      <c r="U202" s="134">
        <f>IF(AND(K202&lt;&gt;"",EUconst_StatusOfDataCollection=""),1,0)</f>
        <v>0</v>
      </c>
      <c r="V202" s="134">
        <f>IF(AND(L202&lt;&gt;"",EUconst_StatusOfDataCollection=""),1,0)</f>
        <v>0</v>
      </c>
      <c r="W202" s="135">
        <f>IF(AND(M202&lt;&gt;"",EUconst_StatusOfDataCollection=""),1,0)</f>
        <v>0</v>
      </c>
      <c r="AA202" s="607"/>
    </row>
    <row r="203" spans="1:27" s="697" customFormat="1" ht="12.75" customHeight="1" thickBot="1" x14ac:dyDescent="0.25">
      <c r="A203" s="437"/>
      <c r="B203" s="224"/>
      <c r="C203" s="977"/>
      <c r="D203" s="695" t="s">
        <v>446</v>
      </c>
      <c r="E203" s="1651" t="str">
        <f>Translations!$B$797</f>
        <v>Īpatnējais EF (importētā atlikumgāze)</v>
      </c>
      <c r="F203" s="1651"/>
      <c r="G203" s="1651"/>
      <c r="H203" s="464" t="str">
        <f>EUconst_tCO2pTJ</f>
        <v>t CO2 / TJ</v>
      </c>
      <c r="I203" s="761"/>
      <c r="J203" s="761"/>
      <c r="K203" s="761"/>
      <c r="L203" s="761"/>
      <c r="M203" s="761"/>
      <c r="N203" s="661"/>
      <c r="O203" s="25"/>
      <c r="P203" s="979" t="str">
        <f>EUconst_CNTR_WGImportEF &amp; I13</f>
        <v>WasteGasImEF_</v>
      </c>
      <c r="Q203" s="437"/>
      <c r="R203" s="971" t="str">
        <f>EUconst_CNTR_AttributedEmissions &amp; I13</f>
        <v>AttrEmissions_</v>
      </c>
      <c r="S203" s="137" t="str">
        <f>IF(S13,SUM(I202)*EUconst_FuelBMvalueForBM,"")</f>
        <v/>
      </c>
      <c r="T203" s="137" t="str">
        <f>IF(T13,SUM(J202)*EUconst_FuelBMvalueForBM,"")</f>
        <v/>
      </c>
      <c r="U203" s="137" t="str">
        <f>IF(U13,SUM(K202)*EUconst_FuelBMvalueForBM,"")</f>
        <v/>
      </c>
      <c r="V203" s="137" t="str">
        <f>IF(V13,SUM(L202)*EUconst_FuelBMvalueForBM,"")</f>
        <v/>
      </c>
      <c r="W203" s="138" t="str">
        <f>IF(W13,SUM(M202)*EUconst_FuelBMvalueForBM,"")</f>
        <v/>
      </c>
      <c r="X203" s="437"/>
      <c r="Y203" s="437"/>
      <c r="Z203" s="437"/>
      <c r="AA203" s="361" t="b">
        <f>AA201</f>
        <v>0</v>
      </c>
    </row>
    <row r="204" spans="1:27" ht="12.75" customHeight="1" x14ac:dyDescent="0.2">
      <c r="B204" s="224"/>
      <c r="C204" s="977"/>
      <c r="D204" s="978"/>
      <c r="E204" s="978"/>
      <c r="F204" s="978"/>
      <c r="G204" s="978"/>
      <c r="H204" s="978"/>
      <c r="I204" s="978"/>
      <c r="J204" s="978"/>
      <c r="K204" s="978"/>
      <c r="L204" s="978"/>
      <c r="M204" s="980"/>
      <c r="N204" s="661"/>
      <c r="O204" s="25"/>
      <c r="P204" s="955"/>
      <c r="R204" s="955"/>
      <c r="S204" s="955"/>
      <c r="AA204" s="607"/>
    </row>
    <row r="205" spans="1:27" ht="12.75" customHeight="1" x14ac:dyDescent="0.2">
      <c r="B205" s="224"/>
      <c r="C205" s="977"/>
      <c r="D205" s="695" t="s">
        <v>447</v>
      </c>
      <c r="E205" s="1663" t="str">
        <f>Translations!$B$798</f>
        <v>Eksportēto atlikumgāzu veidi:</v>
      </c>
      <c r="F205" s="1663"/>
      <c r="G205" s="1663"/>
      <c r="H205" s="1663"/>
      <c r="I205" s="1664"/>
      <c r="J205" s="1665"/>
      <c r="K205" s="1665"/>
      <c r="L205" s="1665"/>
      <c r="M205" s="1666"/>
      <c r="N205" s="1203"/>
      <c r="O205" s="25"/>
      <c r="P205" s="955"/>
      <c r="R205" s="955"/>
      <c r="AA205" s="361" t="b">
        <f>AA200</f>
        <v>0</v>
      </c>
    </row>
    <row r="206" spans="1:27" ht="12.75" customHeight="1" x14ac:dyDescent="0.2">
      <c r="B206" s="224"/>
      <c r="C206" s="977"/>
      <c r="D206" s="695"/>
      <c r="E206" s="1723" t="str">
        <f>Translations!$B$793</f>
        <v>Šeit sniegtie dati ietekmēs attiecināmās emisijas saskaņā ar FAR VII pielikuma 10.1.5. iedaļu.</v>
      </c>
      <c r="F206" s="1654"/>
      <c r="G206" s="1654"/>
      <c r="H206" s="1654"/>
      <c r="I206" s="1654"/>
      <c r="J206" s="1654"/>
      <c r="K206" s="1654"/>
      <c r="L206" s="1654"/>
      <c r="M206" s="1654"/>
      <c r="N206" s="1724"/>
      <c r="O206" s="25"/>
      <c r="P206" s="955"/>
      <c r="R206" s="955"/>
      <c r="S206" s="955"/>
      <c r="AA206" s="607"/>
    </row>
    <row r="207" spans="1:27" ht="25.5" customHeight="1" x14ac:dyDescent="0.2">
      <c r="B207" s="224"/>
      <c r="C207" s="977"/>
      <c r="D207" s="695"/>
      <c r="E207" s="1727" t="str">
        <f>Translations!$B$799</f>
        <v>Te ietilpst visu veidu atlikumgāzes, kas rodas šīs apakšiekārtas sistēmas robežās un no šīs apakšiekārtas tiek eksportētas uz kādu citu apakšiekārtu vai kādu citu iekārtu vai vienību.</v>
      </c>
      <c r="F207" s="1655"/>
      <c r="G207" s="1655"/>
      <c r="H207" s="1655"/>
      <c r="I207" s="1655"/>
      <c r="J207" s="1655"/>
      <c r="K207" s="1655"/>
      <c r="L207" s="1655"/>
      <c r="M207" s="1655"/>
      <c r="N207" s="1656"/>
      <c r="O207" s="25"/>
      <c r="P207" s="955"/>
      <c r="R207" s="955"/>
      <c r="S207" s="955"/>
      <c r="AA207" s="607"/>
    </row>
    <row r="208" spans="1:27" ht="12.75" customHeight="1" x14ac:dyDescent="0.2">
      <c r="B208" s="224"/>
      <c r="C208" s="977"/>
      <c r="D208" s="978"/>
      <c r="E208" s="1653"/>
      <c r="F208" s="1657"/>
      <c r="G208" s="1657"/>
      <c r="H208" s="462" t="str">
        <f>EUconst_Unit</f>
        <v>Vienība</v>
      </c>
      <c r="I208" s="463">
        <f>I$1820</f>
        <v>2019</v>
      </c>
      <c r="J208" s="463">
        <f>J$1820</f>
        <v>2020</v>
      </c>
      <c r="K208" s="463">
        <f>K$1820</f>
        <v>2021</v>
      </c>
      <c r="L208" s="463">
        <f>L$1820</f>
        <v>2022</v>
      </c>
      <c r="M208" s="463">
        <f>M$1820</f>
        <v>2023</v>
      </c>
      <c r="N208" s="1205"/>
      <c r="O208" s="25"/>
      <c r="P208" s="955"/>
      <c r="R208" s="955"/>
      <c r="S208" s="955"/>
      <c r="AA208" s="607"/>
    </row>
    <row r="209" spans="1:27" ht="12.75" customHeight="1" x14ac:dyDescent="0.2">
      <c r="B209" s="224"/>
      <c r="C209" s="977"/>
      <c r="D209" s="695" t="s">
        <v>448</v>
      </c>
      <c r="E209" s="1667" t="str">
        <f>Translations!$B$800</f>
        <v>Eksportētie daudzumi</v>
      </c>
      <c r="F209" s="1660"/>
      <c r="G209" s="1660"/>
      <c r="H209" s="245" t="s">
        <v>249</v>
      </c>
      <c r="I209" s="484"/>
      <c r="J209" s="484"/>
      <c r="K209" s="484"/>
      <c r="L209" s="484"/>
      <c r="M209" s="484"/>
      <c r="N209" s="1205"/>
      <c r="O209" s="25"/>
      <c r="P209" s="955"/>
      <c r="R209" s="955"/>
      <c r="S209" s="955"/>
      <c r="AA209" s="361" t="b">
        <f>AA205</f>
        <v>0</v>
      </c>
    </row>
    <row r="210" spans="1:27" ht="12.75" customHeight="1" thickBot="1" x14ac:dyDescent="0.25">
      <c r="B210" s="224"/>
      <c r="C210" s="977"/>
      <c r="D210" s="695" t="s">
        <v>612</v>
      </c>
      <c r="E210" s="1737" t="str">
        <f>Translations!$B$470</f>
        <v>Zemākā siltumspēja</v>
      </c>
      <c r="F210" s="1659"/>
      <c r="G210" s="1659"/>
      <c r="H210" s="74" t="e">
        <f>IF(ISBLANK(H209),EUconst_GJperUnit,INDEX(EUconst_GJperTorKNm3,MATCH(H209,EUconst_TonnesOrkNm3pa,0)))</f>
        <v>#N/A</v>
      </c>
      <c r="I210" s="458"/>
      <c r="J210" s="458"/>
      <c r="K210" s="458"/>
      <c r="L210" s="458"/>
      <c r="M210" s="458"/>
      <c r="N210" s="1205"/>
      <c r="O210" s="25"/>
      <c r="P210" s="982"/>
      <c r="R210" s="955"/>
      <c r="S210" s="955"/>
      <c r="AA210" s="361" t="b">
        <f>AA209</f>
        <v>0</v>
      </c>
    </row>
    <row r="211" spans="1:27" ht="12.75" customHeight="1" x14ac:dyDescent="0.2">
      <c r="B211" s="224"/>
      <c r="C211" s="977"/>
      <c r="D211" s="695" t="s">
        <v>613</v>
      </c>
      <c r="E211" s="1651" t="str">
        <f>Translations!$B$801</f>
        <v>Eksportētā atlikumgāze</v>
      </c>
      <c r="F211" s="1652"/>
      <c r="G211" s="1652"/>
      <c r="H211" s="465" t="str">
        <f>EUconst_TJpa</f>
        <v>TJ / gads</v>
      </c>
      <c r="I211" s="448" t="str">
        <f>IF(COUNT(I209:I210)=2,I209*I210/1000,"")</f>
        <v/>
      </c>
      <c r="J211" s="448" t="str">
        <f>IF(COUNT(J209:J210)=2,J209*J210/1000,"")</f>
        <v/>
      </c>
      <c r="K211" s="448" t="str">
        <f>IF(COUNT(K209:K210)=2,K209*K210/1000,"")</f>
        <v/>
      </c>
      <c r="L211" s="448" t="str">
        <f>IF(COUNT(L209:L210)=2,L209*L210/1000,"")</f>
        <v/>
      </c>
      <c r="M211" s="448" t="str">
        <f>IF(COUNT(M209:M210)=2,M209*M210/1000,"")</f>
        <v/>
      </c>
      <c r="N211" s="698"/>
      <c r="O211" s="25"/>
      <c r="P211" s="979" t="str">
        <f>EUconst_CNTR_WGExport &amp; I13</f>
        <v>WasteGasEx_</v>
      </c>
      <c r="R211" s="970"/>
      <c r="S211" s="809">
        <f>I208</f>
        <v>2019</v>
      </c>
      <c r="T211" s="809">
        <f>J208</f>
        <v>2020</v>
      </c>
      <c r="U211" s="809">
        <f>K208</f>
        <v>2021</v>
      </c>
      <c r="V211" s="809">
        <f>L208</f>
        <v>2022</v>
      </c>
      <c r="W211" s="810">
        <f>M208</f>
        <v>2023</v>
      </c>
      <c r="AA211" s="607"/>
    </row>
    <row r="212" spans="1:27" s="697" customFormat="1" ht="12.75" customHeight="1" thickBot="1" x14ac:dyDescent="0.25">
      <c r="A212" s="20"/>
      <c r="B212" s="224"/>
      <c r="C212" s="977"/>
      <c r="D212" s="695" t="s">
        <v>614</v>
      </c>
      <c r="E212" s="1651" t="str">
        <f>Translations!$B$802</f>
        <v>Īpatnējais EF (eksportētā atlikumgāze)</v>
      </c>
      <c r="F212" s="1651"/>
      <c r="G212" s="1651"/>
      <c r="H212" s="464" t="str">
        <f>EUconst_tCO2pTJ</f>
        <v>t CO2 / TJ</v>
      </c>
      <c r="I212" s="761"/>
      <c r="J212" s="761"/>
      <c r="K212" s="761"/>
      <c r="L212" s="761"/>
      <c r="M212" s="761"/>
      <c r="N212" s="661"/>
      <c r="O212" s="25"/>
      <c r="P212" s="979" t="str">
        <f>EUconst_CNTR_WGExportEF &amp; I13</f>
        <v>WasteGasExEF_</v>
      </c>
      <c r="Q212" s="437"/>
      <c r="R212" s="971" t="str">
        <f>EUconst_CNTR_AttributedEmissions &amp; I13</f>
        <v>AttrEmissions_</v>
      </c>
      <c r="S212" s="137" t="str">
        <f>IF(S13,-SUM(I211)*EUconst_NGEFvalue*EUconst_WasteGasCorrFactor,"")</f>
        <v/>
      </c>
      <c r="T212" s="137" t="str">
        <f>IF(T13,-SUM(J211)*EUconst_NGEFvalue*EUconst_WasteGasCorrFactor,"")</f>
        <v/>
      </c>
      <c r="U212" s="137" t="str">
        <f>IF(U13,-SUM(K211)*EUconst_NGEFvalue*EUconst_WasteGasCorrFactor,"")</f>
        <v/>
      </c>
      <c r="V212" s="137" t="str">
        <f>IF(V13,-SUM(L211)*EUconst_NGEFvalue*EUconst_WasteGasCorrFactor,"")</f>
        <v/>
      </c>
      <c r="W212" s="138" t="str">
        <f>IF(W13,-SUM(M211)*EUconst_NGEFvalue*EUconst_WasteGasCorrFactor,"")</f>
        <v/>
      </c>
      <c r="X212" s="437"/>
      <c r="Y212" s="437"/>
      <c r="Z212" s="437"/>
      <c r="AA212" s="186" t="b">
        <f>AA210</f>
        <v>0</v>
      </c>
    </row>
    <row r="213" spans="1:27" ht="12.75" customHeight="1" x14ac:dyDescent="0.2">
      <c r="B213" s="224"/>
      <c r="C213" s="977"/>
      <c r="D213" s="978"/>
      <c r="E213" s="978"/>
      <c r="F213" s="978"/>
      <c r="G213" s="978"/>
      <c r="H213" s="978"/>
      <c r="I213" s="978"/>
      <c r="J213" s="978"/>
      <c r="K213" s="978"/>
      <c r="L213" s="978"/>
      <c r="M213" s="980"/>
      <c r="N213" s="661"/>
      <c r="O213" s="25"/>
      <c r="P213" s="955"/>
      <c r="R213" s="955"/>
    </row>
    <row r="214" spans="1:27" ht="12.75" customHeight="1" x14ac:dyDescent="0.2">
      <c r="B214" s="224"/>
      <c r="C214" s="977"/>
      <c r="D214" s="474" t="s">
        <v>214</v>
      </c>
      <c r="E214" s="1654" t="str">
        <f>Translations!$B$420</f>
        <v>Elektroenerģijas ražošana</v>
      </c>
      <c r="F214" s="1655"/>
      <c r="G214" s="1655"/>
      <c r="H214" s="1655"/>
      <c r="I214" s="1655"/>
      <c r="J214" s="1655"/>
      <c r="K214" s="1655"/>
      <c r="L214" s="1655"/>
      <c r="M214" s="1655"/>
      <c r="N214" s="1656"/>
      <c r="O214" s="25"/>
      <c r="P214" s="955"/>
      <c r="R214" s="955"/>
    </row>
    <row r="215" spans="1:27" ht="12.75" customHeight="1" x14ac:dyDescent="0.2">
      <c r="B215" s="224"/>
      <c r="C215" s="977"/>
      <c r="D215" s="695"/>
      <c r="E215" s="1723" t="str">
        <f>Translations!$B$803</f>
        <v>Šeit sniegtie dati ietekmēs attiecināmās emisijas saskaņā ar FAR VII pielikuma 10. nodaļu.</v>
      </c>
      <c r="F215" s="1654"/>
      <c r="G215" s="1654"/>
      <c r="H215" s="1654"/>
      <c r="I215" s="1654"/>
      <c r="J215" s="1654"/>
      <c r="K215" s="1654"/>
      <c r="L215" s="1654"/>
      <c r="M215" s="1654"/>
      <c r="N215" s="1724"/>
      <c r="O215" s="25"/>
      <c r="P215" s="955"/>
      <c r="R215" s="955"/>
      <c r="S215" s="955"/>
    </row>
    <row r="216" spans="1:27" ht="25.5" customHeight="1" thickBot="1" x14ac:dyDescent="0.25">
      <c r="B216" s="224"/>
      <c r="C216" s="977"/>
      <c r="D216" s="978"/>
      <c r="E216" s="1727" t="str">
        <f>Translations!$B$804</f>
        <v>Te ietilpst elektroenerģija, kas saražota tieši šajā apakšiekārtā, kā prasa FAR IV pielikuma 3.1. iedaļas i) punkts. Visa elektroenerģija, kas saražota, par starpproduktu izmantojot izmērāmu siltumu, uzskaitāma nevis šeit, bet pie izmērāmā siltuma eksporta k) punkta v. apakšpunktā.</v>
      </c>
      <c r="F216" s="1655"/>
      <c r="G216" s="1655"/>
      <c r="H216" s="1655"/>
      <c r="I216" s="1655"/>
      <c r="J216" s="1655"/>
      <c r="K216" s="1655"/>
      <c r="L216" s="1655"/>
      <c r="M216" s="1655"/>
      <c r="N216" s="1656"/>
      <c r="O216" s="25"/>
      <c r="P216" s="955"/>
      <c r="R216" s="955"/>
    </row>
    <row r="217" spans="1:27" ht="12.75" customHeight="1" x14ac:dyDescent="0.2">
      <c r="B217" s="224"/>
      <c r="C217" s="977"/>
      <c r="D217" s="474"/>
      <c r="E217" s="1653"/>
      <c r="F217" s="1657"/>
      <c r="G217" s="1657"/>
      <c r="H217" s="462" t="str">
        <f>EUconst_Unit</f>
        <v>Vienība</v>
      </c>
      <c r="I217" s="463">
        <f>I$1820</f>
        <v>2019</v>
      </c>
      <c r="J217" s="463">
        <f>J$1820</f>
        <v>2020</v>
      </c>
      <c r="K217" s="463">
        <f>K$1820</f>
        <v>2021</v>
      </c>
      <c r="L217" s="463">
        <f>L$1820</f>
        <v>2022</v>
      </c>
      <c r="M217" s="463">
        <f>M$1820</f>
        <v>2023</v>
      </c>
      <c r="N217" s="661"/>
      <c r="O217" s="25"/>
      <c r="P217" s="955"/>
      <c r="R217" s="970"/>
      <c r="S217" s="809">
        <f>I217</f>
        <v>2019</v>
      </c>
      <c r="T217" s="809">
        <f>J217</f>
        <v>2020</v>
      </c>
      <c r="U217" s="809">
        <f>K217</f>
        <v>2021</v>
      </c>
      <c r="V217" s="809">
        <f>L217</f>
        <v>2022</v>
      </c>
      <c r="W217" s="810">
        <f>M217</f>
        <v>2023</v>
      </c>
    </row>
    <row r="218" spans="1:27" ht="12.75" customHeight="1" thickBot="1" x14ac:dyDescent="0.25">
      <c r="B218" s="224"/>
      <c r="C218" s="977"/>
      <c r="D218" s="695"/>
      <c r="E218" s="1651" t="str">
        <f>Translations!$B$805</f>
        <v>Saražotā elektroenerģija</v>
      </c>
      <c r="F218" s="1652"/>
      <c r="G218" s="1652"/>
      <c r="H218" s="465" t="str">
        <f>EUconst_MWhpa</f>
        <v>MWh / gads</v>
      </c>
      <c r="I218" s="483"/>
      <c r="J218" s="483"/>
      <c r="K218" s="483"/>
      <c r="L218" s="483"/>
      <c r="M218" s="483"/>
      <c r="N218" s="1205"/>
      <c r="O218" s="25"/>
      <c r="P218" s="979" t="str">
        <f>EUconst_CNTR_ElectricityExported &amp; I13</f>
        <v>ElecEx_</v>
      </c>
      <c r="R218" s="971" t="str">
        <f>EUconst_CNTR_AttributedEmissions &amp; I13</f>
        <v>AttrEmissions_</v>
      </c>
      <c r="S218" s="137" t="str">
        <f>IF(S13,-SUM(I218)*EUconst_ElBM,"")</f>
        <v/>
      </c>
      <c r="T218" s="137" t="str">
        <f>IF(T13,-SUM(J218)*EUconst_ElBM,"")</f>
        <v/>
      </c>
      <c r="U218" s="137" t="str">
        <f>IF(U13,-SUM(K218)*EUconst_ElBM,"")</f>
        <v/>
      </c>
      <c r="V218" s="137" t="str">
        <f>IF(V13,-SUM(L218)*EUconst_ElBM,"")</f>
        <v/>
      </c>
      <c r="W218" s="138" t="str">
        <f>IF(W13,-SUM(M218)*EUconst_ElBM,"")</f>
        <v/>
      </c>
    </row>
    <row r="219" spans="1:27" ht="12.75" customHeight="1" x14ac:dyDescent="0.2">
      <c r="B219" s="224"/>
      <c r="C219" s="977"/>
      <c r="D219" s="978"/>
      <c r="E219" s="978"/>
      <c r="F219" s="978"/>
      <c r="G219" s="978"/>
      <c r="H219" s="978"/>
      <c r="I219" s="978"/>
      <c r="J219" s="978"/>
      <c r="K219" s="978"/>
      <c r="L219" s="978"/>
      <c r="M219" s="980"/>
      <c r="N219" s="661"/>
      <c r="O219" s="25"/>
      <c r="P219" s="955"/>
      <c r="R219" s="955"/>
      <c r="S219" s="955"/>
    </row>
    <row r="220" spans="1:27" ht="12.75" customHeight="1" x14ac:dyDescent="0.2">
      <c r="B220" s="224"/>
      <c r="C220" s="977"/>
      <c r="D220" s="474" t="s">
        <v>77</v>
      </c>
      <c r="E220" s="1663" t="str">
        <f>Translations!$B$806</f>
        <v>Kopējais saražotās pulpas daudzums</v>
      </c>
      <c r="F220" s="1663"/>
      <c r="G220" s="1663"/>
      <c r="H220" s="1663"/>
      <c r="I220" s="1663"/>
      <c r="J220" s="1663"/>
      <c r="K220" s="1663"/>
      <c r="L220" s="1663"/>
      <c r="M220" s="1663"/>
      <c r="N220" s="1690"/>
      <c r="O220" s="25"/>
      <c r="S220" s="955"/>
    </row>
    <row r="221" spans="1:27" ht="25.5" customHeight="1" x14ac:dyDescent="0.2">
      <c r="B221" s="224"/>
      <c r="C221" s="977"/>
      <c r="D221" s="978"/>
      <c r="E221" s="1727" t="str">
        <f>Translations!$B$807</f>
        <v>Saskaņā ar IV pielikuma 2.7. iedaļas k) punktu jāuzrāda kopējais pulpas daudzums, kas saražots īsšķiedras kraftpulpas, garšķiedras kraftpulpas, termomehāniskās pulpas un mehāniskās pulpas, sulfītpulpas produkta līmeņatzīmes apakšiekārtām.</v>
      </c>
      <c r="F221" s="1655"/>
      <c r="G221" s="1655"/>
      <c r="H221" s="1655"/>
      <c r="I221" s="1655"/>
      <c r="J221" s="1655"/>
      <c r="K221" s="1655"/>
      <c r="L221" s="1655"/>
      <c r="M221" s="1655"/>
      <c r="N221" s="1656"/>
      <c r="O221" s="25"/>
      <c r="P221" s="955"/>
      <c r="R221" s="955"/>
      <c r="S221" s="955"/>
      <c r="AA221" s="437"/>
    </row>
    <row r="222" spans="1:27" ht="12.75" customHeight="1" x14ac:dyDescent="0.2">
      <c r="B222" s="224"/>
      <c r="C222" s="977"/>
      <c r="D222" s="978"/>
      <c r="E222" s="1727" t="str">
        <f>Translations!$B$808</f>
        <v>Ja šī iekārta nav šāda pulpu ražojoša apakšiekārta, šī sadaļa tiks iezīmēta pelēka. Tādā gadījumā pārejiet pie nākamajiem punktiem.</v>
      </c>
      <c r="F222" s="1655"/>
      <c r="G222" s="1655"/>
      <c r="H222" s="1655"/>
      <c r="I222" s="1655"/>
      <c r="J222" s="1655"/>
      <c r="K222" s="1655"/>
      <c r="L222" s="1655"/>
      <c r="M222" s="1655"/>
      <c r="N222" s="1656"/>
      <c r="O222" s="25"/>
      <c r="P222" s="955"/>
      <c r="R222" s="955"/>
      <c r="S222" s="955"/>
      <c r="AA222" s="437" t="s">
        <v>262</v>
      </c>
    </row>
    <row r="223" spans="1:27" ht="12.75" customHeight="1" thickBot="1" x14ac:dyDescent="0.25">
      <c r="B223" s="224"/>
      <c r="C223" s="977"/>
      <c r="D223" s="695"/>
      <c r="E223" s="1723" t="str">
        <f>Translations!$B$809</f>
        <v>Šeit sniegtie dati būs relevanti konkrētās pulpas līmeņatzīmes atjaunināšanai.</v>
      </c>
      <c r="F223" s="1654"/>
      <c r="G223" s="1654"/>
      <c r="H223" s="1654"/>
      <c r="I223" s="1654"/>
      <c r="J223" s="1654"/>
      <c r="K223" s="1654"/>
      <c r="L223" s="1654"/>
      <c r="M223" s="1654"/>
      <c r="N223" s="1724"/>
      <c r="O223" s="25"/>
      <c r="P223" s="955"/>
      <c r="R223" s="955"/>
      <c r="S223" s="955"/>
      <c r="AA223" s="607"/>
    </row>
    <row r="224" spans="1:27" ht="12.75" customHeight="1" thickBot="1" x14ac:dyDescent="0.25">
      <c r="B224" s="224"/>
      <c r="C224" s="977"/>
      <c r="D224" s="695"/>
      <c r="E224" s="1689" t="str">
        <f>IF(I13="","",IF(INDEX(EUconst_BMlistPulp,MATCH(I13,EUconst_BMlistNames,0)),I13,""))</f>
        <v/>
      </c>
      <c r="F224" s="1689"/>
      <c r="G224" s="1689"/>
      <c r="H224" s="465" t="str">
        <f>EUconst_Tons</f>
        <v>tonnas</v>
      </c>
      <c r="I224" s="483"/>
      <c r="J224" s="483"/>
      <c r="K224" s="483"/>
      <c r="L224" s="483"/>
      <c r="M224" s="483"/>
      <c r="N224" s="1205"/>
      <c r="O224" s="25"/>
      <c r="P224" s="979" t="str">
        <f>EUconst_CNTR_HALPulpTotal &amp; I13</f>
        <v>HALPulpTotal_</v>
      </c>
      <c r="R224" s="955"/>
      <c r="AA224" s="734" t="b">
        <f>IF(I13&lt;&gt;"",IF(INDEX(EUconst_BMlistPulp,MATCH(I13,EUconst_BMlistNames,0))=TRUE,FALSE,TRUE),FALSE)</f>
        <v>0</v>
      </c>
    </row>
    <row r="225" spans="2:27" ht="12.75" customHeight="1" x14ac:dyDescent="0.2">
      <c r="B225" s="224"/>
      <c r="C225" s="977"/>
      <c r="D225" s="695"/>
      <c r="E225" s="695"/>
      <c r="F225" s="695"/>
      <c r="G225" s="695"/>
      <c r="H225" s="695"/>
      <c r="I225" s="695"/>
      <c r="J225" s="695"/>
      <c r="K225" s="695"/>
      <c r="L225" s="695"/>
      <c r="M225" s="695"/>
      <c r="N225" s="1205"/>
      <c r="O225" s="25"/>
      <c r="P225" s="982"/>
      <c r="R225" s="955"/>
      <c r="S225" s="955"/>
    </row>
    <row r="226" spans="2:27" ht="12.75" customHeight="1" x14ac:dyDescent="0.2">
      <c r="B226" s="224"/>
      <c r="C226" s="977"/>
      <c r="D226" s="474" t="s">
        <v>322</v>
      </c>
      <c r="E226" s="1654" t="str">
        <f>Translations!$B$810</f>
        <v>Produktu līmeņatzīmju aptverto starpproduktu imports vai eksports</v>
      </c>
      <c r="F226" s="1655"/>
      <c r="G226" s="1655"/>
      <c r="H226" s="1655"/>
      <c r="I226" s="1655"/>
      <c r="J226" s="1655"/>
      <c r="K226" s="1655"/>
      <c r="L226" s="1655"/>
      <c r="M226" s="1655"/>
      <c r="N226" s="1656"/>
      <c r="O226" s="25"/>
      <c r="P226" s="955"/>
      <c r="R226" s="955"/>
      <c r="S226" s="955"/>
    </row>
    <row r="227" spans="2:27" ht="25.5" customHeight="1" x14ac:dyDescent="0.2">
      <c r="B227" s="224"/>
      <c r="C227" s="977"/>
      <c r="D227" s="978"/>
      <c r="E227" s="1727" t="str">
        <f>Translations!$B$811</f>
        <v>Lai izvairītos no attiecināto emisiju divkāršas uzskaites vai izlaidumiem, nosakot atjauninātās līmeņatzīmes, FAR IV pielikuma 2.7. iedaļas d) punkts prasa ziņot par FAR I pielikumā norādīto produktu līmeņatzīmju aptverto starpproduktu importu vai eksportu.</v>
      </c>
      <c r="F227" s="1655"/>
      <c r="G227" s="1655"/>
      <c r="H227" s="1655"/>
      <c r="I227" s="1655"/>
      <c r="J227" s="1655"/>
      <c r="K227" s="1655"/>
      <c r="L227" s="1655"/>
      <c r="M227" s="1655"/>
      <c r="N227" s="1656"/>
      <c r="O227" s="25"/>
      <c r="P227" s="955"/>
      <c r="R227" s="955"/>
      <c r="S227" s="955"/>
    </row>
    <row r="228" spans="2:27" ht="12.75" customHeight="1" thickBot="1" x14ac:dyDescent="0.25">
      <c r="B228" s="224"/>
      <c r="C228" s="977"/>
      <c r="D228" s="978"/>
      <c r="E228" s="1723" t="str">
        <f>Translations!$B$812</f>
        <v>Šeit sniegtie dati var ietekmēt konkrētās līmeņatzīmes atjaunināšanu.</v>
      </c>
      <c r="F228" s="1654"/>
      <c r="G228" s="1654"/>
      <c r="H228" s="1654"/>
      <c r="I228" s="1654"/>
      <c r="J228" s="1654"/>
      <c r="K228" s="1654"/>
      <c r="L228" s="1654"/>
      <c r="M228" s="1654"/>
      <c r="N228" s="1724"/>
      <c r="O228" s="25"/>
      <c r="P228" s="955"/>
      <c r="R228" s="955"/>
      <c r="S228" s="955"/>
    </row>
    <row r="229" spans="2:27" ht="12.75" customHeight="1" thickBot="1" x14ac:dyDescent="0.25">
      <c r="B229" s="38"/>
      <c r="C229" s="977"/>
      <c r="D229" s="695" t="s">
        <v>2</v>
      </c>
      <c r="E229" s="1732" t="str">
        <f>Translations!$B$813</f>
        <v>Vai notiek produktu līmeņatzīmju aptverto starpproduktu imports vai eksports?</v>
      </c>
      <c r="F229" s="1732"/>
      <c r="G229" s="1732"/>
      <c r="H229" s="1732"/>
      <c r="I229" s="1732"/>
      <c r="J229" s="1732"/>
      <c r="K229" s="1733"/>
      <c r="L229" s="527"/>
      <c r="M229" s="461"/>
      <c r="N229" s="698"/>
      <c r="O229" s="25"/>
      <c r="W229" s="966" t="s">
        <v>398</v>
      </c>
      <c r="X229" s="964" t="b">
        <f>IF(AND(I13&lt;&gt;"",ISBLANK(L229)),EUconst_Error&amp;"BM"&amp;C13,FALSE)</f>
        <v>0</v>
      </c>
    </row>
    <row r="230" spans="2:27" ht="5.0999999999999996" customHeight="1" x14ac:dyDescent="0.2">
      <c r="B230" s="224"/>
      <c r="C230" s="977"/>
      <c r="D230" s="695"/>
      <c r="E230" s="695"/>
      <c r="F230" s="695"/>
      <c r="G230" s="695"/>
      <c r="H230" s="695"/>
      <c r="I230" s="695"/>
      <c r="J230" s="695"/>
      <c r="K230" s="695"/>
      <c r="L230" s="695"/>
      <c r="M230" s="695"/>
      <c r="N230" s="1205"/>
      <c r="O230" s="25"/>
      <c r="P230" s="982"/>
      <c r="R230" s="955"/>
      <c r="S230" s="955"/>
    </row>
    <row r="231" spans="2:27" ht="12.75" customHeight="1" thickBot="1" x14ac:dyDescent="0.25">
      <c r="B231" s="224"/>
      <c r="C231" s="977"/>
      <c r="D231" s="524"/>
      <c r="E231" s="1653" t="str">
        <f>Translations!$B$814</f>
        <v>Importētie daudzumi:</v>
      </c>
      <c r="F231" s="1657"/>
      <c r="G231" s="1657"/>
      <c r="H231" s="525" t="str">
        <f>EUconst_Unit</f>
        <v>Vienība</v>
      </c>
      <c r="I231" s="463">
        <f>I$1820</f>
        <v>2019</v>
      </c>
      <c r="J231" s="463">
        <f>J$1820</f>
        <v>2020</v>
      </c>
      <c r="K231" s="463">
        <f>K$1820</f>
        <v>2021</v>
      </c>
      <c r="L231" s="463">
        <f>L$1820</f>
        <v>2022</v>
      </c>
      <c r="M231" s="463">
        <f>M$1820</f>
        <v>2023</v>
      </c>
      <c r="N231" s="1205"/>
      <c r="O231" s="25"/>
      <c r="P231" s="982"/>
      <c r="R231" s="955"/>
      <c r="S231" s="955"/>
      <c r="AA231" s="437" t="s">
        <v>262</v>
      </c>
    </row>
    <row r="232" spans="2:27" ht="12.75" customHeight="1" x14ac:dyDescent="0.2">
      <c r="B232" s="224"/>
      <c r="C232" s="977"/>
      <c r="D232" s="526" t="s">
        <v>3</v>
      </c>
      <c r="E232" s="1745"/>
      <c r="F232" s="1745"/>
      <c r="G232" s="1745"/>
      <c r="H232" s="82" t="str">
        <f>IF(E232&lt;&gt;"",INDEX(EUconst_BMlistUnits,MATCH(E232,EUconst_BMlistNames,0)),EUconst_Tons)</f>
        <v>tonnas</v>
      </c>
      <c r="I232" s="334"/>
      <c r="J232" s="334"/>
      <c r="K232" s="334"/>
      <c r="L232" s="334"/>
      <c r="M232" s="334"/>
      <c r="N232" s="1205"/>
      <c r="O232" s="25"/>
      <c r="P232" s="979" t="str">
        <f>EUconst_CNTR_IntermediateImport &amp; R232 &amp; "_" &amp; I13</f>
        <v>IntImp_1_</v>
      </c>
      <c r="R232" s="979">
        <v>1</v>
      </c>
      <c r="S232" s="955"/>
      <c r="AA232" s="643" t="b">
        <f>AND(NOT(ISBLANK(L229)),L229=FALSE)</f>
        <v>0</v>
      </c>
    </row>
    <row r="233" spans="2:27" ht="12.75" customHeight="1" x14ac:dyDescent="0.2">
      <c r="B233" s="224"/>
      <c r="C233" s="977"/>
      <c r="D233" s="526" t="s">
        <v>4</v>
      </c>
      <c r="E233" s="1746"/>
      <c r="F233" s="1746"/>
      <c r="G233" s="1746"/>
      <c r="H233" s="74" t="str">
        <f>IF(E233&lt;&gt;"",INDEX(EUconst_BMlistUnits,MATCH(E233,EUconst_BMlistNames,0)),EUconst_Tons)</f>
        <v>tonnas</v>
      </c>
      <c r="I233" s="333"/>
      <c r="J233" s="333"/>
      <c r="K233" s="333"/>
      <c r="L233" s="333"/>
      <c r="M233" s="333"/>
      <c r="N233" s="1205"/>
      <c r="O233" s="25"/>
      <c r="P233" s="979" t="str">
        <f>EUconst_CNTR_IntermediateImport &amp; R233 &amp; "_" &amp; I13</f>
        <v>IntImp_2_</v>
      </c>
      <c r="R233" s="979">
        <v>2</v>
      </c>
      <c r="S233" s="955"/>
      <c r="AA233" s="361" t="b">
        <f>AA232</f>
        <v>0</v>
      </c>
    </row>
    <row r="234" spans="2:27" ht="5.0999999999999996" customHeight="1" x14ac:dyDescent="0.2">
      <c r="B234" s="224"/>
      <c r="C234" s="977"/>
      <c r="D234" s="695"/>
      <c r="E234" s="695"/>
      <c r="F234" s="695"/>
      <c r="G234" s="695"/>
      <c r="H234" s="695"/>
      <c r="I234" s="695"/>
      <c r="J234" s="695"/>
      <c r="K234" s="695"/>
      <c r="L234" s="695"/>
      <c r="M234" s="695"/>
      <c r="N234" s="1205"/>
      <c r="O234" s="25"/>
      <c r="P234" s="982"/>
      <c r="R234" s="955"/>
      <c r="S234" s="955"/>
      <c r="AA234" s="607"/>
    </row>
    <row r="235" spans="2:27" ht="12.75" customHeight="1" x14ac:dyDescent="0.2">
      <c r="B235" s="224"/>
      <c r="C235" s="977"/>
      <c r="D235" s="524"/>
      <c r="E235" s="1653" t="str">
        <f>Translations!$B$815</f>
        <v>Eksportētie daudzumi:</v>
      </c>
      <c r="F235" s="1657"/>
      <c r="G235" s="1657"/>
      <c r="H235" s="525" t="str">
        <f>EUconst_Unit</f>
        <v>Vienība</v>
      </c>
      <c r="I235" s="463">
        <f>I$1820</f>
        <v>2019</v>
      </c>
      <c r="J235" s="463">
        <f>J$1820</f>
        <v>2020</v>
      </c>
      <c r="K235" s="463">
        <f>K$1820</f>
        <v>2021</v>
      </c>
      <c r="L235" s="463">
        <f>L$1820</f>
        <v>2022</v>
      </c>
      <c r="M235" s="463">
        <f>M$1820</f>
        <v>2023</v>
      </c>
      <c r="N235" s="1205"/>
      <c r="O235" s="25"/>
      <c r="P235" s="982"/>
      <c r="R235" s="955"/>
      <c r="S235" s="955"/>
      <c r="AA235" s="607"/>
    </row>
    <row r="236" spans="2:27" ht="12.75" customHeight="1" x14ac:dyDescent="0.2">
      <c r="B236" s="224"/>
      <c r="C236" s="977"/>
      <c r="D236" s="526" t="s">
        <v>6</v>
      </c>
      <c r="E236" s="1745"/>
      <c r="F236" s="1745"/>
      <c r="G236" s="1745"/>
      <c r="H236" s="82" t="str">
        <f>IF(E236&lt;&gt;"",INDEX(EUconst_BMlistUnits,MATCH(E236,EUconst_BMlistNames,0)),EUconst_Tons)</f>
        <v>tonnas</v>
      </c>
      <c r="I236" s="334"/>
      <c r="J236" s="334"/>
      <c r="K236" s="334"/>
      <c r="L236" s="334"/>
      <c r="M236" s="334"/>
      <c r="N236" s="1205"/>
      <c r="O236" s="25"/>
      <c r="P236" s="979" t="str">
        <f>EUconst_CNTR_IntermediateExport &amp; R232 &amp; "_" &amp; I13</f>
        <v>IntExp_1_</v>
      </c>
      <c r="R236" s="979">
        <v>1</v>
      </c>
      <c r="S236" s="955"/>
      <c r="U236" s="522"/>
      <c r="V236" s="522"/>
      <c r="AA236" s="361" t="b">
        <f>AA232</f>
        <v>0</v>
      </c>
    </row>
    <row r="237" spans="2:27" ht="12.75" customHeight="1" x14ac:dyDescent="0.2">
      <c r="B237" s="224"/>
      <c r="C237" s="977"/>
      <c r="D237" s="526" t="s">
        <v>303</v>
      </c>
      <c r="E237" s="1746"/>
      <c r="F237" s="1746"/>
      <c r="G237" s="1746"/>
      <c r="H237" s="74" t="str">
        <f>IF(E237&lt;&gt;"",INDEX(EUconst_BMlistUnits,MATCH(E237,EUconst_BMlistNames,0)),EUconst_Tons)</f>
        <v>tonnas</v>
      </c>
      <c r="I237" s="333"/>
      <c r="J237" s="333"/>
      <c r="K237" s="333"/>
      <c r="L237" s="333"/>
      <c r="M237" s="333"/>
      <c r="N237" s="1205"/>
      <c r="O237" s="25"/>
      <c r="P237" s="979" t="str">
        <f>EUconst_CNTR_IntermediateExport &amp; R237 &amp; "_" &amp; I13</f>
        <v>IntExp_2_</v>
      </c>
      <c r="R237" s="979">
        <v>2</v>
      </c>
      <c r="S237" s="955"/>
      <c r="U237" s="522"/>
      <c r="V237" s="522"/>
      <c r="AA237" s="361" t="b">
        <f>AA232</f>
        <v>0</v>
      </c>
    </row>
    <row r="238" spans="2:27" ht="5.0999999999999996" customHeight="1" x14ac:dyDescent="0.2">
      <c r="B238" s="224"/>
      <c r="C238" s="977"/>
      <c r="D238" s="695"/>
      <c r="E238" s="695"/>
      <c r="F238" s="695"/>
      <c r="G238" s="695"/>
      <c r="H238" s="695"/>
      <c r="I238" s="695"/>
      <c r="J238" s="695"/>
      <c r="K238" s="695"/>
      <c r="L238" s="695"/>
      <c r="M238" s="695"/>
      <c r="N238" s="1205"/>
      <c r="O238" s="25"/>
      <c r="P238" s="982"/>
      <c r="R238" s="955"/>
      <c r="S238" s="955"/>
      <c r="U238" s="522"/>
      <c r="V238" s="522"/>
      <c r="AA238" s="607"/>
    </row>
    <row r="239" spans="2:27" ht="12.75" customHeight="1" x14ac:dyDescent="0.2">
      <c r="B239" s="224"/>
      <c r="C239" s="977"/>
      <c r="D239" s="526" t="s">
        <v>304</v>
      </c>
      <c r="E239" s="1738" t="str">
        <f>Translations!$B$816</f>
        <v>Importēto vai eksportēto starpproduktu apraksts</v>
      </c>
      <c r="F239" s="1738"/>
      <c r="G239" s="1738"/>
      <c r="H239" s="1738"/>
      <c r="I239" s="1738"/>
      <c r="J239" s="1738"/>
      <c r="K239" s="1738"/>
      <c r="L239" s="1738"/>
      <c r="M239" s="1738"/>
      <c r="N239" s="1205"/>
      <c r="O239" s="25"/>
      <c r="P239" s="982"/>
      <c r="R239" s="955"/>
      <c r="S239" s="955"/>
      <c r="U239" s="522"/>
      <c r="V239" s="522"/>
      <c r="AA239" s="607"/>
    </row>
    <row r="240" spans="2:27" ht="12.75" customHeight="1" x14ac:dyDescent="0.2">
      <c r="B240" s="224"/>
      <c r="C240" s="977"/>
      <c r="D240" s="526"/>
      <c r="E240" s="1727" t="str">
        <f>Translations!$B$817</f>
        <v>Īsi aprakstiet ražošanas procesu attiecībā uz importētajiem vai eksportētajiem starpproduktiem.</v>
      </c>
      <c r="F240" s="1655"/>
      <c r="G240" s="1655"/>
      <c r="H240" s="1655"/>
      <c r="I240" s="1655"/>
      <c r="J240" s="1655"/>
      <c r="K240" s="1655"/>
      <c r="L240" s="1655"/>
      <c r="M240" s="1655"/>
      <c r="N240" s="1656"/>
      <c r="O240" s="25"/>
      <c r="P240" s="982"/>
      <c r="R240" s="955"/>
      <c r="S240" s="955"/>
      <c r="U240" s="522"/>
      <c r="V240" s="522"/>
      <c r="AA240" s="607"/>
    </row>
    <row r="241" spans="2:27" ht="12.75" customHeight="1" x14ac:dyDescent="0.2">
      <c r="B241" s="224"/>
      <c r="C241" s="977"/>
      <c r="D241" s="695"/>
      <c r="E241" s="1739"/>
      <c r="F241" s="1740"/>
      <c r="G241" s="1740"/>
      <c r="H241" s="1740"/>
      <c r="I241" s="1740"/>
      <c r="J241" s="1740"/>
      <c r="K241" s="1740"/>
      <c r="L241" s="1740"/>
      <c r="M241" s="1741"/>
      <c r="N241" s="1205"/>
      <c r="O241" s="25"/>
      <c r="P241" s="982"/>
      <c r="R241" s="955"/>
      <c r="S241" s="955"/>
      <c r="U241" s="522"/>
      <c r="V241" s="522"/>
      <c r="AA241" s="361" t="b">
        <f>AA232</f>
        <v>0</v>
      </c>
    </row>
    <row r="242" spans="2:27" ht="12.75" customHeight="1" thickBot="1" x14ac:dyDescent="0.25">
      <c r="B242" s="224"/>
      <c r="C242" s="977"/>
      <c r="D242" s="695"/>
      <c r="E242" s="1742"/>
      <c r="F242" s="1743"/>
      <c r="G242" s="1743"/>
      <c r="H242" s="1743"/>
      <c r="I242" s="1743"/>
      <c r="J242" s="1743"/>
      <c r="K242" s="1743"/>
      <c r="L242" s="1743"/>
      <c r="M242" s="1744"/>
      <c r="N242" s="1205"/>
      <c r="O242" s="25"/>
      <c r="P242" s="982"/>
      <c r="R242" s="955"/>
      <c r="S242" s="955"/>
      <c r="U242" s="522"/>
      <c r="V242" s="522"/>
      <c r="AA242" s="186" t="b">
        <f>AA232</f>
        <v>0</v>
      </c>
    </row>
    <row r="243" spans="2:27" ht="12.75" customHeight="1" thickBot="1" x14ac:dyDescent="0.25">
      <c r="B243" s="224"/>
      <c r="C243" s="983"/>
      <c r="D243" s="984"/>
      <c r="E243" s="984"/>
      <c r="F243" s="984"/>
      <c r="G243" s="984"/>
      <c r="H243" s="984"/>
      <c r="I243" s="984"/>
      <c r="J243" s="984"/>
      <c r="K243" s="984"/>
      <c r="L243" s="984"/>
      <c r="M243" s="985"/>
      <c r="N243" s="986"/>
      <c r="O243" s="25"/>
      <c r="P243" s="955"/>
      <c r="R243" s="955"/>
      <c r="S243" s="955"/>
    </row>
    <row r="244" spans="2:27" ht="13.5" thickBot="1" x14ac:dyDescent="0.25">
      <c r="B244" s="38"/>
      <c r="C244" s="38"/>
      <c r="D244" s="38"/>
      <c r="E244" s="38"/>
      <c r="F244" s="38"/>
      <c r="G244" s="38"/>
      <c r="H244" s="38"/>
      <c r="I244" s="38"/>
      <c r="J244" s="38"/>
      <c r="K244" s="38"/>
      <c r="L244" s="38"/>
      <c r="M244" s="38"/>
      <c r="N244" s="38"/>
      <c r="O244" s="25"/>
      <c r="P244" s="362" t="str">
        <f>IF(OR(AND(CNTR_ExistProductSubEntries=FALSE,P13=1),AND(I13&lt;&gt;"",COUNTIF(P245:$P$1814,"PRINT")=0)),"PRINT","")</f>
        <v>PRINT</v>
      </c>
      <c r="Q244" s="437" t="s">
        <v>481</v>
      </c>
      <c r="R244" s="955"/>
      <c r="S244" s="955"/>
    </row>
    <row r="245" spans="2:27" ht="5.0999999999999996" customHeight="1" thickBot="1" x14ac:dyDescent="0.25">
      <c r="B245" s="38"/>
      <c r="C245" s="987"/>
      <c r="D245" s="987"/>
      <c r="E245" s="987"/>
      <c r="F245" s="987"/>
      <c r="G245" s="987"/>
      <c r="H245" s="987"/>
      <c r="I245" s="987"/>
      <c r="J245" s="987"/>
      <c r="K245" s="987"/>
      <c r="L245" s="987"/>
      <c r="M245" s="987"/>
      <c r="N245" s="987"/>
      <c r="O245" s="25"/>
      <c r="R245" s="955"/>
      <c r="S245" s="955"/>
    </row>
    <row r="246" spans="2:27" ht="15.75" thickBot="1" x14ac:dyDescent="0.25">
      <c r="B246" s="224"/>
      <c r="C246" s="965">
        <f>JUMP_F1+1</f>
        <v>2</v>
      </c>
      <c r="D246" s="1318" t="str">
        <f>EUconst_BMSubinst &amp; ":"</f>
        <v>Apakšiekārta ar produkta līmeņatzīmi:</v>
      </c>
      <c r="E246" s="1251"/>
      <c r="F246" s="1251"/>
      <c r="G246" s="1251"/>
      <c r="H246" s="1328"/>
      <c r="I246" s="1701" t="str">
        <f>IF(INDEX(CNTR_SubInstListIsProdBM,$C246),INDEX(CNTR_SubInstListNames,$C246),"")</f>
        <v/>
      </c>
      <c r="J246" s="1457"/>
      <c r="K246" s="1457"/>
      <c r="L246" s="1457"/>
      <c r="M246" s="1457"/>
      <c r="N246" s="1259"/>
      <c r="O246" s="25"/>
      <c r="P246" s="362">
        <f>C246</f>
        <v>2</v>
      </c>
      <c r="Q246" s="966" t="s">
        <v>225</v>
      </c>
      <c r="R246" s="967" t="str">
        <f>IF(I246="","",INDEX(CNTR_SubInstStartDate,MATCH($I246,CNTR_SubInstListNames,0)))</f>
        <v/>
      </c>
      <c r="S246" s="968" t="b">
        <f>IF($I246="",FALSE,AND(I$1823,YEAR($R246)&lt;I$1820))</f>
        <v>0</v>
      </c>
      <c r="T246" s="968" t="b">
        <f>IF($I246="",FALSE,AND(J$1823,YEAR($R246)&lt;J$1820))</f>
        <v>0</v>
      </c>
      <c r="U246" s="968" t="b">
        <f>IF($I246="",FALSE,AND(K$1823,YEAR($R246)&lt;K$1820))</f>
        <v>0</v>
      </c>
      <c r="V246" s="968" t="b">
        <f>IF($I246="",FALSE,AND(L$1823,YEAR($R246)&lt;L$1820))</f>
        <v>0</v>
      </c>
      <c r="W246" s="968" t="b">
        <f>IF($I246="",FALSE,AND(M$1823,YEAR($R246)&lt;M$1820))</f>
        <v>0</v>
      </c>
      <c r="Z246" s="732" t="s">
        <v>529</v>
      </c>
      <c r="AA246" s="734" t="b">
        <f>AND(CNTR_ExistSubInstEntries,I246="")</f>
        <v>0</v>
      </c>
    </row>
    <row r="247" spans="2:27" ht="5.0999999999999996" customHeight="1" x14ac:dyDescent="0.2">
      <c r="B247" s="224"/>
      <c r="C247" s="224"/>
      <c r="D247" s="224"/>
      <c r="E247" s="224"/>
      <c r="F247" s="224"/>
      <c r="G247" s="224"/>
      <c r="H247" s="224"/>
      <c r="I247" s="224"/>
      <c r="J247" s="224"/>
      <c r="K247" s="224"/>
      <c r="L247" s="224"/>
      <c r="M247" s="34"/>
      <c r="N247" s="34"/>
      <c r="O247" s="25"/>
      <c r="P247" s="955"/>
      <c r="R247" s="955"/>
      <c r="S247" s="955"/>
    </row>
    <row r="248" spans="2:27" ht="13.5" thickBot="1" x14ac:dyDescent="0.25">
      <c r="B248" s="224"/>
      <c r="C248" s="224"/>
      <c r="D248" s="32" t="s">
        <v>165</v>
      </c>
      <c r="E248" s="1250" t="str">
        <f>Translations!$B$670</f>
        <v>Vēsturiskie darbības līmeņi</v>
      </c>
      <c r="F248" s="1251"/>
      <c r="G248" s="1251"/>
      <c r="H248" s="1251"/>
      <c r="I248" s="1251"/>
      <c r="J248" s="1251"/>
      <c r="K248" s="1251"/>
      <c r="L248" s="1251"/>
      <c r="M248" s="1251"/>
      <c r="N248" s="1251"/>
      <c r="O248" s="25"/>
      <c r="P248" s="955"/>
      <c r="R248" s="955"/>
      <c r="S248" s="955"/>
    </row>
    <row r="249" spans="2:27" ht="13.5" customHeight="1" thickBot="1" x14ac:dyDescent="0.25">
      <c r="B249" s="38"/>
      <c r="C249" s="38"/>
      <c r="D249" s="32"/>
      <c r="E249" s="1320" t="str">
        <f>Translations!$B$676</f>
        <v>Gada darbības līmeņi:</v>
      </c>
      <c r="F249" s="1320"/>
      <c r="G249" s="1320"/>
      <c r="H249" s="52" t="str">
        <f>EUconst_Unit</f>
        <v>Vienība</v>
      </c>
      <c r="I249" s="412">
        <f>I$1820</f>
        <v>2019</v>
      </c>
      <c r="J249" s="412">
        <f>J$1820</f>
        <v>2020</v>
      </c>
      <c r="K249" s="412">
        <f>K$1820</f>
        <v>2021</v>
      </c>
      <c r="L249" s="412">
        <f>L$1820</f>
        <v>2022</v>
      </c>
      <c r="M249" s="412">
        <f>M$1820</f>
        <v>2023</v>
      </c>
      <c r="N249" s="34"/>
      <c r="O249" s="25"/>
      <c r="P249" s="955"/>
      <c r="Q249" s="439" t="s">
        <v>416</v>
      </c>
      <c r="R249" s="289"/>
      <c r="S249" s="289"/>
      <c r="T249" s="289"/>
      <c r="U249" s="289"/>
      <c r="V249" s="289"/>
      <c r="W249" s="290"/>
      <c r="AA249" s="437" t="s">
        <v>262</v>
      </c>
    </row>
    <row r="250" spans="2:27" ht="13.5" thickBot="1" x14ac:dyDescent="0.25">
      <c r="B250" s="38"/>
      <c r="C250" s="38"/>
      <c r="D250" s="212" t="s">
        <v>2</v>
      </c>
      <c r="E250" s="1716" t="str">
        <f>I246</f>
        <v/>
      </c>
      <c r="F250" s="1716"/>
      <c r="G250" s="1716"/>
      <c r="H250" s="116" t="str">
        <f>IF(INDEX(CNTR_SubInstListIsProdBM,$C246),INDEX(CNTR_SubInstListHALUnit,$C246),EUconst_Tons)</f>
        <v>tonnas</v>
      </c>
      <c r="I250" s="595"/>
      <c r="J250" s="595"/>
      <c r="K250" s="595"/>
      <c r="L250" s="595"/>
      <c r="M250" s="595"/>
      <c r="N250" s="34"/>
      <c r="O250" s="25"/>
      <c r="P250" s="182" t="s">
        <v>228</v>
      </c>
      <c r="Q250" s="1023" t="s">
        <v>618</v>
      </c>
      <c r="R250" s="204" t="s">
        <v>629</v>
      </c>
      <c r="S250" s="454">
        <f>I249</f>
        <v>2019</v>
      </c>
      <c r="T250" s="455">
        <f>J249</f>
        <v>2020</v>
      </c>
      <c r="U250" s="455">
        <f>K249</f>
        <v>2021</v>
      </c>
      <c r="V250" s="455">
        <f>L249</f>
        <v>2022</v>
      </c>
      <c r="W250" s="456">
        <f>M249</f>
        <v>2023</v>
      </c>
      <c r="Z250" s="437"/>
      <c r="AA250" s="643" t="b">
        <f>IF(CNTR_ExistSubInstEntries,AND(I246&lt;&gt;"",Q254),FALSE)</f>
        <v>0</v>
      </c>
    </row>
    <row r="251" spans="2:27" ht="13.5" thickBot="1" x14ac:dyDescent="0.25">
      <c r="B251" s="38"/>
      <c r="C251" s="38"/>
      <c r="D251" s="212" t="s">
        <v>3</v>
      </c>
      <c r="E251" s="1716" t="str">
        <f>Translations!$B$677</f>
        <v>No lapas “H_SpecialBM”:</v>
      </c>
      <c r="F251" s="1716"/>
      <c r="G251" s="1716"/>
      <c r="H251" s="116" t="str">
        <f>H250</f>
        <v>tonnas</v>
      </c>
      <c r="I251" s="336" t="str">
        <f>IF($I246="","",IF($Q254,SUMIF(H_SpecialBM!$P$9:$P$401,$P251,H_SpecialBM!I$9:I$401),""))</f>
        <v/>
      </c>
      <c r="J251" s="336" t="str">
        <f>IF($I246="","",IF($Q254,SUMIF(H_SpecialBM!$P$9:$P$401,$P251,H_SpecialBM!J$9:J$401),""))</f>
        <v/>
      </c>
      <c r="K251" s="336" t="str">
        <f>IF($I246="","",IF($Q254,SUMIF(H_SpecialBM!$P$9:$P$401,$P251,H_SpecialBM!K$9:K$401),""))</f>
        <v/>
      </c>
      <c r="L251" s="336" t="str">
        <f>IF($I246="","",IF($Q254,SUMIF(H_SpecialBM!$P$9:$P$401,$P251,H_SpecialBM!L$9:L$401),""))</f>
        <v/>
      </c>
      <c r="M251" s="336" t="str">
        <f>IF($I246="","",IF($Q254,SUMIF(H_SpecialBM!$P$9:$P$401,$P251,H_SpecialBM!M$9:M$401),""))</f>
        <v/>
      </c>
      <c r="N251" s="34"/>
      <c r="O251" s="25"/>
      <c r="P251" s="969" t="str">
        <f>EUconst_CNTR_HALspecial&amp;I246</f>
        <v>HALspecial_</v>
      </c>
      <c r="Q251" s="1093" t="str">
        <f>IF(COUNT($U251:$V251)&gt;0,SUM($U251:$V251),"")</f>
        <v/>
      </c>
      <c r="R251" s="1094" t="str">
        <f>IF(COUNT(S251:W251)&gt;0,MEDIAN(S251:W251),"")</f>
        <v/>
      </c>
      <c r="S251" s="1095" t="str">
        <f>IF(S246,IF(ISNUMBER(I251),I251,""),"")</f>
        <v/>
      </c>
      <c r="T251" s="1096" t="str">
        <f>IF(T246,IF(ISNUMBER(J251),J251,""),"")</f>
        <v/>
      </c>
      <c r="U251" s="1096" t="str">
        <f>IF(U246,IF(ISNUMBER(K251),K251,""),"")</f>
        <v/>
      </c>
      <c r="V251" s="1096" t="str">
        <f>IF(V246,IF(ISNUMBER(L251),L251,""),"")</f>
        <v/>
      </c>
      <c r="W251" s="1094" t="str">
        <f>IF(W246,IF(ISNUMBER(M251),M251,""),"")</f>
        <v/>
      </c>
      <c r="AA251" s="719" t="b">
        <f>Q254=FALSE</f>
        <v>0</v>
      </c>
    </row>
    <row r="252" spans="2:27" ht="13.5" thickBot="1" x14ac:dyDescent="0.25">
      <c r="B252" s="38"/>
      <c r="C252" s="38"/>
      <c r="D252" s="212" t="s">
        <v>4</v>
      </c>
      <c r="E252" s="1716" t="str">
        <f>Translations!$B$678</f>
        <v>Aprēķinā izmantotās vērtības:</v>
      </c>
      <c r="F252" s="1716"/>
      <c r="G252" s="1716"/>
      <c r="H252" s="116" t="str">
        <f>H251</f>
        <v>tonnas</v>
      </c>
      <c r="I252" s="336" t="str">
        <f>IF($I246="","",IF($Q254=TRUE,IF(ISNUMBER(I251),I251,0),IF(ISNUMBER(I250),I250,0)))</f>
        <v/>
      </c>
      <c r="J252" s="336" t="str">
        <f>IF($I246="","",IF($Q254=TRUE,IF(ISNUMBER(J251),J251,0),IF(ISNUMBER(J250),J250,0)))</f>
        <v/>
      </c>
      <c r="K252" s="336" t="str">
        <f>IF($I246="","",IF($Q254=TRUE,IF(ISNUMBER(K251),K251,0),IF(ISNUMBER(K250),K250,0)))</f>
        <v/>
      </c>
      <c r="L252" s="336" t="str">
        <f>IF($I246="","",IF($Q254=TRUE,IF(ISNUMBER(L251),L251,0),IF(ISNUMBER(L250),L250,0)))</f>
        <v/>
      </c>
      <c r="M252" s="336" t="str">
        <f>IF($I246="","",IF($Q254=TRUE,IF(ISNUMBER(M251),M251,0),IF(ISNUMBER(M250),M250,0)))</f>
        <v/>
      </c>
      <c r="N252" s="34"/>
      <c r="O252" s="25"/>
      <c r="P252" s="969" t="str">
        <f>EUconst_CNTR_HAL&amp;I246</f>
        <v>HAL_</v>
      </c>
      <c r="Q252" s="1097" t="str">
        <f>IF(COUNT($U252:$V252)&gt;0,SUM($U252:$V252),"")</f>
        <v/>
      </c>
      <c r="R252" s="1098" t="str">
        <f>IF(COUNT(S252:W252)&gt;0,MEDIAN(S252:W252),"")</f>
        <v/>
      </c>
      <c r="S252" s="1099" t="str">
        <f>IF(S246,IF(ISNUMBER(I252),I252,""),"")</f>
        <v/>
      </c>
      <c r="T252" s="1100" t="str">
        <f>IF(T246,IF(ISNUMBER(J252),J252,""),"")</f>
        <v/>
      </c>
      <c r="U252" s="1100" t="str">
        <f>IF(U246,IF(ISNUMBER(K252),K252,""),"")</f>
        <v/>
      </c>
      <c r="V252" s="1100" t="str">
        <f>IF(V246,IF(ISNUMBER(L252),L252,""),"")</f>
        <v/>
      </c>
      <c r="W252" s="1098" t="str">
        <f>IF(W246,IF(ISNUMBER(M252),M252,""),"")</f>
        <v/>
      </c>
    </row>
    <row r="253" spans="2:27" ht="5.0999999999999996" customHeight="1" x14ac:dyDescent="0.2">
      <c r="B253" s="224"/>
      <c r="C253" s="224"/>
      <c r="D253" s="224"/>
      <c r="E253" s="224"/>
      <c r="F253" s="224"/>
      <c r="G253" s="224"/>
      <c r="H253" s="224"/>
      <c r="I253" s="224"/>
      <c r="J253" s="224"/>
      <c r="K253" s="224"/>
      <c r="L253" s="224"/>
      <c r="M253" s="34"/>
      <c r="N253" s="34"/>
      <c r="O253" s="25"/>
      <c r="P253" s="955"/>
      <c r="R253" s="955"/>
      <c r="S253" s="955"/>
    </row>
    <row r="254" spans="2:27" x14ac:dyDescent="0.2">
      <c r="B254" s="224"/>
      <c r="C254" s="224"/>
      <c r="D254" s="32" t="s">
        <v>339</v>
      </c>
      <c r="E254" s="1250" t="str">
        <f>Translations!$B$679</f>
        <v>Īpašas ziņošanas prasības:</v>
      </c>
      <c r="F254" s="1250"/>
      <c r="G254" s="1524"/>
      <c r="H254" s="1713" t="str">
        <f>IF(I246="","",HYPERLINK(INDEX(EUconst_BMlistSpecialJumpTable,MATCH(I246,EUconst_BMlistNames,0)),INDEX(EUconst_BMlistSpecialReporting,MATCH(I246,EUconst_BMlistNames,0))))</f>
        <v/>
      </c>
      <c r="I254" s="1718"/>
      <c r="J254" s="1718"/>
      <c r="K254" s="1718"/>
      <c r="L254" s="1718"/>
      <c r="M254" s="1718"/>
      <c r="N254" s="1719"/>
      <c r="O254" s="25"/>
      <c r="P254" s="966" t="s">
        <v>37</v>
      </c>
      <c r="Q254" s="134" t="str">
        <f>IF(I246="","",IF(AND(INDEX(EUconst_BMlistSpecialJumpTable,MATCH(I246,EUconst_BMlistNames,0))&lt;&gt;"",INDEX(EUconst_BMlistMainNumberOfBM,MATCH(I246,EUconst_BMlistNames,0))&lt;&gt;47),TRUE,FALSE))</f>
        <v/>
      </c>
      <c r="R254" s="966" t="s">
        <v>574</v>
      </c>
      <c r="S254" s="134" t="b">
        <f>IF(I246="",FALSE,INDEX(CNTR_SubInstLess1Year,MATCH(I246,CNTR_SubInstListNames,0)))</f>
        <v>0</v>
      </c>
    </row>
    <row r="255" spans="2:27" ht="5.0999999999999996" customHeight="1" x14ac:dyDescent="0.2">
      <c r="B255" s="224"/>
      <c r="C255" s="224"/>
      <c r="D255" s="224"/>
      <c r="E255" s="224"/>
      <c r="F255" s="224"/>
      <c r="G255" s="224"/>
      <c r="H255" s="224"/>
      <c r="I255" s="224"/>
      <c r="J255" s="224"/>
      <c r="K255" s="224"/>
      <c r="L255" s="224"/>
      <c r="M255" s="224"/>
      <c r="N255" s="224"/>
      <c r="O255" s="25"/>
      <c r="P255" s="955"/>
      <c r="R255" s="955"/>
      <c r="S255" s="955"/>
    </row>
    <row r="256" spans="2:27" ht="12.75" customHeight="1" x14ac:dyDescent="0.2">
      <c r="B256" s="38"/>
      <c r="C256" s="38"/>
      <c r="D256" s="32" t="s">
        <v>11</v>
      </c>
      <c r="E256" s="1717" t="str">
        <f>Translations!$B$1663</f>
        <v>Elektroenerģijas patēriņš</v>
      </c>
      <c r="F256" s="1717"/>
      <c r="G256" s="1717"/>
      <c r="H256" s="1717"/>
      <c r="I256" s="1717"/>
      <c r="J256" s="1717"/>
      <c r="K256" s="1717"/>
      <c r="L256" s="1717"/>
      <c r="M256" s="1717"/>
      <c r="N256" s="1717"/>
      <c r="O256" s="25"/>
      <c r="P256" s="20" t="s">
        <v>192</v>
      </c>
      <c r="Q256" s="362" t="str">
        <f>"#"&amp;ADDRESS(ROW(D260),COLUMN(D260))</f>
        <v>#$D$260</v>
      </c>
      <c r="R256" s="955"/>
      <c r="S256" s="955"/>
      <c r="AA256" s="955"/>
    </row>
    <row r="257" spans="1:27" s="697" customFormat="1" ht="13.5" thickBot="1" x14ac:dyDescent="0.25">
      <c r="A257" s="437"/>
      <c r="B257" s="414"/>
      <c r="C257" s="414"/>
      <c r="D257" s="32"/>
      <c r="E257" s="1320" t="str">
        <f>Translations!$B$686</f>
        <v>Parametrs</v>
      </c>
      <c r="F257" s="1275"/>
      <c r="G257" s="1275"/>
      <c r="H257" s="52" t="str">
        <f>EUconst_Unit</f>
        <v>Vienība</v>
      </c>
      <c r="I257" s="412">
        <f>I249</f>
        <v>2019</v>
      </c>
      <c r="J257" s="412">
        <f>J249</f>
        <v>2020</v>
      </c>
      <c r="K257" s="412">
        <f>K249</f>
        <v>2021</v>
      </c>
      <c r="L257" s="412">
        <f>L249</f>
        <v>2022</v>
      </c>
      <c r="M257" s="412">
        <f>M249</f>
        <v>2023</v>
      </c>
      <c r="N257" s="34"/>
      <c r="O257" s="25"/>
      <c r="P257" s="437"/>
      <c r="Q257" s="437"/>
      <c r="R257" s="955"/>
      <c r="S257" s="955"/>
      <c r="T257" s="955"/>
      <c r="U257" s="955"/>
      <c r="V257" s="955"/>
      <c r="W257" s="955"/>
      <c r="X257" s="20"/>
      <c r="Y257" s="20"/>
      <c r="Z257" s="437"/>
      <c r="AA257" s="955" t="s">
        <v>633</v>
      </c>
    </row>
    <row r="258" spans="1:27" s="697" customFormat="1" ht="12.75" customHeight="1" thickBot="1" x14ac:dyDescent="0.25">
      <c r="A258" s="437"/>
      <c r="B258" s="414"/>
      <c r="C258" s="414"/>
      <c r="D258" s="440"/>
      <c r="E258" s="1711" t="str">
        <f>Translations!$B$689</f>
        <v>Relevantais elektroenerģijas patēriņš</v>
      </c>
      <c r="F258" s="1712"/>
      <c r="G258" s="1712"/>
      <c r="H258" s="610" t="str">
        <f>EUconst_MWhpa</f>
        <v>MWh / gads</v>
      </c>
      <c r="I258" s="1102"/>
      <c r="J258" s="1102"/>
      <c r="K258" s="1102"/>
      <c r="L258" s="1102"/>
      <c r="M258" s="1102"/>
      <c r="N258" s="34"/>
      <c r="O258" s="25"/>
      <c r="P258" s="202" t="str">
        <f>EUconst_CNTR_HAL&amp;EUconst_CNTR_ELEXCH</f>
        <v>HAL_ELEXCH_</v>
      </c>
      <c r="Q258" s="202" t="str">
        <f>EUconst_CNTR_HAL&amp;EUconst_CNTR_ELEXCH &amp; I246</f>
        <v>HAL_ELEXCH_</v>
      </c>
      <c r="R258" s="955"/>
      <c r="S258" s="955"/>
      <c r="T258" s="955"/>
      <c r="U258" s="955"/>
      <c r="V258" s="955"/>
      <c r="W258" s="955"/>
      <c r="X258" s="20"/>
      <c r="Y258" s="20"/>
      <c r="Z258" s="437"/>
      <c r="AA258" s="885" t="b">
        <f>IF(CNTR_ExistSubInstEntries,IF(I246&lt;&gt;"",IF(INDEX(EUconst_BMlistElExchangability,MATCH(I246,EUconst_BMlistNames,0)),FALSE,TRUE),TRUE),FALSE)</f>
        <v>0</v>
      </c>
    </row>
    <row r="259" spans="1:27" ht="5.0999999999999996" customHeight="1" x14ac:dyDescent="0.2">
      <c r="B259" s="224"/>
      <c r="C259" s="224"/>
      <c r="D259" s="224"/>
      <c r="E259" s="224"/>
      <c r="F259" s="224"/>
      <c r="G259" s="224"/>
      <c r="H259" s="224"/>
      <c r="I259" s="224"/>
      <c r="J259" s="224"/>
      <c r="K259" s="224"/>
      <c r="L259" s="224"/>
      <c r="M259" s="34"/>
      <c r="N259" s="34"/>
      <c r="O259" s="25"/>
      <c r="P259" s="955"/>
    </row>
    <row r="260" spans="1:27" x14ac:dyDescent="0.2">
      <c r="B260" s="224"/>
      <c r="C260" s="224"/>
      <c r="D260" s="32" t="s">
        <v>342</v>
      </c>
      <c r="E260" s="1250" t="str">
        <f>Translations!$B$692</f>
        <v>No ETS neaptvertām iekārtām vai vienībām importētais siltums:</v>
      </c>
      <c r="F260" s="1250"/>
      <c r="G260" s="1250"/>
      <c r="H260" s="1250"/>
      <c r="I260" s="1524"/>
      <c r="J260" s="1713" t="str">
        <f>IF(I246="","",HYPERLINK(Q260,EUconst_MsgGoOnIfNotRelevant))</f>
        <v/>
      </c>
      <c r="K260" s="1714"/>
      <c r="L260" s="1714"/>
      <c r="M260" s="1714"/>
      <c r="N260" s="1715"/>
      <c r="O260" s="25"/>
      <c r="P260" s="20" t="s">
        <v>192</v>
      </c>
      <c r="Q260" s="362" t="str">
        <f>"#"&amp;ADDRESS(ROW(D267),COLUMN(D267))</f>
        <v>#$D$267</v>
      </c>
    </row>
    <row r="261" spans="1:27" ht="5.0999999999999996" customHeight="1" x14ac:dyDescent="0.2">
      <c r="B261" s="224"/>
      <c r="C261" s="224"/>
      <c r="D261" s="34"/>
      <c r="E261" s="1319"/>
      <c r="F261" s="1319"/>
      <c r="G261" s="1319"/>
      <c r="H261" s="1319"/>
      <c r="I261" s="1319"/>
      <c r="J261" s="1319"/>
      <c r="K261" s="1319"/>
      <c r="L261" s="1319"/>
      <c r="M261" s="1319"/>
      <c r="N261" s="1319"/>
      <c r="O261" s="25"/>
      <c r="P261" s="955"/>
      <c r="R261" s="955"/>
      <c r="S261" s="955"/>
    </row>
    <row r="262" spans="1:27" ht="13.5" thickBot="1" x14ac:dyDescent="0.25">
      <c r="B262" s="38"/>
      <c r="C262" s="38"/>
      <c r="D262" s="32"/>
      <c r="E262" s="1320" t="str">
        <f>Translations!$B$686</f>
        <v>Parametrs</v>
      </c>
      <c r="F262" s="1275"/>
      <c r="G262" s="1275"/>
      <c r="H262" s="52" t="str">
        <f>EUconst_Unit</f>
        <v>Vienība</v>
      </c>
      <c r="I262" s="412">
        <f>I249</f>
        <v>2019</v>
      </c>
      <c r="J262" s="412">
        <f>J249</f>
        <v>2020</v>
      </c>
      <c r="K262" s="412">
        <f>K249</f>
        <v>2021</v>
      </c>
      <c r="L262" s="412">
        <f>L249</f>
        <v>2022</v>
      </c>
      <c r="M262" s="412">
        <f>M249</f>
        <v>2023</v>
      </c>
      <c r="N262" s="34"/>
      <c r="O262" s="25"/>
      <c r="Q262" s="63"/>
      <c r="R262" s="955"/>
      <c r="S262" s="63">
        <f>I262</f>
        <v>2019</v>
      </c>
      <c r="T262" s="63">
        <f>J262</f>
        <v>2020</v>
      </c>
      <c r="U262" s="63">
        <f>K262</f>
        <v>2021</v>
      </c>
      <c r="V262" s="63">
        <f>L262</f>
        <v>2022</v>
      </c>
      <c r="W262" s="63">
        <f>M262</f>
        <v>2023</v>
      </c>
      <c r="Z262" s="63"/>
      <c r="AA262" s="437" t="s">
        <v>262</v>
      </c>
    </row>
    <row r="263" spans="1:27" ht="13.5" thickBot="1" x14ac:dyDescent="0.25">
      <c r="B263" s="38"/>
      <c r="C263" s="38"/>
      <c r="D263" s="212" t="s">
        <v>2</v>
      </c>
      <c r="E263" s="1517" t="str">
        <f>Translations!$B$697</f>
        <v>No ETS neaptvertām iekārtām/vienībām importēts izmērāmais siltums</v>
      </c>
      <c r="F263" s="1517"/>
      <c r="G263" s="1517"/>
      <c r="H263" s="66" t="str">
        <f>EUconst_TJpa</f>
        <v>TJ / gads</v>
      </c>
      <c r="I263" s="330"/>
      <c r="J263" s="330"/>
      <c r="K263" s="330"/>
      <c r="L263" s="330"/>
      <c r="M263" s="330"/>
      <c r="N263" s="34"/>
      <c r="O263" s="25"/>
      <c r="P263" s="134" t="str">
        <f>EUconst_CNTR_HAL&amp;EUconst_CNTR_nonETSMeasHeat</f>
        <v>HAL_ETS neaptverts izmērāmais siltums</v>
      </c>
      <c r="R263" s="955"/>
      <c r="S263" s="454" t="str">
        <f>IF(S246,IF(ISNUMBER(I263),I263,0),"")</f>
        <v/>
      </c>
      <c r="T263" s="455" t="str">
        <f>IF(T246,IF(ISNUMBER(J263),J263,0),"")</f>
        <v/>
      </c>
      <c r="U263" s="455" t="str">
        <f>IF(U246,IF(ISNUMBER(K263),K263,0),"")</f>
        <v/>
      </c>
      <c r="V263" s="455" t="str">
        <f>IF(V246,IF(ISNUMBER(L263),L263,0),"")</f>
        <v/>
      </c>
      <c r="W263" s="456" t="str">
        <f>IF(W246,IF(ISNUMBER(M263),M263,0),"")</f>
        <v/>
      </c>
      <c r="AA263" s="643" t="b">
        <f>AND(CNTR_ExistSubInstEntries,I246="")</f>
        <v>0</v>
      </c>
    </row>
    <row r="264" spans="1:27" ht="25.5" customHeight="1" thickBot="1" x14ac:dyDescent="0.25">
      <c r="B264" s="38"/>
      <c r="C264" s="38"/>
      <c r="D264" s="212" t="s">
        <v>3</v>
      </c>
      <c r="E264" s="1541" t="str">
        <f>Translations!$B$698</f>
        <v>Konsekvences pārbaude — saskanība ar lapu “E_Energy flows”:</v>
      </c>
      <c r="F264" s="1541"/>
      <c r="G264" s="1541"/>
      <c r="H264" s="45" t="s">
        <v>393</v>
      </c>
      <c r="I264" s="317" t="str">
        <f>IF(AND(ISNUMBER(I263),ISNUMBER(E_EnergyFlows!I$120)), I263/E_EnergyFlows!I$120*100,"")</f>
        <v/>
      </c>
      <c r="J264" s="317" t="str">
        <f>IF(AND(ISNUMBER(J263),ISNUMBER(E_EnergyFlows!J$120)), J263/E_EnergyFlows!J$120*100,"")</f>
        <v/>
      </c>
      <c r="K264" s="317" t="str">
        <f>IF(AND(ISNUMBER(K263),ISNUMBER(E_EnergyFlows!K$120)), K263/E_EnergyFlows!K$120*100,"")</f>
        <v/>
      </c>
      <c r="L264" s="317" t="str">
        <f>IF(AND(ISNUMBER(L263),ISNUMBER(E_EnergyFlows!L$120)), L263/E_EnergyFlows!L$120*100,"")</f>
        <v/>
      </c>
      <c r="M264" s="317" t="str">
        <f>IF(AND(ISNUMBER(M263),ISNUMBER(E_EnergyFlows!M$120)), M263/E_EnergyFlows!M$120*100,"")</f>
        <v/>
      </c>
      <c r="N264" s="38"/>
      <c r="O264" s="25"/>
      <c r="P264" s="182" t="str">
        <f>EUconst_CNTR_HEAT &amp; I246</f>
        <v>HEAT_</v>
      </c>
      <c r="Q264" s="315" t="str">
        <f>IF(COUNT(S263:X263)&gt;0,AVERAGE(S263:X263)*EUconst_HeatBMvalue,EUconst_NA)</f>
        <v>NA</v>
      </c>
      <c r="R264" s="955"/>
      <c r="S264" s="955"/>
      <c r="AA264" s="607"/>
    </row>
    <row r="265" spans="1:27" x14ac:dyDescent="0.2">
      <c r="B265" s="38"/>
      <c r="C265" s="38"/>
      <c r="D265" s="212" t="s">
        <v>4</v>
      </c>
      <c r="E265" s="1373" t="str">
        <f>Translations!$B$699</f>
        <v>Konsekvences pārbaude — saskanība ar k) punkta i. apakšpunktu.</v>
      </c>
      <c r="F265" s="1550"/>
      <c r="G265" s="1550"/>
      <c r="H265" s="48" t="s">
        <v>393</v>
      </c>
      <c r="I265" s="316" t="str">
        <f>IF(AND(I341&gt;0,ISNUMBER(I263)), I263/I341*100,"")</f>
        <v/>
      </c>
      <c r="J265" s="316" t="str">
        <f>IF(AND(J341&gt;0,ISNUMBER(J263)), J263/J341*100,"")</f>
        <v/>
      </c>
      <c r="K265" s="316" t="str">
        <f>IF(AND(K341&gt;0,ISNUMBER(K263)), K263/K341*100,"")</f>
        <v/>
      </c>
      <c r="L265" s="316" t="str">
        <f>IF(AND(L341&gt;0,ISNUMBER(L263)), L263/L341*100,"")</f>
        <v/>
      </c>
      <c r="M265" s="316" t="str">
        <f>IF(AND(M341&gt;0,ISNUMBER(M263)), M263/M341*100,"")</f>
        <v/>
      </c>
      <c r="N265" s="38"/>
      <c r="O265" s="25"/>
      <c r="R265" s="955"/>
      <c r="S265" s="955"/>
      <c r="AA265" s="607"/>
    </row>
    <row r="266" spans="1:27" ht="12.75" customHeight="1" x14ac:dyDescent="0.2">
      <c r="B266" s="38"/>
      <c r="C266" s="38"/>
      <c r="D266" s="38"/>
      <c r="E266" s="38"/>
      <c r="F266" s="38"/>
      <c r="G266" s="38"/>
      <c r="H266" s="38"/>
      <c r="I266" s="125"/>
      <c r="J266" s="38"/>
      <c r="K266" s="38"/>
      <c r="L266" s="38"/>
      <c r="M266" s="38"/>
      <c r="N266" s="38"/>
      <c r="O266" s="25"/>
      <c r="P266" s="157"/>
      <c r="R266" s="955"/>
      <c r="S266" s="955"/>
      <c r="AA266" s="607"/>
    </row>
    <row r="267" spans="1:27" ht="15" x14ac:dyDescent="0.2">
      <c r="B267" s="38"/>
      <c r="C267" s="972"/>
      <c r="D267" s="1318" t="str">
        <f>Translations!$B$700</f>
        <v>Ražošanas dati</v>
      </c>
      <c r="E267" s="1251"/>
      <c r="F267" s="1251"/>
      <c r="G267" s="1251"/>
      <c r="H267" s="1251"/>
      <c r="I267" s="1251"/>
      <c r="J267" s="1251"/>
      <c r="K267" s="1251"/>
      <c r="L267" s="1251"/>
      <c r="M267" s="1251"/>
      <c r="N267" s="1251"/>
      <c r="O267" s="25"/>
      <c r="R267" s="955"/>
      <c r="S267" s="955"/>
      <c r="AA267" s="607"/>
    </row>
    <row r="268" spans="1:27" ht="5.0999999999999996" customHeight="1" x14ac:dyDescent="0.2">
      <c r="B268" s="224"/>
      <c r="C268" s="224"/>
      <c r="D268" s="224"/>
      <c r="E268" s="224"/>
      <c r="F268" s="224"/>
      <c r="G268" s="224"/>
      <c r="H268" s="224"/>
      <c r="I268" s="224"/>
      <c r="J268" s="224"/>
      <c r="K268" s="224"/>
      <c r="L268" s="224"/>
      <c r="M268" s="224"/>
      <c r="N268" s="224"/>
      <c r="O268" s="25"/>
      <c r="P268" s="955"/>
      <c r="Q268" s="955"/>
      <c r="R268" s="955"/>
      <c r="S268" s="955"/>
      <c r="AA268" s="607"/>
    </row>
    <row r="269" spans="1:27" x14ac:dyDescent="0.2">
      <c r="B269" s="224"/>
      <c r="C269" s="32"/>
      <c r="D269" s="32" t="s">
        <v>12</v>
      </c>
      <c r="E269" s="1250" t="str">
        <f>Translations!$B$701</f>
        <v>Šajā produkta līmeņatzīmes apakšiekārtā ietverto produktu identificēšana</v>
      </c>
      <c r="F269" s="1251"/>
      <c r="G269" s="1251"/>
      <c r="H269" s="1251"/>
      <c r="I269" s="1251"/>
      <c r="J269" s="1251"/>
      <c r="K269" s="1251"/>
      <c r="L269" s="1251"/>
      <c r="M269" s="1251"/>
      <c r="N269" s="1251"/>
      <c r="O269" s="25"/>
      <c r="P269" s="955"/>
      <c r="R269" s="955"/>
      <c r="S269" s="955"/>
      <c r="AA269" s="607"/>
    </row>
    <row r="270" spans="1:27" ht="5.0999999999999996" customHeight="1" x14ac:dyDescent="0.2">
      <c r="B270" s="224"/>
      <c r="C270" s="224"/>
      <c r="D270" s="224"/>
      <c r="E270" s="224"/>
      <c r="F270" s="224"/>
      <c r="G270" s="224"/>
      <c r="H270" s="224"/>
      <c r="I270" s="224"/>
      <c r="J270" s="224"/>
      <c r="K270" s="224"/>
      <c r="L270" s="224"/>
      <c r="M270" s="224"/>
      <c r="N270" s="224"/>
      <c r="O270" s="25"/>
      <c r="P270" s="955"/>
      <c r="Q270" s="955"/>
      <c r="R270" s="955"/>
      <c r="S270" s="955"/>
      <c r="AA270" s="607"/>
    </row>
    <row r="271" spans="1:27" x14ac:dyDescent="0.2">
      <c r="B271" s="224"/>
      <c r="C271" s="32"/>
      <c r="D271" s="32" t="s">
        <v>13</v>
      </c>
      <c r="E271" s="1250" t="str">
        <f>Translations!$B$706</f>
        <v>Šajā produkta līmeņatzīmes apakšiekārtā ietverto produktu atsevišķie ražošanas līmeņi</v>
      </c>
      <c r="F271" s="1251"/>
      <c r="G271" s="1251"/>
      <c r="H271" s="1251"/>
      <c r="I271" s="1251"/>
      <c r="J271" s="1251"/>
      <c r="K271" s="1251"/>
      <c r="L271" s="1251"/>
      <c r="M271" s="1251"/>
      <c r="N271" s="1251"/>
      <c r="O271" s="25"/>
      <c r="P271" s="955"/>
      <c r="R271" s="955"/>
      <c r="S271" s="955"/>
      <c r="AA271" s="607"/>
    </row>
    <row r="272" spans="1:27" ht="5.0999999999999996" customHeight="1" x14ac:dyDescent="0.2">
      <c r="B272" s="224"/>
      <c r="C272" s="224"/>
      <c r="D272" s="34"/>
      <c r="E272" s="35"/>
      <c r="F272" s="35"/>
      <c r="G272" s="35"/>
      <c r="H272" s="35"/>
      <c r="I272" s="35"/>
      <c r="J272" s="39"/>
      <c r="K272" s="39"/>
      <c r="L272" s="39"/>
      <c r="M272" s="34"/>
      <c r="N272" s="34"/>
      <c r="O272" s="25"/>
      <c r="P272" s="955"/>
      <c r="R272" s="955"/>
      <c r="S272" s="955"/>
      <c r="AA272" s="607"/>
    </row>
    <row r="273" spans="2:27" ht="25.5" customHeight="1" x14ac:dyDescent="0.2">
      <c r="B273" s="38"/>
      <c r="C273" s="38"/>
      <c r="D273" s="360"/>
      <c r="E273" s="1121" t="str">
        <f>Translations!$B$1668</f>
        <v>PRODCOM 2010</v>
      </c>
      <c r="F273" s="1703" t="str">
        <f>Translations!$B$707</f>
        <v>Produkta vai produktu grupas nosaukums</v>
      </c>
      <c r="G273" s="1704"/>
      <c r="H273" s="1129" t="str">
        <f>EUconst_Unit</f>
        <v>Vienība</v>
      </c>
      <c r="I273" s="1130">
        <f>I$1820</f>
        <v>2019</v>
      </c>
      <c r="J273" s="1130">
        <f>J$1820</f>
        <v>2020</v>
      </c>
      <c r="K273" s="1130">
        <f>K$1820</f>
        <v>2021</v>
      </c>
      <c r="L273" s="1130">
        <f>L$1820</f>
        <v>2022</v>
      </c>
      <c r="M273" s="1130">
        <f>M$1820</f>
        <v>2023</v>
      </c>
      <c r="N273" s="1131" t="str">
        <f>Translations!$B$1669</f>
        <v>KN kodi</v>
      </c>
      <c r="O273" s="25"/>
      <c r="R273" s="955"/>
      <c r="S273" s="955"/>
      <c r="AA273" s="607"/>
    </row>
    <row r="274" spans="2:27" x14ac:dyDescent="0.2">
      <c r="B274" s="38"/>
      <c r="C274" s="38"/>
      <c r="D274" s="55">
        <v>1</v>
      </c>
      <c r="E274" s="1199"/>
      <c r="F274" s="1705"/>
      <c r="G274" s="1706"/>
      <c r="H274" s="800"/>
      <c r="I274" s="484"/>
      <c r="J274" s="484"/>
      <c r="K274" s="484"/>
      <c r="L274" s="484"/>
      <c r="M274" s="484"/>
      <c r="N274" s="1145"/>
      <c r="O274" s="25"/>
      <c r="R274" s="955"/>
      <c r="S274" s="955"/>
      <c r="AA274" s="361" t="b">
        <f>AA263</f>
        <v>0</v>
      </c>
    </row>
    <row r="275" spans="2:27" x14ac:dyDescent="0.2">
      <c r="B275" s="38"/>
      <c r="C275" s="38"/>
      <c r="D275" s="56">
        <f>D274+1</f>
        <v>2</v>
      </c>
      <c r="E275" s="1200"/>
      <c r="F275" s="1707"/>
      <c r="G275" s="1708"/>
      <c r="H275" s="573"/>
      <c r="I275" s="557"/>
      <c r="J275" s="557"/>
      <c r="K275" s="557"/>
      <c r="L275" s="557"/>
      <c r="M275" s="557"/>
      <c r="N275" s="1146"/>
      <c r="O275" s="25"/>
      <c r="R275" s="955"/>
      <c r="S275" s="955"/>
      <c r="AA275" s="361" t="b">
        <f>AA274</f>
        <v>0</v>
      </c>
    </row>
    <row r="276" spans="2:27" x14ac:dyDescent="0.2">
      <c r="B276" s="38"/>
      <c r="C276" s="38"/>
      <c r="D276" s="56">
        <f t="shared" ref="D276:D283" si="2">D275+1</f>
        <v>3</v>
      </c>
      <c r="E276" s="1200"/>
      <c r="F276" s="1691"/>
      <c r="G276" s="1692"/>
      <c r="H276" s="573"/>
      <c r="I276" s="557"/>
      <c r="J276" s="557"/>
      <c r="K276" s="557"/>
      <c r="L276" s="557"/>
      <c r="M276" s="557"/>
      <c r="N276" s="1147"/>
      <c r="O276" s="25"/>
      <c r="R276" s="955"/>
      <c r="S276" s="955"/>
      <c r="AA276" s="361" t="b">
        <f t="shared" ref="AA276:AA284" si="3">AA275</f>
        <v>0</v>
      </c>
    </row>
    <row r="277" spans="2:27" x14ac:dyDescent="0.2">
      <c r="B277" s="38"/>
      <c r="C277" s="38"/>
      <c r="D277" s="56">
        <f t="shared" si="2"/>
        <v>4</v>
      </c>
      <c r="E277" s="1200"/>
      <c r="F277" s="1691"/>
      <c r="G277" s="1692"/>
      <c r="H277" s="573"/>
      <c r="I277" s="557"/>
      <c r="J277" s="557"/>
      <c r="K277" s="557"/>
      <c r="L277" s="557"/>
      <c r="M277" s="557"/>
      <c r="N277" s="1147"/>
      <c r="O277" s="25"/>
      <c r="R277" s="955"/>
      <c r="S277" s="955"/>
      <c r="AA277" s="361" t="b">
        <f t="shared" si="3"/>
        <v>0</v>
      </c>
    </row>
    <row r="278" spans="2:27" x14ac:dyDescent="0.2">
      <c r="B278" s="38"/>
      <c r="C278" s="38"/>
      <c r="D278" s="56">
        <f t="shared" si="2"/>
        <v>5</v>
      </c>
      <c r="E278" s="1200"/>
      <c r="F278" s="1691"/>
      <c r="G278" s="1692"/>
      <c r="H278" s="573"/>
      <c r="I278" s="557"/>
      <c r="J278" s="557"/>
      <c r="K278" s="557"/>
      <c r="L278" s="557"/>
      <c r="M278" s="557"/>
      <c r="N278" s="1147"/>
      <c r="O278" s="25"/>
      <c r="R278" s="955"/>
      <c r="S278" s="955"/>
      <c r="AA278" s="361" t="b">
        <f t="shared" si="3"/>
        <v>0</v>
      </c>
    </row>
    <row r="279" spans="2:27" x14ac:dyDescent="0.2">
      <c r="B279" s="38"/>
      <c r="C279" s="38"/>
      <c r="D279" s="56">
        <f t="shared" si="2"/>
        <v>6</v>
      </c>
      <c r="E279" s="1200"/>
      <c r="F279" s="1691"/>
      <c r="G279" s="1692"/>
      <c r="H279" s="573"/>
      <c r="I279" s="557"/>
      <c r="J279" s="557"/>
      <c r="K279" s="557"/>
      <c r="L279" s="557"/>
      <c r="M279" s="557"/>
      <c r="N279" s="1146"/>
      <c r="O279" s="25"/>
      <c r="R279" s="955"/>
      <c r="S279" s="955"/>
      <c r="AA279" s="361" t="b">
        <f t="shared" si="3"/>
        <v>0</v>
      </c>
    </row>
    <row r="280" spans="2:27" x14ac:dyDescent="0.2">
      <c r="B280" s="38"/>
      <c r="C280" s="38"/>
      <c r="D280" s="56">
        <f t="shared" si="2"/>
        <v>7</v>
      </c>
      <c r="E280" s="1200"/>
      <c r="F280" s="1691"/>
      <c r="G280" s="1692"/>
      <c r="H280" s="573"/>
      <c r="I280" s="557"/>
      <c r="J280" s="557"/>
      <c r="K280" s="557"/>
      <c r="L280" s="557"/>
      <c r="M280" s="557"/>
      <c r="N280" s="1147"/>
      <c r="O280" s="25"/>
      <c r="R280" s="955"/>
      <c r="S280" s="955"/>
      <c r="AA280" s="361" t="b">
        <f t="shared" si="3"/>
        <v>0</v>
      </c>
    </row>
    <row r="281" spans="2:27" x14ac:dyDescent="0.2">
      <c r="B281" s="38"/>
      <c r="C281" s="38"/>
      <c r="D281" s="56">
        <f t="shared" si="2"/>
        <v>8</v>
      </c>
      <c r="E281" s="1200"/>
      <c r="F281" s="1691"/>
      <c r="G281" s="1692"/>
      <c r="H281" s="573"/>
      <c r="I281" s="557"/>
      <c r="J281" s="557"/>
      <c r="K281" s="557"/>
      <c r="L281" s="557"/>
      <c r="M281" s="557"/>
      <c r="N281" s="1147"/>
      <c r="O281" s="25"/>
      <c r="R281" s="955"/>
      <c r="S281" s="955"/>
      <c r="AA281" s="361" t="b">
        <f t="shared" si="3"/>
        <v>0</v>
      </c>
    </row>
    <row r="282" spans="2:27" x14ac:dyDescent="0.2">
      <c r="B282" s="38"/>
      <c r="C282" s="38"/>
      <c r="D282" s="56">
        <f t="shared" si="2"/>
        <v>9</v>
      </c>
      <c r="E282" s="1200"/>
      <c r="F282" s="1691"/>
      <c r="G282" s="1692"/>
      <c r="H282" s="573"/>
      <c r="I282" s="557"/>
      <c r="J282" s="557"/>
      <c r="K282" s="557"/>
      <c r="L282" s="557"/>
      <c r="M282" s="557"/>
      <c r="N282" s="1147"/>
      <c r="O282" s="25"/>
      <c r="R282" s="955"/>
      <c r="S282" s="955"/>
      <c r="AA282" s="361" t="b">
        <f t="shared" si="3"/>
        <v>0</v>
      </c>
    </row>
    <row r="283" spans="2:27" x14ac:dyDescent="0.2">
      <c r="B283" s="38"/>
      <c r="C283" s="38"/>
      <c r="D283" s="59">
        <f t="shared" si="2"/>
        <v>10</v>
      </c>
      <c r="E283" s="1201"/>
      <c r="F283" s="1694"/>
      <c r="G283" s="1695"/>
      <c r="H283" s="574"/>
      <c r="I283" s="458"/>
      <c r="J283" s="458"/>
      <c r="K283" s="458"/>
      <c r="L283" s="458"/>
      <c r="M283" s="458"/>
      <c r="N283" s="1148"/>
      <c r="O283" s="25"/>
      <c r="R283" s="955"/>
      <c r="S283" s="955"/>
      <c r="AA283" s="361" t="b">
        <f t="shared" si="3"/>
        <v>0</v>
      </c>
    </row>
    <row r="284" spans="2:27" ht="12.75" customHeight="1" thickBot="1" x14ac:dyDescent="0.25">
      <c r="B284" s="38"/>
      <c r="C284" s="38"/>
      <c r="D284" s="115"/>
      <c r="E284" s="1696" t="str">
        <f>Translations!$B$708</f>
        <v>Ražošanas līmeņu summa</v>
      </c>
      <c r="F284" s="1696"/>
      <c r="G284" s="1696"/>
      <c r="H284" s="733"/>
      <c r="I284" s="343" t="str">
        <f>IF(COUNT(I274:I283)&gt;0,SUM(I274:I283),"")</f>
        <v/>
      </c>
      <c r="J284" s="343" t="str">
        <f>IF(COUNT(J274:J283)&gt;0,SUM(J274:J283),"")</f>
        <v/>
      </c>
      <c r="K284" s="343" t="str">
        <f>IF(COUNT(K274:K283)&gt;0,SUM(K274:K283),"")</f>
        <v/>
      </c>
      <c r="L284" s="343" t="str">
        <f>IF(COUNT(L274:L283)&gt;0,SUM(L274:L283),"")</f>
        <v/>
      </c>
      <c r="M284" s="343" t="str">
        <f>IF(COUNT(M274:M283)&gt;0,SUM(M274:M283),"")</f>
        <v/>
      </c>
      <c r="N284" s="34"/>
      <c r="O284" s="25"/>
      <c r="R284" s="955"/>
      <c r="S284" s="955"/>
      <c r="AA284" s="186" t="b">
        <f t="shared" si="3"/>
        <v>0</v>
      </c>
    </row>
    <row r="285" spans="2:27" ht="12.75" customHeight="1" thickBot="1" x14ac:dyDescent="0.25">
      <c r="B285" s="224"/>
      <c r="C285" s="224"/>
      <c r="D285" s="224"/>
      <c r="E285" s="224"/>
      <c r="F285" s="224"/>
      <c r="G285" s="224"/>
      <c r="H285" s="224"/>
      <c r="I285" s="224"/>
      <c r="J285" s="224"/>
      <c r="K285" s="224"/>
      <c r="L285" s="224"/>
      <c r="M285" s="34"/>
      <c r="N285" s="34"/>
      <c r="O285" s="25"/>
      <c r="P285" s="955"/>
      <c r="R285" s="955"/>
      <c r="S285" s="955"/>
    </row>
    <row r="286" spans="2:27" ht="5.0999999999999996" customHeight="1" x14ac:dyDescent="0.2">
      <c r="B286" s="224"/>
      <c r="C286" s="973"/>
      <c r="D286" s="974"/>
      <c r="E286" s="974"/>
      <c r="F286" s="974"/>
      <c r="G286" s="974"/>
      <c r="H286" s="974"/>
      <c r="I286" s="974"/>
      <c r="J286" s="974"/>
      <c r="K286" s="974"/>
      <c r="L286" s="974"/>
      <c r="M286" s="975"/>
      <c r="N286" s="976"/>
      <c r="O286" s="25"/>
      <c r="P286" s="955"/>
      <c r="R286" s="955"/>
      <c r="S286" s="955"/>
    </row>
    <row r="287" spans="2:27" ht="15" customHeight="1" x14ac:dyDescent="0.2">
      <c r="B287" s="38"/>
      <c r="C287" s="977"/>
      <c r="D287" s="1697" t="str">
        <f>Translations!$B$709</f>
        <v>Dati, kas vajadzīgi, lai noteiktu līmeņatzīmju uzlabošanas rādītāju saskaņā ar ES ETS direktīvas 10.a panta 2. punktu.</v>
      </c>
      <c r="E287" s="1655"/>
      <c r="F287" s="1655"/>
      <c r="G287" s="1655"/>
      <c r="H287" s="1655"/>
      <c r="I287" s="1655"/>
      <c r="J287" s="1655"/>
      <c r="K287" s="1655"/>
      <c r="L287" s="1655"/>
      <c r="M287" s="1655"/>
      <c r="N287" s="1656"/>
      <c r="O287" s="25"/>
      <c r="R287" s="955"/>
      <c r="S287" s="955"/>
    </row>
    <row r="288" spans="2:27" ht="5.0999999999999996" customHeight="1" x14ac:dyDescent="0.2">
      <c r="B288" s="38"/>
      <c r="C288" s="472"/>
      <c r="D288" s="461"/>
      <c r="E288" s="461"/>
      <c r="F288" s="461"/>
      <c r="G288" s="461"/>
      <c r="H288" s="461"/>
      <c r="I288" s="461"/>
      <c r="J288" s="461"/>
      <c r="K288" s="461"/>
      <c r="L288" s="461"/>
      <c r="M288" s="461"/>
      <c r="N288" s="473"/>
      <c r="O288" s="25"/>
      <c r="R288" s="955"/>
      <c r="S288" s="955"/>
    </row>
    <row r="289" spans="2:23" ht="15" customHeight="1" x14ac:dyDescent="0.2">
      <c r="B289" s="38"/>
      <c r="C289" s="472"/>
      <c r="D289" s="1698" t="str">
        <f>EUconst_BMSubinst &amp; ":"</f>
        <v>Apakšiekārta ar produkta līmeņatzīmi:</v>
      </c>
      <c r="E289" s="1699"/>
      <c r="F289" s="1699"/>
      <c r="G289" s="1699"/>
      <c r="H289" s="1700"/>
      <c r="I289" s="1701" t="str">
        <f>I246</f>
        <v/>
      </c>
      <c r="J289" s="1457"/>
      <c r="K289" s="1457"/>
      <c r="L289" s="1457"/>
      <c r="M289" s="1457"/>
      <c r="N289" s="1702"/>
      <c r="O289" s="25"/>
      <c r="R289" s="955"/>
      <c r="S289" s="955"/>
    </row>
    <row r="290" spans="2:23" ht="5.0999999999999996" customHeight="1" x14ac:dyDescent="0.2">
      <c r="B290" s="38"/>
      <c r="C290" s="472"/>
      <c r="D290" s="461"/>
      <c r="E290" s="461"/>
      <c r="F290" s="461"/>
      <c r="G290" s="461"/>
      <c r="H290" s="461"/>
      <c r="I290" s="461"/>
      <c r="J290" s="461"/>
      <c r="K290" s="461"/>
      <c r="L290" s="461"/>
      <c r="M290" s="461"/>
      <c r="N290" s="473"/>
      <c r="O290" s="25"/>
      <c r="R290" s="955"/>
      <c r="S290" s="955"/>
    </row>
    <row r="291" spans="2:23" ht="30" customHeight="1" x14ac:dyDescent="0.2">
      <c r="B291" s="224"/>
      <c r="C291" s="977"/>
      <c r="D291" s="978"/>
      <c r="E291" s="1670" t="str">
        <f>Translations!$B$710</f>
        <v>Šī apakšsadaļa attiecas uz tādu emisiju attiecināšanu, kas saistītas ar avota plūsmām, emisiju avotiem, izmērāma siltuma un atlikumgāzu importu un eksportu, arī siltuma zudumiem saskaņā ar FAR VII pielikuma 10. iedaļu.</v>
      </c>
      <c r="F291" s="1670"/>
      <c r="G291" s="1670"/>
      <c r="H291" s="1670"/>
      <c r="I291" s="1670"/>
      <c r="J291" s="1670"/>
      <c r="K291" s="1670"/>
      <c r="L291" s="1670"/>
      <c r="M291" s="1670"/>
      <c r="N291" s="698"/>
      <c r="O291" s="25"/>
      <c r="P291" s="955"/>
    </row>
    <row r="292" spans="2:23" ht="30" customHeight="1" x14ac:dyDescent="0.2">
      <c r="B292" s="224"/>
      <c r="C292" s="977"/>
      <c r="D292" s="978"/>
      <c r="E292" s="1670" t="str">
        <f>Translations!$B$711</f>
        <v xml:space="preserve">Ņemiet vērā, ka, lai gan ir sniegti daži norādījumi par katru no nākamajiem punktiem, papildu informācija būtu jāmeklē Norādījumu dokumentā Nr. 5 (“Monitoring and Reporting in relation to the FAR” — “Ar FAR saistītais monitorings un ziņošana”), kurā ietverti arī piemēri. </v>
      </c>
      <c r="F292" s="1670"/>
      <c r="G292" s="1670"/>
      <c r="H292" s="1670"/>
      <c r="I292" s="1670"/>
      <c r="J292" s="1670"/>
      <c r="K292" s="1670"/>
      <c r="L292" s="1670"/>
      <c r="M292" s="1670"/>
      <c r="N292" s="698"/>
      <c r="O292" s="25"/>
      <c r="P292" s="955"/>
    </row>
    <row r="293" spans="2:23" ht="12.75" customHeight="1" x14ac:dyDescent="0.2">
      <c r="B293" s="224"/>
      <c r="C293" s="977"/>
      <c r="D293" s="978"/>
      <c r="E293" s="1670" t="str">
        <f>Translations!$B$712</f>
        <v xml:space="preserve">Šos norādījumus var lejupielādēt šeit: </v>
      </c>
      <c r="F293" s="1268"/>
      <c r="G293" s="1268"/>
      <c r="H293" s="1268"/>
      <c r="I293" s="1268"/>
      <c r="J293" s="1268"/>
      <c r="K293" s="1268"/>
      <c r="L293" s="1268"/>
      <c r="M293" s="1268"/>
      <c r="N293" s="698"/>
      <c r="O293" s="25"/>
      <c r="P293" s="955"/>
    </row>
    <row r="294" spans="2:23" ht="15" customHeight="1" x14ac:dyDescent="0.2">
      <c r="B294" s="224"/>
      <c r="C294" s="977"/>
      <c r="D294" s="978"/>
      <c r="E294" s="1549" t="str">
        <f>Translations!$B$713</f>
        <v>https://ec.europa.eu/clima/policies/ets/allowances_en#tab-0-1</v>
      </c>
      <c r="F294" s="1549"/>
      <c r="G294" s="1549"/>
      <c r="H294" s="1549"/>
      <c r="I294" s="1549"/>
      <c r="J294" s="1549"/>
      <c r="K294" s="1549"/>
      <c r="L294" s="1549"/>
      <c r="M294" s="1549"/>
      <c r="N294" s="698"/>
      <c r="O294" s="25"/>
      <c r="P294" s="955"/>
    </row>
    <row r="295" spans="2:23" ht="5.0999999999999996" customHeight="1" x14ac:dyDescent="0.2">
      <c r="B295" s="38"/>
      <c r="C295" s="472"/>
      <c r="D295" s="461"/>
      <c r="E295" s="461"/>
      <c r="F295" s="461"/>
      <c r="G295" s="461"/>
      <c r="H295" s="461"/>
      <c r="I295" s="461"/>
      <c r="J295" s="461"/>
      <c r="K295" s="461"/>
      <c r="L295" s="461"/>
      <c r="M295" s="461"/>
      <c r="N295" s="473"/>
      <c r="O295" s="25"/>
      <c r="R295" s="955"/>
      <c r="S295" s="955"/>
    </row>
    <row r="296" spans="2:23" ht="15" customHeight="1" x14ac:dyDescent="0.2">
      <c r="B296" s="224"/>
      <c r="C296" s="977"/>
      <c r="D296" s="978"/>
      <c r="E296" s="1693" t="str">
        <f>Translations!$B$714</f>
        <v>Balstoties uz tālāk izdarītajiem ierakstiem, attiecināmās emisijas tiek aprēķinātas kopsavilkuma lapas K III sadaļas 2. punktā.</v>
      </c>
      <c r="F296" s="1693"/>
      <c r="G296" s="1693"/>
      <c r="H296" s="1693"/>
      <c r="I296" s="1693"/>
      <c r="J296" s="1693"/>
      <c r="K296" s="1693"/>
      <c r="L296" s="1693"/>
      <c r="M296" s="1693"/>
      <c r="N296" s="698"/>
      <c r="O296" s="25"/>
      <c r="P296" s="955"/>
    </row>
    <row r="297" spans="2:23" ht="5.0999999999999996" customHeight="1" x14ac:dyDescent="0.2">
      <c r="B297" s="38"/>
      <c r="C297" s="472"/>
      <c r="D297" s="461"/>
      <c r="E297" s="461"/>
      <c r="F297" s="461"/>
      <c r="G297" s="461"/>
      <c r="H297" s="461"/>
      <c r="I297" s="461"/>
      <c r="J297" s="461"/>
      <c r="K297" s="461"/>
      <c r="L297" s="461"/>
      <c r="M297" s="461"/>
      <c r="N297" s="473"/>
      <c r="O297" s="25"/>
      <c r="R297" s="955"/>
      <c r="S297" s="955"/>
    </row>
    <row r="298" spans="2:23" ht="12.75" customHeight="1" thickBot="1" x14ac:dyDescent="0.25">
      <c r="B298" s="224"/>
      <c r="C298" s="977"/>
      <c r="D298" s="474" t="s">
        <v>81</v>
      </c>
      <c r="E298" s="1654" t="str">
        <f>Translations!$B$715</f>
        <v>Uz šo apakšiekārtu tieši attiecināmas emisijas (DirEm* (MP avota plūsmas))</v>
      </c>
      <c r="F298" s="1655"/>
      <c r="G298" s="1655"/>
      <c r="H298" s="1655"/>
      <c r="I298" s="1655"/>
      <c r="J298" s="1655"/>
      <c r="K298" s="1655"/>
      <c r="L298" s="1655"/>
      <c r="M298" s="1655"/>
      <c r="N298" s="1656"/>
      <c r="O298" s="25"/>
      <c r="P298" s="955"/>
      <c r="R298" s="955"/>
      <c r="S298" s="955"/>
    </row>
    <row r="299" spans="2:23" ht="12.75" customHeight="1" x14ac:dyDescent="0.2">
      <c r="B299" s="224"/>
      <c r="C299" s="977"/>
      <c r="D299" s="474"/>
      <c r="E299" s="1653" t="str">
        <f>Translations!$B$725</f>
        <v>Tieši attiecināmās emisijas (DirEm*)</v>
      </c>
      <c r="F299" s="1657"/>
      <c r="G299" s="1657"/>
      <c r="H299" s="462" t="str">
        <f>EUconst_Unit</f>
        <v>Vienība</v>
      </c>
      <c r="I299" s="463">
        <f>I$1820</f>
        <v>2019</v>
      </c>
      <c r="J299" s="463">
        <f>J$1820</f>
        <v>2020</v>
      </c>
      <c r="K299" s="463">
        <f>K$1820</f>
        <v>2021</v>
      </c>
      <c r="L299" s="463">
        <f>L$1820</f>
        <v>2022</v>
      </c>
      <c r="M299" s="463">
        <f>M$1820</f>
        <v>2023</v>
      </c>
      <c r="N299" s="661"/>
      <c r="O299" s="25"/>
      <c r="P299" s="955"/>
      <c r="R299" s="970"/>
      <c r="S299" s="809">
        <f>I299</f>
        <v>2019</v>
      </c>
      <c r="T299" s="809">
        <f>J299</f>
        <v>2020</v>
      </c>
      <c r="U299" s="809">
        <f>K299</f>
        <v>2021</v>
      </c>
      <c r="V299" s="809">
        <f>L299</f>
        <v>2022</v>
      </c>
      <c r="W299" s="810">
        <f>M299</f>
        <v>2023</v>
      </c>
    </row>
    <row r="300" spans="2:23" ht="12.75" customHeight="1" thickBot="1" x14ac:dyDescent="0.25">
      <c r="B300" s="224"/>
      <c r="C300" s="977"/>
      <c r="D300" s="978"/>
      <c r="E300" s="1689" t="str">
        <f>I246</f>
        <v/>
      </c>
      <c r="F300" s="1689"/>
      <c r="G300" s="1689"/>
      <c r="H300" s="464" t="str">
        <f>EUconst_tCO2epa</f>
        <v>t CO2e/gads</v>
      </c>
      <c r="I300" s="330"/>
      <c r="J300" s="330"/>
      <c r="K300" s="330"/>
      <c r="L300" s="330"/>
      <c r="M300" s="330"/>
      <c r="N300" s="661"/>
      <c r="O300" s="25"/>
      <c r="P300" s="979" t="str">
        <f>EUconst_CNTR_Emissions &amp; I246</f>
        <v>DirEmissions_</v>
      </c>
      <c r="R300" s="971" t="str">
        <f>EUconst_CNTR_AttributedEmissions &amp; I246</f>
        <v>AttrEmissions_</v>
      </c>
      <c r="S300" s="137" t="str">
        <f>IF(S246,SUM(I300),"")</f>
        <v/>
      </c>
      <c r="T300" s="137" t="str">
        <f>IF(T246,SUM(J300),"")</f>
        <v/>
      </c>
      <c r="U300" s="137" t="str">
        <f>IF(U246,SUM(K300),"")</f>
        <v/>
      </c>
      <c r="V300" s="137" t="str">
        <f>IF(V246,SUM(L300),"")</f>
        <v/>
      </c>
      <c r="W300" s="138" t="str">
        <f>IF(W246,SUM(M300),"")</f>
        <v/>
      </c>
    </row>
    <row r="301" spans="2:23" ht="12.75" customHeight="1" x14ac:dyDescent="0.2">
      <c r="B301" s="224"/>
      <c r="C301" s="977"/>
      <c r="D301" s="978"/>
      <c r="E301" s="978"/>
      <c r="F301" s="978"/>
      <c r="G301" s="978"/>
      <c r="H301" s="978"/>
      <c r="I301" s="978"/>
      <c r="J301" s="978"/>
      <c r="K301" s="978"/>
      <c r="L301" s="978"/>
      <c r="M301" s="980"/>
      <c r="N301" s="661"/>
      <c r="O301" s="25"/>
      <c r="P301" s="955"/>
      <c r="R301" s="955"/>
    </row>
    <row r="302" spans="2:23" ht="12.75" customHeight="1" x14ac:dyDescent="0.2">
      <c r="B302" s="224"/>
      <c r="C302" s="977"/>
      <c r="D302" s="474" t="s">
        <v>82</v>
      </c>
      <c r="E302" s="1663" t="str">
        <f>Translations!$B$1670</f>
        <v>Enerģijas ielaide šajā apakšiekārtā un relevantais emisijas faktors</v>
      </c>
      <c r="F302" s="1663"/>
      <c r="G302" s="1663"/>
      <c r="H302" s="1663"/>
      <c r="I302" s="1663"/>
      <c r="J302" s="1663"/>
      <c r="K302" s="1663"/>
      <c r="L302" s="1663"/>
      <c r="M302" s="1663"/>
      <c r="N302" s="1690"/>
      <c r="O302" s="25"/>
      <c r="P302" s="955"/>
      <c r="Q302" s="955"/>
      <c r="R302" s="955"/>
    </row>
    <row r="303" spans="2:23" ht="12.75" customHeight="1" x14ac:dyDescent="0.2">
      <c r="B303" s="224"/>
      <c r="C303" s="977"/>
      <c r="D303" s="474"/>
      <c r="E303" s="1653"/>
      <c r="F303" s="1657"/>
      <c r="G303" s="1657"/>
      <c r="H303" s="462" t="str">
        <f>EUconst_Unit</f>
        <v>Vienība</v>
      </c>
      <c r="I303" s="463">
        <f>I$1820</f>
        <v>2019</v>
      </c>
      <c r="J303" s="463">
        <f>J$1820</f>
        <v>2020</v>
      </c>
      <c r="K303" s="463">
        <f>K$1820</f>
        <v>2021</v>
      </c>
      <c r="L303" s="463">
        <f>L$1820</f>
        <v>2022</v>
      </c>
      <c r="M303" s="463">
        <f>M$1820</f>
        <v>2023</v>
      </c>
      <c r="N303" s="661"/>
      <c r="O303" s="25"/>
      <c r="P303" s="955"/>
      <c r="R303" s="955"/>
    </row>
    <row r="304" spans="2:23" ht="12.75" customHeight="1" x14ac:dyDescent="0.2">
      <c r="B304" s="224"/>
      <c r="C304" s="977"/>
      <c r="D304" s="695" t="s">
        <v>2</v>
      </c>
      <c r="E304" s="1651" t="str">
        <f>Translations!$B$1672</f>
        <v>Enerģijas ielaide</v>
      </c>
      <c r="F304" s="1652"/>
      <c r="G304" s="1652"/>
      <c r="H304" s="465" t="str">
        <f>EUconst_TJpa</f>
        <v>TJ / gads</v>
      </c>
      <c r="I304" s="330"/>
      <c r="J304" s="330"/>
      <c r="K304" s="330"/>
      <c r="L304" s="330"/>
      <c r="M304" s="330"/>
      <c r="N304" s="698"/>
      <c r="O304" s="25"/>
      <c r="P304" s="979" t="str">
        <f>EUconst_CNTR_FuelInput &amp; I246</f>
        <v>FuelInput_</v>
      </c>
      <c r="R304" s="955"/>
    </row>
    <row r="305" spans="2:27" ht="12.75" customHeight="1" x14ac:dyDescent="0.2">
      <c r="B305" s="224"/>
      <c r="C305" s="977"/>
      <c r="D305" s="695" t="s">
        <v>3</v>
      </c>
      <c r="E305" s="1709" t="str">
        <f>Translations!$B$732</f>
        <v>Svērtais emisijas faktors</v>
      </c>
      <c r="F305" s="1710"/>
      <c r="G305" s="1710"/>
      <c r="H305" s="577" t="str">
        <f>EUconst_tCO2pTJ</f>
        <v>t CO2 / TJ</v>
      </c>
      <c r="I305" s="338"/>
      <c r="J305" s="338"/>
      <c r="K305" s="338"/>
      <c r="L305" s="338"/>
      <c r="M305" s="338"/>
      <c r="N305" s="661"/>
      <c r="O305" s="25"/>
      <c r="P305" s="979" t="str">
        <f>EUconst_CNTR_FuelEF &amp; I246</f>
        <v>FuelEF_</v>
      </c>
      <c r="R305" s="955"/>
    </row>
    <row r="306" spans="2:27" ht="12.75" customHeight="1" x14ac:dyDescent="0.2">
      <c r="B306" s="224"/>
      <c r="C306" s="977"/>
      <c r="D306" s="978"/>
      <c r="E306" s="978"/>
      <c r="F306" s="978"/>
      <c r="G306" s="978"/>
      <c r="H306" s="978"/>
      <c r="I306" s="978"/>
      <c r="J306" s="978"/>
      <c r="K306" s="978"/>
      <c r="L306" s="978"/>
      <c r="M306" s="980"/>
      <c r="N306" s="661"/>
      <c r="O306" s="25"/>
      <c r="P306" s="955"/>
      <c r="R306" s="955"/>
    </row>
    <row r="307" spans="2:27" ht="12.75" customHeight="1" thickBot="1" x14ac:dyDescent="0.25">
      <c r="B307" s="224"/>
      <c r="C307" s="977"/>
      <c r="D307" s="474" t="s">
        <v>83</v>
      </c>
      <c r="E307" s="1663" t="str">
        <f>Translations!$B$733</f>
        <v>Citas iekšējās avota plūsmas, kas importētas uz šo apakšiekārtu vai eksportētas no tās</v>
      </c>
      <c r="F307" s="1663"/>
      <c r="G307" s="1663"/>
      <c r="H307" s="1663"/>
      <c r="I307" s="1663"/>
      <c r="J307" s="1663"/>
      <c r="K307" s="1663"/>
      <c r="L307" s="1663"/>
      <c r="M307" s="1663"/>
      <c r="N307" s="1690"/>
      <c r="O307" s="25"/>
      <c r="P307" s="955"/>
      <c r="Q307" s="955"/>
      <c r="R307" s="955"/>
    </row>
    <row r="308" spans="2:27" ht="12.75" customHeight="1" thickBot="1" x14ac:dyDescent="0.25">
      <c r="B308" s="224"/>
      <c r="C308" s="977"/>
      <c r="D308" s="695" t="s">
        <v>2</v>
      </c>
      <c r="E308" s="1732" t="str">
        <f>Translations!$B$739</f>
        <v>Vai šai apakšiekārtai ir relevantas vēl citas importētas vai eksportētas iekšējās avota plūsmas?</v>
      </c>
      <c r="F308" s="1732"/>
      <c r="G308" s="1732"/>
      <c r="H308" s="1732"/>
      <c r="I308" s="1732"/>
      <c r="J308" s="1732"/>
      <c r="K308" s="1733"/>
      <c r="L308" s="527"/>
      <c r="M308" s="1202"/>
      <c r="N308" s="1203"/>
      <c r="O308" s="25"/>
      <c r="P308" s="955"/>
      <c r="R308" s="955"/>
      <c r="W308" s="966" t="s">
        <v>398</v>
      </c>
      <c r="X308" s="964" t="b">
        <f>IF(AND(I246&lt;&gt;"",ISBLANK(L308)),EUconst_Error&amp;"BM"&amp;C246,FALSE)</f>
        <v>0</v>
      </c>
    </row>
    <row r="309" spans="2:27" ht="5.0999999999999996" customHeight="1" thickBot="1" x14ac:dyDescent="0.25">
      <c r="B309" s="224"/>
      <c r="C309" s="977"/>
      <c r="D309" s="978"/>
      <c r="E309" s="978"/>
      <c r="F309" s="978"/>
      <c r="G309" s="978"/>
      <c r="H309" s="978"/>
      <c r="I309" s="978"/>
      <c r="J309" s="978"/>
      <c r="K309" s="978"/>
      <c r="L309" s="978"/>
      <c r="M309" s="980"/>
      <c r="N309" s="661"/>
      <c r="O309" s="25"/>
      <c r="P309" s="955"/>
      <c r="R309" s="955"/>
    </row>
    <row r="310" spans="2:27" ht="12.75" customHeight="1" x14ac:dyDescent="0.2">
      <c r="B310" s="224"/>
      <c r="C310" s="977"/>
      <c r="D310" s="695" t="s">
        <v>3</v>
      </c>
      <c r="E310" s="1663" t="str">
        <f>Translations!$B$741</f>
        <v>Citu avota plūsmu nosaukums, 1:</v>
      </c>
      <c r="F310" s="1663"/>
      <c r="G310" s="1663"/>
      <c r="H310" s="1663"/>
      <c r="I310" s="1664"/>
      <c r="J310" s="1665"/>
      <c r="K310" s="1665"/>
      <c r="L310" s="1665"/>
      <c r="M310" s="1666"/>
      <c r="N310" s="660"/>
      <c r="O310" s="25"/>
      <c r="P310" s="955"/>
      <c r="R310" s="955"/>
      <c r="AA310" s="643" t="b">
        <f>IF(I246&lt;&gt;"",AND(L308&lt;&gt;"",L308=FALSE),FALSE)</f>
        <v>0</v>
      </c>
    </row>
    <row r="311" spans="2:27" ht="5.0999999999999996" customHeight="1" x14ac:dyDescent="0.2">
      <c r="B311" s="224"/>
      <c r="C311" s="977"/>
      <c r="D311" s="978"/>
      <c r="E311" s="1204"/>
      <c r="F311" s="1202"/>
      <c r="G311" s="1202"/>
      <c r="H311" s="1202"/>
      <c r="I311" s="1202"/>
      <c r="J311" s="1202"/>
      <c r="K311" s="1202"/>
      <c r="L311" s="1202"/>
      <c r="M311" s="1202"/>
      <c r="N311" s="1203"/>
      <c r="O311" s="25"/>
      <c r="P311" s="955"/>
      <c r="R311" s="955"/>
      <c r="AA311" s="607"/>
    </row>
    <row r="312" spans="2:27" ht="12.75" customHeight="1" x14ac:dyDescent="0.2">
      <c r="B312" s="224"/>
      <c r="C312" s="977"/>
      <c r="D312" s="978"/>
      <c r="E312" s="1653" t="str">
        <f>Translations!$B$742</f>
        <v>Citas avota plūsmas, 1:</v>
      </c>
      <c r="F312" s="1657"/>
      <c r="G312" s="1657"/>
      <c r="H312" s="462" t="str">
        <f>EUconst_Unit</f>
        <v>Vienība</v>
      </c>
      <c r="I312" s="463">
        <f>I$1820</f>
        <v>2019</v>
      </c>
      <c r="J312" s="463">
        <f>J$1820</f>
        <v>2020</v>
      </c>
      <c r="K312" s="463">
        <f>K$1820</f>
        <v>2021</v>
      </c>
      <c r="L312" s="463">
        <f>L$1820</f>
        <v>2022</v>
      </c>
      <c r="M312" s="463">
        <f>M$1820</f>
        <v>2023</v>
      </c>
      <c r="N312" s="661"/>
      <c r="O312" s="25"/>
      <c r="P312" s="955"/>
      <c r="R312" s="955"/>
      <c r="AA312" s="607"/>
    </row>
    <row r="313" spans="2:27" ht="12.75" customHeight="1" x14ac:dyDescent="0.2">
      <c r="B313" s="224"/>
      <c r="C313" s="977"/>
      <c r="D313" s="695" t="s">
        <v>4</v>
      </c>
      <c r="E313" s="1667" t="str">
        <f>Translations!$B$743</f>
        <v>Importētais vai eksportētais daudzums</v>
      </c>
      <c r="F313" s="1660"/>
      <c r="G313" s="1660"/>
      <c r="H313" s="466" t="str">
        <f>EUconst_tpa</f>
        <v>t / gads</v>
      </c>
      <c r="I313" s="348"/>
      <c r="J313" s="348"/>
      <c r="K313" s="348"/>
      <c r="L313" s="348"/>
      <c r="M313" s="348"/>
      <c r="N313" s="661"/>
      <c r="O313" s="25"/>
      <c r="P313" s="955"/>
      <c r="R313" s="955"/>
      <c r="AA313" s="361" t="b">
        <f>AA310</f>
        <v>0</v>
      </c>
    </row>
    <row r="314" spans="2:27" ht="12.75" customHeight="1" x14ac:dyDescent="0.2">
      <c r="B314" s="224"/>
      <c r="C314" s="977"/>
      <c r="D314" s="695" t="s">
        <v>6</v>
      </c>
      <c r="E314" s="1658" t="str">
        <f>Translations!$B$744</f>
        <v>Zemākā siltumspēja (attiecīgā gadījumā)</v>
      </c>
      <c r="F314" s="1658"/>
      <c r="G314" s="1658"/>
      <c r="H314" s="551" t="str">
        <f>EUconst_GJpt</f>
        <v>GJ / t</v>
      </c>
      <c r="I314" s="347"/>
      <c r="J314" s="347"/>
      <c r="K314" s="347"/>
      <c r="L314" s="347"/>
      <c r="M314" s="347"/>
      <c r="N314" s="661"/>
      <c r="O314" s="25"/>
      <c r="P314" s="955"/>
      <c r="R314" s="955"/>
      <c r="AA314" s="361" t="b">
        <f>AA313</f>
        <v>0</v>
      </c>
    </row>
    <row r="315" spans="2:27" ht="12.75" customHeight="1" thickBot="1" x14ac:dyDescent="0.25">
      <c r="B315" s="224"/>
      <c r="C315" s="977"/>
      <c r="D315" s="695" t="s">
        <v>303</v>
      </c>
      <c r="E315" s="1658" t="str">
        <f>Translations!$B$745</f>
        <v>Oglekļa saturs (masas %)</v>
      </c>
      <c r="F315" s="1658"/>
      <c r="G315" s="1658"/>
      <c r="H315" s="552" t="s">
        <v>341</v>
      </c>
      <c r="I315" s="347"/>
      <c r="J315" s="347"/>
      <c r="K315" s="347"/>
      <c r="L315" s="347"/>
      <c r="M315" s="347"/>
      <c r="N315" s="661"/>
      <c r="O315" s="25"/>
      <c r="P315" s="955"/>
      <c r="R315" s="955"/>
      <c r="AA315" s="361" t="b">
        <f>AA314</f>
        <v>0</v>
      </c>
    </row>
    <row r="316" spans="2:27" ht="12.75" customHeight="1" x14ac:dyDescent="0.2">
      <c r="B316" s="224"/>
      <c r="C316" s="977"/>
      <c r="D316" s="695" t="s">
        <v>304</v>
      </c>
      <c r="E316" s="1659" t="str">
        <f>Translations!$B$746</f>
        <v>Biomasas saturs (kā oglekļa frakcija)</v>
      </c>
      <c r="F316" s="1659"/>
      <c r="G316" s="1659"/>
      <c r="H316" s="485" t="s">
        <v>341</v>
      </c>
      <c r="I316" s="345"/>
      <c r="J316" s="345"/>
      <c r="K316" s="345"/>
      <c r="L316" s="345"/>
      <c r="M316" s="345"/>
      <c r="N316" s="661"/>
      <c r="O316" s="25"/>
      <c r="P316" s="955"/>
      <c r="R316" s="970"/>
      <c r="S316" s="809">
        <f>I312</f>
        <v>2019</v>
      </c>
      <c r="T316" s="809">
        <f>J312</f>
        <v>2020</v>
      </c>
      <c r="U316" s="809">
        <f>K312</f>
        <v>2021</v>
      </c>
      <c r="V316" s="809">
        <f>L312</f>
        <v>2022</v>
      </c>
      <c r="W316" s="810">
        <f>M312</f>
        <v>2023</v>
      </c>
      <c r="AA316" s="361" t="b">
        <f>AA315</f>
        <v>0</v>
      </c>
    </row>
    <row r="317" spans="2:27" ht="12.75" customHeight="1" thickBot="1" x14ac:dyDescent="0.25">
      <c r="B317" s="224"/>
      <c r="C317" s="977"/>
      <c r="D317" s="695" t="s">
        <v>305</v>
      </c>
      <c r="E317" s="1660" t="str">
        <f>Translations!$B$747</f>
        <v>Emisijas (no fosilajiem avotiem, aprēķinātās)</v>
      </c>
      <c r="F317" s="1660"/>
      <c r="G317" s="1660"/>
      <c r="H317" s="553" t="str">
        <f>EUconst_tCO2pa</f>
        <v>t CO2 / gads</v>
      </c>
      <c r="I317" s="341" t="str">
        <f>IF(AND(COUNT(I313:I316)&gt;0,I320=""),3.664*I313*(I315/100)*(1-I316/100),"")</f>
        <v/>
      </c>
      <c r="J317" s="341" t="str">
        <f>IF(AND(COUNT(J313:J316)&gt;0,J320=""),3.664*J313*(J315/100)*(1-J316/100),"")</f>
        <v/>
      </c>
      <c r="K317" s="341" t="str">
        <f>IF(AND(COUNT(K313:K316)&gt;0,K320=""),3.664*K313*(K315/100)*(1-K316/100),"")</f>
        <v/>
      </c>
      <c r="L317" s="341" t="str">
        <f>IF(AND(COUNT(L313:L316)&gt;0,L320=""),3.664*L313*(L315/100)*(1-L316/100),"")</f>
        <v/>
      </c>
      <c r="M317" s="341" t="str">
        <f>IF(AND(COUNT(M313:M316)&gt;0,M320=""),3.664*M313*(M315/100)*(1-M316/100),"")</f>
        <v/>
      </c>
      <c r="N317" s="661"/>
      <c r="O317" s="25"/>
      <c r="P317" s="979" t="str">
        <f>EUconst_CNTR_EmissionsIntSource1 &amp; I246</f>
        <v>EmInternalSource1_</v>
      </c>
      <c r="R317" s="971" t="str">
        <f>EUconst_CNTR_AttributedEmissions &amp; I246</f>
        <v>AttrEmissions_</v>
      </c>
      <c r="S317" s="137" t="str">
        <f>IF(S246,SUM(I317),"")</f>
        <v/>
      </c>
      <c r="T317" s="137" t="str">
        <f>IF(T246,SUM(J317),"")</f>
        <v/>
      </c>
      <c r="U317" s="137" t="str">
        <f>IF(U246,SUM(K317),"")</f>
        <v/>
      </c>
      <c r="V317" s="137" t="str">
        <f>IF(V246,SUM(L317),"")</f>
        <v/>
      </c>
      <c r="W317" s="138" t="str">
        <f>IF(W246,SUM(M317),"")</f>
        <v/>
      </c>
      <c r="AA317" s="607"/>
    </row>
    <row r="318" spans="2:27" ht="12.75" customHeight="1" x14ac:dyDescent="0.2">
      <c r="B318" s="224"/>
      <c r="C318" s="977"/>
      <c r="D318" s="695" t="s">
        <v>306</v>
      </c>
      <c r="E318" s="1661" t="str">
        <f>Translations!$B$1617</f>
        <v>Nulles faktora biomasas emisijas</v>
      </c>
      <c r="F318" s="1661"/>
      <c r="G318" s="1661"/>
      <c r="H318" s="554" t="str">
        <f>EUconst_tCO2pa</f>
        <v>t CO2 / gads</v>
      </c>
      <c r="I318" s="340" t="str">
        <f>IF(ISNUMBER(I317),3.664*I313*(I315/100)*(I316/100),"")</f>
        <v/>
      </c>
      <c r="J318" s="340" t="str">
        <f>IF(ISNUMBER(J317),3.664*J313*(J315/100)*(J316/100),"")</f>
        <v/>
      </c>
      <c r="K318" s="340" t="str">
        <f>IF(ISNUMBER(K317),3.664*K313*(K315/100)*(K316/100),"")</f>
        <v/>
      </c>
      <c r="L318" s="340" t="str">
        <f>IF(ISNUMBER(L317),3.664*L313*(L315/100)*(L316/100),"")</f>
        <v/>
      </c>
      <c r="M318" s="340" t="str">
        <f>IF(ISNUMBER(M317),3.664*M313*(M315/100)*(M316/100),"")</f>
        <v/>
      </c>
      <c r="N318" s="661"/>
      <c r="O318" s="25"/>
      <c r="P318" s="955"/>
      <c r="R318" s="955"/>
      <c r="AA318" s="607"/>
    </row>
    <row r="319" spans="2:27" ht="12.75" customHeight="1" x14ac:dyDescent="0.2">
      <c r="B319" s="224"/>
      <c r="C319" s="977"/>
      <c r="D319" s="695" t="s">
        <v>307</v>
      </c>
      <c r="E319" s="1659" t="str">
        <f>Translations!$B$749</f>
        <v>Enerģētiskais saturs (aprēķinātais)</v>
      </c>
      <c r="F319" s="1659"/>
      <c r="G319" s="1659"/>
      <c r="H319" s="555" t="str">
        <f>EUconst_TJpa</f>
        <v>TJ / gads</v>
      </c>
      <c r="I319" s="343" t="str">
        <f>IF(COUNT(I313:I314)=2,I313*I314/1000,"")</f>
        <v/>
      </c>
      <c r="J319" s="343" t="str">
        <f>IF(COUNT(J313:J314)=2,J313*J314/1000,"")</f>
        <v/>
      </c>
      <c r="K319" s="343" t="str">
        <f>IF(COUNT(K313:K314)=2,K313*K314/1000,"")</f>
        <v/>
      </c>
      <c r="L319" s="343" t="str">
        <f>IF(COUNT(L313:L314)=2,L313*L314/1000,"")</f>
        <v/>
      </c>
      <c r="M319" s="343" t="str">
        <f>IF(COUNT(M313:M314)=2,M313*M314/1000,"")</f>
        <v/>
      </c>
      <c r="N319" s="661"/>
      <c r="O319" s="25"/>
      <c r="P319" s="955"/>
      <c r="R319" s="955"/>
      <c r="AA319" s="607"/>
    </row>
    <row r="320" spans="2:27" ht="12.75" customHeight="1" x14ac:dyDescent="0.2">
      <c r="B320" s="224"/>
      <c r="C320" s="977"/>
      <c r="D320" s="695" t="s">
        <v>15</v>
      </c>
      <c r="E320" s="1662" t="str">
        <f>Translations!$B$750</f>
        <v>Kļūdas ziņojumi (emisijas)</v>
      </c>
      <c r="F320" s="1662"/>
      <c r="G320" s="1662"/>
      <c r="H320" s="556"/>
      <c r="I320" s="662" t="str">
        <f>IF(COUNT(I313,I315:I316)&gt;0,IF(COUNTIF(I314:I316,"&lt;0")&gt;0,EUconst_Negative,IF(COUNT(I313,I315:I316)&lt;3,EUconst_Incomplete,"")),"")</f>
        <v/>
      </c>
      <c r="J320" s="662" t="str">
        <f>IF(COUNT(J313,J315:J316)&gt;0,IF(COUNTIF(J314:J316,"&lt;0")&gt;0,EUconst_Negative,IF(COUNT(J313,J315:J316)&lt;3,EUconst_Incomplete,"")),"")</f>
        <v/>
      </c>
      <c r="K320" s="662" t="str">
        <f>IF(COUNT(K313,K315:K316)&gt;0,IF(COUNTIF(K314:K316,"&lt;0")&gt;0,EUconst_Negative,IF(COUNT(K313,K315:K316)&lt;3,EUconst_Incomplete,"")),"")</f>
        <v/>
      </c>
      <c r="L320" s="662" t="str">
        <f>IF(COUNT(L313,L315:L316)&gt;0,IF(COUNTIF(L314:L316,"&lt;0")&gt;0,EUconst_Negative,IF(COUNT(L313,L315:L316)&lt;3,EUconst_Incomplete,"")),"")</f>
        <v/>
      </c>
      <c r="M320" s="662" t="str">
        <f>IF(COUNT(M313,M315:M316)&gt;0,IF(COUNTIF(M314:M316,"&lt;0")&gt;0,EUconst_Negative,IF(COUNT(M313,M315:M316)&lt;3,EUconst_Incomplete,"")),"")</f>
        <v/>
      </c>
      <c r="N320" s="661"/>
      <c r="O320" s="25"/>
      <c r="P320" s="955"/>
      <c r="R320" s="955"/>
      <c r="AA320" s="607"/>
    </row>
    <row r="321" spans="2:27" ht="5.0999999999999996" customHeight="1" x14ac:dyDescent="0.2">
      <c r="B321" s="224"/>
      <c r="C321" s="977"/>
      <c r="D321" s="695"/>
      <c r="E321" s="978"/>
      <c r="F321" s="978"/>
      <c r="G321" s="978"/>
      <c r="H321" s="978"/>
      <c r="I321" s="978"/>
      <c r="J321" s="978"/>
      <c r="K321" s="978"/>
      <c r="L321" s="978"/>
      <c r="M321" s="980"/>
      <c r="N321" s="661"/>
      <c r="O321" s="25"/>
      <c r="P321" s="955"/>
      <c r="R321" s="955"/>
      <c r="AA321" s="607"/>
    </row>
    <row r="322" spans="2:27" ht="12.75" customHeight="1" x14ac:dyDescent="0.2">
      <c r="B322" s="224"/>
      <c r="C322" s="977"/>
      <c r="D322" s="695" t="s">
        <v>16</v>
      </c>
      <c r="E322" s="1663" t="str">
        <f>Translations!$B$751</f>
        <v>Citu avota plūsmu nosaukums, 2:</v>
      </c>
      <c r="F322" s="1663"/>
      <c r="G322" s="1663"/>
      <c r="H322" s="1663"/>
      <c r="I322" s="1664"/>
      <c r="J322" s="1665"/>
      <c r="K322" s="1665"/>
      <c r="L322" s="1665"/>
      <c r="M322" s="1666"/>
      <c r="N322" s="1203"/>
      <c r="O322" s="25"/>
      <c r="P322" s="955"/>
      <c r="R322" s="955"/>
      <c r="AA322" s="361" t="b">
        <f>AA310</f>
        <v>0</v>
      </c>
    </row>
    <row r="323" spans="2:27" ht="5.0999999999999996" customHeight="1" x14ac:dyDescent="0.2">
      <c r="B323" s="224"/>
      <c r="C323" s="977"/>
      <c r="D323" s="978"/>
      <c r="E323" s="1204"/>
      <c r="F323" s="1202"/>
      <c r="G323" s="1202"/>
      <c r="H323" s="1202"/>
      <c r="I323" s="1202"/>
      <c r="J323" s="1202"/>
      <c r="K323" s="1202"/>
      <c r="L323" s="1202"/>
      <c r="M323" s="1202"/>
      <c r="N323" s="1203"/>
      <c r="O323" s="25"/>
      <c r="P323" s="955"/>
      <c r="R323" s="955"/>
      <c r="AA323" s="607"/>
    </row>
    <row r="324" spans="2:27" ht="12.75" customHeight="1" x14ac:dyDescent="0.2">
      <c r="B324" s="224"/>
      <c r="C324" s="977"/>
      <c r="D324" s="695"/>
      <c r="E324" s="1653" t="str">
        <f>Translations!$B$752</f>
        <v>Citas avota plūsmas, 2:</v>
      </c>
      <c r="F324" s="1657"/>
      <c r="G324" s="1657"/>
      <c r="H324" s="462" t="str">
        <f>EUconst_Unit</f>
        <v>Vienība</v>
      </c>
      <c r="I324" s="463">
        <f>I$1820</f>
        <v>2019</v>
      </c>
      <c r="J324" s="463">
        <f>J$1820</f>
        <v>2020</v>
      </c>
      <c r="K324" s="463">
        <f>K$1820</f>
        <v>2021</v>
      </c>
      <c r="L324" s="463">
        <f>L$1820</f>
        <v>2022</v>
      </c>
      <c r="M324" s="463">
        <f>M$1820</f>
        <v>2023</v>
      </c>
      <c r="N324" s="661"/>
      <c r="O324" s="25"/>
      <c r="P324" s="955"/>
      <c r="R324" s="955"/>
      <c r="AA324" s="607"/>
    </row>
    <row r="325" spans="2:27" ht="12.75" customHeight="1" x14ac:dyDescent="0.2">
      <c r="B325" s="224"/>
      <c r="C325" s="977"/>
      <c r="D325" s="695" t="s">
        <v>17</v>
      </c>
      <c r="E325" s="1667" t="str">
        <f>Translations!$B$743</f>
        <v>Importētais vai eksportētais daudzums</v>
      </c>
      <c r="F325" s="1660"/>
      <c r="G325" s="1660"/>
      <c r="H325" s="466" t="str">
        <f>EUconst_tpa</f>
        <v>t / gads</v>
      </c>
      <c r="I325" s="348"/>
      <c r="J325" s="348"/>
      <c r="K325" s="348"/>
      <c r="L325" s="348"/>
      <c r="M325" s="348"/>
      <c r="N325" s="661"/>
      <c r="O325" s="25"/>
      <c r="P325" s="955"/>
      <c r="R325" s="955"/>
      <c r="AA325" s="361" t="b">
        <f>AA322</f>
        <v>0</v>
      </c>
    </row>
    <row r="326" spans="2:27" ht="12.75" customHeight="1" x14ac:dyDescent="0.2">
      <c r="B326" s="224"/>
      <c r="C326" s="977"/>
      <c r="D326" s="695" t="s">
        <v>438</v>
      </c>
      <c r="E326" s="1658" t="str">
        <f>Translations!$B$744</f>
        <v>Zemākā siltumspēja (attiecīgā gadījumā)</v>
      </c>
      <c r="F326" s="1658"/>
      <c r="G326" s="1658"/>
      <c r="H326" s="551" t="str">
        <f>EUconst_GJpt</f>
        <v>GJ / t</v>
      </c>
      <c r="I326" s="347"/>
      <c r="J326" s="347"/>
      <c r="K326" s="347"/>
      <c r="L326" s="347"/>
      <c r="M326" s="347"/>
      <c r="N326" s="661"/>
      <c r="O326" s="25"/>
      <c r="P326" s="955"/>
      <c r="R326" s="955"/>
      <c r="AA326" s="361" t="b">
        <f>AA325</f>
        <v>0</v>
      </c>
    </row>
    <row r="327" spans="2:27" ht="12.75" customHeight="1" thickBot="1" x14ac:dyDescent="0.25">
      <c r="B327" s="224"/>
      <c r="C327" s="977"/>
      <c r="D327" s="695" t="s">
        <v>439</v>
      </c>
      <c r="E327" s="1658" t="str">
        <f>Translations!$B$745</f>
        <v>Oglekļa saturs (masas %)</v>
      </c>
      <c r="F327" s="1658"/>
      <c r="G327" s="1658"/>
      <c r="H327" s="552" t="s">
        <v>341</v>
      </c>
      <c r="I327" s="347"/>
      <c r="J327" s="347"/>
      <c r="K327" s="347"/>
      <c r="L327" s="347"/>
      <c r="M327" s="347"/>
      <c r="N327" s="661"/>
      <c r="O327" s="25"/>
      <c r="P327" s="955"/>
      <c r="R327" s="955"/>
      <c r="AA327" s="361" t="b">
        <f>AA326</f>
        <v>0</v>
      </c>
    </row>
    <row r="328" spans="2:27" ht="12.75" customHeight="1" thickBot="1" x14ac:dyDescent="0.25">
      <c r="B328" s="224"/>
      <c r="C328" s="977"/>
      <c r="D328" s="695" t="s">
        <v>440</v>
      </c>
      <c r="E328" s="1659" t="str">
        <f>Translations!$B$746</f>
        <v>Biomasas saturs (kā oglekļa frakcija)</v>
      </c>
      <c r="F328" s="1659"/>
      <c r="G328" s="1659"/>
      <c r="H328" s="485" t="s">
        <v>341</v>
      </c>
      <c r="I328" s="345"/>
      <c r="J328" s="345"/>
      <c r="K328" s="345"/>
      <c r="L328" s="345"/>
      <c r="M328" s="345"/>
      <c r="N328" s="661"/>
      <c r="O328" s="25"/>
      <c r="P328" s="955"/>
      <c r="R328" s="970"/>
      <c r="S328" s="809">
        <f>I324</f>
        <v>2019</v>
      </c>
      <c r="T328" s="809">
        <f>J324</f>
        <v>2020</v>
      </c>
      <c r="U328" s="809">
        <f>K324</f>
        <v>2021</v>
      </c>
      <c r="V328" s="809">
        <f>L324</f>
        <v>2022</v>
      </c>
      <c r="W328" s="810">
        <f>M324</f>
        <v>2023</v>
      </c>
      <c r="AA328" s="186" t="b">
        <f>AA327</f>
        <v>0</v>
      </c>
    </row>
    <row r="329" spans="2:27" ht="12.75" customHeight="1" thickBot="1" x14ac:dyDescent="0.25">
      <c r="B329" s="224"/>
      <c r="C329" s="977"/>
      <c r="D329" s="695" t="s">
        <v>441</v>
      </c>
      <c r="E329" s="1660" t="str">
        <f>Translations!$B$747</f>
        <v>Emisijas (no fosilajiem avotiem, aprēķinātās)</v>
      </c>
      <c r="F329" s="1660"/>
      <c r="G329" s="1660"/>
      <c r="H329" s="553" t="str">
        <f>EUconst_tCO2pa</f>
        <v>t CO2 / gads</v>
      </c>
      <c r="I329" s="341" t="str">
        <f>IF(AND(COUNT(I325:I328)&gt;0,I332=""),3.664*I325*(I327/100)*(1-I328/100),"")</f>
        <v/>
      </c>
      <c r="J329" s="341" t="str">
        <f>IF(AND(COUNT(J325:J328)&gt;0,J332=""),3.664*J325*(J327/100)*(1-J328/100),"")</f>
        <v/>
      </c>
      <c r="K329" s="341" t="str">
        <f>IF(AND(COUNT(K325:K328)&gt;0,K332=""),3.664*K325*(K327/100)*(1-K328/100),"")</f>
        <v/>
      </c>
      <c r="L329" s="341" t="str">
        <f>IF(AND(COUNT(L325:L328)&gt;0,L332=""),3.664*L325*(L327/100)*(1-L328/100),"")</f>
        <v/>
      </c>
      <c r="M329" s="341" t="str">
        <f>IF(AND(COUNT(M325:M328)&gt;0,M332=""),3.664*M325*(M327/100)*(1-M328/100),"")</f>
        <v/>
      </c>
      <c r="N329" s="661"/>
      <c r="O329" s="25"/>
      <c r="P329" s="979" t="str">
        <f>EUconst_CNTR_EmissionsIntSource2 &amp; I246</f>
        <v>EmInternalSource2_</v>
      </c>
      <c r="R329" s="971" t="str">
        <f>EUconst_CNTR_AttributedEmissions &amp; I246</f>
        <v>AttrEmissions_</v>
      </c>
      <c r="S329" s="137" t="str">
        <f>IF(S246,SUM(I329),"")</f>
        <v/>
      </c>
      <c r="T329" s="137" t="str">
        <f>IF(T246,SUM(J329),"")</f>
        <v/>
      </c>
      <c r="U329" s="137" t="str">
        <f>IF(U246,SUM(K329),"")</f>
        <v/>
      </c>
      <c r="V329" s="137" t="str">
        <f>IF(V246,SUM(L329),"")</f>
        <v/>
      </c>
      <c r="W329" s="138" t="str">
        <f>IF(W246,SUM(M329),"")</f>
        <v/>
      </c>
    </row>
    <row r="330" spans="2:27" ht="12.75" customHeight="1" x14ac:dyDescent="0.2">
      <c r="B330" s="224"/>
      <c r="C330" s="977"/>
      <c r="D330" s="695" t="s">
        <v>442</v>
      </c>
      <c r="E330" s="1661" t="str">
        <f>Translations!$B$1617</f>
        <v>Nulles faktora biomasas emisijas</v>
      </c>
      <c r="F330" s="1661"/>
      <c r="G330" s="1661"/>
      <c r="H330" s="554" t="str">
        <f>EUconst_tCO2pa</f>
        <v>t CO2 / gads</v>
      </c>
      <c r="I330" s="340" t="str">
        <f>IF(ISNUMBER(I329),3.664*I325*(I327/100)*(I328/100),"")</f>
        <v/>
      </c>
      <c r="J330" s="340" t="str">
        <f>IF(ISNUMBER(J329),3.664*J325*(J327/100)*(J328/100),"")</f>
        <v/>
      </c>
      <c r="K330" s="340" t="str">
        <f>IF(ISNUMBER(K329),3.664*K325*(K327/100)*(K328/100),"")</f>
        <v/>
      </c>
      <c r="L330" s="340" t="str">
        <f>IF(ISNUMBER(L329),3.664*L325*(L327/100)*(L328/100),"")</f>
        <v/>
      </c>
      <c r="M330" s="340" t="str">
        <f>IF(ISNUMBER(M329),3.664*M325*(M327/100)*(M328/100),"")</f>
        <v/>
      </c>
      <c r="N330" s="661"/>
      <c r="O330" s="25"/>
      <c r="P330" s="955"/>
      <c r="R330" s="955"/>
    </row>
    <row r="331" spans="2:27" ht="12.75" customHeight="1" x14ac:dyDescent="0.2">
      <c r="B331" s="224"/>
      <c r="C331" s="977"/>
      <c r="D331" s="695" t="s">
        <v>443</v>
      </c>
      <c r="E331" s="1659" t="str">
        <f>Translations!$B$749</f>
        <v>Enerģētiskais saturs (aprēķinātais)</v>
      </c>
      <c r="F331" s="1659"/>
      <c r="G331" s="1659"/>
      <c r="H331" s="555" t="str">
        <f>EUconst_TJpa</f>
        <v>TJ / gads</v>
      </c>
      <c r="I331" s="343" t="str">
        <f>IF(COUNT(I325:I326)=2,I325*I326/1000,"")</f>
        <v/>
      </c>
      <c r="J331" s="343" t="str">
        <f>IF(COUNT(J325:J326)=2,J325*J326/1000,"")</f>
        <v/>
      </c>
      <c r="K331" s="343" t="str">
        <f>IF(COUNT(K325:K326)=2,K325*K326/1000,"")</f>
        <v/>
      </c>
      <c r="L331" s="343" t="str">
        <f>IF(COUNT(L325:L326)=2,L325*L326/1000,"")</f>
        <v/>
      </c>
      <c r="M331" s="343" t="str">
        <f>IF(COUNT(M325:M326)=2,M325*M326/1000,"")</f>
        <v/>
      </c>
      <c r="N331" s="661"/>
      <c r="O331" s="25"/>
      <c r="P331" s="955"/>
      <c r="R331" s="955"/>
    </row>
    <row r="332" spans="2:27" ht="12.75" customHeight="1" x14ac:dyDescent="0.2">
      <c r="B332" s="224"/>
      <c r="C332" s="977"/>
      <c r="D332" s="695" t="s">
        <v>439</v>
      </c>
      <c r="E332" s="1662" t="str">
        <f>Translations!$B$750</f>
        <v>Kļūdas ziņojumi (emisijas)</v>
      </c>
      <c r="F332" s="1662"/>
      <c r="G332" s="1662"/>
      <c r="H332" s="556"/>
      <c r="I332" s="662" t="str">
        <f>IF(COUNT(I325,I327:I328)&gt;0,IF(COUNTIF(I326:I328,"&lt;0")&gt;0,EUconst_Negative,IF(COUNT(I325,I327:I328)&lt;3,EUconst_Incomplete,"")),"")</f>
        <v/>
      </c>
      <c r="J332" s="662" t="str">
        <f>IF(COUNT(J325,J327:J328)&gt;0,IF(COUNTIF(J326:J328,"&lt;0")&gt;0,EUconst_Negative,IF(COUNT(J325,J327:J328)&lt;3,EUconst_Incomplete,"")),"")</f>
        <v/>
      </c>
      <c r="K332" s="662" t="str">
        <f>IF(COUNT(K325,K327:K328)&gt;0,IF(COUNTIF(K326:K328,"&lt;0")&gt;0,EUconst_Negative,IF(COUNT(K325,K327:K328)&lt;3,EUconst_Incomplete,"")),"")</f>
        <v/>
      </c>
      <c r="L332" s="662" t="str">
        <f>IF(COUNT(L325,L327:L328)&gt;0,IF(COUNTIF(L326:L328,"&lt;0")&gt;0,EUconst_Negative,IF(COUNT(L325,L327:L328)&lt;3,EUconst_Incomplete,"")),"")</f>
        <v/>
      </c>
      <c r="M332" s="662" t="str">
        <f>IF(COUNT(M325,M327:M328)&gt;0,IF(COUNTIF(M326:M328,"&lt;0")&gt;0,EUconst_Negative,IF(COUNT(M325,M327:M328)&lt;3,EUconst_Incomplete,"")),"")</f>
        <v/>
      </c>
      <c r="N332" s="661"/>
      <c r="O332" s="25"/>
      <c r="P332" s="955"/>
      <c r="R332" s="955"/>
    </row>
    <row r="333" spans="2:27" ht="5.0999999999999996" customHeight="1" x14ac:dyDescent="0.2">
      <c r="B333" s="224"/>
      <c r="C333" s="977"/>
      <c r="D333" s="978"/>
      <c r="E333" s="978"/>
      <c r="F333" s="978"/>
      <c r="G333" s="978"/>
      <c r="H333" s="978"/>
      <c r="I333" s="978"/>
      <c r="J333" s="978"/>
      <c r="K333" s="978"/>
      <c r="L333" s="978"/>
      <c r="M333" s="980"/>
      <c r="N333" s="661"/>
      <c r="O333" s="25"/>
      <c r="P333" s="955"/>
      <c r="R333" s="955"/>
    </row>
    <row r="334" spans="2:27" ht="12.75" customHeight="1" thickBot="1" x14ac:dyDescent="0.25">
      <c r="B334" s="224"/>
      <c r="C334" s="977"/>
      <c r="D334" s="474" t="s">
        <v>211</v>
      </c>
      <c r="E334" s="1654" t="str">
        <f>Translations!$B$753</f>
        <v>To SEG daudzums, kas importētas vai eksportētas kā ievadmateriāli</v>
      </c>
      <c r="F334" s="1655"/>
      <c r="G334" s="1655"/>
      <c r="H334" s="1655"/>
      <c r="I334" s="1655"/>
      <c r="J334" s="1655"/>
      <c r="K334" s="1655"/>
      <c r="L334" s="1655"/>
      <c r="M334" s="1655"/>
      <c r="N334" s="1656"/>
      <c r="O334" s="25"/>
      <c r="P334" s="955"/>
      <c r="R334" s="955"/>
    </row>
    <row r="335" spans="2:27" ht="12.75" customHeight="1" x14ac:dyDescent="0.2">
      <c r="B335" s="224"/>
      <c r="C335" s="977"/>
      <c r="D335" s="474"/>
      <c r="E335" s="1653"/>
      <c r="F335" s="1657"/>
      <c r="G335" s="1657"/>
      <c r="H335" s="462" t="str">
        <f>EUconst_Unit</f>
        <v>Vienība</v>
      </c>
      <c r="I335" s="463">
        <f>I$1820</f>
        <v>2019</v>
      </c>
      <c r="J335" s="463">
        <f>J$1820</f>
        <v>2020</v>
      </c>
      <c r="K335" s="463">
        <f>K$1820</f>
        <v>2021</v>
      </c>
      <c r="L335" s="463">
        <f>L$1820</f>
        <v>2022</v>
      </c>
      <c r="M335" s="463">
        <f>M$1820</f>
        <v>2023</v>
      </c>
      <c r="N335" s="661"/>
      <c r="O335" s="25"/>
      <c r="P335" s="955"/>
      <c r="R335" s="970"/>
      <c r="S335" s="809">
        <f>I335</f>
        <v>2019</v>
      </c>
      <c r="T335" s="809">
        <f>J335</f>
        <v>2020</v>
      </c>
      <c r="U335" s="809">
        <f>K335</f>
        <v>2021</v>
      </c>
      <c r="V335" s="809">
        <f>L335</f>
        <v>2022</v>
      </c>
      <c r="W335" s="810">
        <f>M335</f>
        <v>2023</v>
      </c>
    </row>
    <row r="336" spans="2:27" ht="12.75" customHeight="1" thickBot="1" x14ac:dyDescent="0.25">
      <c r="B336" s="224"/>
      <c r="C336" s="977"/>
      <c r="D336" s="695"/>
      <c r="E336" s="1651" t="str">
        <f>Translations!$B$756</f>
        <v>Importētās vai eksportētās SEG</v>
      </c>
      <c r="F336" s="1652"/>
      <c r="G336" s="1652"/>
      <c r="H336" s="465" t="str">
        <f>EUconst_tCO2epa</f>
        <v>t CO2e/gads</v>
      </c>
      <c r="I336" s="483"/>
      <c r="J336" s="483"/>
      <c r="K336" s="483"/>
      <c r="L336" s="483"/>
      <c r="M336" s="483"/>
      <c r="N336" s="1205"/>
      <c r="O336" s="25"/>
      <c r="P336" s="979" t="str">
        <f>EUconst_CNTR_CO2Feedstock &amp; I246</f>
        <v>EmCO2Feedstock_</v>
      </c>
      <c r="R336" s="971" t="str">
        <f>EUconst_CNTR_AttributedEmissions &amp; I246</f>
        <v>AttrEmissions_</v>
      </c>
      <c r="S336" s="137" t="str">
        <f>IF(S246,SUM(I336),"")</f>
        <v/>
      </c>
      <c r="T336" s="137" t="str">
        <f>IF(T246,SUM(J336),"")</f>
        <v/>
      </c>
      <c r="U336" s="137" t="str">
        <f>IF(U246,SUM(K336),"")</f>
        <v/>
      </c>
      <c r="V336" s="137" t="str">
        <f>IF(V246,SUM(L336),"")</f>
        <v/>
      </c>
      <c r="W336" s="138" t="str">
        <f>IF(W246,SUM(M336),"")</f>
        <v/>
      </c>
    </row>
    <row r="337" spans="2:24" ht="5.0999999999999996" customHeight="1" x14ac:dyDescent="0.2">
      <c r="B337" s="224"/>
      <c r="C337" s="977"/>
      <c r="D337" s="978"/>
      <c r="E337" s="978"/>
      <c r="F337" s="978"/>
      <c r="G337" s="978"/>
      <c r="H337" s="978"/>
      <c r="I337" s="978"/>
      <c r="J337" s="978"/>
      <c r="K337" s="978"/>
      <c r="L337" s="978"/>
      <c r="M337" s="980"/>
      <c r="N337" s="661"/>
      <c r="O337" s="25"/>
      <c r="P337" s="955"/>
      <c r="R337" s="955"/>
    </row>
    <row r="338" spans="2:24" ht="12.75" customHeight="1" x14ac:dyDescent="0.2">
      <c r="B338" s="224"/>
      <c r="C338" s="977"/>
      <c r="D338" s="474" t="s">
        <v>212</v>
      </c>
      <c r="E338" s="1654" t="str">
        <f>Translations!$B$757</f>
        <v>Šajā apakšiekārtā importētais un no tās eksportētais izmērāmais siltums</v>
      </c>
      <c r="F338" s="1655"/>
      <c r="G338" s="1655"/>
      <c r="H338" s="1655"/>
      <c r="I338" s="1655"/>
      <c r="J338" s="1655"/>
      <c r="K338" s="1655"/>
      <c r="L338" s="1655"/>
      <c r="M338" s="1655"/>
      <c r="N338" s="1656"/>
      <c r="O338" s="25"/>
      <c r="P338" s="955"/>
      <c r="R338" s="955"/>
    </row>
    <row r="339" spans="2:24" ht="12.75" customHeight="1" thickBot="1" x14ac:dyDescent="0.25">
      <c r="B339" s="224"/>
      <c r="C339" s="977"/>
      <c r="D339" s="978"/>
      <c r="E339" s="1628" t="str">
        <f>Translations!$B$762</f>
        <v>Lai uz siltuma ražošanu attiecinātu emisijas no koģenerācijas, jāizmanto koģenerācijas rīks šīs veidnes D. lapas III .sadaļā.</v>
      </c>
      <c r="F339" s="1628"/>
      <c r="G339" s="1628"/>
      <c r="H339" s="1628"/>
      <c r="I339" s="1628"/>
      <c r="J339" s="1628"/>
      <c r="K339" s="1628"/>
      <c r="L339" s="1628"/>
      <c r="M339" s="1628"/>
      <c r="N339" s="1205"/>
      <c r="O339" s="25"/>
      <c r="P339" s="955"/>
    </row>
    <row r="340" spans="2:24" ht="12.75" customHeight="1" x14ac:dyDescent="0.2">
      <c r="B340" s="224"/>
      <c r="C340" s="977"/>
      <c r="D340" s="978"/>
      <c r="E340" s="1653" t="str">
        <f>Translations!$B$763</f>
        <v>Kopējais importētais siltums</v>
      </c>
      <c r="F340" s="1657"/>
      <c r="G340" s="1657"/>
      <c r="H340" s="462" t="str">
        <f>EUconst_Unit</f>
        <v>Vienība</v>
      </c>
      <c r="I340" s="463">
        <f>I$1820</f>
        <v>2019</v>
      </c>
      <c r="J340" s="463">
        <f>J$1820</f>
        <v>2020</v>
      </c>
      <c r="K340" s="463">
        <f>K$1820</f>
        <v>2021</v>
      </c>
      <c r="L340" s="463">
        <f>L$1820</f>
        <v>2022</v>
      </c>
      <c r="M340" s="463">
        <f>M$1820</f>
        <v>2023</v>
      </c>
      <c r="N340" s="1205"/>
      <c r="O340" s="25"/>
      <c r="P340" s="955"/>
      <c r="R340" s="970"/>
      <c r="S340" s="809">
        <f>I340</f>
        <v>2019</v>
      </c>
      <c r="T340" s="809">
        <f>J340</f>
        <v>2020</v>
      </c>
      <c r="U340" s="809">
        <f>K340</f>
        <v>2021</v>
      </c>
      <c r="V340" s="809">
        <f>L340</f>
        <v>2022</v>
      </c>
      <c r="W340" s="810">
        <f>M340</f>
        <v>2023</v>
      </c>
    </row>
    <row r="341" spans="2:24" ht="12.75" customHeight="1" x14ac:dyDescent="0.2">
      <c r="B341" s="224"/>
      <c r="C341" s="977"/>
      <c r="D341" s="695" t="s">
        <v>2</v>
      </c>
      <c r="E341" s="1651" t="str">
        <f>Translations!$B$764</f>
        <v>Neto importētais siltums</v>
      </c>
      <c r="F341" s="1652"/>
      <c r="G341" s="1652"/>
      <c r="H341" s="465" t="str">
        <f>EUconst_TJpa</f>
        <v>TJ / gads</v>
      </c>
      <c r="I341" s="483"/>
      <c r="J341" s="483"/>
      <c r="K341" s="483"/>
      <c r="L341" s="483"/>
      <c r="M341" s="483"/>
      <c r="N341" s="698"/>
      <c r="O341" s="25"/>
      <c r="P341" s="979" t="str">
        <f>EUconst_CNTR_HeatImport &amp; I246</f>
        <v>HeatIm_</v>
      </c>
      <c r="R341" s="981" t="str">
        <f>EUconst_ERR_AttrEmBMapplied &amp; I246</f>
        <v>ERR_AttrEmBM_ </v>
      </c>
      <c r="S341" s="134">
        <f>IF(AND(I341&lt;&gt;0,I342="",EUconst_StatusOfDataCollection=""),1,0)</f>
        <v>0</v>
      </c>
      <c r="T341" s="134">
        <f>IF(AND(J341&lt;&gt;0,J342="",EUconst_StatusOfDataCollection=""),1,0)</f>
        <v>0</v>
      </c>
      <c r="U341" s="134">
        <f>IF(AND(K341&lt;&gt;0,K342="",EUconst_StatusOfDataCollection=""),1,0)</f>
        <v>0</v>
      </c>
      <c r="V341" s="134">
        <f>IF(AND(L341&lt;&gt;0,L342="",EUconst_StatusOfDataCollection=""),1,0)</f>
        <v>0</v>
      </c>
      <c r="W341" s="135">
        <f>IF(AND(M341&lt;&gt;0,M342="",EUconst_StatusOfDataCollection=""),1,0)</f>
        <v>0</v>
      </c>
      <c r="X341" s="63"/>
    </row>
    <row r="342" spans="2:24" ht="12.75" customHeight="1" thickBot="1" x14ac:dyDescent="0.25">
      <c r="B342" s="224"/>
      <c r="C342" s="977"/>
      <c r="D342" s="695" t="s">
        <v>3</v>
      </c>
      <c r="E342" s="1651" t="str">
        <f>Translations!$B$765</f>
        <v>Īpatnējais EF (importētais siltums)</v>
      </c>
      <c r="F342" s="1652"/>
      <c r="G342" s="1652"/>
      <c r="H342" s="465" t="str">
        <f>EUconst_tCO2pTJ</f>
        <v>t CO2 / TJ</v>
      </c>
      <c r="I342" s="760"/>
      <c r="J342" s="760"/>
      <c r="K342" s="760"/>
      <c r="L342" s="760"/>
      <c r="M342" s="760"/>
      <c r="N342" s="661"/>
      <c r="O342" s="25"/>
      <c r="P342" s="979" t="str">
        <f>EUconst_CNTR_HeatImportEF &amp; I246</f>
        <v>HeatImEF_</v>
      </c>
      <c r="R342" s="971" t="str">
        <f>EUconst_CNTR_AttributedEmissions &amp; I246</f>
        <v>AttrEmissions_</v>
      </c>
      <c r="S342" s="137" t="str">
        <f>IF(S246,SUM(I341)*IF(ISNUMBER(I342),I342,EUconst_HeatBMvalueForBM),"")</f>
        <v/>
      </c>
      <c r="T342" s="137" t="str">
        <f>IF(T246,SUM(J341)*IF(ISNUMBER(J342),J342,EUconst_HeatBMvalueForBM),"")</f>
        <v/>
      </c>
      <c r="U342" s="137" t="str">
        <f>IF(U246,SUM(K341)*IF(ISNUMBER(K342),K342,EUconst_HeatBMvalueForBM),"")</f>
        <v/>
      </c>
      <c r="V342" s="137" t="str">
        <f>IF(V246,SUM(L341)*IF(ISNUMBER(L342),L342,EUconst_HeatBMvalueForBM),"")</f>
        <v/>
      </c>
      <c r="W342" s="138" t="str">
        <f>IF(W246,SUM(M341)*IF(ISNUMBER(M342),M342,EUconst_HeatBMvalueForBM),"")</f>
        <v/>
      </c>
    </row>
    <row r="343" spans="2:24" ht="5.0999999999999996" customHeight="1" x14ac:dyDescent="0.2">
      <c r="B343" s="224"/>
      <c r="C343" s="977"/>
      <c r="D343" s="978"/>
      <c r="E343" s="978"/>
      <c r="F343" s="978"/>
      <c r="G343" s="978"/>
      <c r="H343" s="978"/>
      <c r="I343" s="978"/>
      <c r="J343" s="978"/>
      <c r="K343" s="978"/>
      <c r="L343" s="978"/>
      <c r="M343" s="980"/>
      <c r="N343" s="661"/>
      <c r="O343" s="25"/>
      <c r="P343" s="955"/>
      <c r="R343" s="955"/>
      <c r="S343" s="955"/>
    </row>
    <row r="344" spans="2:24" ht="12.75" customHeight="1" x14ac:dyDescent="0.2">
      <c r="B344" s="224"/>
      <c r="C344" s="977"/>
      <c r="D344" s="978"/>
      <c r="E344" s="1653" t="str">
        <f>Translations!$B$766</f>
        <v>Īpašs importētais siltums</v>
      </c>
      <c r="F344" s="1653"/>
      <c r="G344" s="1653"/>
      <c r="H344" s="462" t="str">
        <f>EUconst_Unit</f>
        <v>Vienība</v>
      </c>
      <c r="I344" s="463">
        <f>I$1820</f>
        <v>2019</v>
      </c>
      <c r="J344" s="463">
        <f>J$1820</f>
        <v>2020</v>
      </c>
      <c r="K344" s="463">
        <f>K$1820</f>
        <v>2021</v>
      </c>
      <c r="L344" s="463">
        <f>L$1820</f>
        <v>2022</v>
      </c>
      <c r="M344" s="463">
        <f>M$1820</f>
        <v>2023</v>
      </c>
      <c r="N344" s="1205"/>
      <c r="O344" s="25"/>
      <c r="P344" s="955"/>
      <c r="R344" s="955"/>
      <c r="S344" s="955"/>
    </row>
    <row r="345" spans="2:24" ht="12.75" customHeight="1" x14ac:dyDescent="0.2">
      <c r="B345" s="224"/>
      <c r="C345" s="977"/>
      <c r="D345" s="695" t="s">
        <v>4</v>
      </c>
      <c r="E345" s="1651" t="str">
        <f>Translations!$B$767</f>
        <v>No pulpas apakšiekārtām importētais neto siltums</v>
      </c>
      <c r="F345" s="1652"/>
      <c r="G345" s="1652"/>
      <c r="H345" s="465" t="str">
        <f>EUconst_TJpa</f>
        <v>TJ / gads</v>
      </c>
      <c r="I345" s="550"/>
      <c r="J345" s="550"/>
      <c r="K345" s="550"/>
      <c r="L345" s="550"/>
      <c r="M345" s="550"/>
      <c r="N345" s="698"/>
      <c r="O345" s="25"/>
      <c r="P345" s="979" t="str">
        <f>EUconst_CNTR_HeatImportPulp &amp; I246</f>
        <v>HeatImPulp_</v>
      </c>
      <c r="R345" s="955"/>
      <c r="S345" s="955"/>
    </row>
    <row r="346" spans="2:24" ht="25.5" customHeight="1" x14ac:dyDescent="0.2">
      <c r="B346" s="224"/>
      <c r="C346" s="977"/>
      <c r="D346" s="695" t="s">
        <v>6</v>
      </c>
      <c r="E346" s="1651" t="str">
        <f>Translations!$B$768</f>
        <v>No slāpekļskābes apakšiekārtas importētais neto siltums</v>
      </c>
      <c r="F346" s="1652"/>
      <c r="G346" s="1652"/>
      <c r="H346" s="465" t="str">
        <f>EUconst_TJpa</f>
        <v>TJ / gads</v>
      </c>
      <c r="I346" s="483"/>
      <c r="J346" s="483"/>
      <c r="K346" s="483"/>
      <c r="L346" s="483"/>
      <c r="M346" s="483"/>
      <c r="N346" s="698"/>
      <c r="O346" s="25"/>
      <c r="P346" s="979" t="str">
        <f>EUconst_CNTR_HeatImportNitric &amp; I246</f>
        <v>HeatImNitric_</v>
      </c>
      <c r="R346" s="955"/>
      <c r="S346" s="955"/>
    </row>
    <row r="347" spans="2:24" ht="5.0999999999999996" customHeight="1" thickBot="1" x14ac:dyDescent="0.25">
      <c r="B347" s="224"/>
      <c r="C347" s="977"/>
      <c r="D347" s="978"/>
      <c r="E347" s="978"/>
      <c r="F347" s="978"/>
      <c r="G347" s="978"/>
      <c r="H347" s="978"/>
      <c r="I347" s="978"/>
      <c r="J347" s="978"/>
      <c r="K347" s="978"/>
      <c r="L347" s="978"/>
      <c r="M347" s="980"/>
      <c r="N347" s="661"/>
      <c r="O347" s="25"/>
      <c r="P347" s="955"/>
      <c r="R347" s="955"/>
      <c r="S347" s="955"/>
    </row>
    <row r="348" spans="2:24" ht="12.75" customHeight="1" x14ac:dyDescent="0.2">
      <c r="B348" s="224"/>
      <c r="C348" s="977"/>
      <c r="D348" s="978"/>
      <c r="E348" s="1653" t="str">
        <f>Translations!$B$769</f>
        <v>Kopējais eksportētais siltums</v>
      </c>
      <c r="F348" s="1653"/>
      <c r="G348" s="1653"/>
      <c r="H348" s="462" t="str">
        <f>EUconst_Unit</f>
        <v>Vienība</v>
      </c>
      <c r="I348" s="463">
        <f>I$1820</f>
        <v>2019</v>
      </c>
      <c r="J348" s="463">
        <f>J$1820</f>
        <v>2020</v>
      </c>
      <c r="K348" s="463">
        <f>K$1820</f>
        <v>2021</v>
      </c>
      <c r="L348" s="463">
        <f>L$1820</f>
        <v>2022</v>
      </c>
      <c r="M348" s="463">
        <f>M$1820</f>
        <v>2023</v>
      </c>
      <c r="N348" s="1205"/>
      <c r="O348" s="25"/>
      <c r="P348" s="955"/>
      <c r="R348" s="970"/>
      <c r="S348" s="809">
        <f>I348</f>
        <v>2019</v>
      </c>
      <c r="T348" s="809">
        <f>J348</f>
        <v>2020</v>
      </c>
      <c r="U348" s="809">
        <f>K348</f>
        <v>2021</v>
      </c>
      <c r="V348" s="809">
        <f>L348</f>
        <v>2022</v>
      </c>
      <c r="W348" s="810">
        <f>M348</f>
        <v>2023</v>
      </c>
    </row>
    <row r="349" spans="2:24" ht="12.75" customHeight="1" x14ac:dyDescent="0.2">
      <c r="B349" s="224"/>
      <c r="C349" s="977"/>
      <c r="D349" s="695" t="s">
        <v>303</v>
      </c>
      <c r="E349" s="1651" t="str">
        <f>Translations!$B$770</f>
        <v>Neto eksportētais siltums</v>
      </c>
      <c r="F349" s="1652"/>
      <c r="G349" s="1652"/>
      <c r="H349" s="465" t="str">
        <f>EUconst_TJpa</f>
        <v>TJ / gads</v>
      </c>
      <c r="I349" s="483"/>
      <c r="J349" s="483"/>
      <c r="K349" s="483"/>
      <c r="L349" s="483"/>
      <c r="M349" s="483"/>
      <c r="N349" s="698"/>
      <c r="O349" s="25"/>
      <c r="P349" s="979" t="str">
        <f>EUconst_CNTR_HeatExport &amp; I246</f>
        <v>HeatEx_</v>
      </c>
      <c r="R349" s="981" t="str">
        <f>EUconst_ERR_AttrEmBMapplied &amp; I246</f>
        <v>ERR_AttrEmBM_ </v>
      </c>
      <c r="S349" s="134">
        <f>IF(AND(I349&lt;&gt;0,I350="",EUconst_StatusOfDataCollection=""),1,0)</f>
        <v>0</v>
      </c>
      <c r="T349" s="134">
        <f>IF(AND(J349&lt;&gt;0,J350="",EUconst_StatusOfDataCollection=""),1,0)</f>
        <v>0</v>
      </c>
      <c r="U349" s="134">
        <f>IF(AND(K349&lt;&gt;0,K350="",EUconst_StatusOfDataCollection=""),1,0)</f>
        <v>0</v>
      </c>
      <c r="V349" s="134">
        <f>IF(AND(L349&lt;&gt;0,L350="",EUconst_StatusOfDataCollection=""),1,0)</f>
        <v>0</v>
      </c>
      <c r="W349" s="135">
        <f>IF(AND(M349&lt;&gt;0,M350="",EUconst_StatusOfDataCollection=""),1,0)</f>
        <v>0</v>
      </c>
    </row>
    <row r="350" spans="2:24" ht="12.75" customHeight="1" thickBot="1" x14ac:dyDescent="0.25">
      <c r="B350" s="224"/>
      <c r="C350" s="977"/>
      <c r="D350" s="695" t="s">
        <v>304</v>
      </c>
      <c r="E350" s="1651" t="str">
        <f>Translations!$B$771</f>
        <v>Īpatnējais EF (eksportētais siltums)</v>
      </c>
      <c r="F350" s="1652"/>
      <c r="G350" s="1652"/>
      <c r="H350" s="465" t="str">
        <f>EUconst_tCO2pTJ</f>
        <v>t CO2 / TJ</v>
      </c>
      <c r="I350" s="760"/>
      <c r="J350" s="760"/>
      <c r="K350" s="760"/>
      <c r="L350" s="760"/>
      <c r="M350" s="760"/>
      <c r="N350" s="661"/>
      <c r="O350" s="25"/>
      <c r="P350" s="979" t="str">
        <f>EUconst_CNTR_HeatExportEF &amp; I246</f>
        <v>HeatExEF_</v>
      </c>
      <c r="R350" s="971" t="str">
        <f>EUconst_CNTR_AttributedEmissions &amp; I246</f>
        <v>AttrEmissions_</v>
      </c>
      <c r="S350" s="137" t="str">
        <f>IF(S246,-SUM(I349)*IF(INDEX(EUconst_BMlistMainNumberOfBM,MATCH($I246,EUconst_BMlistNames,0))=39,0,IF(ISNUMBER(I350),I350,EUconst_HeatBMvalueForBM)),"")</f>
        <v/>
      </c>
      <c r="T350" s="137" t="str">
        <f>IF(T246,-SUM(J349)*IF(INDEX(EUconst_BMlistMainNumberOfBM,MATCH($I246,EUconst_BMlistNames,0))=39,0,IF(ISNUMBER(J350),J350,EUconst_HeatBMvalueForBM)),"")</f>
        <v/>
      </c>
      <c r="U350" s="137" t="str">
        <f>IF(U246,-SUM(K349)*IF(INDEX(EUconst_BMlistMainNumberOfBM,MATCH($I246,EUconst_BMlistNames,0))=39,0,IF(ISNUMBER(K350),K350,EUconst_HeatBMvalueForBM)),"")</f>
        <v/>
      </c>
      <c r="V350" s="137" t="str">
        <f>IF(V246,-SUM(L349)*IF(INDEX(EUconst_BMlistMainNumberOfBM,MATCH($I246,EUconst_BMlistNames,0))=39,0,IF(ISNUMBER(L350),L350,EUconst_HeatBMvalueForBM)),"")</f>
        <v/>
      </c>
      <c r="W350" s="138" t="str">
        <f>IF(W246,-SUM(M349)*IF(INDEX(EUconst_BMlistMainNumberOfBM,MATCH($I246,EUconst_BMlistNames,0))=39,0,IF(ISNUMBER(M350),M350,EUconst_HeatBMvalueForBM)),"")</f>
        <v/>
      </c>
    </row>
    <row r="351" spans="2:24" ht="5.0999999999999996" customHeight="1" x14ac:dyDescent="0.2">
      <c r="B351" s="224"/>
      <c r="C351" s="977"/>
      <c r="D351" s="978"/>
      <c r="E351" s="978"/>
      <c r="F351" s="978"/>
      <c r="G351" s="978"/>
      <c r="H351" s="978"/>
      <c r="I351" s="978"/>
      <c r="J351" s="978"/>
      <c r="K351" s="978"/>
      <c r="L351" s="978"/>
      <c r="M351" s="980"/>
      <c r="N351" s="661"/>
      <c r="O351" s="25"/>
      <c r="P351" s="955"/>
      <c r="R351" s="955"/>
      <c r="S351" s="955"/>
    </row>
    <row r="352" spans="2:24" ht="12.75" customHeight="1" x14ac:dyDescent="0.2">
      <c r="B352" s="224"/>
      <c r="C352" s="977"/>
      <c r="D352" s="474" t="s">
        <v>213</v>
      </c>
      <c r="E352" s="1654" t="str">
        <f>Translations!$B$772</f>
        <v>Šīs apakšiekārtas atlikumgāzu bilance</v>
      </c>
      <c r="F352" s="1655"/>
      <c r="G352" s="1655"/>
      <c r="H352" s="1655"/>
      <c r="I352" s="1655"/>
      <c r="J352" s="1655"/>
      <c r="K352" s="1655"/>
      <c r="L352" s="1655"/>
      <c r="M352" s="1655"/>
      <c r="N352" s="1656"/>
      <c r="O352" s="25"/>
      <c r="P352" s="955"/>
      <c r="R352" s="955"/>
      <c r="S352" s="955"/>
    </row>
    <row r="353" spans="2:27" ht="5.0999999999999996" customHeight="1" thickBot="1" x14ac:dyDescent="0.25">
      <c r="B353" s="224"/>
      <c r="C353" s="977"/>
      <c r="D353" s="978"/>
      <c r="E353" s="1727"/>
      <c r="F353" s="1727"/>
      <c r="G353" s="1727"/>
      <c r="H353" s="1727"/>
      <c r="I353" s="1727"/>
      <c r="J353" s="1727"/>
      <c r="K353" s="1727"/>
      <c r="L353" s="1727"/>
      <c r="M353" s="1727"/>
      <c r="N353" s="1734"/>
      <c r="O353" s="25"/>
      <c r="P353" s="955"/>
      <c r="R353" s="955"/>
      <c r="S353" s="955"/>
    </row>
    <row r="354" spans="2:27" ht="12.75" customHeight="1" thickBot="1" x14ac:dyDescent="0.25">
      <c r="B354" s="224"/>
      <c r="C354" s="977"/>
      <c r="D354" s="695" t="s">
        <v>2</v>
      </c>
      <c r="E354" s="1735" t="str">
        <f>Translations!$B$773</f>
        <v>Vai atlikumgāzes ir šai apakšiekārtai relevantas?</v>
      </c>
      <c r="F354" s="1735"/>
      <c r="G354" s="1735"/>
      <c r="H354" s="1735"/>
      <c r="I354" s="1735"/>
      <c r="J354" s="1735"/>
      <c r="K354" s="1736"/>
      <c r="L354" s="527"/>
      <c r="M354" s="1202"/>
      <c r="N354" s="1203"/>
      <c r="O354" s="25"/>
      <c r="P354" s="955"/>
      <c r="R354" s="955"/>
      <c r="W354" s="966" t="s">
        <v>398</v>
      </c>
      <c r="X354" s="964" t="b">
        <f>IF(AND(I246&lt;&gt;"",ISBLANK(L354)),EUconst_Error&amp;"BM"&amp;C246,FALSE)</f>
        <v>0</v>
      </c>
    </row>
    <row r="355" spans="2:27" ht="5.0999999999999996" customHeight="1" thickBot="1" x14ac:dyDescent="0.25">
      <c r="B355" s="224"/>
      <c r="C355" s="977"/>
      <c r="D355" s="978"/>
      <c r="E355" s="978"/>
      <c r="F355" s="978"/>
      <c r="G355" s="978"/>
      <c r="H355" s="978"/>
      <c r="I355" s="978"/>
      <c r="J355" s="978"/>
      <c r="K355" s="978"/>
      <c r="L355" s="978"/>
      <c r="M355" s="980"/>
      <c r="N355" s="661"/>
      <c r="O355" s="25"/>
      <c r="P355" s="955"/>
      <c r="R355" s="955"/>
    </row>
    <row r="356" spans="2:27" ht="12.75" customHeight="1" x14ac:dyDescent="0.2">
      <c r="B356" s="224"/>
      <c r="C356" s="977"/>
      <c r="D356" s="695" t="s">
        <v>3</v>
      </c>
      <c r="E356" s="1663" t="str">
        <f>Translations!$B$775</f>
        <v>Radušos atlikumgāzu veidi:</v>
      </c>
      <c r="F356" s="1663"/>
      <c r="G356" s="1663"/>
      <c r="H356" s="1663"/>
      <c r="I356" s="1664"/>
      <c r="J356" s="1665"/>
      <c r="K356" s="1665"/>
      <c r="L356" s="1665"/>
      <c r="M356" s="1666"/>
      <c r="N356" s="1203"/>
      <c r="O356" s="25"/>
      <c r="P356" s="955"/>
      <c r="R356" s="955"/>
      <c r="AA356" s="643" t="b">
        <f>IF(I246&lt;&gt;"",AND(L354&lt;&gt;"",L354=FALSE),FALSE)</f>
        <v>0</v>
      </c>
    </row>
    <row r="357" spans="2:27" ht="5.0999999999999996" customHeight="1" x14ac:dyDescent="0.2">
      <c r="B357" s="224"/>
      <c r="C357" s="977"/>
      <c r="D357" s="978"/>
      <c r="E357" s="978"/>
      <c r="F357" s="978"/>
      <c r="G357" s="978"/>
      <c r="H357" s="978"/>
      <c r="I357" s="978"/>
      <c r="J357" s="978"/>
      <c r="K357" s="978"/>
      <c r="L357" s="978"/>
      <c r="M357" s="980"/>
      <c r="N357" s="661"/>
      <c r="O357" s="25"/>
      <c r="P357" s="955"/>
      <c r="R357" s="955"/>
    </row>
    <row r="358" spans="2:27" ht="12.75" customHeight="1" x14ac:dyDescent="0.2">
      <c r="B358" s="224"/>
      <c r="C358" s="977"/>
      <c r="D358" s="978"/>
      <c r="E358" s="1653"/>
      <c r="F358" s="1657"/>
      <c r="G358" s="1657"/>
      <c r="H358" s="462" t="str">
        <f>EUconst_Unit</f>
        <v>Vienība</v>
      </c>
      <c r="I358" s="463">
        <f>I$1820</f>
        <v>2019</v>
      </c>
      <c r="J358" s="463">
        <f>J$1820</f>
        <v>2020</v>
      </c>
      <c r="K358" s="463">
        <f>K$1820</f>
        <v>2021</v>
      </c>
      <c r="L358" s="463">
        <f>L$1820</f>
        <v>2022</v>
      </c>
      <c r="M358" s="463">
        <f>M$1820</f>
        <v>2023</v>
      </c>
      <c r="N358" s="1205"/>
      <c r="O358" s="25"/>
      <c r="P358" s="955"/>
      <c r="R358" s="955"/>
      <c r="S358" s="955"/>
      <c r="AA358" s="607"/>
    </row>
    <row r="359" spans="2:27" ht="12.75" customHeight="1" x14ac:dyDescent="0.2">
      <c r="B359" s="224"/>
      <c r="C359" s="977"/>
      <c r="D359" s="695" t="s">
        <v>4</v>
      </c>
      <c r="E359" s="1667" t="str">
        <f>Translations!$B$777</f>
        <v>Radušies daudzumi</v>
      </c>
      <c r="F359" s="1660"/>
      <c r="G359" s="1660"/>
      <c r="H359" s="245" t="s">
        <v>249</v>
      </c>
      <c r="I359" s="484"/>
      <c r="J359" s="484"/>
      <c r="K359" s="484"/>
      <c r="L359" s="484"/>
      <c r="M359" s="484"/>
      <c r="N359" s="1205"/>
      <c r="O359" s="25"/>
      <c r="P359" s="955"/>
      <c r="R359" s="955"/>
      <c r="S359" s="955"/>
      <c r="AA359" s="361" t="b">
        <f>AA356</f>
        <v>0</v>
      </c>
    </row>
    <row r="360" spans="2:27" ht="12.75" customHeight="1" x14ac:dyDescent="0.2">
      <c r="B360" s="224"/>
      <c r="C360" s="977"/>
      <c r="D360" s="695" t="s">
        <v>6</v>
      </c>
      <c r="E360" s="1737" t="str">
        <f>Translations!$B$470</f>
        <v>Zemākā siltumspēja</v>
      </c>
      <c r="F360" s="1659"/>
      <c r="G360" s="1659"/>
      <c r="H360" s="74" t="e">
        <f>IF(ISBLANK(H359),EUconst_GJperUnit,INDEX(EUconst_GJperTorKNm3,MATCH(H359,EUconst_TonnesOrkNm3pa,0)))</f>
        <v>#N/A</v>
      </c>
      <c r="I360" s="458"/>
      <c r="J360" s="458"/>
      <c r="K360" s="458"/>
      <c r="L360" s="458"/>
      <c r="M360" s="458"/>
      <c r="N360" s="1205"/>
      <c r="O360" s="25"/>
      <c r="R360" s="955"/>
      <c r="S360" s="955"/>
      <c r="T360" s="955"/>
      <c r="U360" s="955"/>
      <c r="V360" s="955"/>
      <c r="W360" s="955"/>
      <c r="AA360" s="361" t="b">
        <f>AA359</f>
        <v>0</v>
      </c>
    </row>
    <row r="361" spans="2:27" ht="12.75" customHeight="1" x14ac:dyDescent="0.2">
      <c r="B361" s="224"/>
      <c r="C361" s="977"/>
      <c r="D361" s="695" t="s">
        <v>303</v>
      </c>
      <c r="E361" s="1651" t="str">
        <f>Translations!$B$778</f>
        <v>Radusies atlikumgāze</v>
      </c>
      <c r="F361" s="1652"/>
      <c r="G361" s="1652"/>
      <c r="H361" s="465" t="str">
        <f>EUconst_TJpa</f>
        <v>TJ / gads</v>
      </c>
      <c r="I361" s="523" t="str">
        <f>IF(COUNT(I359:I360)=2,I359*I360/1000,"")</f>
        <v/>
      </c>
      <c r="J361" s="523" t="str">
        <f>IF(COUNT(J359:J360)=2,J359*J360/1000,"")</f>
        <v/>
      </c>
      <c r="K361" s="523" t="str">
        <f>IF(COUNT(K359:K360)=2,K359*K360/1000,"")</f>
        <v/>
      </c>
      <c r="L361" s="523" t="str">
        <f>IF(COUNT(L359:L360)=2,L359*L360/1000,"")</f>
        <v/>
      </c>
      <c r="M361" s="523" t="str">
        <f>IF(COUNT(M359:M360)=2,M359*M360/1000,"")</f>
        <v/>
      </c>
      <c r="N361" s="1205"/>
      <c r="O361" s="25"/>
      <c r="P361" s="979" t="str">
        <f>EUconst_CNTR_WGProduced &amp; I246</f>
        <v>WasteGasProd_</v>
      </c>
      <c r="R361" s="955"/>
      <c r="S361" s="955"/>
      <c r="T361" s="955"/>
      <c r="U361" s="955"/>
      <c r="V361" s="955"/>
      <c r="W361" s="955"/>
      <c r="AA361" s="607"/>
    </row>
    <row r="362" spans="2:27" ht="12.75" customHeight="1" x14ac:dyDescent="0.2">
      <c r="B362" s="224"/>
      <c r="C362" s="977"/>
      <c r="D362" s="695" t="s">
        <v>304</v>
      </c>
      <c r="E362" s="1651" t="str">
        <f>Translations!$B$779</f>
        <v>Īpatnējais EF (radusies atlikumgāze)</v>
      </c>
      <c r="F362" s="1652"/>
      <c r="G362" s="1652"/>
      <c r="H362" s="465" t="str">
        <f>EUconst_tCO2pTJ</f>
        <v>t CO2 / TJ</v>
      </c>
      <c r="I362" s="483"/>
      <c r="J362" s="483"/>
      <c r="K362" s="483"/>
      <c r="L362" s="483"/>
      <c r="M362" s="483"/>
      <c r="N362" s="661"/>
      <c r="O362" s="25"/>
      <c r="P362" s="979" t="str">
        <f>EUconst_CNTR_WGProducedEF &amp; I246</f>
        <v>WasteGasProdEF_</v>
      </c>
      <c r="R362" s="955"/>
      <c r="S362" s="955"/>
      <c r="T362" s="955"/>
      <c r="U362" s="955"/>
      <c r="V362" s="955"/>
      <c r="W362" s="955"/>
      <c r="AA362" s="361" t="b">
        <f>AA360</f>
        <v>0</v>
      </c>
    </row>
    <row r="363" spans="2:27" ht="5.0999999999999996" customHeight="1" x14ac:dyDescent="0.2">
      <c r="B363" s="224"/>
      <c r="C363" s="977"/>
      <c r="D363" s="978"/>
      <c r="E363" s="978"/>
      <c r="F363" s="978"/>
      <c r="G363" s="978"/>
      <c r="H363" s="978"/>
      <c r="I363" s="978"/>
      <c r="J363" s="978"/>
      <c r="K363" s="978"/>
      <c r="L363" s="978"/>
      <c r="M363" s="980"/>
      <c r="N363" s="661"/>
      <c r="O363" s="25"/>
      <c r="P363" s="955"/>
      <c r="R363" s="955"/>
      <c r="S363" s="955"/>
      <c r="T363" s="955"/>
      <c r="U363" s="955"/>
      <c r="V363" s="955"/>
      <c r="W363" s="955"/>
      <c r="AA363" s="607"/>
    </row>
    <row r="364" spans="2:27" ht="12.75" customHeight="1" x14ac:dyDescent="0.2">
      <c r="B364" s="224"/>
      <c r="C364" s="977"/>
      <c r="D364" s="695" t="s">
        <v>305</v>
      </c>
      <c r="E364" s="1663" t="str">
        <f>Translations!$B$780</f>
        <v>Patērēto atlikumgāzu veidi:</v>
      </c>
      <c r="F364" s="1663"/>
      <c r="G364" s="1663"/>
      <c r="H364" s="1663"/>
      <c r="I364" s="1664"/>
      <c r="J364" s="1665"/>
      <c r="K364" s="1665"/>
      <c r="L364" s="1665"/>
      <c r="M364" s="1666"/>
      <c r="N364" s="1203"/>
      <c r="O364" s="25"/>
      <c r="P364" s="955"/>
      <c r="R364" s="955"/>
      <c r="S364" s="955"/>
      <c r="T364" s="955"/>
      <c r="U364" s="955"/>
      <c r="V364" s="955"/>
      <c r="W364" s="955"/>
      <c r="AA364" s="361" t="b">
        <f>AA362</f>
        <v>0</v>
      </c>
    </row>
    <row r="365" spans="2:27" ht="5.0999999999999996" customHeight="1" x14ac:dyDescent="0.2">
      <c r="B365" s="224"/>
      <c r="C365" s="977"/>
      <c r="D365" s="978"/>
      <c r="E365" s="978"/>
      <c r="F365" s="978"/>
      <c r="G365" s="978"/>
      <c r="H365" s="978"/>
      <c r="I365" s="978"/>
      <c r="J365" s="978"/>
      <c r="K365" s="978"/>
      <c r="L365" s="978"/>
      <c r="M365" s="980"/>
      <c r="N365" s="661"/>
      <c r="O365" s="25"/>
      <c r="P365" s="955"/>
      <c r="R365" s="955"/>
    </row>
    <row r="366" spans="2:27" ht="12.75" customHeight="1" x14ac:dyDescent="0.2">
      <c r="B366" s="224"/>
      <c r="C366" s="977"/>
      <c r="D366" s="978"/>
      <c r="E366" s="1653"/>
      <c r="F366" s="1657"/>
      <c r="G366" s="1657"/>
      <c r="H366" s="462" t="str">
        <f>EUconst_Unit</f>
        <v>Vienība</v>
      </c>
      <c r="I366" s="463">
        <f>I$1820</f>
        <v>2019</v>
      </c>
      <c r="J366" s="463">
        <f>J$1820</f>
        <v>2020</v>
      </c>
      <c r="K366" s="463">
        <f>K$1820</f>
        <v>2021</v>
      </c>
      <c r="L366" s="463">
        <f>L$1820</f>
        <v>2022</v>
      </c>
      <c r="M366" s="463">
        <f>M$1820</f>
        <v>2023</v>
      </c>
      <c r="N366" s="1205"/>
      <c r="O366" s="25"/>
      <c r="P366" s="955"/>
      <c r="R366" s="955"/>
      <c r="S366" s="955"/>
      <c r="T366" s="955"/>
      <c r="U366" s="955"/>
      <c r="V366" s="955"/>
      <c r="W366" s="955"/>
      <c r="AA366" s="607"/>
    </row>
    <row r="367" spans="2:27" ht="12.75" customHeight="1" x14ac:dyDescent="0.2">
      <c r="B367" s="224"/>
      <c r="C367" s="977"/>
      <c r="D367" s="695" t="s">
        <v>306</v>
      </c>
      <c r="E367" s="1667" t="str">
        <f>Translations!$B$782</f>
        <v>Patērētie daudzumi</v>
      </c>
      <c r="F367" s="1660"/>
      <c r="G367" s="1660"/>
      <c r="H367" s="245" t="s">
        <v>249</v>
      </c>
      <c r="I367" s="484"/>
      <c r="J367" s="484"/>
      <c r="K367" s="484"/>
      <c r="L367" s="484"/>
      <c r="M367" s="484"/>
      <c r="N367" s="1205"/>
      <c r="O367" s="25"/>
      <c r="P367" s="955"/>
      <c r="R367" s="955"/>
      <c r="S367" s="955"/>
      <c r="T367" s="955"/>
      <c r="U367" s="955"/>
      <c r="V367" s="955"/>
      <c r="W367" s="955"/>
      <c r="AA367" s="361" t="b">
        <f>AA364</f>
        <v>0</v>
      </c>
    </row>
    <row r="368" spans="2:27" ht="12.75" customHeight="1" x14ac:dyDescent="0.2">
      <c r="B368" s="224"/>
      <c r="C368" s="977"/>
      <c r="D368" s="695" t="s">
        <v>307</v>
      </c>
      <c r="E368" s="1737" t="str">
        <f>Translations!$B$470</f>
        <v>Zemākā siltumspēja</v>
      </c>
      <c r="F368" s="1659"/>
      <c r="G368" s="1659"/>
      <c r="H368" s="74" t="e">
        <f>IF(ISBLANK(H367),EUconst_GJperUnit,INDEX(EUconst_GJperTorKNm3,MATCH(H367,EUconst_TonnesOrkNm3pa,0)))</f>
        <v>#N/A</v>
      </c>
      <c r="I368" s="458"/>
      <c r="J368" s="458"/>
      <c r="K368" s="458"/>
      <c r="L368" s="458"/>
      <c r="M368" s="458"/>
      <c r="N368" s="1205"/>
      <c r="O368" s="25"/>
      <c r="R368" s="955"/>
      <c r="S368" s="955"/>
      <c r="T368" s="955"/>
      <c r="U368" s="955"/>
      <c r="V368" s="955"/>
      <c r="W368" s="955"/>
      <c r="AA368" s="361" t="b">
        <f>AA367</f>
        <v>0</v>
      </c>
    </row>
    <row r="369" spans="2:27" ht="12.75" customHeight="1" x14ac:dyDescent="0.2">
      <c r="B369" s="224"/>
      <c r="C369" s="977"/>
      <c r="D369" s="695" t="s">
        <v>15</v>
      </c>
      <c r="E369" s="1651" t="str">
        <f>Translations!$B$783</f>
        <v>Patērētā atlikumgāze</v>
      </c>
      <c r="F369" s="1652"/>
      <c r="G369" s="1652"/>
      <c r="H369" s="465" t="str">
        <f>EUconst_TJpa</f>
        <v>TJ / gads</v>
      </c>
      <c r="I369" s="523" t="str">
        <f>IF(COUNT(I367:I368)=2,I367*I368/1000,"")</f>
        <v/>
      </c>
      <c r="J369" s="523" t="str">
        <f>IF(COUNT(J367:J368)=2,J367*J368/1000,"")</f>
        <v/>
      </c>
      <c r="K369" s="523" t="str">
        <f>IF(COUNT(K367:K368)=2,K367*K368/1000,"")</f>
        <v/>
      </c>
      <c r="L369" s="523" t="str">
        <f>IF(COUNT(L367:L368)=2,L367*L368/1000,"")</f>
        <v/>
      </c>
      <c r="M369" s="523" t="str">
        <f>IF(COUNT(M367:M368)=2,M367*M368/1000,"")</f>
        <v/>
      </c>
      <c r="N369" s="1205"/>
      <c r="O369" s="25"/>
      <c r="P369" s="979" t="str">
        <f>EUconst_CNTR_WGConsumed &amp; I246</f>
        <v>WasteGasCons_</v>
      </c>
      <c r="R369" s="955"/>
      <c r="S369" s="955"/>
      <c r="T369" s="955"/>
      <c r="U369" s="955"/>
      <c r="V369" s="955"/>
      <c r="W369" s="955"/>
      <c r="AA369" s="607"/>
    </row>
    <row r="370" spans="2:27" ht="12.75" customHeight="1" x14ac:dyDescent="0.2">
      <c r="B370" s="224"/>
      <c r="C370" s="977"/>
      <c r="D370" s="695" t="s">
        <v>16</v>
      </c>
      <c r="E370" s="1651" t="str">
        <f>Translations!$B$784</f>
        <v>Īpatnējais EF (patērētā atlikumgāze)</v>
      </c>
      <c r="F370" s="1652"/>
      <c r="G370" s="1652"/>
      <c r="H370" s="465" t="str">
        <f>EUconst_tCO2pTJ</f>
        <v>t CO2 / TJ</v>
      </c>
      <c r="I370" s="483"/>
      <c r="J370" s="483"/>
      <c r="K370" s="483"/>
      <c r="L370" s="483"/>
      <c r="M370" s="483"/>
      <c r="N370" s="661"/>
      <c r="O370" s="25"/>
      <c r="P370" s="979" t="str">
        <f>EUconst_CNTR_WGConsumedEF &amp; I246</f>
        <v>WasteGasConsEF_</v>
      </c>
      <c r="R370" s="955"/>
      <c r="S370" s="955"/>
      <c r="T370" s="955"/>
      <c r="U370" s="955"/>
      <c r="V370" s="955"/>
      <c r="W370" s="955"/>
      <c r="AA370" s="361" t="b">
        <f>AA368</f>
        <v>0</v>
      </c>
    </row>
    <row r="371" spans="2:27" ht="5.0999999999999996" customHeight="1" x14ac:dyDescent="0.2">
      <c r="B371" s="224"/>
      <c r="C371" s="977"/>
      <c r="D371" s="978"/>
      <c r="E371" s="978"/>
      <c r="F371" s="978"/>
      <c r="G371" s="978"/>
      <c r="H371" s="978"/>
      <c r="I371" s="978"/>
      <c r="J371" s="978"/>
      <c r="K371" s="978"/>
      <c r="L371" s="978"/>
      <c r="M371" s="980"/>
      <c r="N371" s="661"/>
      <c r="O371" s="25"/>
      <c r="P371" s="955"/>
      <c r="R371" s="955"/>
      <c r="S371" s="955"/>
      <c r="AA371" s="607"/>
    </row>
    <row r="372" spans="2:27" ht="12.75" customHeight="1" x14ac:dyDescent="0.2">
      <c r="B372" s="224"/>
      <c r="C372" s="977"/>
      <c r="D372" s="695" t="s">
        <v>17</v>
      </c>
      <c r="E372" s="1663" t="str">
        <f>Translations!$B$785</f>
        <v>Lāpā sadedzināto atlikumgāzu veidi:</v>
      </c>
      <c r="F372" s="1663"/>
      <c r="G372" s="1663"/>
      <c r="H372" s="1663"/>
      <c r="I372" s="1664"/>
      <c r="J372" s="1665"/>
      <c r="K372" s="1665"/>
      <c r="L372" s="1665"/>
      <c r="M372" s="1666"/>
      <c r="N372" s="1203"/>
      <c r="O372" s="25"/>
      <c r="P372" s="955"/>
      <c r="R372" s="955"/>
      <c r="AA372" s="361" t="b">
        <f>AA362</f>
        <v>0</v>
      </c>
    </row>
    <row r="373" spans="2:27" ht="5.0999999999999996" customHeight="1" x14ac:dyDescent="0.2">
      <c r="B373" s="224"/>
      <c r="C373" s="977"/>
      <c r="D373" s="978"/>
      <c r="E373" s="978"/>
      <c r="F373" s="978"/>
      <c r="G373" s="978"/>
      <c r="H373" s="978"/>
      <c r="I373" s="978"/>
      <c r="J373" s="978"/>
      <c r="K373" s="978"/>
      <c r="L373" s="978"/>
      <c r="M373" s="980"/>
      <c r="N373" s="661"/>
      <c r="O373" s="25"/>
      <c r="P373" s="955"/>
      <c r="R373" s="955"/>
    </row>
    <row r="374" spans="2:27" ht="12.75" customHeight="1" x14ac:dyDescent="0.2">
      <c r="B374" s="224"/>
      <c r="C374" s="977"/>
      <c r="D374" s="978"/>
      <c r="E374" s="1653"/>
      <c r="F374" s="1657"/>
      <c r="G374" s="1657"/>
      <c r="H374" s="462" t="str">
        <f>EUconst_Unit</f>
        <v>Vienība</v>
      </c>
      <c r="I374" s="463">
        <f>I$1820</f>
        <v>2019</v>
      </c>
      <c r="J374" s="463">
        <f>J$1820</f>
        <v>2020</v>
      </c>
      <c r="K374" s="463">
        <f>K$1820</f>
        <v>2021</v>
      </c>
      <c r="L374" s="463">
        <f>L$1820</f>
        <v>2022</v>
      </c>
      <c r="M374" s="463">
        <f>M$1820</f>
        <v>2023</v>
      </c>
      <c r="N374" s="1205"/>
      <c r="O374" s="25"/>
      <c r="P374" s="955"/>
      <c r="AA374" s="607"/>
    </row>
    <row r="375" spans="2:27" ht="12.75" customHeight="1" thickBot="1" x14ac:dyDescent="0.25">
      <c r="B375" s="224"/>
      <c r="C375" s="977"/>
      <c r="D375" s="695" t="s">
        <v>438</v>
      </c>
      <c r="E375" s="1667" t="str">
        <f>Translations!$B$789</f>
        <v>Lāpā sadedzinātie daudzumi</v>
      </c>
      <c r="F375" s="1660"/>
      <c r="G375" s="1660"/>
      <c r="H375" s="245" t="s">
        <v>249</v>
      </c>
      <c r="I375" s="484"/>
      <c r="J375" s="484"/>
      <c r="K375" s="484"/>
      <c r="L375" s="484"/>
      <c r="M375" s="484"/>
      <c r="N375" s="1205"/>
      <c r="O375" s="25"/>
      <c r="P375" s="955"/>
      <c r="R375" s="955" t="s">
        <v>525</v>
      </c>
      <c r="AA375" s="361" t="b">
        <f>AA372</f>
        <v>0</v>
      </c>
    </row>
    <row r="376" spans="2:27" ht="12.75" customHeight="1" thickBot="1" x14ac:dyDescent="0.25">
      <c r="B376" s="224"/>
      <c r="C376" s="977"/>
      <c r="D376" s="695" t="s">
        <v>439</v>
      </c>
      <c r="E376" s="1737" t="str">
        <f>Translations!$B$470</f>
        <v>Zemākā siltumspēja</v>
      </c>
      <c r="F376" s="1659"/>
      <c r="G376" s="1659"/>
      <c r="H376" s="74" t="e">
        <f>IF(ISBLANK(H375),EUconst_GJperUnit,INDEX(EUconst_GJperTorKNm3,MATCH(H375,EUconst_TonnesOrkNm3pa,0)))</f>
        <v>#N/A</v>
      </c>
      <c r="I376" s="458"/>
      <c r="J376" s="458"/>
      <c r="K376" s="458"/>
      <c r="L376" s="458"/>
      <c r="M376" s="458"/>
      <c r="N376" s="1205"/>
      <c r="O376" s="25"/>
      <c r="R376" s="708" t="s">
        <v>421</v>
      </c>
      <c r="S376" s="705">
        <f>I374</f>
        <v>2019</v>
      </c>
      <c r="T376" s="706">
        <f>J374</f>
        <v>2020</v>
      </c>
      <c r="U376" s="706">
        <f>K374</f>
        <v>2021</v>
      </c>
      <c r="V376" s="706">
        <f>L374</f>
        <v>2022</v>
      </c>
      <c r="W376" s="707">
        <f>M374</f>
        <v>2023</v>
      </c>
      <c r="AA376" s="361" t="b">
        <f>AA375</f>
        <v>0</v>
      </c>
    </row>
    <row r="377" spans="2:27" ht="12.75" customHeight="1" thickBot="1" x14ac:dyDescent="0.25">
      <c r="B377" s="224"/>
      <c r="C377" s="977"/>
      <c r="D377" s="695" t="s">
        <v>440</v>
      </c>
      <c r="E377" s="1651" t="str">
        <f>Translations!$B$790</f>
        <v>Lāpā sadedzinātā atlikumgāze</v>
      </c>
      <c r="F377" s="1652"/>
      <c r="G377" s="1652"/>
      <c r="H377" s="465" t="str">
        <f>EUconst_TJpa</f>
        <v>TJ / gads</v>
      </c>
      <c r="I377" s="523" t="str">
        <f>IF(COUNT(I375:I376)=2,I375*I376/1000,"")</f>
        <v/>
      </c>
      <c r="J377" s="523" t="str">
        <f>IF(COUNT(J375:J376)=2,J375*J376/1000,"")</f>
        <v/>
      </c>
      <c r="K377" s="523" t="str">
        <f>IF(COUNT(K375:K376)=2,K375*K376/1000,"")</f>
        <v/>
      </c>
      <c r="L377" s="523" t="str">
        <f>IF(COUNT(L375:L376)=2,L375*L376/1000,"")</f>
        <v/>
      </c>
      <c r="M377" s="523" t="str">
        <f>IF(COUNT(M375:M376)=2,M375*M376/1000,"")</f>
        <v/>
      </c>
      <c r="N377" s="1205"/>
      <c r="O377" s="25"/>
      <c r="P377" s="979" t="str">
        <f>EUconst_CNTR_WGFlared &amp; I246</f>
        <v>WasteGasFlare_</v>
      </c>
      <c r="R377" s="363" t="str">
        <f>IF(COUNT(S377:W377)&gt;0,AVERAGE(S377:W377),"")</f>
        <v/>
      </c>
      <c r="S377" s="454" t="str">
        <f>IF(S246,IF(ISNUMBER(I377),I377,0),"")</f>
        <v/>
      </c>
      <c r="T377" s="455" t="str">
        <f>IF(T246,IF(ISNUMBER(J377),J377,0),"")</f>
        <v/>
      </c>
      <c r="U377" s="455" t="str">
        <f>IF(U246,IF(ISNUMBER(K377),K377,0),"")</f>
        <v/>
      </c>
      <c r="V377" s="455" t="str">
        <f>IF(V246,IF(ISNUMBER(L377),L377,0),"")</f>
        <v/>
      </c>
      <c r="W377" s="456" t="str">
        <f>IF(W246,IF(ISNUMBER(M377),M377,0),"")</f>
        <v/>
      </c>
      <c r="AA377" s="607"/>
    </row>
    <row r="378" spans="2:27" ht="12.75" customHeight="1" thickBot="1" x14ac:dyDescent="0.25">
      <c r="B378" s="224"/>
      <c r="C378" s="977"/>
      <c r="D378" s="695" t="s">
        <v>441</v>
      </c>
      <c r="E378" s="1651" t="str">
        <f>Translations!$B$791</f>
        <v>Īpatnējais EF (lāpā sadedzinātā atlikumgāze)</v>
      </c>
      <c r="F378" s="1652"/>
      <c r="G378" s="1652"/>
      <c r="H378" s="465" t="str">
        <f>EUconst_tCO2pTJ</f>
        <v>t CO2 / TJ</v>
      </c>
      <c r="I378" s="483"/>
      <c r="J378" s="483"/>
      <c r="K378" s="483"/>
      <c r="L378" s="483"/>
      <c r="M378" s="483"/>
      <c r="N378" s="661"/>
      <c r="O378" s="25"/>
      <c r="P378" s="979" t="str">
        <f>EUconst_CNTR_WGFlaredEF &amp; I246</f>
        <v>WasteGasFlareEF_</v>
      </c>
      <c r="R378" s="843" t="str">
        <f>IF(COUNT(S378:W378)&gt;0,AVERAGE(S378:W378),"")</f>
        <v/>
      </c>
      <c r="S378" s="454" t="str">
        <f>IF(S246,SUM(I377)*SUM(I378),"")</f>
        <v/>
      </c>
      <c r="T378" s="455" t="str">
        <f>IF(T246,SUM(J377)*SUM(J378),"")</f>
        <v/>
      </c>
      <c r="U378" s="455" t="str">
        <f>IF(U246,SUM(K377)*SUM(K378),"")</f>
        <v/>
      </c>
      <c r="V378" s="455" t="str">
        <f>IF(V246,SUM(L377)*SUM(L378),"")</f>
        <v/>
      </c>
      <c r="W378" s="456" t="str">
        <f>IF(W246,SUM(M377)*SUM(M378),"")</f>
        <v/>
      </c>
      <c r="AA378" s="361" t="b">
        <f>AA376</f>
        <v>0</v>
      </c>
    </row>
    <row r="379" spans="2:27" ht="5.0999999999999996" customHeight="1" x14ac:dyDescent="0.2">
      <c r="B379" s="224"/>
      <c r="C379" s="977"/>
      <c r="D379" s="978"/>
      <c r="E379" s="978"/>
      <c r="F379" s="978"/>
      <c r="G379" s="978"/>
      <c r="H379" s="978"/>
      <c r="I379" s="978"/>
      <c r="J379" s="978"/>
      <c r="K379" s="978"/>
      <c r="L379" s="978"/>
      <c r="M379" s="980"/>
      <c r="N379" s="661"/>
      <c r="O379" s="25"/>
      <c r="P379" s="955"/>
      <c r="R379" s="955"/>
      <c r="S379" s="955"/>
      <c r="AA379" s="607"/>
    </row>
    <row r="380" spans="2:27" ht="12.75" customHeight="1" x14ac:dyDescent="0.2">
      <c r="B380" s="224"/>
      <c r="C380" s="977"/>
      <c r="D380" s="695" t="s">
        <v>442</v>
      </c>
      <c r="E380" s="1663" t="str">
        <f>Translations!$B$792</f>
        <v>Importēto atlikumgāzu veidi:</v>
      </c>
      <c r="F380" s="1663"/>
      <c r="G380" s="1663"/>
      <c r="H380" s="1663"/>
      <c r="I380" s="1664"/>
      <c r="J380" s="1665"/>
      <c r="K380" s="1665"/>
      <c r="L380" s="1665"/>
      <c r="M380" s="1666"/>
      <c r="N380" s="661"/>
      <c r="O380" s="25"/>
      <c r="P380" s="955"/>
      <c r="R380" s="955"/>
      <c r="AA380" s="361" t="b">
        <f>AA360</f>
        <v>0</v>
      </c>
    </row>
    <row r="381" spans="2:27" ht="5.0999999999999996" customHeight="1" x14ac:dyDescent="0.2">
      <c r="B381" s="224"/>
      <c r="C381" s="977"/>
      <c r="D381" s="978"/>
      <c r="E381" s="978"/>
      <c r="F381" s="978"/>
      <c r="G381" s="978"/>
      <c r="H381" s="978"/>
      <c r="I381" s="978"/>
      <c r="J381" s="978"/>
      <c r="K381" s="978"/>
      <c r="L381" s="978"/>
      <c r="M381" s="980"/>
      <c r="N381" s="661"/>
      <c r="O381" s="25"/>
      <c r="P381" s="955"/>
      <c r="R381" s="955"/>
    </row>
    <row r="382" spans="2:27" ht="12.75" customHeight="1" x14ac:dyDescent="0.2">
      <c r="B382" s="224"/>
      <c r="C382" s="977"/>
      <c r="D382" s="978"/>
      <c r="E382" s="1653"/>
      <c r="F382" s="1657"/>
      <c r="G382" s="1657"/>
      <c r="H382" s="462" t="str">
        <f>EUconst_Unit</f>
        <v>Vienība</v>
      </c>
      <c r="I382" s="463">
        <f>I$1820</f>
        <v>2019</v>
      </c>
      <c r="J382" s="463">
        <f>J$1820</f>
        <v>2020</v>
      </c>
      <c r="K382" s="463">
        <f>K$1820</f>
        <v>2021</v>
      </c>
      <c r="L382" s="463">
        <f>L$1820</f>
        <v>2022</v>
      </c>
      <c r="M382" s="463">
        <f>M$1820</f>
        <v>2023</v>
      </c>
      <c r="N382" s="1205"/>
      <c r="O382" s="25"/>
      <c r="P382" s="955"/>
      <c r="R382" s="955"/>
      <c r="S382" s="955"/>
      <c r="AA382" s="607"/>
    </row>
    <row r="383" spans="2:27" ht="12.75" customHeight="1" thickBot="1" x14ac:dyDescent="0.25">
      <c r="B383" s="224"/>
      <c r="C383" s="977"/>
      <c r="D383" s="695" t="s">
        <v>443</v>
      </c>
      <c r="E383" s="1667" t="str">
        <f>Translations!$B$795</f>
        <v>Importētie daudzumi</v>
      </c>
      <c r="F383" s="1660"/>
      <c r="G383" s="1660"/>
      <c r="H383" s="245" t="s">
        <v>249</v>
      </c>
      <c r="I383" s="484"/>
      <c r="J383" s="484"/>
      <c r="K383" s="484"/>
      <c r="L383" s="484"/>
      <c r="M383" s="484"/>
      <c r="N383" s="1205"/>
      <c r="O383" s="25"/>
      <c r="P383" s="955"/>
      <c r="R383" s="955"/>
      <c r="S383" s="955"/>
      <c r="AA383" s="361" t="b">
        <f>AA380</f>
        <v>0</v>
      </c>
    </row>
    <row r="384" spans="2:27" ht="12.75" customHeight="1" x14ac:dyDescent="0.2">
      <c r="B384" s="224"/>
      <c r="C384" s="977"/>
      <c r="D384" s="695" t="s">
        <v>444</v>
      </c>
      <c r="E384" s="1737" t="str">
        <f>Translations!$B$470</f>
        <v>Zemākā siltumspēja</v>
      </c>
      <c r="F384" s="1659"/>
      <c r="G384" s="1659"/>
      <c r="H384" s="74" t="e">
        <f>IF(ISBLANK(H383),EUconst_GJperUnit,INDEX(EUconst_GJperTorKNm3,MATCH(H383,EUconst_TonnesOrkNm3pa,0)))</f>
        <v>#N/A</v>
      </c>
      <c r="I384" s="458"/>
      <c r="J384" s="458"/>
      <c r="K384" s="458"/>
      <c r="L384" s="458"/>
      <c r="M384" s="458"/>
      <c r="N384" s="1205"/>
      <c r="O384" s="25"/>
      <c r="P384" s="982"/>
      <c r="R384" s="970"/>
      <c r="S384" s="809">
        <f>I382</f>
        <v>2019</v>
      </c>
      <c r="T384" s="809">
        <f>J382</f>
        <v>2020</v>
      </c>
      <c r="U384" s="809">
        <f>K382</f>
        <v>2021</v>
      </c>
      <c r="V384" s="809">
        <f>L382</f>
        <v>2022</v>
      </c>
      <c r="W384" s="810">
        <f>M382</f>
        <v>2023</v>
      </c>
      <c r="AA384" s="361" t="b">
        <f>AA383</f>
        <v>0</v>
      </c>
    </row>
    <row r="385" spans="1:27" ht="12.75" customHeight="1" x14ac:dyDescent="0.2">
      <c r="B385" s="224"/>
      <c r="C385" s="977"/>
      <c r="D385" s="695" t="s">
        <v>445</v>
      </c>
      <c r="E385" s="1651" t="str">
        <f>Translations!$B$796</f>
        <v>Importētā atlikumgāze</v>
      </c>
      <c r="F385" s="1652"/>
      <c r="G385" s="1652"/>
      <c r="H385" s="465" t="str">
        <f>EUconst_TJpa</f>
        <v>TJ / gads</v>
      </c>
      <c r="I385" s="448" t="str">
        <f>IF(COUNT(I383:I384)=2,I383*I384/1000,"")</f>
        <v/>
      </c>
      <c r="J385" s="448" t="str">
        <f>IF(COUNT(J383:J384)=2,J383*J384/1000,"")</f>
        <v/>
      </c>
      <c r="K385" s="448" t="str">
        <f>IF(COUNT(K383:K384)=2,K383*K384/1000,"")</f>
        <v/>
      </c>
      <c r="L385" s="448" t="str">
        <f>IF(COUNT(L383:L384)=2,L383*L384/1000,"")</f>
        <v/>
      </c>
      <c r="M385" s="448" t="str">
        <f>IF(COUNT(M383:M384)=2,M383*M384/1000,"")</f>
        <v/>
      </c>
      <c r="N385" s="1205"/>
      <c r="O385" s="25"/>
      <c r="P385" s="979" t="str">
        <f>EUconst_CNTR_WGImport &amp; I246</f>
        <v>WasteGasIm_</v>
      </c>
      <c r="R385" s="981" t="str">
        <f>EUconst_ERR_AttrEmBMapplied &amp; I246</f>
        <v>ERR_AttrEmBM_ </v>
      </c>
      <c r="S385" s="134">
        <f>IF(AND(I385&lt;&gt;"",EUconst_StatusOfDataCollection=""),1,0)</f>
        <v>0</v>
      </c>
      <c r="T385" s="134">
        <f>IF(AND(J385&lt;&gt;"",EUconst_StatusOfDataCollection=""),1,0)</f>
        <v>0</v>
      </c>
      <c r="U385" s="134">
        <f>IF(AND(K385&lt;&gt;"",EUconst_StatusOfDataCollection=""),1,0)</f>
        <v>0</v>
      </c>
      <c r="V385" s="134">
        <f>IF(AND(L385&lt;&gt;"",EUconst_StatusOfDataCollection=""),1,0)</f>
        <v>0</v>
      </c>
      <c r="W385" s="135">
        <f>IF(AND(M385&lt;&gt;"",EUconst_StatusOfDataCollection=""),1,0)</f>
        <v>0</v>
      </c>
      <c r="AA385" s="607"/>
    </row>
    <row r="386" spans="1:27" s="697" customFormat="1" ht="12.75" customHeight="1" thickBot="1" x14ac:dyDescent="0.25">
      <c r="A386" s="437"/>
      <c r="B386" s="224"/>
      <c r="C386" s="977"/>
      <c r="D386" s="695" t="s">
        <v>446</v>
      </c>
      <c r="E386" s="1651" t="str">
        <f>Translations!$B$797</f>
        <v>Īpatnējais EF (importētā atlikumgāze)</v>
      </c>
      <c r="F386" s="1651"/>
      <c r="G386" s="1651"/>
      <c r="H386" s="464" t="str">
        <f>EUconst_tCO2pTJ</f>
        <v>t CO2 / TJ</v>
      </c>
      <c r="I386" s="761"/>
      <c r="J386" s="761"/>
      <c r="K386" s="761"/>
      <c r="L386" s="761"/>
      <c r="M386" s="761"/>
      <c r="N386" s="661"/>
      <c r="O386" s="25"/>
      <c r="P386" s="979" t="str">
        <f>EUconst_CNTR_WGImportEF &amp; I246</f>
        <v>WasteGasImEF_</v>
      </c>
      <c r="Q386" s="437"/>
      <c r="R386" s="971" t="str">
        <f>EUconst_CNTR_AttributedEmissions &amp; I246</f>
        <v>AttrEmissions_</v>
      </c>
      <c r="S386" s="137" t="str">
        <f>IF(S246,SUM(I385)*EUconst_FuelBMvalueForBM,"")</f>
        <v/>
      </c>
      <c r="T386" s="137" t="str">
        <f>IF(T246,SUM(J385)*EUconst_FuelBMvalueForBM,"")</f>
        <v/>
      </c>
      <c r="U386" s="137" t="str">
        <f>IF(U246,SUM(K385)*EUconst_FuelBMvalueForBM,"")</f>
        <v/>
      </c>
      <c r="V386" s="137" t="str">
        <f>IF(V246,SUM(L385)*EUconst_FuelBMvalueForBM,"")</f>
        <v/>
      </c>
      <c r="W386" s="138" t="str">
        <f>IF(W246,SUM(M385)*EUconst_FuelBMvalueForBM,"")</f>
        <v/>
      </c>
      <c r="X386" s="437"/>
      <c r="Y386" s="437"/>
      <c r="Z386" s="437"/>
      <c r="AA386" s="361" t="b">
        <f>AA384</f>
        <v>0</v>
      </c>
    </row>
    <row r="387" spans="1:27" ht="5.0999999999999996" customHeight="1" x14ac:dyDescent="0.2">
      <c r="B387" s="224"/>
      <c r="C387" s="977"/>
      <c r="D387" s="978"/>
      <c r="E387" s="978"/>
      <c r="F387" s="978"/>
      <c r="G387" s="978"/>
      <c r="H387" s="978"/>
      <c r="I387" s="978"/>
      <c r="J387" s="978"/>
      <c r="K387" s="978"/>
      <c r="L387" s="978"/>
      <c r="M387" s="980"/>
      <c r="N387" s="661"/>
      <c r="O387" s="25"/>
      <c r="P387" s="955"/>
      <c r="R387" s="955"/>
      <c r="S387" s="955"/>
      <c r="AA387" s="607"/>
    </row>
    <row r="388" spans="1:27" ht="12.75" customHeight="1" x14ac:dyDescent="0.2">
      <c r="B388" s="224"/>
      <c r="C388" s="977"/>
      <c r="D388" s="695" t="s">
        <v>447</v>
      </c>
      <c r="E388" s="1663" t="str">
        <f>Translations!$B$798</f>
        <v>Eksportēto atlikumgāzu veidi:</v>
      </c>
      <c r="F388" s="1663"/>
      <c r="G388" s="1663"/>
      <c r="H388" s="1663"/>
      <c r="I388" s="1664"/>
      <c r="J388" s="1665"/>
      <c r="K388" s="1665"/>
      <c r="L388" s="1665"/>
      <c r="M388" s="1666"/>
      <c r="N388" s="1203"/>
      <c r="O388" s="25"/>
      <c r="P388" s="955"/>
      <c r="R388" s="955"/>
      <c r="AA388" s="361" t="b">
        <f>AA383</f>
        <v>0</v>
      </c>
    </row>
    <row r="389" spans="1:27" ht="5.0999999999999996" customHeight="1" x14ac:dyDescent="0.2">
      <c r="B389" s="224"/>
      <c r="C389" s="977"/>
      <c r="D389" s="978"/>
      <c r="E389" s="978"/>
      <c r="F389" s="978"/>
      <c r="G389" s="978"/>
      <c r="H389" s="978"/>
      <c r="I389" s="978"/>
      <c r="J389" s="978"/>
      <c r="K389" s="978"/>
      <c r="L389" s="978"/>
      <c r="M389" s="980"/>
      <c r="N389" s="661"/>
      <c r="O389" s="25"/>
      <c r="P389" s="955"/>
      <c r="R389" s="955"/>
    </row>
    <row r="390" spans="1:27" ht="12.75" customHeight="1" x14ac:dyDescent="0.2">
      <c r="B390" s="224"/>
      <c r="C390" s="977"/>
      <c r="D390" s="978"/>
      <c r="E390" s="1653"/>
      <c r="F390" s="1657"/>
      <c r="G390" s="1657"/>
      <c r="H390" s="462" t="str">
        <f>EUconst_Unit</f>
        <v>Vienība</v>
      </c>
      <c r="I390" s="463">
        <f>I$1820</f>
        <v>2019</v>
      </c>
      <c r="J390" s="463">
        <f>J$1820</f>
        <v>2020</v>
      </c>
      <c r="K390" s="463">
        <f>K$1820</f>
        <v>2021</v>
      </c>
      <c r="L390" s="463">
        <f>L$1820</f>
        <v>2022</v>
      </c>
      <c r="M390" s="463">
        <f>M$1820</f>
        <v>2023</v>
      </c>
      <c r="N390" s="1205"/>
      <c r="O390" s="25"/>
      <c r="P390" s="955"/>
      <c r="R390" s="955"/>
      <c r="S390" s="955"/>
      <c r="AA390" s="607"/>
    </row>
    <row r="391" spans="1:27" ht="12.75" customHeight="1" x14ac:dyDescent="0.2">
      <c r="B391" s="224"/>
      <c r="C391" s="977"/>
      <c r="D391" s="695" t="s">
        <v>448</v>
      </c>
      <c r="E391" s="1667" t="str">
        <f>Translations!$B$800</f>
        <v>Eksportētie daudzumi</v>
      </c>
      <c r="F391" s="1660"/>
      <c r="G391" s="1660"/>
      <c r="H391" s="245" t="s">
        <v>249</v>
      </c>
      <c r="I391" s="484"/>
      <c r="J391" s="484"/>
      <c r="K391" s="484"/>
      <c r="L391" s="484"/>
      <c r="M391" s="484"/>
      <c r="N391" s="1205"/>
      <c r="O391" s="25"/>
      <c r="P391" s="955"/>
      <c r="R391" s="955"/>
      <c r="S391" s="955"/>
      <c r="AA391" s="361" t="b">
        <f>AA388</f>
        <v>0</v>
      </c>
    </row>
    <row r="392" spans="1:27" ht="12.75" customHeight="1" thickBot="1" x14ac:dyDescent="0.25">
      <c r="B392" s="224"/>
      <c r="C392" s="977"/>
      <c r="D392" s="695" t="s">
        <v>612</v>
      </c>
      <c r="E392" s="1737" t="str">
        <f>Translations!$B$470</f>
        <v>Zemākā siltumspēja</v>
      </c>
      <c r="F392" s="1659"/>
      <c r="G392" s="1659"/>
      <c r="H392" s="74" t="e">
        <f>IF(ISBLANK(H391),EUconst_GJperUnit,INDEX(EUconst_GJperTorKNm3,MATCH(H391,EUconst_TonnesOrkNm3pa,0)))</f>
        <v>#N/A</v>
      </c>
      <c r="I392" s="458"/>
      <c r="J392" s="458"/>
      <c r="K392" s="458"/>
      <c r="L392" s="458"/>
      <c r="M392" s="458"/>
      <c r="N392" s="1205"/>
      <c r="O392" s="25"/>
      <c r="P392" s="982"/>
      <c r="R392" s="955"/>
      <c r="S392" s="955"/>
      <c r="AA392" s="361" t="b">
        <f>AA391</f>
        <v>0</v>
      </c>
    </row>
    <row r="393" spans="1:27" ht="12.75" customHeight="1" x14ac:dyDescent="0.2">
      <c r="B393" s="224"/>
      <c r="C393" s="977"/>
      <c r="D393" s="695" t="s">
        <v>613</v>
      </c>
      <c r="E393" s="1651" t="str">
        <f>Translations!$B$801</f>
        <v>Eksportētā atlikumgāze</v>
      </c>
      <c r="F393" s="1652"/>
      <c r="G393" s="1652"/>
      <c r="H393" s="465" t="str">
        <f>EUconst_TJpa</f>
        <v>TJ / gads</v>
      </c>
      <c r="I393" s="448" t="str">
        <f>IF(COUNT(I391:I392)=2,I391*I392/1000,"")</f>
        <v/>
      </c>
      <c r="J393" s="448" t="str">
        <f>IF(COUNT(J391:J392)=2,J391*J392/1000,"")</f>
        <v/>
      </c>
      <c r="K393" s="448" t="str">
        <f>IF(COUNT(K391:K392)=2,K391*K392/1000,"")</f>
        <v/>
      </c>
      <c r="L393" s="448" t="str">
        <f>IF(COUNT(L391:L392)=2,L391*L392/1000,"")</f>
        <v/>
      </c>
      <c r="M393" s="448" t="str">
        <f>IF(COUNT(M391:M392)=2,M391*M392/1000,"")</f>
        <v/>
      </c>
      <c r="N393" s="698"/>
      <c r="O393" s="25"/>
      <c r="P393" s="979" t="str">
        <f>EUconst_CNTR_WGExport &amp; I246</f>
        <v>WasteGasEx_</v>
      </c>
      <c r="R393" s="970"/>
      <c r="S393" s="809">
        <f>I390</f>
        <v>2019</v>
      </c>
      <c r="T393" s="809">
        <f>J390</f>
        <v>2020</v>
      </c>
      <c r="U393" s="809">
        <f>K390</f>
        <v>2021</v>
      </c>
      <c r="V393" s="809">
        <f>L390</f>
        <v>2022</v>
      </c>
      <c r="W393" s="810">
        <f>M390</f>
        <v>2023</v>
      </c>
      <c r="AA393" s="607"/>
    </row>
    <row r="394" spans="1:27" s="697" customFormat="1" ht="12.75" customHeight="1" thickBot="1" x14ac:dyDescent="0.25">
      <c r="A394" s="20"/>
      <c r="B394" s="224"/>
      <c r="C394" s="977"/>
      <c r="D394" s="695" t="s">
        <v>614</v>
      </c>
      <c r="E394" s="1651" t="str">
        <f>Translations!$B$802</f>
        <v>Īpatnējais EF (eksportētā atlikumgāze)</v>
      </c>
      <c r="F394" s="1651"/>
      <c r="G394" s="1651"/>
      <c r="H394" s="464" t="str">
        <f>EUconst_tCO2pTJ</f>
        <v>t CO2 / TJ</v>
      </c>
      <c r="I394" s="761"/>
      <c r="J394" s="761"/>
      <c r="K394" s="761"/>
      <c r="L394" s="761"/>
      <c r="M394" s="761"/>
      <c r="N394" s="661"/>
      <c r="O394" s="25"/>
      <c r="P394" s="979" t="str">
        <f>EUconst_CNTR_WGExportEF &amp; I246</f>
        <v>WasteGasExEF_</v>
      </c>
      <c r="Q394" s="437"/>
      <c r="R394" s="971" t="str">
        <f>EUconst_CNTR_AttributedEmissions &amp; I246</f>
        <v>AttrEmissions_</v>
      </c>
      <c r="S394" s="137" t="str">
        <f>IF(S246,-SUM(I393)*EUconst_NGEFvalue*EUconst_WasteGasCorrFactor,"")</f>
        <v/>
      </c>
      <c r="T394" s="137" t="str">
        <f>IF(T246,-SUM(J393)*EUconst_NGEFvalue*EUconst_WasteGasCorrFactor,"")</f>
        <v/>
      </c>
      <c r="U394" s="137" t="str">
        <f>IF(U246,-SUM(K393)*EUconst_NGEFvalue*EUconst_WasteGasCorrFactor,"")</f>
        <v/>
      </c>
      <c r="V394" s="137" t="str">
        <f>IF(V246,-SUM(L393)*EUconst_NGEFvalue*EUconst_WasteGasCorrFactor,"")</f>
        <v/>
      </c>
      <c r="W394" s="138" t="str">
        <f>IF(W246,-SUM(M393)*EUconst_NGEFvalue*EUconst_WasteGasCorrFactor,"")</f>
        <v/>
      </c>
      <c r="X394" s="437"/>
      <c r="Y394" s="437"/>
      <c r="Z394" s="437"/>
      <c r="AA394" s="186" t="b">
        <f>AA392</f>
        <v>0</v>
      </c>
    </row>
    <row r="395" spans="1:27" ht="5.0999999999999996" customHeight="1" x14ac:dyDescent="0.2">
      <c r="B395" s="224"/>
      <c r="C395" s="977"/>
      <c r="D395" s="978"/>
      <c r="E395" s="978"/>
      <c r="F395" s="978"/>
      <c r="G395" s="978"/>
      <c r="H395" s="978"/>
      <c r="I395" s="978"/>
      <c r="J395" s="978"/>
      <c r="K395" s="978"/>
      <c r="L395" s="978"/>
      <c r="M395" s="980"/>
      <c r="N395" s="661"/>
      <c r="O395" s="25"/>
      <c r="P395" s="955"/>
      <c r="R395" s="955"/>
    </row>
    <row r="396" spans="1:27" ht="12.75" customHeight="1" thickBot="1" x14ac:dyDescent="0.25">
      <c r="B396" s="224"/>
      <c r="C396" s="977"/>
      <c r="D396" s="474" t="s">
        <v>214</v>
      </c>
      <c r="E396" s="1654" t="str">
        <f>Translations!$B$420</f>
        <v>Elektroenerģijas ražošana</v>
      </c>
      <c r="F396" s="1655"/>
      <c r="G396" s="1655"/>
      <c r="H396" s="1655"/>
      <c r="I396" s="1655"/>
      <c r="J396" s="1655"/>
      <c r="K396" s="1655"/>
      <c r="L396" s="1655"/>
      <c r="M396" s="1655"/>
      <c r="N396" s="1656"/>
      <c r="O396" s="25"/>
      <c r="P396" s="955"/>
      <c r="R396" s="955"/>
    </row>
    <row r="397" spans="1:27" ht="12.75" customHeight="1" x14ac:dyDescent="0.2">
      <c r="B397" s="224"/>
      <c r="C397" s="977"/>
      <c r="D397" s="474"/>
      <c r="E397" s="1653"/>
      <c r="F397" s="1657"/>
      <c r="G397" s="1657"/>
      <c r="H397" s="462" t="str">
        <f>EUconst_Unit</f>
        <v>Vienība</v>
      </c>
      <c r="I397" s="463">
        <f>I$1820</f>
        <v>2019</v>
      </c>
      <c r="J397" s="463">
        <f>J$1820</f>
        <v>2020</v>
      </c>
      <c r="K397" s="463">
        <f>K$1820</f>
        <v>2021</v>
      </c>
      <c r="L397" s="463">
        <f>L$1820</f>
        <v>2022</v>
      </c>
      <c r="M397" s="463">
        <f>M$1820</f>
        <v>2023</v>
      </c>
      <c r="N397" s="661"/>
      <c r="O397" s="25"/>
      <c r="P397" s="955"/>
      <c r="R397" s="970"/>
      <c r="S397" s="809">
        <f>I397</f>
        <v>2019</v>
      </c>
      <c r="T397" s="809">
        <f>J397</f>
        <v>2020</v>
      </c>
      <c r="U397" s="809">
        <f>K397</f>
        <v>2021</v>
      </c>
      <c r="V397" s="809">
        <f>L397</f>
        <v>2022</v>
      </c>
      <c r="W397" s="810">
        <f>M397</f>
        <v>2023</v>
      </c>
    </row>
    <row r="398" spans="1:27" ht="12.75" customHeight="1" thickBot="1" x14ac:dyDescent="0.25">
      <c r="B398" s="224"/>
      <c r="C398" s="977"/>
      <c r="D398" s="695"/>
      <c r="E398" s="1651" t="str">
        <f>Translations!$B$805</f>
        <v>Saražotā elektroenerģija</v>
      </c>
      <c r="F398" s="1652"/>
      <c r="G398" s="1652"/>
      <c r="H398" s="465" t="str">
        <f>EUconst_MWhpa</f>
        <v>MWh / gads</v>
      </c>
      <c r="I398" s="483"/>
      <c r="J398" s="483"/>
      <c r="K398" s="483"/>
      <c r="L398" s="483"/>
      <c r="M398" s="483"/>
      <c r="N398" s="1205"/>
      <c r="O398" s="25"/>
      <c r="P398" s="979" t="str">
        <f>EUconst_CNTR_ElectricityExported &amp; I246</f>
        <v>ElecEx_</v>
      </c>
      <c r="R398" s="971" t="str">
        <f>EUconst_CNTR_AttributedEmissions &amp; I246</f>
        <v>AttrEmissions_</v>
      </c>
      <c r="S398" s="137" t="str">
        <f>IF(S246,-SUM(I398)*EUconst_ElBM,"")</f>
        <v/>
      </c>
      <c r="T398" s="137" t="str">
        <f>IF(T246,-SUM(J398)*EUconst_ElBM,"")</f>
        <v/>
      </c>
      <c r="U398" s="137" t="str">
        <f>IF(U246,-SUM(K398)*EUconst_ElBM,"")</f>
        <v/>
      </c>
      <c r="V398" s="137" t="str">
        <f>IF(V246,-SUM(L398)*EUconst_ElBM,"")</f>
        <v/>
      </c>
      <c r="W398" s="138" t="str">
        <f>IF(W246,-SUM(M398)*EUconst_ElBM,"")</f>
        <v/>
      </c>
    </row>
    <row r="399" spans="1:27" ht="5.0999999999999996" customHeight="1" x14ac:dyDescent="0.2">
      <c r="B399" s="224"/>
      <c r="C399" s="977"/>
      <c r="D399" s="978"/>
      <c r="E399" s="978"/>
      <c r="F399" s="978"/>
      <c r="G399" s="978"/>
      <c r="H399" s="978"/>
      <c r="I399" s="978"/>
      <c r="J399" s="978"/>
      <c r="K399" s="978"/>
      <c r="L399" s="978"/>
      <c r="M399" s="980"/>
      <c r="N399" s="661"/>
      <c r="O399" s="25"/>
      <c r="P399" s="955"/>
      <c r="R399" s="955"/>
      <c r="S399" s="955"/>
    </row>
    <row r="400" spans="1:27" ht="12.75" customHeight="1" thickBot="1" x14ac:dyDescent="0.25">
      <c r="B400" s="224"/>
      <c r="C400" s="977"/>
      <c r="D400" s="474" t="s">
        <v>77</v>
      </c>
      <c r="E400" s="1663" t="str">
        <f>Translations!$B$806</f>
        <v>Kopējais saražotās pulpas daudzums</v>
      </c>
      <c r="F400" s="1663"/>
      <c r="G400" s="1663"/>
      <c r="H400" s="1663"/>
      <c r="I400" s="1663"/>
      <c r="J400" s="1663"/>
      <c r="K400" s="1663"/>
      <c r="L400" s="1663"/>
      <c r="M400" s="1663"/>
      <c r="N400" s="1690"/>
      <c r="O400" s="25"/>
      <c r="S400" s="955"/>
    </row>
    <row r="401" spans="2:27" ht="12.75" customHeight="1" thickBot="1" x14ac:dyDescent="0.25">
      <c r="B401" s="224"/>
      <c r="C401" s="977"/>
      <c r="D401" s="695"/>
      <c r="E401" s="1689" t="str">
        <f>IF(I246="","",IF(INDEX(EUconst_BMlistPulp,MATCH(I246,EUconst_BMlistNames,0)),I246,""))</f>
        <v/>
      </c>
      <c r="F401" s="1689"/>
      <c r="G401" s="1689"/>
      <c r="H401" s="465" t="str">
        <f>EUconst_Tons</f>
        <v>tonnas</v>
      </c>
      <c r="I401" s="483"/>
      <c r="J401" s="483"/>
      <c r="K401" s="483"/>
      <c r="L401" s="483"/>
      <c r="M401" s="483"/>
      <c r="N401" s="1205"/>
      <c r="O401" s="25"/>
      <c r="P401" s="979" t="str">
        <f>EUconst_CNTR_HALPulpTotal &amp; I246</f>
        <v>HALPulpTotal_</v>
      </c>
      <c r="R401" s="955"/>
      <c r="AA401" s="734" t="b">
        <f>IF(I246&lt;&gt;"",IF(INDEX(EUconst_BMlistPulp,MATCH(I246,EUconst_BMlistNames,0))=TRUE,FALSE,TRUE),FALSE)</f>
        <v>0</v>
      </c>
    </row>
    <row r="402" spans="2:27" ht="5.0999999999999996" customHeight="1" x14ac:dyDescent="0.2">
      <c r="B402" s="224"/>
      <c r="C402" s="977"/>
      <c r="D402" s="695"/>
      <c r="E402" s="695"/>
      <c r="F402" s="695"/>
      <c r="G402" s="695"/>
      <c r="H402" s="695"/>
      <c r="I402" s="695"/>
      <c r="J402" s="695"/>
      <c r="K402" s="695"/>
      <c r="L402" s="695"/>
      <c r="M402" s="695"/>
      <c r="N402" s="1205"/>
      <c r="O402" s="25"/>
      <c r="P402" s="982"/>
      <c r="R402" s="955"/>
      <c r="S402" s="955"/>
    </row>
    <row r="403" spans="2:27" ht="12.75" customHeight="1" thickBot="1" x14ac:dyDescent="0.25">
      <c r="B403" s="224"/>
      <c r="C403" s="977"/>
      <c r="D403" s="474" t="s">
        <v>322</v>
      </c>
      <c r="E403" s="1654" t="str">
        <f>Translations!$B$810</f>
        <v>Produktu līmeņatzīmju aptverto starpproduktu imports vai eksports</v>
      </c>
      <c r="F403" s="1655"/>
      <c r="G403" s="1655"/>
      <c r="H403" s="1655"/>
      <c r="I403" s="1655"/>
      <c r="J403" s="1655"/>
      <c r="K403" s="1655"/>
      <c r="L403" s="1655"/>
      <c r="M403" s="1655"/>
      <c r="N403" s="1656"/>
      <c r="O403" s="25"/>
      <c r="P403" s="955"/>
      <c r="R403" s="955"/>
      <c r="S403" s="955"/>
    </row>
    <row r="404" spans="2:27" ht="12.75" customHeight="1" thickBot="1" x14ac:dyDescent="0.25">
      <c r="B404" s="38"/>
      <c r="C404" s="977"/>
      <c r="D404" s="695" t="s">
        <v>2</v>
      </c>
      <c r="E404" s="1732" t="str">
        <f>Translations!$B$813</f>
        <v>Vai notiek produktu līmeņatzīmju aptverto starpproduktu imports vai eksports?</v>
      </c>
      <c r="F404" s="1732"/>
      <c r="G404" s="1732"/>
      <c r="H404" s="1732"/>
      <c r="I404" s="1732"/>
      <c r="J404" s="1732"/>
      <c r="K404" s="1733"/>
      <c r="L404" s="527"/>
      <c r="M404" s="461"/>
      <c r="N404" s="698"/>
      <c r="O404" s="25"/>
      <c r="W404" s="966" t="s">
        <v>398</v>
      </c>
      <c r="X404" s="964" t="b">
        <f>IF(AND(I246&lt;&gt;"",ISBLANK(L404)),EUconst_Error&amp;"BM"&amp;C246,FALSE)</f>
        <v>0</v>
      </c>
    </row>
    <row r="405" spans="2:27" ht="5.0999999999999996" customHeight="1" x14ac:dyDescent="0.2">
      <c r="B405" s="224"/>
      <c r="C405" s="977"/>
      <c r="D405" s="695"/>
      <c r="E405" s="695"/>
      <c r="F405" s="695"/>
      <c r="G405" s="695"/>
      <c r="H405" s="695"/>
      <c r="I405" s="695"/>
      <c r="J405" s="695"/>
      <c r="K405" s="695"/>
      <c r="L405" s="695"/>
      <c r="M405" s="695"/>
      <c r="N405" s="1205"/>
      <c r="O405" s="25"/>
      <c r="P405" s="982"/>
      <c r="R405" s="955"/>
      <c r="S405" s="955"/>
    </row>
    <row r="406" spans="2:27" ht="12.75" customHeight="1" thickBot="1" x14ac:dyDescent="0.25">
      <c r="B406" s="224"/>
      <c r="C406" s="977"/>
      <c r="D406" s="524"/>
      <c r="E406" s="1653" t="str">
        <f>Translations!$B$814</f>
        <v>Importētie daudzumi:</v>
      </c>
      <c r="F406" s="1657"/>
      <c r="G406" s="1657"/>
      <c r="H406" s="525" t="str">
        <f>EUconst_Unit</f>
        <v>Vienība</v>
      </c>
      <c r="I406" s="463">
        <f>I$1820</f>
        <v>2019</v>
      </c>
      <c r="J406" s="463">
        <f>J$1820</f>
        <v>2020</v>
      </c>
      <c r="K406" s="463">
        <f>K$1820</f>
        <v>2021</v>
      </c>
      <c r="L406" s="463">
        <f>L$1820</f>
        <v>2022</v>
      </c>
      <c r="M406" s="463">
        <f>M$1820</f>
        <v>2023</v>
      </c>
      <c r="N406" s="1205"/>
      <c r="O406" s="25"/>
      <c r="P406" s="982"/>
      <c r="R406" s="955"/>
      <c r="S406" s="955"/>
      <c r="AA406" s="437" t="s">
        <v>262</v>
      </c>
    </row>
    <row r="407" spans="2:27" ht="12.75" customHeight="1" x14ac:dyDescent="0.2">
      <c r="B407" s="224"/>
      <c r="C407" s="977"/>
      <c r="D407" s="526" t="s">
        <v>3</v>
      </c>
      <c r="E407" s="1745"/>
      <c r="F407" s="1745"/>
      <c r="G407" s="1745"/>
      <c r="H407" s="82" t="str">
        <f>IF(E407&lt;&gt;"",INDEX(EUconst_BMlistUnits,MATCH(E407,EUconst_BMlistNames,0)),EUconst_Tons)</f>
        <v>tonnas</v>
      </c>
      <c r="I407" s="334"/>
      <c r="J407" s="334"/>
      <c r="K407" s="334"/>
      <c r="L407" s="334"/>
      <c r="M407" s="334"/>
      <c r="N407" s="1205"/>
      <c r="O407" s="25"/>
      <c r="P407" s="979" t="str">
        <f>EUconst_CNTR_IntermediateImport &amp; R407 &amp; "_" &amp; I246</f>
        <v>IntImp_1_</v>
      </c>
      <c r="R407" s="979">
        <v>1</v>
      </c>
      <c r="S407" s="955"/>
      <c r="AA407" s="643" t="b">
        <f>AND(NOT(ISBLANK(L404)),L404=FALSE)</f>
        <v>0</v>
      </c>
    </row>
    <row r="408" spans="2:27" ht="12.75" customHeight="1" x14ac:dyDescent="0.2">
      <c r="B408" s="224"/>
      <c r="C408" s="977"/>
      <c r="D408" s="526" t="s">
        <v>4</v>
      </c>
      <c r="E408" s="1746"/>
      <c r="F408" s="1746"/>
      <c r="G408" s="1746"/>
      <c r="H408" s="74" t="str">
        <f>IF(E408&lt;&gt;"",INDEX(EUconst_BMlistUnits,MATCH(E408,EUconst_BMlistNames,0)),EUconst_Tons)</f>
        <v>tonnas</v>
      </c>
      <c r="I408" s="333"/>
      <c r="J408" s="333"/>
      <c r="K408" s="333"/>
      <c r="L408" s="333"/>
      <c r="M408" s="333"/>
      <c r="N408" s="1205"/>
      <c r="O408" s="25"/>
      <c r="P408" s="979" t="str">
        <f>EUconst_CNTR_IntermediateImport &amp; R408 &amp; "_" &amp; I246</f>
        <v>IntImp_2_</v>
      </c>
      <c r="R408" s="979">
        <v>2</v>
      </c>
      <c r="S408" s="955"/>
      <c r="AA408" s="361" t="b">
        <f>AA407</f>
        <v>0</v>
      </c>
    </row>
    <row r="409" spans="2:27" ht="5.0999999999999996" customHeight="1" x14ac:dyDescent="0.2">
      <c r="B409" s="224"/>
      <c r="C409" s="977"/>
      <c r="D409" s="695"/>
      <c r="E409" s="695"/>
      <c r="F409" s="695"/>
      <c r="G409" s="695"/>
      <c r="H409" s="695"/>
      <c r="I409" s="695"/>
      <c r="J409" s="695"/>
      <c r="K409" s="695"/>
      <c r="L409" s="695"/>
      <c r="M409" s="695"/>
      <c r="N409" s="1205"/>
      <c r="O409" s="25"/>
      <c r="P409" s="982"/>
      <c r="R409" s="955"/>
      <c r="S409" s="955"/>
      <c r="AA409" s="607"/>
    </row>
    <row r="410" spans="2:27" ht="12.75" customHeight="1" x14ac:dyDescent="0.2">
      <c r="B410" s="224"/>
      <c r="C410" s="977"/>
      <c r="D410" s="524"/>
      <c r="E410" s="1653" t="str">
        <f>Translations!$B$815</f>
        <v>Eksportētie daudzumi:</v>
      </c>
      <c r="F410" s="1657"/>
      <c r="G410" s="1657"/>
      <c r="H410" s="525" t="str">
        <f>EUconst_Unit</f>
        <v>Vienība</v>
      </c>
      <c r="I410" s="463">
        <f>I$1820</f>
        <v>2019</v>
      </c>
      <c r="J410" s="463">
        <f>J$1820</f>
        <v>2020</v>
      </c>
      <c r="K410" s="463">
        <f>K$1820</f>
        <v>2021</v>
      </c>
      <c r="L410" s="463">
        <f>L$1820</f>
        <v>2022</v>
      </c>
      <c r="M410" s="463">
        <f>M$1820</f>
        <v>2023</v>
      </c>
      <c r="N410" s="1205"/>
      <c r="O410" s="25"/>
      <c r="P410" s="982"/>
      <c r="R410" s="955"/>
      <c r="S410" s="955"/>
      <c r="AA410" s="607"/>
    </row>
    <row r="411" spans="2:27" ht="12.75" customHeight="1" x14ac:dyDescent="0.2">
      <c r="B411" s="224"/>
      <c r="C411" s="977"/>
      <c r="D411" s="526" t="s">
        <v>6</v>
      </c>
      <c r="E411" s="1745"/>
      <c r="F411" s="1745"/>
      <c r="G411" s="1745"/>
      <c r="H411" s="82" t="str">
        <f>IF(E411&lt;&gt;"",INDEX(EUconst_BMlistUnits,MATCH(E411,EUconst_BMlistNames,0)),EUconst_Tons)</f>
        <v>tonnas</v>
      </c>
      <c r="I411" s="334"/>
      <c r="J411" s="334"/>
      <c r="K411" s="334"/>
      <c r="L411" s="334"/>
      <c r="M411" s="334"/>
      <c r="N411" s="1205"/>
      <c r="O411" s="25"/>
      <c r="P411" s="979" t="str">
        <f>EUconst_CNTR_IntermediateExport &amp; R407 &amp; "_" &amp; I246</f>
        <v>IntExp_1_</v>
      </c>
      <c r="R411" s="979">
        <v>1</v>
      </c>
      <c r="S411" s="955"/>
      <c r="U411" s="522"/>
      <c r="V411" s="522"/>
      <c r="AA411" s="361" t="b">
        <f>AA407</f>
        <v>0</v>
      </c>
    </row>
    <row r="412" spans="2:27" ht="12.75" customHeight="1" x14ac:dyDescent="0.2">
      <c r="B412" s="224"/>
      <c r="C412" s="977"/>
      <c r="D412" s="526" t="s">
        <v>303</v>
      </c>
      <c r="E412" s="1746"/>
      <c r="F412" s="1746"/>
      <c r="G412" s="1746"/>
      <c r="H412" s="74" t="str">
        <f>IF(E412&lt;&gt;"",INDEX(EUconst_BMlistUnits,MATCH(E412,EUconst_BMlistNames,0)),EUconst_Tons)</f>
        <v>tonnas</v>
      </c>
      <c r="I412" s="333"/>
      <c r="J412" s="333"/>
      <c r="K412" s="333"/>
      <c r="L412" s="333"/>
      <c r="M412" s="333"/>
      <c r="N412" s="1205"/>
      <c r="O412" s="25"/>
      <c r="P412" s="979" t="str">
        <f>EUconst_CNTR_IntermediateExport &amp; R412 &amp; "_" &amp; I246</f>
        <v>IntExp_2_</v>
      </c>
      <c r="R412" s="979">
        <v>2</v>
      </c>
      <c r="S412" s="955"/>
      <c r="U412" s="522"/>
      <c r="V412" s="522"/>
      <c r="AA412" s="361" t="b">
        <f>AA407</f>
        <v>0</v>
      </c>
    </row>
    <row r="413" spans="2:27" ht="5.0999999999999996" customHeight="1" x14ac:dyDescent="0.2">
      <c r="B413" s="224"/>
      <c r="C413" s="977"/>
      <c r="D413" s="695"/>
      <c r="E413" s="695"/>
      <c r="F413" s="695"/>
      <c r="G413" s="695"/>
      <c r="H413" s="695"/>
      <c r="I413" s="695"/>
      <c r="J413" s="695"/>
      <c r="K413" s="695"/>
      <c r="L413" s="695"/>
      <c r="M413" s="695"/>
      <c r="N413" s="1205"/>
      <c r="O413" s="25"/>
      <c r="P413" s="982"/>
      <c r="R413" s="955"/>
      <c r="S413" s="955"/>
      <c r="U413" s="522"/>
      <c r="V413" s="522"/>
      <c r="AA413" s="607"/>
    </row>
    <row r="414" spans="2:27" ht="12.75" customHeight="1" x14ac:dyDescent="0.2">
      <c r="B414" s="224"/>
      <c r="C414" s="977"/>
      <c r="D414" s="526" t="s">
        <v>304</v>
      </c>
      <c r="E414" s="1738" t="str">
        <f>Translations!$B$816</f>
        <v>Importēto vai eksportēto starpproduktu apraksts</v>
      </c>
      <c r="F414" s="1738"/>
      <c r="G414" s="1738"/>
      <c r="H414" s="1738"/>
      <c r="I414" s="1738"/>
      <c r="J414" s="1738"/>
      <c r="K414" s="1738"/>
      <c r="L414" s="1738"/>
      <c r="M414" s="1738"/>
      <c r="N414" s="1205"/>
      <c r="O414" s="25"/>
      <c r="P414" s="982"/>
      <c r="R414" s="955"/>
      <c r="S414" s="955"/>
      <c r="U414" s="522"/>
      <c r="V414" s="522"/>
      <c r="AA414" s="607"/>
    </row>
    <row r="415" spans="2:27" ht="12.75" customHeight="1" x14ac:dyDescent="0.2">
      <c r="B415" s="224"/>
      <c r="C415" s="977"/>
      <c r="D415" s="695"/>
      <c r="E415" s="1739"/>
      <c r="F415" s="1740"/>
      <c r="G415" s="1740"/>
      <c r="H415" s="1740"/>
      <c r="I415" s="1740"/>
      <c r="J415" s="1740"/>
      <c r="K415" s="1740"/>
      <c r="L415" s="1740"/>
      <c r="M415" s="1741"/>
      <c r="N415" s="1205"/>
      <c r="O415" s="25"/>
      <c r="P415" s="982"/>
      <c r="R415" s="955"/>
      <c r="S415" s="955"/>
      <c r="U415" s="522"/>
      <c r="V415" s="522"/>
      <c r="AA415" s="361" t="b">
        <f>AA407</f>
        <v>0</v>
      </c>
    </row>
    <row r="416" spans="2:27" ht="12.75" customHeight="1" thickBot="1" x14ac:dyDescent="0.25">
      <c r="B416" s="224"/>
      <c r="C416" s="977"/>
      <c r="D416" s="695"/>
      <c r="E416" s="1742"/>
      <c r="F416" s="1743"/>
      <c r="G416" s="1743"/>
      <c r="H416" s="1743"/>
      <c r="I416" s="1743"/>
      <c r="J416" s="1743"/>
      <c r="K416" s="1743"/>
      <c r="L416" s="1743"/>
      <c r="M416" s="1744"/>
      <c r="N416" s="1205"/>
      <c r="O416" s="25"/>
      <c r="P416" s="982"/>
      <c r="R416" s="955"/>
      <c r="S416" s="955"/>
      <c r="U416" s="522"/>
      <c r="V416" s="522"/>
      <c r="AA416" s="186" t="b">
        <f>AA407</f>
        <v>0</v>
      </c>
    </row>
    <row r="417" spans="1:27" ht="12.75" customHeight="1" thickBot="1" x14ac:dyDescent="0.25">
      <c r="B417" s="224"/>
      <c r="C417" s="983"/>
      <c r="D417" s="984"/>
      <c r="E417" s="984"/>
      <c r="F417" s="984"/>
      <c r="G417" s="984"/>
      <c r="H417" s="984"/>
      <c r="I417" s="984"/>
      <c r="J417" s="984"/>
      <c r="K417" s="984"/>
      <c r="L417" s="984"/>
      <c r="M417" s="985"/>
      <c r="N417" s="986"/>
      <c r="O417" s="25"/>
      <c r="P417" s="955"/>
      <c r="R417" s="955"/>
      <c r="S417" s="955"/>
    </row>
    <row r="418" spans="1:27" ht="13.5" thickBot="1" x14ac:dyDescent="0.25">
      <c r="B418" s="38"/>
      <c r="C418" s="38"/>
      <c r="D418" s="38"/>
      <c r="E418" s="38"/>
      <c r="F418" s="38"/>
      <c r="G418" s="38"/>
      <c r="H418" s="38"/>
      <c r="I418" s="38"/>
      <c r="J418" s="38"/>
      <c r="K418" s="38"/>
      <c r="L418" s="38"/>
      <c r="M418" s="38"/>
      <c r="N418" s="38"/>
      <c r="O418" s="25"/>
      <c r="P418" s="362" t="str">
        <f>IF(OR(AND(CNTR_ExistProductSubEntries=FALSE,P246=1),AND(I246&lt;&gt;"",COUNTIF(P419:$P$1814,"PRINT")=0)),"PRINT","")</f>
        <v/>
      </c>
      <c r="Q418" s="437" t="s">
        <v>481</v>
      </c>
      <c r="R418" s="955"/>
      <c r="S418" s="955"/>
    </row>
    <row r="419" spans="1:27" ht="5.0999999999999996" customHeight="1" thickBot="1" x14ac:dyDescent="0.25">
      <c r="B419" s="38"/>
      <c r="C419" s="987"/>
      <c r="D419" s="987"/>
      <c r="E419" s="987"/>
      <c r="F419" s="987"/>
      <c r="G419" s="987"/>
      <c r="H419" s="987"/>
      <c r="I419" s="987"/>
      <c r="J419" s="987"/>
      <c r="K419" s="987"/>
      <c r="L419" s="987"/>
      <c r="M419" s="987"/>
      <c r="N419" s="987"/>
      <c r="O419" s="25"/>
      <c r="R419" s="955"/>
      <c r="S419" s="955"/>
    </row>
    <row r="420" spans="1:27" ht="15.75" thickBot="1" x14ac:dyDescent="0.25">
      <c r="B420" s="224"/>
      <c r="C420" s="965">
        <f>C246+1</f>
        <v>3</v>
      </c>
      <c r="D420" s="1318" t="str">
        <f>EUconst_BMSubinst &amp; ":"</f>
        <v>Apakšiekārta ar produkta līmeņatzīmi:</v>
      </c>
      <c r="E420" s="1251"/>
      <c r="F420" s="1251"/>
      <c r="G420" s="1251"/>
      <c r="H420" s="1328"/>
      <c r="I420" s="1701" t="str">
        <f>IF(INDEX(CNTR_SubInstListIsProdBM,$C420),INDEX(CNTR_SubInstListNames,$C420),"")</f>
        <v/>
      </c>
      <c r="J420" s="1457"/>
      <c r="K420" s="1457"/>
      <c r="L420" s="1457"/>
      <c r="M420" s="1457"/>
      <c r="N420" s="1259"/>
      <c r="O420" s="25"/>
      <c r="P420" s="362">
        <f>C420</f>
        <v>3</v>
      </c>
      <c r="Q420" s="966" t="s">
        <v>225</v>
      </c>
      <c r="R420" s="967" t="str">
        <f>IF(I420="","",INDEX(CNTR_SubInstStartDate,MATCH($I420,CNTR_SubInstListNames,0)))</f>
        <v/>
      </c>
      <c r="S420" s="968" t="b">
        <f>IF($I420="",FALSE,AND(I$1823,YEAR($R420)&lt;I$1820))</f>
        <v>0</v>
      </c>
      <c r="T420" s="968" t="b">
        <f>IF($I420="",FALSE,AND(J$1823,YEAR($R420)&lt;J$1820))</f>
        <v>0</v>
      </c>
      <c r="U420" s="968" t="b">
        <f>IF($I420="",FALSE,AND(K$1823,YEAR($R420)&lt;K$1820))</f>
        <v>0</v>
      </c>
      <c r="V420" s="968" t="b">
        <f>IF($I420="",FALSE,AND(L$1823,YEAR($R420)&lt;L$1820))</f>
        <v>0</v>
      </c>
      <c r="W420" s="968" t="b">
        <f>IF($I420="",FALSE,AND(M$1823,YEAR($R420)&lt;M$1820))</f>
        <v>0</v>
      </c>
      <c r="Z420" s="732" t="s">
        <v>529</v>
      </c>
      <c r="AA420" s="734" t="b">
        <f>AND(CNTR_ExistSubInstEntries,I420="")</f>
        <v>0</v>
      </c>
    </row>
    <row r="421" spans="1:27" ht="5.0999999999999996" customHeight="1" x14ac:dyDescent="0.2">
      <c r="B421" s="224"/>
      <c r="C421" s="224"/>
      <c r="D421" s="224"/>
      <c r="E421" s="224"/>
      <c r="F421" s="224"/>
      <c r="G421" s="224"/>
      <c r="H421" s="224"/>
      <c r="I421" s="224"/>
      <c r="J421" s="224"/>
      <c r="K421" s="224"/>
      <c r="L421" s="224"/>
      <c r="M421" s="34"/>
      <c r="N421" s="34"/>
      <c r="O421" s="25"/>
      <c r="P421" s="955"/>
      <c r="R421" s="955"/>
      <c r="S421" s="955"/>
    </row>
    <row r="422" spans="1:27" ht="13.5" thickBot="1" x14ac:dyDescent="0.25">
      <c r="B422" s="224"/>
      <c r="C422" s="224"/>
      <c r="D422" s="32" t="s">
        <v>165</v>
      </c>
      <c r="E422" s="1250" t="str">
        <f>Translations!$B$670</f>
        <v>Vēsturiskie darbības līmeņi</v>
      </c>
      <c r="F422" s="1251"/>
      <c r="G422" s="1251"/>
      <c r="H422" s="1251"/>
      <c r="I422" s="1251"/>
      <c r="J422" s="1251"/>
      <c r="K422" s="1251"/>
      <c r="L422" s="1251"/>
      <c r="M422" s="1251"/>
      <c r="N422" s="1251"/>
      <c r="O422" s="25"/>
      <c r="P422" s="955"/>
      <c r="R422" s="955"/>
      <c r="S422" s="955"/>
    </row>
    <row r="423" spans="1:27" ht="13.5" customHeight="1" thickBot="1" x14ac:dyDescent="0.25">
      <c r="B423" s="38"/>
      <c r="C423" s="38"/>
      <c r="D423" s="32"/>
      <c r="E423" s="1320" t="str">
        <f>Translations!$B$676</f>
        <v>Gada darbības līmeņi:</v>
      </c>
      <c r="F423" s="1320"/>
      <c r="G423" s="1320"/>
      <c r="H423" s="52" t="str">
        <f>EUconst_Unit</f>
        <v>Vienība</v>
      </c>
      <c r="I423" s="412">
        <f>I$1820</f>
        <v>2019</v>
      </c>
      <c r="J423" s="412">
        <f>J$1820</f>
        <v>2020</v>
      </c>
      <c r="K423" s="412">
        <f>K$1820</f>
        <v>2021</v>
      </c>
      <c r="L423" s="412">
        <f>L$1820</f>
        <v>2022</v>
      </c>
      <c r="M423" s="412">
        <f>M$1820</f>
        <v>2023</v>
      </c>
      <c r="N423" s="34"/>
      <c r="O423" s="25"/>
      <c r="P423" s="955"/>
      <c r="Q423" s="439" t="s">
        <v>416</v>
      </c>
      <c r="R423" s="289"/>
      <c r="S423" s="289"/>
      <c r="T423" s="289"/>
      <c r="U423" s="289"/>
      <c r="V423" s="289"/>
      <c r="W423" s="290"/>
      <c r="AA423" s="437" t="s">
        <v>262</v>
      </c>
    </row>
    <row r="424" spans="1:27" ht="13.5" thickBot="1" x14ac:dyDescent="0.25">
      <c r="B424" s="38"/>
      <c r="C424" s="38"/>
      <c r="D424" s="212" t="s">
        <v>2</v>
      </c>
      <c r="E424" s="1716" t="str">
        <f>I420</f>
        <v/>
      </c>
      <c r="F424" s="1716"/>
      <c r="G424" s="1716"/>
      <c r="H424" s="116" t="str">
        <f>IF(INDEX(CNTR_SubInstListIsProdBM,$C420),INDEX(CNTR_SubInstListHALUnit,$C420),EUconst_Tons)</f>
        <v>tonnas</v>
      </c>
      <c r="I424" s="595"/>
      <c r="J424" s="595"/>
      <c r="K424" s="595"/>
      <c r="L424" s="595"/>
      <c r="M424" s="595"/>
      <c r="N424" s="34"/>
      <c r="O424" s="25"/>
      <c r="P424" s="182" t="s">
        <v>228</v>
      </c>
      <c r="Q424" s="1023" t="s">
        <v>618</v>
      </c>
      <c r="R424" s="204" t="s">
        <v>629</v>
      </c>
      <c r="S424" s="454">
        <f>I423</f>
        <v>2019</v>
      </c>
      <c r="T424" s="455">
        <f>J423</f>
        <v>2020</v>
      </c>
      <c r="U424" s="455">
        <f>K423</f>
        <v>2021</v>
      </c>
      <c r="V424" s="455">
        <f>L423</f>
        <v>2022</v>
      </c>
      <c r="W424" s="456">
        <f>M423</f>
        <v>2023</v>
      </c>
      <c r="Z424" s="437"/>
      <c r="AA424" s="643" t="b">
        <f>IF(CNTR_ExistSubInstEntries,AND(I420&lt;&gt;"",Q428),FALSE)</f>
        <v>0</v>
      </c>
    </row>
    <row r="425" spans="1:27" ht="13.5" thickBot="1" x14ac:dyDescent="0.25">
      <c r="B425" s="38"/>
      <c r="C425" s="38"/>
      <c r="D425" s="212" t="s">
        <v>3</v>
      </c>
      <c r="E425" s="1716" t="str">
        <f>Translations!$B$677</f>
        <v>No lapas “H_SpecialBM”:</v>
      </c>
      <c r="F425" s="1716"/>
      <c r="G425" s="1716"/>
      <c r="H425" s="116" t="str">
        <f>H424</f>
        <v>tonnas</v>
      </c>
      <c r="I425" s="336" t="str">
        <f>IF($I420="","",IF($Q428,SUMIF(H_SpecialBM!$P$9:$P$401,$P425,H_SpecialBM!I$9:I$401),""))</f>
        <v/>
      </c>
      <c r="J425" s="336" t="str">
        <f>IF($I420="","",IF($Q428,SUMIF(H_SpecialBM!$P$9:$P$401,$P425,H_SpecialBM!J$9:J$401),""))</f>
        <v/>
      </c>
      <c r="K425" s="336" t="str">
        <f>IF($I420="","",IF($Q428,SUMIF(H_SpecialBM!$P$9:$P$401,$P425,H_SpecialBM!K$9:K$401),""))</f>
        <v/>
      </c>
      <c r="L425" s="336" t="str">
        <f>IF($I420="","",IF($Q428,SUMIF(H_SpecialBM!$P$9:$P$401,$P425,H_SpecialBM!L$9:L$401),""))</f>
        <v/>
      </c>
      <c r="M425" s="336" t="str">
        <f>IF($I420="","",IF($Q428,SUMIF(H_SpecialBM!$P$9:$P$401,$P425,H_SpecialBM!M$9:M$401),""))</f>
        <v/>
      </c>
      <c r="N425" s="34"/>
      <c r="O425" s="25"/>
      <c r="P425" s="969" t="str">
        <f>EUconst_CNTR_HALspecial&amp;I420</f>
        <v>HALspecial_</v>
      </c>
      <c r="Q425" s="1093" t="str">
        <f>IF(COUNT($U425:$V425)&gt;0,SUM($U425:$V425),"")</f>
        <v/>
      </c>
      <c r="R425" s="1094" t="str">
        <f>IF(COUNT(S425:W425)&gt;0,MEDIAN(S425:W425),"")</f>
        <v/>
      </c>
      <c r="S425" s="1095" t="str">
        <f>IF(S420,IF(ISNUMBER(I425),I425,""),"")</f>
        <v/>
      </c>
      <c r="T425" s="1096" t="str">
        <f>IF(T420,IF(ISNUMBER(J425),J425,""),"")</f>
        <v/>
      </c>
      <c r="U425" s="1096" t="str">
        <f>IF(U420,IF(ISNUMBER(K425),K425,""),"")</f>
        <v/>
      </c>
      <c r="V425" s="1096" t="str">
        <f>IF(V420,IF(ISNUMBER(L425),L425,""),"")</f>
        <v/>
      </c>
      <c r="W425" s="1094" t="str">
        <f>IF(W420,IF(ISNUMBER(M425),M425,""),"")</f>
        <v/>
      </c>
      <c r="AA425" s="719" t="b">
        <f>Q428=FALSE</f>
        <v>0</v>
      </c>
    </row>
    <row r="426" spans="1:27" ht="13.5" thickBot="1" x14ac:dyDescent="0.25">
      <c r="B426" s="38"/>
      <c r="C426" s="38"/>
      <c r="D426" s="212" t="s">
        <v>4</v>
      </c>
      <c r="E426" s="1716" t="str">
        <f>Translations!$B$678</f>
        <v>Aprēķinā izmantotās vērtības:</v>
      </c>
      <c r="F426" s="1716"/>
      <c r="G426" s="1716"/>
      <c r="H426" s="116" t="str">
        <f>H425</f>
        <v>tonnas</v>
      </c>
      <c r="I426" s="336" t="str">
        <f>IF($I420="","",IF($Q428=TRUE,IF(ISNUMBER(I425),I425,0),IF(ISNUMBER(I424),I424,0)))</f>
        <v/>
      </c>
      <c r="J426" s="336" t="str">
        <f>IF($I420="","",IF($Q428=TRUE,IF(ISNUMBER(J425),J425,0),IF(ISNUMBER(J424),J424,0)))</f>
        <v/>
      </c>
      <c r="K426" s="336" t="str">
        <f>IF($I420="","",IF($Q428=TRUE,IF(ISNUMBER(K425),K425,0),IF(ISNUMBER(K424),K424,0)))</f>
        <v/>
      </c>
      <c r="L426" s="336" t="str">
        <f>IF($I420="","",IF($Q428=TRUE,IF(ISNUMBER(L425),L425,0),IF(ISNUMBER(L424),L424,0)))</f>
        <v/>
      </c>
      <c r="M426" s="336" t="str">
        <f>IF($I420="","",IF($Q428=TRUE,IF(ISNUMBER(M425),M425,0),IF(ISNUMBER(M424),M424,0)))</f>
        <v/>
      </c>
      <c r="N426" s="34"/>
      <c r="O426" s="25"/>
      <c r="P426" s="969" t="str">
        <f>EUconst_CNTR_HAL&amp;I420</f>
        <v>HAL_</v>
      </c>
      <c r="Q426" s="1097" t="str">
        <f>IF(COUNT($U426:$V426)&gt;0,SUM($U426:$V426),"")</f>
        <v/>
      </c>
      <c r="R426" s="1098" t="str">
        <f>IF(COUNT(S426:W426)&gt;0,MEDIAN(S426:W426),"")</f>
        <v/>
      </c>
      <c r="S426" s="1099" t="str">
        <f>IF(S420,IF(ISNUMBER(I426),I426,""),"")</f>
        <v/>
      </c>
      <c r="T426" s="1100" t="str">
        <f>IF(T420,IF(ISNUMBER(J426),J426,""),"")</f>
        <v/>
      </c>
      <c r="U426" s="1100" t="str">
        <f>IF(U420,IF(ISNUMBER(K426),K426,""),"")</f>
        <v/>
      </c>
      <c r="V426" s="1100" t="str">
        <f>IF(V420,IF(ISNUMBER(L426),L426,""),"")</f>
        <v/>
      </c>
      <c r="W426" s="1098" t="str">
        <f>IF(W420,IF(ISNUMBER(M426),M426,""),"")</f>
        <v/>
      </c>
    </row>
    <row r="427" spans="1:27" ht="5.0999999999999996" customHeight="1" x14ac:dyDescent="0.2">
      <c r="B427" s="224"/>
      <c r="C427" s="224"/>
      <c r="D427" s="224"/>
      <c r="E427" s="224"/>
      <c r="F427" s="224"/>
      <c r="G427" s="224"/>
      <c r="H427" s="224"/>
      <c r="I427" s="224"/>
      <c r="J427" s="224"/>
      <c r="K427" s="224"/>
      <c r="L427" s="224"/>
      <c r="M427" s="34"/>
      <c r="N427" s="34"/>
      <c r="O427" s="25"/>
      <c r="P427" s="955"/>
      <c r="R427" s="955"/>
      <c r="S427" s="955"/>
    </row>
    <row r="428" spans="1:27" x14ac:dyDescent="0.2">
      <c r="B428" s="224"/>
      <c r="C428" s="224"/>
      <c r="D428" s="32" t="s">
        <v>339</v>
      </c>
      <c r="E428" s="1250" t="str">
        <f>Translations!$B$679</f>
        <v>Īpašas ziņošanas prasības:</v>
      </c>
      <c r="F428" s="1250"/>
      <c r="G428" s="1524"/>
      <c r="H428" s="1713" t="str">
        <f>IF(I420="","",HYPERLINK(INDEX(EUconst_BMlistSpecialJumpTable,MATCH(I420,EUconst_BMlistNames,0)),INDEX(EUconst_BMlistSpecialReporting,MATCH(I420,EUconst_BMlistNames,0))))</f>
        <v/>
      </c>
      <c r="I428" s="1718"/>
      <c r="J428" s="1718"/>
      <c r="K428" s="1718"/>
      <c r="L428" s="1718"/>
      <c r="M428" s="1718"/>
      <c r="N428" s="1719"/>
      <c r="O428" s="25"/>
      <c r="P428" s="966" t="s">
        <v>37</v>
      </c>
      <c r="Q428" s="134" t="str">
        <f>IF(I420="","",IF(AND(INDEX(EUconst_BMlistSpecialJumpTable,MATCH(I420,EUconst_BMlistNames,0))&lt;&gt;"",INDEX(EUconst_BMlistMainNumberOfBM,MATCH(I420,EUconst_BMlistNames,0))&lt;&gt;47),TRUE,FALSE))</f>
        <v/>
      </c>
      <c r="R428" s="966" t="s">
        <v>574</v>
      </c>
      <c r="S428" s="134" t="b">
        <f>IF(I420="",FALSE,INDEX(CNTR_SubInstLess1Year,MATCH(I420,CNTR_SubInstListNames,0)))</f>
        <v>0</v>
      </c>
    </row>
    <row r="429" spans="1:27" ht="5.0999999999999996" customHeight="1" x14ac:dyDescent="0.2">
      <c r="B429" s="224"/>
      <c r="C429" s="224"/>
      <c r="D429" s="224"/>
      <c r="E429" s="224"/>
      <c r="F429" s="224"/>
      <c r="G429" s="224"/>
      <c r="H429" s="224"/>
      <c r="I429" s="224"/>
      <c r="J429" s="224"/>
      <c r="K429" s="224"/>
      <c r="L429" s="224"/>
      <c r="M429" s="224"/>
      <c r="N429" s="224"/>
      <c r="O429" s="25"/>
      <c r="P429" s="955"/>
      <c r="R429" s="955"/>
      <c r="S429" s="955"/>
    </row>
    <row r="430" spans="1:27" ht="12.75" customHeight="1" x14ac:dyDescent="0.2">
      <c r="B430" s="38"/>
      <c r="C430" s="38"/>
      <c r="D430" s="32" t="s">
        <v>11</v>
      </c>
      <c r="E430" s="1717" t="str">
        <f>Translations!$B$1663</f>
        <v>Elektroenerģijas patēriņš</v>
      </c>
      <c r="F430" s="1717"/>
      <c r="G430" s="1717"/>
      <c r="H430" s="1717"/>
      <c r="I430" s="1717"/>
      <c r="J430" s="1717"/>
      <c r="K430" s="1717"/>
      <c r="L430" s="1717"/>
      <c r="M430" s="1717"/>
      <c r="N430" s="1717"/>
      <c r="O430" s="25"/>
      <c r="P430" s="20" t="s">
        <v>192</v>
      </c>
      <c r="Q430" s="362" t="str">
        <f>"#"&amp;ADDRESS(ROW(D434),COLUMN(D434))</f>
        <v>#$D$434</v>
      </c>
      <c r="R430" s="955"/>
      <c r="S430" s="955"/>
      <c r="AA430" s="955"/>
    </row>
    <row r="431" spans="1:27" s="697" customFormat="1" ht="13.5" thickBot="1" x14ac:dyDescent="0.25">
      <c r="A431" s="437"/>
      <c r="B431" s="414"/>
      <c r="C431" s="414"/>
      <c r="D431" s="32"/>
      <c r="E431" s="1320" t="str">
        <f>Translations!$B$686</f>
        <v>Parametrs</v>
      </c>
      <c r="F431" s="1275"/>
      <c r="G431" s="1275"/>
      <c r="H431" s="52" t="str">
        <f>EUconst_Unit</f>
        <v>Vienība</v>
      </c>
      <c r="I431" s="412">
        <f>I423</f>
        <v>2019</v>
      </c>
      <c r="J431" s="412">
        <f>J423</f>
        <v>2020</v>
      </c>
      <c r="K431" s="412">
        <f>K423</f>
        <v>2021</v>
      </c>
      <c r="L431" s="412">
        <f>L423</f>
        <v>2022</v>
      </c>
      <c r="M431" s="412">
        <f>M423</f>
        <v>2023</v>
      </c>
      <c r="N431" s="34"/>
      <c r="O431" s="25"/>
      <c r="P431" s="437"/>
      <c r="Q431" s="437"/>
      <c r="R431" s="955"/>
      <c r="S431" s="955"/>
      <c r="T431" s="955"/>
      <c r="U431" s="955"/>
      <c r="V431" s="955"/>
      <c r="W431" s="955"/>
      <c r="X431" s="20"/>
      <c r="Y431" s="20"/>
      <c r="Z431" s="437"/>
      <c r="AA431" s="955" t="s">
        <v>633</v>
      </c>
    </row>
    <row r="432" spans="1:27" s="697" customFormat="1" ht="12.75" customHeight="1" thickBot="1" x14ac:dyDescent="0.25">
      <c r="A432" s="437"/>
      <c r="B432" s="414"/>
      <c r="C432" s="414"/>
      <c r="D432" s="440"/>
      <c r="E432" s="1711" t="str">
        <f>Translations!$B$689</f>
        <v>Relevantais elektroenerģijas patēriņš</v>
      </c>
      <c r="F432" s="1712"/>
      <c r="G432" s="1712"/>
      <c r="H432" s="610" t="str">
        <f>EUconst_MWhpa</f>
        <v>MWh / gads</v>
      </c>
      <c r="I432" s="1102"/>
      <c r="J432" s="1102"/>
      <c r="K432" s="1102"/>
      <c r="L432" s="1102"/>
      <c r="M432" s="1102"/>
      <c r="N432" s="34"/>
      <c r="O432" s="25"/>
      <c r="P432" s="202" t="str">
        <f>EUconst_CNTR_HAL&amp;EUconst_CNTR_ELEXCH</f>
        <v>HAL_ELEXCH_</v>
      </c>
      <c r="Q432" s="202" t="str">
        <f>EUconst_CNTR_HAL&amp;EUconst_CNTR_ELEXCH &amp; I420</f>
        <v>HAL_ELEXCH_</v>
      </c>
      <c r="R432" s="955"/>
      <c r="S432" s="955"/>
      <c r="T432" s="955"/>
      <c r="U432" s="955"/>
      <c r="V432" s="955"/>
      <c r="W432" s="955"/>
      <c r="X432" s="20"/>
      <c r="Y432" s="20"/>
      <c r="Z432" s="437"/>
      <c r="AA432" s="885" t="b">
        <f>IF(CNTR_ExistSubInstEntries,IF(I420&lt;&gt;"",IF(INDEX(EUconst_BMlistElExchangability,MATCH(I420,EUconst_BMlistNames,0)),FALSE,TRUE),TRUE),FALSE)</f>
        <v>0</v>
      </c>
    </row>
    <row r="433" spans="2:27" ht="5.0999999999999996" customHeight="1" x14ac:dyDescent="0.2">
      <c r="B433" s="224"/>
      <c r="C433" s="224"/>
      <c r="D433" s="224"/>
      <c r="E433" s="224"/>
      <c r="F433" s="224"/>
      <c r="G433" s="224"/>
      <c r="H433" s="224"/>
      <c r="I433" s="224"/>
      <c r="J433" s="224"/>
      <c r="K433" s="224"/>
      <c r="L433" s="224"/>
      <c r="M433" s="34"/>
      <c r="N433" s="34"/>
      <c r="O433" s="25"/>
      <c r="P433" s="955"/>
    </row>
    <row r="434" spans="2:27" x14ac:dyDescent="0.2">
      <c r="B434" s="224"/>
      <c r="C434" s="224"/>
      <c r="D434" s="32" t="s">
        <v>342</v>
      </c>
      <c r="E434" s="1250" t="str">
        <f>Translations!$B$692</f>
        <v>No ETS neaptvertām iekārtām vai vienībām importētais siltums:</v>
      </c>
      <c r="F434" s="1250"/>
      <c r="G434" s="1250"/>
      <c r="H434" s="1250"/>
      <c r="I434" s="1524"/>
      <c r="J434" s="1713" t="str">
        <f>IF(I420="","",HYPERLINK(Q434,EUconst_MsgGoOnIfNotRelevant))</f>
        <v/>
      </c>
      <c r="K434" s="1714"/>
      <c r="L434" s="1714"/>
      <c r="M434" s="1714"/>
      <c r="N434" s="1715"/>
      <c r="O434" s="25"/>
      <c r="P434" s="20" t="s">
        <v>192</v>
      </c>
      <c r="Q434" s="362" t="str">
        <f>"#"&amp;ADDRESS(ROW(D441),COLUMN(D441))</f>
        <v>#$D$441</v>
      </c>
    </row>
    <row r="435" spans="2:27" ht="5.0999999999999996" customHeight="1" x14ac:dyDescent="0.2">
      <c r="B435" s="224"/>
      <c r="C435" s="224"/>
      <c r="D435" s="34"/>
      <c r="E435" s="1319"/>
      <c r="F435" s="1319"/>
      <c r="G435" s="1319"/>
      <c r="H435" s="1319"/>
      <c r="I435" s="1319"/>
      <c r="J435" s="1319"/>
      <c r="K435" s="1319"/>
      <c r="L435" s="1319"/>
      <c r="M435" s="1319"/>
      <c r="N435" s="1319"/>
      <c r="O435" s="25"/>
      <c r="P435" s="955"/>
      <c r="R435" s="955"/>
      <c r="S435" s="955"/>
    </row>
    <row r="436" spans="2:27" ht="13.5" thickBot="1" x14ac:dyDescent="0.25">
      <c r="B436" s="38"/>
      <c r="C436" s="38"/>
      <c r="D436" s="32"/>
      <c r="E436" s="1320" t="str">
        <f>Translations!$B$686</f>
        <v>Parametrs</v>
      </c>
      <c r="F436" s="1275"/>
      <c r="G436" s="1275"/>
      <c r="H436" s="52" t="str">
        <f>EUconst_Unit</f>
        <v>Vienība</v>
      </c>
      <c r="I436" s="412">
        <f>I423</f>
        <v>2019</v>
      </c>
      <c r="J436" s="412">
        <f>J423</f>
        <v>2020</v>
      </c>
      <c r="K436" s="412">
        <f>K423</f>
        <v>2021</v>
      </c>
      <c r="L436" s="412">
        <f>L423</f>
        <v>2022</v>
      </c>
      <c r="M436" s="412">
        <f>M423</f>
        <v>2023</v>
      </c>
      <c r="N436" s="34"/>
      <c r="O436" s="25"/>
      <c r="Q436" s="63"/>
      <c r="R436" s="955"/>
      <c r="S436" s="63">
        <f>I436</f>
        <v>2019</v>
      </c>
      <c r="T436" s="63">
        <f>J436</f>
        <v>2020</v>
      </c>
      <c r="U436" s="63">
        <f>K436</f>
        <v>2021</v>
      </c>
      <c r="V436" s="63">
        <f>L436</f>
        <v>2022</v>
      </c>
      <c r="W436" s="63">
        <f>M436</f>
        <v>2023</v>
      </c>
      <c r="Z436" s="63"/>
      <c r="AA436" s="437" t="s">
        <v>262</v>
      </c>
    </row>
    <row r="437" spans="2:27" ht="13.5" thickBot="1" x14ac:dyDescent="0.25">
      <c r="B437" s="38"/>
      <c r="C437" s="38"/>
      <c r="D437" s="212" t="s">
        <v>2</v>
      </c>
      <c r="E437" s="1517" t="str">
        <f>Translations!$B$697</f>
        <v>No ETS neaptvertām iekārtām/vienībām importēts izmērāmais siltums</v>
      </c>
      <c r="F437" s="1517"/>
      <c r="G437" s="1517"/>
      <c r="H437" s="66" t="str">
        <f>EUconst_TJpa</f>
        <v>TJ / gads</v>
      </c>
      <c r="I437" s="330"/>
      <c r="J437" s="330"/>
      <c r="K437" s="330"/>
      <c r="L437" s="330"/>
      <c r="M437" s="330"/>
      <c r="N437" s="34"/>
      <c r="O437" s="25"/>
      <c r="P437" s="134" t="str">
        <f>EUconst_CNTR_HAL&amp;EUconst_CNTR_nonETSMeasHeat</f>
        <v>HAL_ETS neaptverts izmērāmais siltums</v>
      </c>
      <c r="R437" s="955"/>
      <c r="S437" s="454" t="str">
        <f>IF(S420,IF(ISNUMBER(I437),I437,0),"")</f>
        <v/>
      </c>
      <c r="T437" s="455" t="str">
        <f>IF(T420,IF(ISNUMBER(J437),J437,0),"")</f>
        <v/>
      </c>
      <c r="U437" s="455" t="str">
        <f>IF(U420,IF(ISNUMBER(K437),K437,0),"")</f>
        <v/>
      </c>
      <c r="V437" s="455" t="str">
        <f>IF(V420,IF(ISNUMBER(L437),L437,0),"")</f>
        <v/>
      </c>
      <c r="W437" s="456" t="str">
        <f>IF(W420,IF(ISNUMBER(M437),M437,0),"")</f>
        <v/>
      </c>
      <c r="AA437" s="643" t="b">
        <f>AND(CNTR_ExistSubInstEntries,I420="")</f>
        <v>0</v>
      </c>
    </row>
    <row r="438" spans="2:27" ht="25.5" customHeight="1" thickBot="1" x14ac:dyDescent="0.25">
      <c r="B438" s="38"/>
      <c r="C438" s="38"/>
      <c r="D438" s="212" t="s">
        <v>3</v>
      </c>
      <c r="E438" s="1541" t="str">
        <f>Translations!$B$698</f>
        <v>Konsekvences pārbaude — saskanība ar lapu “E_Energy flows”:</v>
      </c>
      <c r="F438" s="1541"/>
      <c r="G438" s="1541"/>
      <c r="H438" s="45" t="s">
        <v>393</v>
      </c>
      <c r="I438" s="317" t="str">
        <f>IF(AND(ISNUMBER(I437),ISNUMBER(E_EnergyFlows!I$120)), I437/E_EnergyFlows!I$120*100,"")</f>
        <v/>
      </c>
      <c r="J438" s="317" t="str">
        <f>IF(AND(ISNUMBER(J437),ISNUMBER(E_EnergyFlows!J$120)), J437/E_EnergyFlows!J$120*100,"")</f>
        <v/>
      </c>
      <c r="K438" s="317" t="str">
        <f>IF(AND(ISNUMBER(K437),ISNUMBER(E_EnergyFlows!K$120)), K437/E_EnergyFlows!K$120*100,"")</f>
        <v/>
      </c>
      <c r="L438" s="317" t="str">
        <f>IF(AND(ISNUMBER(L437),ISNUMBER(E_EnergyFlows!L$120)), L437/E_EnergyFlows!L$120*100,"")</f>
        <v/>
      </c>
      <c r="M438" s="317" t="str">
        <f>IF(AND(ISNUMBER(M437),ISNUMBER(E_EnergyFlows!M$120)), M437/E_EnergyFlows!M$120*100,"")</f>
        <v/>
      </c>
      <c r="N438" s="38"/>
      <c r="O438" s="25"/>
      <c r="P438" s="182" t="str">
        <f>EUconst_CNTR_HEAT &amp; I420</f>
        <v>HEAT_</v>
      </c>
      <c r="Q438" s="315" t="str">
        <f>IF(COUNT(S437:X437)&gt;0,AVERAGE(S437:X437)*EUconst_HeatBMvalue,EUconst_NA)</f>
        <v>NA</v>
      </c>
      <c r="R438" s="955"/>
      <c r="S438" s="955"/>
      <c r="AA438" s="607"/>
    </row>
    <row r="439" spans="2:27" x14ac:dyDescent="0.2">
      <c r="B439" s="38"/>
      <c r="C439" s="38"/>
      <c r="D439" s="212" t="s">
        <v>4</v>
      </c>
      <c r="E439" s="1373" t="str">
        <f>Translations!$B$699</f>
        <v>Konsekvences pārbaude — saskanība ar k) punkta i. apakšpunktu.</v>
      </c>
      <c r="F439" s="1550"/>
      <c r="G439" s="1550"/>
      <c r="H439" s="48" t="s">
        <v>393</v>
      </c>
      <c r="I439" s="316" t="str">
        <f>IF(AND(I515&gt;0,ISNUMBER(I437)), I437/I515*100,"")</f>
        <v/>
      </c>
      <c r="J439" s="316" t="str">
        <f>IF(AND(J515&gt;0,ISNUMBER(J437)), J437/J515*100,"")</f>
        <v/>
      </c>
      <c r="K439" s="316" t="str">
        <f>IF(AND(K515&gt;0,ISNUMBER(K437)), K437/K515*100,"")</f>
        <v/>
      </c>
      <c r="L439" s="316" t="str">
        <f>IF(AND(L515&gt;0,ISNUMBER(L437)), L437/L515*100,"")</f>
        <v/>
      </c>
      <c r="M439" s="316" t="str">
        <f>IF(AND(M515&gt;0,ISNUMBER(M437)), M437/M515*100,"")</f>
        <v/>
      </c>
      <c r="N439" s="38"/>
      <c r="O439" s="25"/>
      <c r="R439" s="955"/>
      <c r="S439" s="955"/>
      <c r="AA439" s="607"/>
    </row>
    <row r="440" spans="2:27" ht="12.75" customHeight="1" x14ac:dyDescent="0.2">
      <c r="B440" s="38"/>
      <c r="C440" s="38"/>
      <c r="D440" s="38"/>
      <c r="E440" s="38"/>
      <c r="F440" s="38"/>
      <c r="G440" s="38"/>
      <c r="H440" s="38"/>
      <c r="I440" s="125"/>
      <c r="J440" s="38"/>
      <c r="K440" s="38"/>
      <c r="L440" s="38"/>
      <c r="M440" s="38"/>
      <c r="N440" s="38"/>
      <c r="O440" s="25"/>
      <c r="P440" s="157"/>
      <c r="R440" s="955"/>
      <c r="S440" s="955"/>
      <c r="AA440" s="607"/>
    </row>
    <row r="441" spans="2:27" ht="15" x14ac:dyDescent="0.2">
      <c r="B441" s="38"/>
      <c r="C441" s="972"/>
      <c r="D441" s="1318" t="str">
        <f>Translations!$B$700</f>
        <v>Ražošanas dati</v>
      </c>
      <c r="E441" s="1251"/>
      <c r="F441" s="1251"/>
      <c r="G441" s="1251"/>
      <c r="H441" s="1251"/>
      <c r="I441" s="1251"/>
      <c r="J441" s="1251"/>
      <c r="K441" s="1251"/>
      <c r="L441" s="1251"/>
      <c r="M441" s="1251"/>
      <c r="N441" s="1251"/>
      <c r="O441" s="25"/>
      <c r="R441" s="955"/>
      <c r="S441" s="955"/>
      <c r="AA441" s="607"/>
    </row>
    <row r="442" spans="2:27" ht="5.0999999999999996" customHeight="1" x14ac:dyDescent="0.2">
      <c r="B442" s="224"/>
      <c r="C442" s="224"/>
      <c r="D442" s="224"/>
      <c r="E442" s="224"/>
      <c r="F442" s="224"/>
      <c r="G442" s="224"/>
      <c r="H442" s="224"/>
      <c r="I442" s="224"/>
      <c r="J442" s="224"/>
      <c r="K442" s="224"/>
      <c r="L442" s="224"/>
      <c r="M442" s="224"/>
      <c r="N442" s="224"/>
      <c r="O442" s="25"/>
      <c r="P442" s="955"/>
      <c r="Q442" s="955"/>
      <c r="R442" s="955"/>
      <c r="S442" s="955"/>
      <c r="AA442" s="607"/>
    </row>
    <row r="443" spans="2:27" x14ac:dyDescent="0.2">
      <c r="B443" s="224"/>
      <c r="C443" s="32"/>
      <c r="D443" s="32" t="s">
        <v>12</v>
      </c>
      <c r="E443" s="1250" t="str">
        <f>Translations!$B$701</f>
        <v>Šajā produkta līmeņatzīmes apakšiekārtā ietverto produktu identificēšana</v>
      </c>
      <c r="F443" s="1251"/>
      <c r="G443" s="1251"/>
      <c r="H443" s="1251"/>
      <c r="I443" s="1251"/>
      <c r="J443" s="1251"/>
      <c r="K443" s="1251"/>
      <c r="L443" s="1251"/>
      <c r="M443" s="1251"/>
      <c r="N443" s="1251"/>
      <c r="O443" s="25"/>
      <c r="P443" s="955"/>
      <c r="R443" s="955"/>
      <c r="S443" s="955"/>
      <c r="AA443" s="607"/>
    </row>
    <row r="444" spans="2:27" ht="5.0999999999999996" customHeight="1" x14ac:dyDescent="0.2">
      <c r="B444" s="224"/>
      <c r="C444" s="224"/>
      <c r="D444" s="224"/>
      <c r="E444" s="224"/>
      <c r="F444" s="224"/>
      <c r="G444" s="224"/>
      <c r="H444" s="224"/>
      <c r="I444" s="224"/>
      <c r="J444" s="224"/>
      <c r="K444" s="224"/>
      <c r="L444" s="224"/>
      <c r="M444" s="224"/>
      <c r="N444" s="224"/>
      <c r="O444" s="25"/>
      <c r="P444" s="955"/>
      <c r="Q444" s="955"/>
      <c r="R444" s="955"/>
      <c r="S444" s="955"/>
      <c r="AA444" s="607"/>
    </row>
    <row r="445" spans="2:27" x14ac:dyDescent="0.2">
      <c r="B445" s="224"/>
      <c r="C445" s="32"/>
      <c r="D445" s="32" t="s">
        <v>13</v>
      </c>
      <c r="E445" s="1250" t="str">
        <f>Translations!$B$706</f>
        <v>Šajā produkta līmeņatzīmes apakšiekārtā ietverto produktu atsevišķie ražošanas līmeņi</v>
      </c>
      <c r="F445" s="1251"/>
      <c r="G445" s="1251"/>
      <c r="H445" s="1251"/>
      <c r="I445" s="1251"/>
      <c r="J445" s="1251"/>
      <c r="K445" s="1251"/>
      <c r="L445" s="1251"/>
      <c r="M445" s="1251"/>
      <c r="N445" s="1251"/>
      <c r="O445" s="25"/>
      <c r="P445" s="955"/>
      <c r="R445" s="955"/>
      <c r="S445" s="955"/>
      <c r="AA445" s="607"/>
    </row>
    <row r="446" spans="2:27" ht="5.0999999999999996" customHeight="1" x14ac:dyDescent="0.2">
      <c r="B446" s="224"/>
      <c r="C446" s="224"/>
      <c r="D446" s="34"/>
      <c r="E446" s="35"/>
      <c r="F446" s="35"/>
      <c r="G446" s="35"/>
      <c r="H446" s="35"/>
      <c r="I446" s="35"/>
      <c r="J446" s="39"/>
      <c r="K446" s="39"/>
      <c r="L446" s="39"/>
      <c r="M446" s="34"/>
      <c r="N446" s="34"/>
      <c r="O446" s="25"/>
      <c r="P446" s="955"/>
      <c r="R446" s="955"/>
      <c r="S446" s="955"/>
      <c r="AA446" s="607"/>
    </row>
    <row r="447" spans="2:27" ht="25.5" customHeight="1" x14ac:dyDescent="0.2">
      <c r="B447" s="38"/>
      <c r="C447" s="38"/>
      <c r="D447" s="360"/>
      <c r="E447" s="1121" t="str">
        <f>Translations!$B$1668</f>
        <v>PRODCOM 2010</v>
      </c>
      <c r="F447" s="1703" t="str">
        <f>Translations!$B$707</f>
        <v>Produkta vai produktu grupas nosaukums</v>
      </c>
      <c r="G447" s="1704"/>
      <c r="H447" s="1129" t="str">
        <f>EUconst_Unit</f>
        <v>Vienība</v>
      </c>
      <c r="I447" s="1130">
        <f>I$1820</f>
        <v>2019</v>
      </c>
      <c r="J447" s="1130">
        <f>J$1820</f>
        <v>2020</v>
      </c>
      <c r="K447" s="1130">
        <f>K$1820</f>
        <v>2021</v>
      </c>
      <c r="L447" s="1130">
        <f>L$1820</f>
        <v>2022</v>
      </c>
      <c r="M447" s="1130">
        <f>M$1820</f>
        <v>2023</v>
      </c>
      <c r="N447" s="1131" t="str">
        <f>Translations!$B$1669</f>
        <v>KN kodi</v>
      </c>
      <c r="O447" s="25"/>
      <c r="R447" s="955"/>
      <c r="S447" s="955"/>
      <c r="AA447" s="607"/>
    </row>
    <row r="448" spans="2:27" x14ac:dyDescent="0.2">
      <c r="B448" s="38"/>
      <c r="C448" s="38"/>
      <c r="D448" s="55">
        <v>1</v>
      </c>
      <c r="E448" s="1199"/>
      <c r="F448" s="1705"/>
      <c r="G448" s="1706"/>
      <c r="H448" s="800"/>
      <c r="I448" s="484"/>
      <c r="J448" s="484"/>
      <c r="K448" s="484"/>
      <c r="L448" s="484"/>
      <c r="M448" s="484"/>
      <c r="N448" s="1145"/>
      <c r="O448" s="25"/>
      <c r="R448" s="955"/>
      <c r="S448" s="955"/>
      <c r="AA448" s="361" t="b">
        <f>AA437</f>
        <v>0</v>
      </c>
    </row>
    <row r="449" spans="2:27" x14ac:dyDescent="0.2">
      <c r="B449" s="38"/>
      <c r="C449" s="38"/>
      <c r="D449" s="56">
        <f>D448+1</f>
        <v>2</v>
      </c>
      <c r="E449" s="1200"/>
      <c r="F449" s="1707"/>
      <c r="G449" s="1708"/>
      <c r="H449" s="573"/>
      <c r="I449" s="557"/>
      <c r="J449" s="557"/>
      <c r="K449" s="557"/>
      <c r="L449" s="557"/>
      <c r="M449" s="557"/>
      <c r="N449" s="1146"/>
      <c r="O449" s="25"/>
      <c r="R449" s="955"/>
      <c r="S449" s="955"/>
      <c r="AA449" s="361" t="b">
        <f>AA448</f>
        <v>0</v>
      </c>
    </row>
    <row r="450" spans="2:27" x14ac:dyDescent="0.2">
      <c r="B450" s="38"/>
      <c r="C450" s="38"/>
      <c r="D450" s="56">
        <f t="shared" ref="D450:D457" si="4">D449+1</f>
        <v>3</v>
      </c>
      <c r="E450" s="1200"/>
      <c r="F450" s="1691"/>
      <c r="G450" s="1692"/>
      <c r="H450" s="573"/>
      <c r="I450" s="557"/>
      <c r="J450" s="557"/>
      <c r="K450" s="557"/>
      <c r="L450" s="557"/>
      <c r="M450" s="557"/>
      <c r="N450" s="1147"/>
      <c r="O450" s="25"/>
      <c r="R450" s="955"/>
      <c r="S450" s="955"/>
      <c r="AA450" s="361" t="b">
        <f t="shared" ref="AA450:AA458" si="5">AA449</f>
        <v>0</v>
      </c>
    </row>
    <row r="451" spans="2:27" x14ac:dyDescent="0.2">
      <c r="B451" s="38"/>
      <c r="C451" s="38"/>
      <c r="D451" s="56">
        <f t="shared" si="4"/>
        <v>4</v>
      </c>
      <c r="E451" s="1200"/>
      <c r="F451" s="1691"/>
      <c r="G451" s="1692"/>
      <c r="H451" s="573"/>
      <c r="I451" s="557"/>
      <c r="J451" s="557"/>
      <c r="K451" s="557"/>
      <c r="L451" s="557"/>
      <c r="M451" s="557"/>
      <c r="N451" s="1147"/>
      <c r="O451" s="25"/>
      <c r="R451" s="955"/>
      <c r="S451" s="955"/>
      <c r="AA451" s="361" t="b">
        <f t="shared" si="5"/>
        <v>0</v>
      </c>
    </row>
    <row r="452" spans="2:27" x14ac:dyDescent="0.2">
      <c r="B452" s="38"/>
      <c r="C452" s="38"/>
      <c r="D452" s="56">
        <f t="shared" si="4"/>
        <v>5</v>
      </c>
      <c r="E452" s="1200"/>
      <c r="F452" s="1691"/>
      <c r="G452" s="1692"/>
      <c r="H452" s="573"/>
      <c r="I452" s="557"/>
      <c r="J452" s="557"/>
      <c r="K452" s="557"/>
      <c r="L452" s="557"/>
      <c r="M452" s="557"/>
      <c r="N452" s="1147"/>
      <c r="O452" s="25"/>
      <c r="R452" s="955"/>
      <c r="S452" s="955"/>
      <c r="AA452" s="361" t="b">
        <f t="shared" si="5"/>
        <v>0</v>
      </c>
    </row>
    <row r="453" spans="2:27" x14ac:dyDescent="0.2">
      <c r="B453" s="38"/>
      <c r="C453" s="38"/>
      <c r="D453" s="56">
        <f t="shared" si="4"/>
        <v>6</v>
      </c>
      <c r="E453" s="1200"/>
      <c r="F453" s="1691"/>
      <c r="G453" s="1692"/>
      <c r="H453" s="573"/>
      <c r="I453" s="557"/>
      <c r="J453" s="557"/>
      <c r="K453" s="557"/>
      <c r="L453" s="557"/>
      <c r="M453" s="557"/>
      <c r="N453" s="1146"/>
      <c r="O453" s="25"/>
      <c r="R453" s="955"/>
      <c r="S453" s="955"/>
      <c r="AA453" s="361" t="b">
        <f t="shared" si="5"/>
        <v>0</v>
      </c>
    </row>
    <row r="454" spans="2:27" x14ac:dyDescent="0.2">
      <c r="B454" s="38"/>
      <c r="C454" s="38"/>
      <c r="D454" s="56">
        <f t="shared" si="4"/>
        <v>7</v>
      </c>
      <c r="E454" s="1200"/>
      <c r="F454" s="1691"/>
      <c r="G454" s="1692"/>
      <c r="H454" s="573"/>
      <c r="I454" s="557"/>
      <c r="J454" s="557"/>
      <c r="K454" s="557"/>
      <c r="L454" s="557"/>
      <c r="M454" s="557"/>
      <c r="N454" s="1147"/>
      <c r="O454" s="25"/>
      <c r="R454" s="955"/>
      <c r="S454" s="955"/>
      <c r="AA454" s="361" t="b">
        <f t="shared" si="5"/>
        <v>0</v>
      </c>
    </row>
    <row r="455" spans="2:27" x14ac:dyDescent="0.2">
      <c r="B455" s="38"/>
      <c r="C455" s="38"/>
      <c r="D455" s="56">
        <f t="shared" si="4"/>
        <v>8</v>
      </c>
      <c r="E455" s="1200"/>
      <c r="F455" s="1691"/>
      <c r="G455" s="1692"/>
      <c r="H455" s="573"/>
      <c r="I455" s="557"/>
      <c r="J455" s="557"/>
      <c r="K455" s="557"/>
      <c r="L455" s="557"/>
      <c r="M455" s="557"/>
      <c r="N455" s="1147"/>
      <c r="O455" s="25"/>
      <c r="R455" s="955"/>
      <c r="S455" s="955"/>
      <c r="AA455" s="361" t="b">
        <f t="shared" si="5"/>
        <v>0</v>
      </c>
    </row>
    <row r="456" spans="2:27" x14ac:dyDescent="0.2">
      <c r="B456" s="38"/>
      <c r="C456" s="38"/>
      <c r="D456" s="56">
        <f t="shared" si="4"/>
        <v>9</v>
      </c>
      <c r="E456" s="1200"/>
      <c r="F456" s="1691"/>
      <c r="G456" s="1692"/>
      <c r="H456" s="573"/>
      <c r="I456" s="557"/>
      <c r="J456" s="557"/>
      <c r="K456" s="557"/>
      <c r="L456" s="557"/>
      <c r="M456" s="557"/>
      <c r="N456" s="1147"/>
      <c r="O456" s="25"/>
      <c r="R456" s="955"/>
      <c r="S456" s="955"/>
      <c r="AA456" s="361" t="b">
        <f t="shared" si="5"/>
        <v>0</v>
      </c>
    </row>
    <row r="457" spans="2:27" x14ac:dyDescent="0.2">
      <c r="B457" s="38"/>
      <c r="C457" s="38"/>
      <c r="D457" s="59">
        <f t="shared" si="4"/>
        <v>10</v>
      </c>
      <c r="E457" s="1201"/>
      <c r="F457" s="1694"/>
      <c r="G457" s="1695"/>
      <c r="H457" s="574"/>
      <c r="I457" s="458"/>
      <c r="J457" s="458"/>
      <c r="K457" s="458"/>
      <c r="L457" s="458"/>
      <c r="M457" s="458"/>
      <c r="N457" s="1148"/>
      <c r="O457" s="25"/>
      <c r="R457" s="955"/>
      <c r="S457" s="955"/>
      <c r="AA457" s="361" t="b">
        <f t="shared" si="5"/>
        <v>0</v>
      </c>
    </row>
    <row r="458" spans="2:27" ht="12.75" customHeight="1" thickBot="1" x14ac:dyDescent="0.25">
      <c r="B458" s="38"/>
      <c r="C458" s="38"/>
      <c r="D458" s="115"/>
      <c r="E458" s="1696" t="str">
        <f>Translations!$B$708</f>
        <v>Ražošanas līmeņu summa</v>
      </c>
      <c r="F458" s="1696"/>
      <c r="G458" s="1696"/>
      <c r="H458" s="733"/>
      <c r="I458" s="343" t="str">
        <f>IF(COUNT(I448:I457)&gt;0,SUM(I448:I457),"")</f>
        <v/>
      </c>
      <c r="J458" s="343" t="str">
        <f>IF(COUNT(J448:J457)&gt;0,SUM(J448:J457),"")</f>
        <v/>
      </c>
      <c r="K458" s="343" t="str">
        <f>IF(COUNT(K448:K457)&gt;0,SUM(K448:K457),"")</f>
        <v/>
      </c>
      <c r="L458" s="343" t="str">
        <f>IF(COUNT(L448:L457)&gt;0,SUM(L448:L457),"")</f>
        <v/>
      </c>
      <c r="M458" s="343" t="str">
        <f>IF(COUNT(M448:M457)&gt;0,SUM(M448:M457),"")</f>
        <v/>
      </c>
      <c r="N458" s="34"/>
      <c r="O458" s="25"/>
      <c r="R458" s="955"/>
      <c r="S458" s="955"/>
      <c r="AA458" s="186" t="b">
        <f t="shared" si="5"/>
        <v>0</v>
      </c>
    </row>
    <row r="459" spans="2:27" ht="12.75" customHeight="1" thickBot="1" x14ac:dyDescent="0.25">
      <c r="B459" s="224"/>
      <c r="C459" s="224"/>
      <c r="D459" s="224"/>
      <c r="E459" s="224"/>
      <c r="F459" s="224"/>
      <c r="G459" s="224"/>
      <c r="H459" s="224"/>
      <c r="I459" s="224"/>
      <c r="J459" s="224"/>
      <c r="K459" s="224"/>
      <c r="L459" s="224"/>
      <c r="M459" s="34"/>
      <c r="N459" s="34"/>
      <c r="O459" s="25"/>
      <c r="P459" s="955"/>
      <c r="R459" s="955"/>
      <c r="S459" s="955"/>
    </row>
    <row r="460" spans="2:27" ht="5.0999999999999996" customHeight="1" x14ac:dyDescent="0.2">
      <c r="B460" s="224"/>
      <c r="C460" s="973"/>
      <c r="D460" s="974"/>
      <c r="E460" s="974"/>
      <c r="F460" s="974"/>
      <c r="G460" s="974"/>
      <c r="H460" s="974"/>
      <c r="I460" s="974"/>
      <c r="J460" s="974"/>
      <c r="K460" s="974"/>
      <c r="L460" s="974"/>
      <c r="M460" s="975"/>
      <c r="N460" s="976"/>
      <c r="O460" s="25"/>
      <c r="P460" s="955"/>
      <c r="R460" s="955"/>
      <c r="S460" s="955"/>
    </row>
    <row r="461" spans="2:27" ht="15" customHeight="1" x14ac:dyDescent="0.2">
      <c r="B461" s="38"/>
      <c r="C461" s="977"/>
      <c r="D461" s="1697" t="str">
        <f>Translations!$B$709</f>
        <v>Dati, kas vajadzīgi, lai noteiktu līmeņatzīmju uzlabošanas rādītāju saskaņā ar ES ETS direktīvas 10.a panta 2. punktu.</v>
      </c>
      <c r="E461" s="1655"/>
      <c r="F461" s="1655"/>
      <c r="G461" s="1655"/>
      <c r="H461" s="1655"/>
      <c r="I461" s="1655"/>
      <c r="J461" s="1655"/>
      <c r="K461" s="1655"/>
      <c r="L461" s="1655"/>
      <c r="M461" s="1655"/>
      <c r="N461" s="1656"/>
      <c r="O461" s="25"/>
      <c r="R461" s="955"/>
      <c r="S461" s="955"/>
    </row>
    <row r="462" spans="2:27" ht="5.0999999999999996" customHeight="1" x14ac:dyDescent="0.2">
      <c r="B462" s="38"/>
      <c r="C462" s="472"/>
      <c r="D462" s="461"/>
      <c r="E462" s="461"/>
      <c r="F462" s="461"/>
      <c r="G462" s="461"/>
      <c r="H462" s="461"/>
      <c r="I462" s="461"/>
      <c r="J462" s="461"/>
      <c r="K462" s="461"/>
      <c r="L462" s="461"/>
      <c r="M462" s="461"/>
      <c r="N462" s="473"/>
      <c r="O462" s="25"/>
      <c r="R462" s="955"/>
      <c r="S462" s="955"/>
    </row>
    <row r="463" spans="2:27" ht="15" customHeight="1" x14ac:dyDescent="0.2">
      <c r="B463" s="38"/>
      <c r="C463" s="472"/>
      <c r="D463" s="1698" t="str">
        <f>EUconst_BMSubinst &amp; ":"</f>
        <v>Apakšiekārta ar produkta līmeņatzīmi:</v>
      </c>
      <c r="E463" s="1699"/>
      <c r="F463" s="1699"/>
      <c r="G463" s="1699"/>
      <c r="H463" s="1700"/>
      <c r="I463" s="1701" t="str">
        <f>I420</f>
        <v/>
      </c>
      <c r="J463" s="1457"/>
      <c r="K463" s="1457"/>
      <c r="L463" s="1457"/>
      <c r="M463" s="1457"/>
      <c r="N463" s="1702"/>
      <c r="O463" s="25"/>
      <c r="R463" s="955"/>
      <c r="S463" s="955"/>
    </row>
    <row r="464" spans="2:27" ht="5.0999999999999996" customHeight="1" x14ac:dyDescent="0.2">
      <c r="B464" s="38"/>
      <c r="C464" s="472"/>
      <c r="D464" s="461"/>
      <c r="E464" s="461"/>
      <c r="F464" s="461"/>
      <c r="G464" s="461"/>
      <c r="H464" s="461"/>
      <c r="I464" s="461"/>
      <c r="J464" s="461"/>
      <c r="K464" s="461"/>
      <c r="L464" s="461"/>
      <c r="M464" s="461"/>
      <c r="N464" s="473"/>
      <c r="O464" s="25"/>
      <c r="R464" s="955"/>
      <c r="S464" s="955"/>
    </row>
    <row r="465" spans="2:23" ht="30" customHeight="1" x14ac:dyDescent="0.2">
      <c r="B465" s="224"/>
      <c r="C465" s="977"/>
      <c r="D465" s="978"/>
      <c r="E465" s="1670" t="str">
        <f>Translations!$B$710</f>
        <v>Šī apakšsadaļa attiecas uz tādu emisiju attiecināšanu, kas saistītas ar avota plūsmām, emisiju avotiem, izmērāma siltuma un atlikumgāzu importu un eksportu, arī siltuma zudumiem saskaņā ar FAR VII pielikuma 10. iedaļu.</v>
      </c>
      <c r="F465" s="1670"/>
      <c r="G465" s="1670"/>
      <c r="H465" s="1670"/>
      <c r="I465" s="1670"/>
      <c r="J465" s="1670"/>
      <c r="K465" s="1670"/>
      <c r="L465" s="1670"/>
      <c r="M465" s="1670"/>
      <c r="N465" s="698"/>
      <c r="O465" s="25"/>
      <c r="P465" s="955"/>
    </row>
    <row r="466" spans="2:23" ht="30" customHeight="1" x14ac:dyDescent="0.2">
      <c r="B466" s="224"/>
      <c r="C466" s="977"/>
      <c r="D466" s="978"/>
      <c r="E466" s="1670" t="str">
        <f>Translations!$B$711</f>
        <v xml:space="preserve">Ņemiet vērā, ka, lai gan ir sniegti daži norādījumi par katru no nākamajiem punktiem, papildu informācija būtu jāmeklē Norādījumu dokumentā Nr. 5 (“Monitoring and Reporting in relation to the FAR” — “Ar FAR saistītais monitorings un ziņošana”), kurā ietverti arī piemēri. </v>
      </c>
      <c r="F466" s="1670"/>
      <c r="G466" s="1670"/>
      <c r="H466" s="1670"/>
      <c r="I466" s="1670"/>
      <c r="J466" s="1670"/>
      <c r="K466" s="1670"/>
      <c r="L466" s="1670"/>
      <c r="M466" s="1670"/>
      <c r="N466" s="698"/>
      <c r="O466" s="25"/>
      <c r="P466" s="955"/>
    </row>
    <row r="467" spans="2:23" ht="12.75" customHeight="1" x14ac:dyDescent="0.2">
      <c r="B467" s="224"/>
      <c r="C467" s="977"/>
      <c r="D467" s="978"/>
      <c r="E467" s="1670" t="str">
        <f>Translations!$B$712</f>
        <v xml:space="preserve">Šos norādījumus var lejupielādēt šeit: </v>
      </c>
      <c r="F467" s="1268"/>
      <c r="G467" s="1268"/>
      <c r="H467" s="1268"/>
      <c r="I467" s="1268"/>
      <c r="J467" s="1268"/>
      <c r="K467" s="1268"/>
      <c r="L467" s="1268"/>
      <c r="M467" s="1268"/>
      <c r="N467" s="698"/>
      <c r="O467" s="25"/>
      <c r="P467" s="955"/>
    </row>
    <row r="468" spans="2:23" ht="15" customHeight="1" x14ac:dyDescent="0.2">
      <c r="B468" s="224"/>
      <c r="C468" s="977"/>
      <c r="D468" s="978"/>
      <c r="E468" s="1549" t="str">
        <f>Translations!$B$713</f>
        <v>https://ec.europa.eu/clima/policies/ets/allowances_en#tab-0-1</v>
      </c>
      <c r="F468" s="1549"/>
      <c r="G468" s="1549"/>
      <c r="H468" s="1549"/>
      <c r="I468" s="1549"/>
      <c r="J468" s="1549"/>
      <c r="K468" s="1549"/>
      <c r="L468" s="1549"/>
      <c r="M468" s="1549"/>
      <c r="N468" s="698"/>
      <c r="O468" s="25"/>
      <c r="P468" s="955"/>
    </row>
    <row r="469" spans="2:23" ht="5.0999999999999996" customHeight="1" x14ac:dyDescent="0.2">
      <c r="B469" s="38"/>
      <c r="C469" s="472"/>
      <c r="D469" s="461"/>
      <c r="E469" s="461"/>
      <c r="F469" s="461"/>
      <c r="G469" s="461"/>
      <c r="H469" s="461"/>
      <c r="I469" s="461"/>
      <c r="J469" s="461"/>
      <c r="K469" s="461"/>
      <c r="L469" s="461"/>
      <c r="M469" s="461"/>
      <c r="N469" s="473"/>
      <c r="O469" s="25"/>
      <c r="R469" s="955"/>
      <c r="S469" s="955"/>
    </row>
    <row r="470" spans="2:23" ht="15" customHeight="1" x14ac:dyDescent="0.2">
      <c r="B470" s="224"/>
      <c r="C470" s="977"/>
      <c r="D470" s="978"/>
      <c r="E470" s="1693" t="str">
        <f>Translations!$B$714</f>
        <v>Balstoties uz tālāk izdarītajiem ierakstiem, attiecināmās emisijas tiek aprēķinātas kopsavilkuma lapas K III sadaļas 2. punktā.</v>
      </c>
      <c r="F470" s="1693"/>
      <c r="G470" s="1693"/>
      <c r="H470" s="1693"/>
      <c r="I470" s="1693"/>
      <c r="J470" s="1693"/>
      <c r="K470" s="1693"/>
      <c r="L470" s="1693"/>
      <c r="M470" s="1693"/>
      <c r="N470" s="698"/>
      <c r="O470" s="25"/>
      <c r="P470" s="955"/>
    </row>
    <row r="471" spans="2:23" ht="5.0999999999999996" customHeight="1" x14ac:dyDescent="0.2">
      <c r="B471" s="38"/>
      <c r="C471" s="472"/>
      <c r="D471" s="461"/>
      <c r="E471" s="461"/>
      <c r="F471" s="461"/>
      <c r="G471" s="461"/>
      <c r="H471" s="461"/>
      <c r="I471" s="461"/>
      <c r="J471" s="461"/>
      <c r="K471" s="461"/>
      <c r="L471" s="461"/>
      <c r="M471" s="461"/>
      <c r="N471" s="473"/>
      <c r="O471" s="25"/>
      <c r="R471" s="955"/>
      <c r="S471" s="955"/>
    </row>
    <row r="472" spans="2:23" ht="12.75" customHeight="1" thickBot="1" x14ac:dyDescent="0.25">
      <c r="B472" s="224"/>
      <c r="C472" s="977"/>
      <c r="D472" s="474" t="s">
        <v>81</v>
      </c>
      <c r="E472" s="1654" t="str">
        <f>Translations!$B$715</f>
        <v>Uz šo apakšiekārtu tieši attiecināmas emisijas (DirEm* (MP avota plūsmas))</v>
      </c>
      <c r="F472" s="1655"/>
      <c r="G472" s="1655"/>
      <c r="H472" s="1655"/>
      <c r="I472" s="1655"/>
      <c r="J472" s="1655"/>
      <c r="K472" s="1655"/>
      <c r="L472" s="1655"/>
      <c r="M472" s="1655"/>
      <c r="N472" s="1656"/>
      <c r="O472" s="25"/>
      <c r="P472" s="955"/>
      <c r="R472" s="955"/>
      <c r="S472" s="955"/>
    </row>
    <row r="473" spans="2:23" ht="12.75" customHeight="1" x14ac:dyDescent="0.2">
      <c r="B473" s="224"/>
      <c r="C473" s="977"/>
      <c r="D473" s="474"/>
      <c r="E473" s="1653" t="str">
        <f>Translations!$B$725</f>
        <v>Tieši attiecināmās emisijas (DirEm*)</v>
      </c>
      <c r="F473" s="1657"/>
      <c r="G473" s="1657"/>
      <c r="H473" s="462" t="str">
        <f>EUconst_Unit</f>
        <v>Vienība</v>
      </c>
      <c r="I473" s="463">
        <f>I$1820</f>
        <v>2019</v>
      </c>
      <c r="J473" s="463">
        <f>J$1820</f>
        <v>2020</v>
      </c>
      <c r="K473" s="463">
        <f>K$1820</f>
        <v>2021</v>
      </c>
      <c r="L473" s="463">
        <f>L$1820</f>
        <v>2022</v>
      </c>
      <c r="M473" s="463">
        <f>M$1820</f>
        <v>2023</v>
      </c>
      <c r="N473" s="661"/>
      <c r="O473" s="25"/>
      <c r="P473" s="955"/>
      <c r="R473" s="970"/>
      <c r="S473" s="809">
        <f>I473</f>
        <v>2019</v>
      </c>
      <c r="T473" s="809">
        <f>J473</f>
        <v>2020</v>
      </c>
      <c r="U473" s="809">
        <f>K473</f>
        <v>2021</v>
      </c>
      <c r="V473" s="809">
        <f>L473</f>
        <v>2022</v>
      </c>
      <c r="W473" s="810">
        <f>M473</f>
        <v>2023</v>
      </c>
    </row>
    <row r="474" spans="2:23" ht="12.75" customHeight="1" thickBot="1" x14ac:dyDescent="0.25">
      <c r="B474" s="224"/>
      <c r="C474" s="977"/>
      <c r="D474" s="978"/>
      <c r="E474" s="1689" t="str">
        <f>I420</f>
        <v/>
      </c>
      <c r="F474" s="1689"/>
      <c r="G474" s="1689"/>
      <c r="H474" s="464" t="str">
        <f>EUconst_tCO2epa</f>
        <v>t CO2e/gads</v>
      </c>
      <c r="I474" s="330"/>
      <c r="J474" s="330"/>
      <c r="K474" s="330"/>
      <c r="L474" s="330"/>
      <c r="M474" s="330"/>
      <c r="N474" s="661"/>
      <c r="O474" s="25"/>
      <c r="P474" s="979" t="str">
        <f>EUconst_CNTR_Emissions &amp; I420</f>
        <v>DirEmissions_</v>
      </c>
      <c r="R474" s="971" t="str">
        <f>EUconst_CNTR_AttributedEmissions &amp; I420</f>
        <v>AttrEmissions_</v>
      </c>
      <c r="S474" s="137" t="str">
        <f>IF(S420,SUM(I474),"")</f>
        <v/>
      </c>
      <c r="T474" s="137" t="str">
        <f>IF(T420,SUM(J474),"")</f>
        <v/>
      </c>
      <c r="U474" s="137" t="str">
        <f>IF(U420,SUM(K474),"")</f>
        <v/>
      </c>
      <c r="V474" s="137" t="str">
        <f>IF(V420,SUM(L474),"")</f>
        <v/>
      </c>
      <c r="W474" s="138" t="str">
        <f>IF(W420,SUM(M474),"")</f>
        <v/>
      </c>
    </row>
    <row r="475" spans="2:23" ht="12.75" customHeight="1" x14ac:dyDescent="0.2">
      <c r="B475" s="224"/>
      <c r="C475" s="977"/>
      <c r="D475" s="978"/>
      <c r="E475" s="978"/>
      <c r="F475" s="978"/>
      <c r="G475" s="978"/>
      <c r="H475" s="978"/>
      <c r="I475" s="978"/>
      <c r="J475" s="978"/>
      <c r="K475" s="978"/>
      <c r="L475" s="978"/>
      <c r="M475" s="980"/>
      <c r="N475" s="661"/>
      <c r="O475" s="25"/>
      <c r="P475" s="955"/>
      <c r="R475" s="955"/>
    </row>
    <row r="476" spans="2:23" ht="12.75" customHeight="1" x14ac:dyDescent="0.2">
      <c r="B476" s="224"/>
      <c r="C476" s="977"/>
      <c r="D476" s="474" t="s">
        <v>82</v>
      </c>
      <c r="E476" s="1663" t="str">
        <f>Translations!$B$1670</f>
        <v>Enerģijas ielaide šajā apakšiekārtā un relevantais emisijas faktors</v>
      </c>
      <c r="F476" s="1663"/>
      <c r="G476" s="1663"/>
      <c r="H476" s="1663"/>
      <c r="I476" s="1663"/>
      <c r="J476" s="1663"/>
      <c r="K476" s="1663"/>
      <c r="L476" s="1663"/>
      <c r="M476" s="1663"/>
      <c r="N476" s="1690"/>
      <c r="O476" s="25"/>
      <c r="P476" s="955"/>
      <c r="Q476" s="955"/>
      <c r="R476" s="955"/>
    </row>
    <row r="477" spans="2:23" ht="12.75" customHeight="1" x14ac:dyDescent="0.2">
      <c r="B477" s="224"/>
      <c r="C477" s="977"/>
      <c r="D477" s="474"/>
      <c r="E477" s="1653"/>
      <c r="F477" s="1657"/>
      <c r="G477" s="1657"/>
      <c r="H477" s="462" t="str">
        <f>EUconst_Unit</f>
        <v>Vienība</v>
      </c>
      <c r="I477" s="463">
        <f>I$1820</f>
        <v>2019</v>
      </c>
      <c r="J477" s="463">
        <f>J$1820</f>
        <v>2020</v>
      </c>
      <c r="K477" s="463">
        <f>K$1820</f>
        <v>2021</v>
      </c>
      <c r="L477" s="463">
        <f>L$1820</f>
        <v>2022</v>
      </c>
      <c r="M477" s="463">
        <f>M$1820</f>
        <v>2023</v>
      </c>
      <c r="N477" s="661"/>
      <c r="O477" s="25"/>
      <c r="P477" s="955"/>
      <c r="R477" s="955"/>
    </row>
    <row r="478" spans="2:23" ht="12.75" customHeight="1" x14ac:dyDescent="0.2">
      <c r="B478" s="224"/>
      <c r="C478" s="977"/>
      <c r="D478" s="695" t="s">
        <v>2</v>
      </c>
      <c r="E478" s="1651" t="str">
        <f>Translations!$B$1672</f>
        <v>Enerģijas ielaide</v>
      </c>
      <c r="F478" s="1652"/>
      <c r="G478" s="1652"/>
      <c r="H478" s="465" t="str">
        <f>EUconst_TJpa</f>
        <v>TJ / gads</v>
      </c>
      <c r="I478" s="330"/>
      <c r="J478" s="330"/>
      <c r="K478" s="330"/>
      <c r="L478" s="330"/>
      <c r="M478" s="330"/>
      <c r="N478" s="698"/>
      <c r="O478" s="25"/>
      <c r="P478" s="979" t="str">
        <f>EUconst_CNTR_FuelInput &amp; I420</f>
        <v>FuelInput_</v>
      </c>
      <c r="R478" s="955"/>
    </row>
    <row r="479" spans="2:23" ht="12.75" customHeight="1" x14ac:dyDescent="0.2">
      <c r="B479" s="224"/>
      <c r="C479" s="977"/>
      <c r="D479" s="695" t="s">
        <v>3</v>
      </c>
      <c r="E479" s="1709" t="str">
        <f>Translations!$B$732</f>
        <v>Svērtais emisijas faktors</v>
      </c>
      <c r="F479" s="1710"/>
      <c r="G479" s="1710"/>
      <c r="H479" s="577" t="str">
        <f>EUconst_tCO2pTJ</f>
        <v>t CO2 / TJ</v>
      </c>
      <c r="I479" s="338"/>
      <c r="J479" s="338"/>
      <c r="K479" s="338"/>
      <c r="L479" s="338"/>
      <c r="M479" s="338"/>
      <c r="N479" s="661"/>
      <c r="O479" s="25"/>
      <c r="P479" s="979" t="str">
        <f>EUconst_CNTR_FuelEF &amp; I420</f>
        <v>FuelEF_</v>
      </c>
      <c r="R479" s="955"/>
    </row>
    <row r="480" spans="2:23" ht="12.75" customHeight="1" x14ac:dyDescent="0.2">
      <c r="B480" s="224"/>
      <c r="C480" s="977"/>
      <c r="D480" s="978"/>
      <c r="E480" s="978"/>
      <c r="F480" s="978"/>
      <c r="G480" s="978"/>
      <c r="H480" s="978"/>
      <c r="I480" s="978"/>
      <c r="J480" s="978"/>
      <c r="K480" s="978"/>
      <c r="L480" s="978"/>
      <c r="M480" s="980"/>
      <c r="N480" s="661"/>
      <c r="O480" s="25"/>
      <c r="P480" s="955"/>
      <c r="R480" s="955"/>
    </row>
    <row r="481" spans="2:27" ht="12.75" customHeight="1" thickBot="1" x14ac:dyDescent="0.25">
      <c r="B481" s="224"/>
      <c r="C481" s="977"/>
      <c r="D481" s="474" t="s">
        <v>83</v>
      </c>
      <c r="E481" s="1663" t="str">
        <f>Translations!$B$733</f>
        <v>Citas iekšējās avota plūsmas, kas importētas uz šo apakšiekārtu vai eksportētas no tās</v>
      </c>
      <c r="F481" s="1663"/>
      <c r="G481" s="1663"/>
      <c r="H481" s="1663"/>
      <c r="I481" s="1663"/>
      <c r="J481" s="1663"/>
      <c r="K481" s="1663"/>
      <c r="L481" s="1663"/>
      <c r="M481" s="1663"/>
      <c r="N481" s="1690"/>
      <c r="O481" s="25"/>
      <c r="P481" s="955"/>
      <c r="Q481" s="955"/>
      <c r="R481" s="955"/>
    </row>
    <row r="482" spans="2:27" ht="12.75" customHeight="1" thickBot="1" x14ac:dyDescent="0.25">
      <c r="B482" s="224"/>
      <c r="C482" s="977"/>
      <c r="D482" s="695" t="s">
        <v>2</v>
      </c>
      <c r="E482" s="1732" t="str">
        <f>Translations!$B$739</f>
        <v>Vai šai apakšiekārtai ir relevantas vēl citas importētas vai eksportētas iekšējās avota plūsmas?</v>
      </c>
      <c r="F482" s="1732"/>
      <c r="G482" s="1732"/>
      <c r="H482" s="1732"/>
      <c r="I482" s="1732"/>
      <c r="J482" s="1732"/>
      <c r="K482" s="1733"/>
      <c r="L482" s="527"/>
      <c r="M482" s="1202"/>
      <c r="N482" s="1203"/>
      <c r="O482" s="25"/>
      <c r="P482" s="955"/>
      <c r="R482" s="955"/>
      <c r="W482" s="966" t="s">
        <v>398</v>
      </c>
      <c r="X482" s="964" t="b">
        <f>IF(AND(I420&lt;&gt;"",ISBLANK(L482)),EUconst_Error&amp;"BM"&amp;C420,FALSE)</f>
        <v>0</v>
      </c>
    </row>
    <row r="483" spans="2:27" ht="5.0999999999999996" customHeight="1" thickBot="1" x14ac:dyDescent="0.25">
      <c r="B483" s="224"/>
      <c r="C483" s="977"/>
      <c r="D483" s="978"/>
      <c r="E483" s="978"/>
      <c r="F483" s="978"/>
      <c r="G483" s="978"/>
      <c r="H483" s="978"/>
      <c r="I483" s="978"/>
      <c r="J483" s="978"/>
      <c r="K483" s="978"/>
      <c r="L483" s="978"/>
      <c r="M483" s="980"/>
      <c r="N483" s="661"/>
      <c r="O483" s="25"/>
      <c r="P483" s="955"/>
      <c r="R483" s="955"/>
    </row>
    <row r="484" spans="2:27" ht="12.75" customHeight="1" x14ac:dyDescent="0.2">
      <c r="B484" s="224"/>
      <c r="C484" s="977"/>
      <c r="D484" s="695" t="s">
        <v>3</v>
      </c>
      <c r="E484" s="1663" t="str">
        <f>Translations!$B$741</f>
        <v>Citu avota plūsmu nosaukums, 1:</v>
      </c>
      <c r="F484" s="1663"/>
      <c r="G484" s="1663"/>
      <c r="H484" s="1663"/>
      <c r="I484" s="1664"/>
      <c r="J484" s="1665"/>
      <c r="K484" s="1665"/>
      <c r="L484" s="1665"/>
      <c r="M484" s="1666"/>
      <c r="N484" s="660"/>
      <c r="O484" s="25"/>
      <c r="P484" s="955"/>
      <c r="R484" s="955"/>
      <c r="AA484" s="643" t="b">
        <f>IF(I420&lt;&gt;"",AND(L482&lt;&gt;"",L482=FALSE),FALSE)</f>
        <v>0</v>
      </c>
    </row>
    <row r="485" spans="2:27" ht="5.0999999999999996" customHeight="1" x14ac:dyDescent="0.2">
      <c r="B485" s="224"/>
      <c r="C485" s="977"/>
      <c r="D485" s="978"/>
      <c r="E485" s="1204"/>
      <c r="F485" s="1202"/>
      <c r="G485" s="1202"/>
      <c r="H485" s="1202"/>
      <c r="I485" s="1202"/>
      <c r="J485" s="1202"/>
      <c r="K485" s="1202"/>
      <c r="L485" s="1202"/>
      <c r="M485" s="1202"/>
      <c r="N485" s="1203"/>
      <c r="O485" s="25"/>
      <c r="P485" s="955"/>
      <c r="R485" s="955"/>
      <c r="AA485" s="607"/>
    </row>
    <row r="486" spans="2:27" ht="12.75" customHeight="1" x14ac:dyDescent="0.2">
      <c r="B486" s="224"/>
      <c r="C486" s="977"/>
      <c r="D486" s="978"/>
      <c r="E486" s="1653" t="str">
        <f>Translations!$B$742</f>
        <v>Citas avota plūsmas, 1:</v>
      </c>
      <c r="F486" s="1657"/>
      <c r="G486" s="1657"/>
      <c r="H486" s="462" t="str">
        <f>EUconst_Unit</f>
        <v>Vienība</v>
      </c>
      <c r="I486" s="463">
        <f>I$1820</f>
        <v>2019</v>
      </c>
      <c r="J486" s="463">
        <f>J$1820</f>
        <v>2020</v>
      </c>
      <c r="K486" s="463">
        <f>K$1820</f>
        <v>2021</v>
      </c>
      <c r="L486" s="463">
        <f>L$1820</f>
        <v>2022</v>
      </c>
      <c r="M486" s="463">
        <f>M$1820</f>
        <v>2023</v>
      </c>
      <c r="N486" s="661"/>
      <c r="O486" s="25"/>
      <c r="P486" s="955"/>
      <c r="R486" s="955"/>
      <c r="AA486" s="607"/>
    </row>
    <row r="487" spans="2:27" ht="12.75" customHeight="1" x14ac:dyDescent="0.2">
      <c r="B487" s="224"/>
      <c r="C487" s="977"/>
      <c r="D487" s="695" t="s">
        <v>4</v>
      </c>
      <c r="E487" s="1667" t="str">
        <f>Translations!$B$743</f>
        <v>Importētais vai eksportētais daudzums</v>
      </c>
      <c r="F487" s="1660"/>
      <c r="G487" s="1660"/>
      <c r="H487" s="466" t="str">
        <f>EUconst_tpa</f>
        <v>t / gads</v>
      </c>
      <c r="I487" s="348"/>
      <c r="J487" s="348"/>
      <c r="K487" s="348"/>
      <c r="L487" s="348"/>
      <c r="M487" s="348"/>
      <c r="N487" s="661"/>
      <c r="O487" s="25"/>
      <c r="P487" s="955"/>
      <c r="R487" s="955"/>
      <c r="AA487" s="361" t="b">
        <f>AA484</f>
        <v>0</v>
      </c>
    </row>
    <row r="488" spans="2:27" ht="12.75" customHeight="1" x14ac:dyDescent="0.2">
      <c r="B488" s="224"/>
      <c r="C488" s="977"/>
      <c r="D488" s="695" t="s">
        <v>6</v>
      </c>
      <c r="E488" s="1658" t="str">
        <f>Translations!$B$744</f>
        <v>Zemākā siltumspēja (attiecīgā gadījumā)</v>
      </c>
      <c r="F488" s="1658"/>
      <c r="G488" s="1658"/>
      <c r="H488" s="551" t="str">
        <f>EUconst_GJpt</f>
        <v>GJ / t</v>
      </c>
      <c r="I488" s="347"/>
      <c r="J488" s="347"/>
      <c r="K488" s="347"/>
      <c r="L488" s="347"/>
      <c r="M488" s="347"/>
      <c r="N488" s="661"/>
      <c r="O488" s="25"/>
      <c r="P488" s="955"/>
      <c r="R488" s="955"/>
      <c r="AA488" s="361" t="b">
        <f>AA487</f>
        <v>0</v>
      </c>
    </row>
    <row r="489" spans="2:27" ht="12.75" customHeight="1" thickBot="1" x14ac:dyDescent="0.25">
      <c r="B489" s="224"/>
      <c r="C489" s="977"/>
      <c r="D489" s="695" t="s">
        <v>303</v>
      </c>
      <c r="E489" s="1658" t="str">
        <f>Translations!$B$745</f>
        <v>Oglekļa saturs (masas %)</v>
      </c>
      <c r="F489" s="1658"/>
      <c r="G489" s="1658"/>
      <c r="H489" s="552" t="s">
        <v>341</v>
      </c>
      <c r="I489" s="347"/>
      <c r="J489" s="347"/>
      <c r="K489" s="347"/>
      <c r="L489" s="347"/>
      <c r="M489" s="347"/>
      <c r="N489" s="661"/>
      <c r="O489" s="25"/>
      <c r="P489" s="955"/>
      <c r="R489" s="955"/>
      <c r="AA489" s="361" t="b">
        <f>AA488</f>
        <v>0</v>
      </c>
    </row>
    <row r="490" spans="2:27" ht="12.75" customHeight="1" x14ac:dyDescent="0.2">
      <c r="B490" s="224"/>
      <c r="C490" s="977"/>
      <c r="D490" s="695" t="s">
        <v>304</v>
      </c>
      <c r="E490" s="1659" t="str">
        <f>Translations!$B$746</f>
        <v>Biomasas saturs (kā oglekļa frakcija)</v>
      </c>
      <c r="F490" s="1659"/>
      <c r="G490" s="1659"/>
      <c r="H490" s="485" t="s">
        <v>341</v>
      </c>
      <c r="I490" s="345"/>
      <c r="J490" s="345"/>
      <c r="K490" s="345"/>
      <c r="L490" s="345"/>
      <c r="M490" s="345"/>
      <c r="N490" s="661"/>
      <c r="O490" s="25"/>
      <c r="P490" s="955"/>
      <c r="R490" s="970"/>
      <c r="S490" s="809">
        <f>I486</f>
        <v>2019</v>
      </c>
      <c r="T490" s="809">
        <f>J486</f>
        <v>2020</v>
      </c>
      <c r="U490" s="809">
        <f>K486</f>
        <v>2021</v>
      </c>
      <c r="V490" s="809">
        <f>L486</f>
        <v>2022</v>
      </c>
      <c r="W490" s="810">
        <f>M486</f>
        <v>2023</v>
      </c>
      <c r="AA490" s="361" t="b">
        <f>AA489</f>
        <v>0</v>
      </c>
    </row>
    <row r="491" spans="2:27" ht="12.75" customHeight="1" thickBot="1" x14ac:dyDescent="0.25">
      <c r="B491" s="224"/>
      <c r="C491" s="977"/>
      <c r="D491" s="695" t="s">
        <v>305</v>
      </c>
      <c r="E491" s="1660" t="str">
        <f>Translations!$B$747</f>
        <v>Emisijas (no fosilajiem avotiem, aprēķinātās)</v>
      </c>
      <c r="F491" s="1660"/>
      <c r="G491" s="1660"/>
      <c r="H491" s="553" t="str">
        <f>EUconst_tCO2pa</f>
        <v>t CO2 / gads</v>
      </c>
      <c r="I491" s="341" t="str">
        <f>IF(AND(COUNT(I487:I490)&gt;0,I494=""),3.664*I487*(I489/100)*(1-I490/100),"")</f>
        <v/>
      </c>
      <c r="J491" s="341" t="str">
        <f>IF(AND(COUNT(J487:J490)&gt;0,J494=""),3.664*J487*(J489/100)*(1-J490/100),"")</f>
        <v/>
      </c>
      <c r="K491" s="341" t="str">
        <f>IF(AND(COUNT(K487:K490)&gt;0,K494=""),3.664*K487*(K489/100)*(1-K490/100),"")</f>
        <v/>
      </c>
      <c r="L491" s="341" t="str">
        <f>IF(AND(COUNT(L487:L490)&gt;0,L494=""),3.664*L487*(L489/100)*(1-L490/100),"")</f>
        <v/>
      </c>
      <c r="M491" s="341" t="str">
        <f>IF(AND(COUNT(M487:M490)&gt;0,M494=""),3.664*M487*(M489/100)*(1-M490/100),"")</f>
        <v/>
      </c>
      <c r="N491" s="661"/>
      <c r="O491" s="25"/>
      <c r="P491" s="979" t="str">
        <f>EUconst_CNTR_EmissionsIntSource1 &amp; I420</f>
        <v>EmInternalSource1_</v>
      </c>
      <c r="R491" s="971" t="str">
        <f>EUconst_CNTR_AttributedEmissions &amp; I420</f>
        <v>AttrEmissions_</v>
      </c>
      <c r="S491" s="137" t="str">
        <f>IF(S420,SUM(I491),"")</f>
        <v/>
      </c>
      <c r="T491" s="137" t="str">
        <f>IF(T420,SUM(J491),"")</f>
        <v/>
      </c>
      <c r="U491" s="137" t="str">
        <f>IF(U420,SUM(K491),"")</f>
        <v/>
      </c>
      <c r="V491" s="137" t="str">
        <f>IF(V420,SUM(L491),"")</f>
        <v/>
      </c>
      <c r="W491" s="138" t="str">
        <f>IF(W420,SUM(M491),"")</f>
        <v/>
      </c>
      <c r="AA491" s="607"/>
    </row>
    <row r="492" spans="2:27" ht="12.75" customHeight="1" x14ac:dyDescent="0.2">
      <c r="B492" s="224"/>
      <c r="C492" s="977"/>
      <c r="D492" s="695" t="s">
        <v>306</v>
      </c>
      <c r="E492" s="1661" t="str">
        <f>Translations!$B$1617</f>
        <v>Nulles faktora biomasas emisijas</v>
      </c>
      <c r="F492" s="1661"/>
      <c r="G492" s="1661"/>
      <c r="H492" s="554" t="str">
        <f>EUconst_tCO2pa</f>
        <v>t CO2 / gads</v>
      </c>
      <c r="I492" s="340" t="str">
        <f>IF(ISNUMBER(I491),3.664*I487*(I489/100)*(I490/100),"")</f>
        <v/>
      </c>
      <c r="J492" s="340" t="str">
        <f>IF(ISNUMBER(J491),3.664*J487*(J489/100)*(J490/100),"")</f>
        <v/>
      </c>
      <c r="K492" s="340" t="str">
        <f>IF(ISNUMBER(K491),3.664*K487*(K489/100)*(K490/100),"")</f>
        <v/>
      </c>
      <c r="L492" s="340" t="str">
        <f>IF(ISNUMBER(L491),3.664*L487*(L489/100)*(L490/100),"")</f>
        <v/>
      </c>
      <c r="M492" s="340" t="str">
        <f>IF(ISNUMBER(M491),3.664*M487*(M489/100)*(M490/100),"")</f>
        <v/>
      </c>
      <c r="N492" s="661"/>
      <c r="O492" s="25"/>
      <c r="P492" s="955"/>
      <c r="R492" s="955"/>
      <c r="AA492" s="607"/>
    </row>
    <row r="493" spans="2:27" ht="12.75" customHeight="1" x14ac:dyDescent="0.2">
      <c r="B493" s="224"/>
      <c r="C493" s="977"/>
      <c r="D493" s="695" t="s">
        <v>307</v>
      </c>
      <c r="E493" s="1659" t="str">
        <f>Translations!$B$749</f>
        <v>Enerģētiskais saturs (aprēķinātais)</v>
      </c>
      <c r="F493" s="1659"/>
      <c r="G493" s="1659"/>
      <c r="H493" s="555" t="str">
        <f>EUconst_TJpa</f>
        <v>TJ / gads</v>
      </c>
      <c r="I493" s="343" t="str">
        <f>IF(COUNT(I487:I488)=2,I487*I488/1000,"")</f>
        <v/>
      </c>
      <c r="J493" s="343" t="str">
        <f>IF(COUNT(J487:J488)=2,J487*J488/1000,"")</f>
        <v/>
      </c>
      <c r="K493" s="343" t="str">
        <f>IF(COUNT(K487:K488)=2,K487*K488/1000,"")</f>
        <v/>
      </c>
      <c r="L493" s="343" t="str">
        <f>IF(COUNT(L487:L488)=2,L487*L488/1000,"")</f>
        <v/>
      </c>
      <c r="M493" s="343" t="str">
        <f>IF(COUNT(M487:M488)=2,M487*M488/1000,"")</f>
        <v/>
      </c>
      <c r="N493" s="661"/>
      <c r="O493" s="25"/>
      <c r="P493" s="955"/>
      <c r="R493" s="955"/>
      <c r="AA493" s="607"/>
    </row>
    <row r="494" spans="2:27" ht="12.75" customHeight="1" x14ac:dyDescent="0.2">
      <c r="B494" s="224"/>
      <c r="C494" s="977"/>
      <c r="D494" s="695" t="s">
        <v>15</v>
      </c>
      <c r="E494" s="1662" t="str">
        <f>Translations!$B$750</f>
        <v>Kļūdas ziņojumi (emisijas)</v>
      </c>
      <c r="F494" s="1662"/>
      <c r="G494" s="1662"/>
      <c r="H494" s="556"/>
      <c r="I494" s="662" t="str">
        <f>IF(COUNT(I487,I489:I490)&gt;0,IF(COUNTIF(I488:I490,"&lt;0")&gt;0,EUconst_Negative,IF(COUNT(I487,I489:I490)&lt;3,EUconst_Incomplete,"")),"")</f>
        <v/>
      </c>
      <c r="J494" s="662" t="str">
        <f>IF(COUNT(J487,J489:J490)&gt;0,IF(COUNTIF(J488:J490,"&lt;0")&gt;0,EUconst_Negative,IF(COUNT(J487,J489:J490)&lt;3,EUconst_Incomplete,"")),"")</f>
        <v/>
      </c>
      <c r="K494" s="662" t="str">
        <f>IF(COUNT(K487,K489:K490)&gt;0,IF(COUNTIF(K488:K490,"&lt;0")&gt;0,EUconst_Negative,IF(COUNT(K487,K489:K490)&lt;3,EUconst_Incomplete,"")),"")</f>
        <v/>
      </c>
      <c r="L494" s="662" t="str">
        <f>IF(COUNT(L487,L489:L490)&gt;0,IF(COUNTIF(L488:L490,"&lt;0")&gt;0,EUconst_Negative,IF(COUNT(L487,L489:L490)&lt;3,EUconst_Incomplete,"")),"")</f>
        <v/>
      </c>
      <c r="M494" s="662" t="str">
        <f>IF(COUNT(M487,M489:M490)&gt;0,IF(COUNTIF(M488:M490,"&lt;0")&gt;0,EUconst_Negative,IF(COUNT(M487,M489:M490)&lt;3,EUconst_Incomplete,"")),"")</f>
        <v/>
      </c>
      <c r="N494" s="661"/>
      <c r="O494" s="25"/>
      <c r="P494" s="955"/>
      <c r="R494" s="955"/>
      <c r="AA494" s="607"/>
    </row>
    <row r="495" spans="2:27" ht="5.0999999999999996" customHeight="1" x14ac:dyDescent="0.2">
      <c r="B495" s="224"/>
      <c r="C495" s="977"/>
      <c r="D495" s="695"/>
      <c r="E495" s="978"/>
      <c r="F495" s="978"/>
      <c r="G495" s="978"/>
      <c r="H495" s="978"/>
      <c r="I495" s="978"/>
      <c r="J495" s="978"/>
      <c r="K495" s="978"/>
      <c r="L495" s="978"/>
      <c r="M495" s="980"/>
      <c r="N495" s="661"/>
      <c r="O495" s="25"/>
      <c r="P495" s="955"/>
      <c r="R495" s="955"/>
      <c r="AA495" s="607"/>
    </row>
    <row r="496" spans="2:27" ht="12.75" customHeight="1" x14ac:dyDescent="0.2">
      <c r="B496" s="224"/>
      <c r="C496" s="977"/>
      <c r="D496" s="695" t="s">
        <v>16</v>
      </c>
      <c r="E496" s="1663" t="str">
        <f>Translations!$B$751</f>
        <v>Citu avota plūsmu nosaukums, 2:</v>
      </c>
      <c r="F496" s="1663"/>
      <c r="G496" s="1663"/>
      <c r="H496" s="1663"/>
      <c r="I496" s="1664"/>
      <c r="J496" s="1665"/>
      <c r="K496" s="1665"/>
      <c r="L496" s="1665"/>
      <c r="M496" s="1666"/>
      <c r="N496" s="1203"/>
      <c r="O496" s="25"/>
      <c r="P496" s="955"/>
      <c r="R496" s="955"/>
      <c r="AA496" s="361" t="b">
        <f>AA484</f>
        <v>0</v>
      </c>
    </row>
    <row r="497" spans="2:27" ht="5.0999999999999996" customHeight="1" x14ac:dyDescent="0.2">
      <c r="B497" s="224"/>
      <c r="C497" s="977"/>
      <c r="D497" s="978"/>
      <c r="E497" s="1204"/>
      <c r="F497" s="1202"/>
      <c r="G497" s="1202"/>
      <c r="H497" s="1202"/>
      <c r="I497" s="1202"/>
      <c r="J497" s="1202"/>
      <c r="K497" s="1202"/>
      <c r="L497" s="1202"/>
      <c r="M497" s="1202"/>
      <c r="N497" s="1203"/>
      <c r="O497" s="25"/>
      <c r="P497" s="955"/>
      <c r="R497" s="955"/>
      <c r="AA497" s="607"/>
    </row>
    <row r="498" spans="2:27" ht="12.75" customHeight="1" x14ac:dyDescent="0.2">
      <c r="B498" s="224"/>
      <c r="C498" s="977"/>
      <c r="D498" s="695"/>
      <c r="E498" s="1653" t="str">
        <f>Translations!$B$752</f>
        <v>Citas avota plūsmas, 2:</v>
      </c>
      <c r="F498" s="1657"/>
      <c r="G498" s="1657"/>
      <c r="H498" s="462" t="str">
        <f>EUconst_Unit</f>
        <v>Vienība</v>
      </c>
      <c r="I498" s="463">
        <f>I$1820</f>
        <v>2019</v>
      </c>
      <c r="J498" s="463">
        <f>J$1820</f>
        <v>2020</v>
      </c>
      <c r="K498" s="463">
        <f>K$1820</f>
        <v>2021</v>
      </c>
      <c r="L498" s="463">
        <f>L$1820</f>
        <v>2022</v>
      </c>
      <c r="M498" s="463">
        <f>M$1820</f>
        <v>2023</v>
      </c>
      <c r="N498" s="661"/>
      <c r="O498" s="25"/>
      <c r="P498" s="955"/>
      <c r="R498" s="955"/>
      <c r="AA498" s="607"/>
    </row>
    <row r="499" spans="2:27" ht="12.75" customHeight="1" x14ac:dyDescent="0.2">
      <c r="B499" s="224"/>
      <c r="C499" s="977"/>
      <c r="D499" s="695" t="s">
        <v>17</v>
      </c>
      <c r="E499" s="1667" t="str">
        <f>Translations!$B$743</f>
        <v>Importētais vai eksportētais daudzums</v>
      </c>
      <c r="F499" s="1660"/>
      <c r="G499" s="1660"/>
      <c r="H499" s="466" t="str">
        <f>EUconst_tpa</f>
        <v>t / gads</v>
      </c>
      <c r="I499" s="348"/>
      <c r="J499" s="348"/>
      <c r="K499" s="348"/>
      <c r="L499" s="348"/>
      <c r="M499" s="348"/>
      <c r="N499" s="661"/>
      <c r="O499" s="25"/>
      <c r="P499" s="955"/>
      <c r="R499" s="955"/>
      <c r="AA499" s="361" t="b">
        <f>AA496</f>
        <v>0</v>
      </c>
    </row>
    <row r="500" spans="2:27" ht="12.75" customHeight="1" x14ac:dyDescent="0.2">
      <c r="B500" s="224"/>
      <c r="C500" s="977"/>
      <c r="D500" s="695" t="s">
        <v>438</v>
      </c>
      <c r="E500" s="1658" t="str">
        <f>Translations!$B$744</f>
        <v>Zemākā siltumspēja (attiecīgā gadījumā)</v>
      </c>
      <c r="F500" s="1658"/>
      <c r="G500" s="1658"/>
      <c r="H500" s="551" t="str">
        <f>EUconst_GJpt</f>
        <v>GJ / t</v>
      </c>
      <c r="I500" s="347"/>
      <c r="J500" s="347"/>
      <c r="K500" s="347"/>
      <c r="L500" s="347"/>
      <c r="M500" s="347"/>
      <c r="N500" s="661"/>
      <c r="O500" s="25"/>
      <c r="P500" s="955"/>
      <c r="R500" s="955"/>
      <c r="AA500" s="361" t="b">
        <f>AA499</f>
        <v>0</v>
      </c>
    </row>
    <row r="501" spans="2:27" ht="12.75" customHeight="1" thickBot="1" x14ac:dyDescent="0.25">
      <c r="B501" s="224"/>
      <c r="C501" s="977"/>
      <c r="D501" s="695" t="s">
        <v>439</v>
      </c>
      <c r="E501" s="1658" t="str">
        <f>Translations!$B$745</f>
        <v>Oglekļa saturs (masas %)</v>
      </c>
      <c r="F501" s="1658"/>
      <c r="G501" s="1658"/>
      <c r="H501" s="552" t="s">
        <v>341</v>
      </c>
      <c r="I501" s="347"/>
      <c r="J501" s="347"/>
      <c r="K501" s="347"/>
      <c r="L501" s="347"/>
      <c r="M501" s="347"/>
      <c r="N501" s="661"/>
      <c r="O501" s="25"/>
      <c r="P501" s="955"/>
      <c r="R501" s="955"/>
      <c r="AA501" s="361" t="b">
        <f>AA500</f>
        <v>0</v>
      </c>
    </row>
    <row r="502" spans="2:27" ht="12.75" customHeight="1" thickBot="1" x14ac:dyDescent="0.25">
      <c r="B502" s="224"/>
      <c r="C502" s="977"/>
      <c r="D502" s="695" t="s">
        <v>440</v>
      </c>
      <c r="E502" s="1659" t="str">
        <f>Translations!$B$746</f>
        <v>Biomasas saturs (kā oglekļa frakcija)</v>
      </c>
      <c r="F502" s="1659"/>
      <c r="G502" s="1659"/>
      <c r="H502" s="485" t="s">
        <v>341</v>
      </c>
      <c r="I502" s="345"/>
      <c r="J502" s="345"/>
      <c r="K502" s="345"/>
      <c r="L502" s="345"/>
      <c r="M502" s="345"/>
      <c r="N502" s="661"/>
      <c r="O502" s="25"/>
      <c r="P502" s="955"/>
      <c r="R502" s="970"/>
      <c r="S502" s="809">
        <f>I498</f>
        <v>2019</v>
      </c>
      <c r="T502" s="809">
        <f>J498</f>
        <v>2020</v>
      </c>
      <c r="U502" s="809">
        <f>K498</f>
        <v>2021</v>
      </c>
      <c r="V502" s="809">
        <f>L498</f>
        <v>2022</v>
      </c>
      <c r="W502" s="810">
        <f>M498</f>
        <v>2023</v>
      </c>
      <c r="AA502" s="186" t="b">
        <f>AA501</f>
        <v>0</v>
      </c>
    </row>
    <row r="503" spans="2:27" ht="12.75" customHeight="1" thickBot="1" x14ac:dyDescent="0.25">
      <c r="B503" s="224"/>
      <c r="C503" s="977"/>
      <c r="D503" s="695" t="s">
        <v>441</v>
      </c>
      <c r="E503" s="1660" t="str">
        <f>Translations!$B$747</f>
        <v>Emisijas (no fosilajiem avotiem, aprēķinātās)</v>
      </c>
      <c r="F503" s="1660"/>
      <c r="G503" s="1660"/>
      <c r="H503" s="553" t="str">
        <f>EUconst_tCO2pa</f>
        <v>t CO2 / gads</v>
      </c>
      <c r="I503" s="341" t="str">
        <f>IF(AND(COUNT(I499:I502)&gt;0,I506=""),3.664*I499*(I501/100)*(1-I502/100),"")</f>
        <v/>
      </c>
      <c r="J503" s="341" t="str">
        <f>IF(AND(COUNT(J499:J502)&gt;0,J506=""),3.664*J499*(J501/100)*(1-J502/100),"")</f>
        <v/>
      </c>
      <c r="K503" s="341" t="str">
        <f>IF(AND(COUNT(K499:K502)&gt;0,K506=""),3.664*K499*(K501/100)*(1-K502/100),"")</f>
        <v/>
      </c>
      <c r="L503" s="341" t="str">
        <f>IF(AND(COUNT(L499:L502)&gt;0,L506=""),3.664*L499*(L501/100)*(1-L502/100),"")</f>
        <v/>
      </c>
      <c r="M503" s="341" t="str">
        <f>IF(AND(COUNT(M499:M502)&gt;0,M506=""),3.664*M499*(M501/100)*(1-M502/100),"")</f>
        <v/>
      </c>
      <c r="N503" s="661"/>
      <c r="O503" s="25"/>
      <c r="P503" s="979" t="str">
        <f>EUconst_CNTR_EmissionsIntSource2 &amp; I420</f>
        <v>EmInternalSource2_</v>
      </c>
      <c r="R503" s="971" t="str">
        <f>EUconst_CNTR_AttributedEmissions &amp; I420</f>
        <v>AttrEmissions_</v>
      </c>
      <c r="S503" s="137" t="str">
        <f>IF(S420,SUM(I503),"")</f>
        <v/>
      </c>
      <c r="T503" s="137" t="str">
        <f>IF(T420,SUM(J503),"")</f>
        <v/>
      </c>
      <c r="U503" s="137" t="str">
        <f>IF(U420,SUM(K503),"")</f>
        <v/>
      </c>
      <c r="V503" s="137" t="str">
        <f>IF(V420,SUM(L503),"")</f>
        <v/>
      </c>
      <c r="W503" s="138" t="str">
        <f>IF(W420,SUM(M503),"")</f>
        <v/>
      </c>
    </row>
    <row r="504" spans="2:27" ht="12.75" customHeight="1" x14ac:dyDescent="0.2">
      <c r="B504" s="224"/>
      <c r="C504" s="977"/>
      <c r="D504" s="695" t="s">
        <v>442</v>
      </c>
      <c r="E504" s="1661" t="str">
        <f>Translations!$B$1617</f>
        <v>Nulles faktora biomasas emisijas</v>
      </c>
      <c r="F504" s="1661"/>
      <c r="G504" s="1661"/>
      <c r="H504" s="554" t="str">
        <f>EUconst_tCO2pa</f>
        <v>t CO2 / gads</v>
      </c>
      <c r="I504" s="340" t="str">
        <f>IF(ISNUMBER(I503),3.664*I499*(I501/100)*(I502/100),"")</f>
        <v/>
      </c>
      <c r="J504" s="340" t="str">
        <f>IF(ISNUMBER(J503),3.664*J499*(J501/100)*(J502/100),"")</f>
        <v/>
      </c>
      <c r="K504" s="340" t="str">
        <f>IF(ISNUMBER(K503),3.664*K499*(K501/100)*(K502/100),"")</f>
        <v/>
      </c>
      <c r="L504" s="340" t="str">
        <f>IF(ISNUMBER(L503),3.664*L499*(L501/100)*(L502/100),"")</f>
        <v/>
      </c>
      <c r="M504" s="340" t="str">
        <f>IF(ISNUMBER(M503),3.664*M499*(M501/100)*(M502/100),"")</f>
        <v/>
      </c>
      <c r="N504" s="661"/>
      <c r="O504" s="25"/>
      <c r="P504" s="955"/>
      <c r="R504" s="955"/>
    </row>
    <row r="505" spans="2:27" ht="12.75" customHeight="1" x14ac:dyDescent="0.2">
      <c r="B505" s="224"/>
      <c r="C505" s="977"/>
      <c r="D505" s="695" t="s">
        <v>443</v>
      </c>
      <c r="E505" s="1659" t="str">
        <f>Translations!$B$749</f>
        <v>Enerģētiskais saturs (aprēķinātais)</v>
      </c>
      <c r="F505" s="1659"/>
      <c r="G505" s="1659"/>
      <c r="H505" s="555" t="str">
        <f>EUconst_TJpa</f>
        <v>TJ / gads</v>
      </c>
      <c r="I505" s="343" t="str">
        <f>IF(COUNT(I499:I500)=2,I499*I500/1000,"")</f>
        <v/>
      </c>
      <c r="J505" s="343" t="str">
        <f>IF(COUNT(J499:J500)=2,J499*J500/1000,"")</f>
        <v/>
      </c>
      <c r="K505" s="343" t="str">
        <f>IF(COUNT(K499:K500)=2,K499*K500/1000,"")</f>
        <v/>
      </c>
      <c r="L505" s="343" t="str">
        <f>IF(COUNT(L499:L500)=2,L499*L500/1000,"")</f>
        <v/>
      </c>
      <c r="M505" s="343" t="str">
        <f>IF(COUNT(M499:M500)=2,M499*M500/1000,"")</f>
        <v/>
      </c>
      <c r="N505" s="661"/>
      <c r="O505" s="25"/>
      <c r="P505" s="955"/>
      <c r="R505" s="955"/>
    </row>
    <row r="506" spans="2:27" ht="12.75" customHeight="1" x14ac:dyDescent="0.2">
      <c r="B506" s="224"/>
      <c r="C506" s="977"/>
      <c r="D506" s="695" t="s">
        <v>439</v>
      </c>
      <c r="E506" s="1662" t="str">
        <f>Translations!$B$750</f>
        <v>Kļūdas ziņojumi (emisijas)</v>
      </c>
      <c r="F506" s="1662"/>
      <c r="G506" s="1662"/>
      <c r="H506" s="556"/>
      <c r="I506" s="662" t="str">
        <f>IF(COUNT(I499,I501:I502)&gt;0,IF(COUNTIF(I500:I502,"&lt;0")&gt;0,EUconst_Negative,IF(COUNT(I499,I501:I502)&lt;3,EUconst_Incomplete,"")),"")</f>
        <v/>
      </c>
      <c r="J506" s="662" t="str">
        <f>IF(COUNT(J499,J501:J502)&gt;0,IF(COUNTIF(J500:J502,"&lt;0")&gt;0,EUconst_Negative,IF(COUNT(J499,J501:J502)&lt;3,EUconst_Incomplete,"")),"")</f>
        <v/>
      </c>
      <c r="K506" s="662" t="str">
        <f>IF(COUNT(K499,K501:K502)&gt;0,IF(COUNTIF(K500:K502,"&lt;0")&gt;0,EUconst_Negative,IF(COUNT(K499,K501:K502)&lt;3,EUconst_Incomplete,"")),"")</f>
        <v/>
      </c>
      <c r="L506" s="662" t="str">
        <f>IF(COUNT(L499,L501:L502)&gt;0,IF(COUNTIF(L500:L502,"&lt;0")&gt;0,EUconst_Negative,IF(COUNT(L499,L501:L502)&lt;3,EUconst_Incomplete,"")),"")</f>
        <v/>
      </c>
      <c r="M506" s="662" t="str">
        <f>IF(COUNT(M499,M501:M502)&gt;0,IF(COUNTIF(M500:M502,"&lt;0")&gt;0,EUconst_Negative,IF(COUNT(M499,M501:M502)&lt;3,EUconst_Incomplete,"")),"")</f>
        <v/>
      </c>
      <c r="N506" s="661"/>
      <c r="O506" s="25"/>
      <c r="P506" s="955"/>
      <c r="R506" s="955"/>
    </row>
    <row r="507" spans="2:27" ht="5.0999999999999996" customHeight="1" x14ac:dyDescent="0.2">
      <c r="B507" s="224"/>
      <c r="C507" s="977"/>
      <c r="D507" s="978"/>
      <c r="E507" s="978"/>
      <c r="F507" s="978"/>
      <c r="G507" s="978"/>
      <c r="H507" s="978"/>
      <c r="I507" s="978"/>
      <c r="J507" s="978"/>
      <c r="K507" s="978"/>
      <c r="L507" s="978"/>
      <c r="M507" s="980"/>
      <c r="N507" s="661"/>
      <c r="O507" s="25"/>
      <c r="P507" s="955"/>
      <c r="R507" s="955"/>
    </row>
    <row r="508" spans="2:27" ht="12.75" customHeight="1" thickBot="1" x14ac:dyDescent="0.25">
      <c r="B508" s="224"/>
      <c r="C508" s="977"/>
      <c r="D508" s="474" t="s">
        <v>211</v>
      </c>
      <c r="E508" s="1654" t="str">
        <f>Translations!$B$753</f>
        <v>To SEG daudzums, kas importētas vai eksportētas kā ievadmateriāli</v>
      </c>
      <c r="F508" s="1655"/>
      <c r="G508" s="1655"/>
      <c r="H508" s="1655"/>
      <c r="I508" s="1655"/>
      <c r="J508" s="1655"/>
      <c r="K508" s="1655"/>
      <c r="L508" s="1655"/>
      <c r="M508" s="1655"/>
      <c r="N508" s="1656"/>
      <c r="O508" s="25"/>
      <c r="P508" s="955"/>
      <c r="R508" s="955"/>
    </row>
    <row r="509" spans="2:27" ht="12.75" customHeight="1" x14ac:dyDescent="0.2">
      <c r="B509" s="224"/>
      <c r="C509" s="977"/>
      <c r="D509" s="474"/>
      <c r="E509" s="1653"/>
      <c r="F509" s="1657"/>
      <c r="G509" s="1657"/>
      <c r="H509" s="462" t="str">
        <f>EUconst_Unit</f>
        <v>Vienība</v>
      </c>
      <c r="I509" s="463">
        <f>I$1820</f>
        <v>2019</v>
      </c>
      <c r="J509" s="463">
        <f>J$1820</f>
        <v>2020</v>
      </c>
      <c r="K509" s="463">
        <f>K$1820</f>
        <v>2021</v>
      </c>
      <c r="L509" s="463">
        <f>L$1820</f>
        <v>2022</v>
      </c>
      <c r="M509" s="463">
        <f>M$1820</f>
        <v>2023</v>
      </c>
      <c r="N509" s="661"/>
      <c r="O509" s="25"/>
      <c r="P509" s="955"/>
      <c r="R509" s="970"/>
      <c r="S509" s="809">
        <f>I509</f>
        <v>2019</v>
      </c>
      <c r="T509" s="809">
        <f>J509</f>
        <v>2020</v>
      </c>
      <c r="U509" s="809">
        <f>K509</f>
        <v>2021</v>
      </c>
      <c r="V509" s="809">
        <f>L509</f>
        <v>2022</v>
      </c>
      <c r="W509" s="810">
        <f>M509</f>
        <v>2023</v>
      </c>
    </row>
    <row r="510" spans="2:27" ht="12.75" customHeight="1" thickBot="1" x14ac:dyDescent="0.25">
      <c r="B510" s="224"/>
      <c r="C510" s="977"/>
      <c r="D510" s="695"/>
      <c r="E510" s="1651" t="str">
        <f>Translations!$B$756</f>
        <v>Importētās vai eksportētās SEG</v>
      </c>
      <c r="F510" s="1652"/>
      <c r="G510" s="1652"/>
      <c r="H510" s="465" t="str">
        <f>EUconst_tCO2epa</f>
        <v>t CO2e/gads</v>
      </c>
      <c r="I510" s="483"/>
      <c r="J510" s="483"/>
      <c r="K510" s="483"/>
      <c r="L510" s="483"/>
      <c r="M510" s="483"/>
      <c r="N510" s="1205"/>
      <c r="O510" s="25"/>
      <c r="P510" s="979" t="str">
        <f>EUconst_CNTR_CO2Feedstock &amp; I420</f>
        <v>EmCO2Feedstock_</v>
      </c>
      <c r="R510" s="971" t="str">
        <f>EUconst_CNTR_AttributedEmissions &amp; I420</f>
        <v>AttrEmissions_</v>
      </c>
      <c r="S510" s="137" t="str">
        <f>IF(S420,SUM(I510),"")</f>
        <v/>
      </c>
      <c r="T510" s="137" t="str">
        <f>IF(T420,SUM(J510),"")</f>
        <v/>
      </c>
      <c r="U510" s="137" t="str">
        <f>IF(U420,SUM(K510),"")</f>
        <v/>
      </c>
      <c r="V510" s="137" t="str">
        <f>IF(V420,SUM(L510),"")</f>
        <v/>
      </c>
      <c r="W510" s="138" t="str">
        <f>IF(W420,SUM(M510),"")</f>
        <v/>
      </c>
    </row>
    <row r="511" spans="2:27" ht="5.0999999999999996" customHeight="1" x14ac:dyDescent="0.2">
      <c r="B511" s="224"/>
      <c r="C511" s="977"/>
      <c r="D511" s="978"/>
      <c r="E511" s="978"/>
      <c r="F511" s="978"/>
      <c r="G511" s="978"/>
      <c r="H511" s="978"/>
      <c r="I511" s="978"/>
      <c r="J511" s="978"/>
      <c r="K511" s="978"/>
      <c r="L511" s="978"/>
      <c r="M511" s="980"/>
      <c r="N511" s="661"/>
      <c r="O511" s="25"/>
      <c r="P511" s="955"/>
      <c r="R511" s="955"/>
    </row>
    <row r="512" spans="2:27" ht="12.75" customHeight="1" x14ac:dyDescent="0.2">
      <c r="B512" s="224"/>
      <c r="C512" s="977"/>
      <c r="D512" s="474" t="s">
        <v>212</v>
      </c>
      <c r="E512" s="1654" t="str">
        <f>Translations!$B$757</f>
        <v>Šajā apakšiekārtā importētais un no tās eksportētais izmērāmais siltums</v>
      </c>
      <c r="F512" s="1655"/>
      <c r="G512" s="1655"/>
      <c r="H512" s="1655"/>
      <c r="I512" s="1655"/>
      <c r="J512" s="1655"/>
      <c r="K512" s="1655"/>
      <c r="L512" s="1655"/>
      <c r="M512" s="1655"/>
      <c r="N512" s="1656"/>
      <c r="O512" s="25"/>
      <c r="P512" s="955"/>
      <c r="R512" s="955"/>
    </row>
    <row r="513" spans="2:24" ht="12.75" customHeight="1" thickBot="1" x14ac:dyDescent="0.25">
      <c r="B513" s="224"/>
      <c r="C513" s="977"/>
      <c r="D513" s="978"/>
      <c r="E513" s="1628" t="str">
        <f>Translations!$B$762</f>
        <v>Lai uz siltuma ražošanu attiecinātu emisijas no koģenerācijas, jāizmanto koģenerācijas rīks šīs veidnes D. lapas III .sadaļā.</v>
      </c>
      <c r="F513" s="1628"/>
      <c r="G513" s="1628"/>
      <c r="H513" s="1628"/>
      <c r="I513" s="1628"/>
      <c r="J513" s="1628"/>
      <c r="K513" s="1628"/>
      <c r="L513" s="1628"/>
      <c r="M513" s="1628"/>
      <c r="N513" s="1205"/>
      <c r="O513" s="25"/>
      <c r="P513" s="955"/>
    </row>
    <row r="514" spans="2:24" ht="12.75" customHeight="1" x14ac:dyDescent="0.2">
      <c r="B514" s="224"/>
      <c r="C514" s="977"/>
      <c r="D514" s="978"/>
      <c r="E514" s="1653" t="str">
        <f>Translations!$B$763</f>
        <v>Kopējais importētais siltums</v>
      </c>
      <c r="F514" s="1657"/>
      <c r="G514" s="1657"/>
      <c r="H514" s="462" t="str">
        <f>EUconst_Unit</f>
        <v>Vienība</v>
      </c>
      <c r="I514" s="463">
        <f>I$1820</f>
        <v>2019</v>
      </c>
      <c r="J514" s="463">
        <f>J$1820</f>
        <v>2020</v>
      </c>
      <c r="K514" s="463">
        <f>K$1820</f>
        <v>2021</v>
      </c>
      <c r="L514" s="463">
        <f>L$1820</f>
        <v>2022</v>
      </c>
      <c r="M514" s="463">
        <f>M$1820</f>
        <v>2023</v>
      </c>
      <c r="N514" s="1205"/>
      <c r="O514" s="25"/>
      <c r="P514" s="955"/>
      <c r="R514" s="970"/>
      <c r="S514" s="809">
        <f>I514</f>
        <v>2019</v>
      </c>
      <c r="T514" s="809">
        <f>J514</f>
        <v>2020</v>
      </c>
      <c r="U514" s="809">
        <f>K514</f>
        <v>2021</v>
      </c>
      <c r="V514" s="809">
        <f>L514</f>
        <v>2022</v>
      </c>
      <c r="W514" s="810">
        <f>M514</f>
        <v>2023</v>
      </c>
    </row>
    <row r="515" spans="2:24" ht="12.75" customHeight="1" x14ac:dyDescent="0.2">
      <c r="B515" s="224"/>
      <c r="C515" s="977"/>
      <c r="D515" s="695" t="s">
        <v>2</v>
      </c>
      <c r="E515" s="1651" t="str">
        <f>Translations!$B$764</f>
        <v>Neto importētais siltums</v>
      </c>
      <c r="F515" s="1652"/>
      <c r="G515" s="1652"/>
      <c r="H515" s="465" t="str">
        <f>EUconst_TJpa</f>
        <v>TJ / gads</v>
      </c>
      <c r="I515" s="483"/>
      <c r="J515" s="483"/>
      <c r="K515" s="483"/>
      <c r="L515" s="483"/>
      <c r="M515" s="483"/>
      <c r="N515" s="698"/>
      <c r="O515" s="25"/>
      <c r="P515" s="979" t="str">
        <f>EUconst_CNTR_HeatImport &amp; I420</f>
        <v>HeatIm_</v>
      </c>
      <c r="R515" s="981" t="str">
        <f>EUconst_ERR_AttrEmBMapplied &amp; I420</f>
        <v>ERR_AttrEmBM_ </v>
      </c>
      <c r="S515" s="134">
        <f>IF(AND(I515&lt;&gt;0,I516="",EUconst_StatusOfDataCollection=""),1,0)</f>
        <v>0</v>
      </c>
      <c r="T515" s="134">
        <f>IF(AND(J515&lt;&gt;0,J516="",EUconst_StatusOfDataCollection=""),1,0)</f>
        <v>0</v>
      </c>
      <c r="U515" s="134">
        <f>IF(AND(K515&lt;&gt;0,K516="",EUconst_StatusOfDataCollection=""),1,0)</f>
        <v>0</v>
      </c>
      <c r="V515" s="134">
        <f>IF(AND(L515&lt;&gt;0,L516="",EUconst_StatusOfDataCollection=""),1,0)</f>
        <v>0</v>
      </c>
      <c r="W515" s="135">
        <f>IF(AND(M515&lt;&gt;0,M516="",EUconst_StatusOfDataCollection=""),1,0)</f>
        <v>0</v>
      </c>
      <c r="X515" s="63"/>
    </row>
    <row r="516" spans="2:24" ht="12.75" customHeight="1" thickBot="1" x14ac:dyDescent="0.25">
      <c r="B516" s="224"/>
      <c r="C516" s="977"/>
      <c r="D516" s="695" t="s">
        <v>3</v>
      </c>
      <c r="E516" s="1651" t="str">
        <f>Translations!$B$765</f>
        <v>Īpatnējais EF (importētais siltums)</v>
      </c>
      <c r="F516" s="1652"/>
      <c r="G516" s="1652"/>
      <c r="H516" s="465" t="str">
        <f>EUconst_tCO2pTJ</f>
        <v>t CO2 / TJ</v>
      </c>
      <c r="I516" s="760"/>
      <c r="J516" s="760"/>
      <c r="K516" s="760"/>
      <c r="L516" s="760"/>
      <c r="M516" s="760"/>
      <c r="N516" s="661"/>
      <c r="O516" s="25"/>
      <c r="P516" s="979" t="str">
        <f>EUconst_CNTR_HeatImportEF &amp; I420</f>
        <v>HeatImEF_</v>
      </c>
      <c r="R516" s="971" t="str">
        <f>EUconst_CNTR_AttributedEmissions &amp; I420</f>
        <v>AttrEmissions_</v>
      </c>
      <c r="S516" s="137" t="str">
        <f>IF(S420,SUM(I515)*IF(ISNUMBER(I516),I516,EUconst_HeatBMvalueForBM),"")</f>
        <v/>
      </c>
      <c r="T516" s="137" t="str">
        <f>IF(T420,SUM(J515)*IF(ISNUMBER(J516),J516,EUconst_HeatBMvalueForBM),"")</f>
        <v/>
      </c>
      <c r="U516" s="137" t="str">
        <f>IF(U420,SUM(K515)*IF(ISNUMBER(K516),K516,EUconst_HeatBMvalueForBM),"")</f>
        <v/>
      </c>
      <c r="V516" s="137" t="str">
        <f>IF(V420,SUM(L515)*IF(ISNUMBER(L516),L516,EUconst_HeatBMvalueForBM),"")</f>
        <v/>
      </c>
      <c r="W516" s="138" t="str">
        <f>IF(W420,SUM(M515)*IF(ISNUMBER(M516),M516,EUconst_HeatBMvalueForBM),"")</f>
        <v/>
      </c>
    </row>
    <row r="517" spans="2:24" ht="5.0999999999999996" customHeight="1" x14ac:dyDescent="0.2">
      <c r="B517" s="224"/>
      <c r="C517" s="977"/>
      <c r="D517" s="978"/>
      <c r="E517" s="978"/>
      <c r="F517" s="978"/>
      <c r="G517" s="978"/>
      <c r="H517" s="978"/>
      <c r="I517" s="978"/>
      <c r="J517" s="978"/>
      <c r="K517" s="978"/>
      <c r="L517" s="978"/>
      <c r="M517" s="980"/>
      <c r="N517" s="661"/>
      <c r="O517" s="25"/>
      <c r="P517" s="955"/>
      <c r="R517" s="955"/>
      <c r="S517" s="955"/>
    </row>
    <row r="518" spans="2:24" ht="12.75" customHeight="1" x14ac:dyDescent="0.2">
      <c r="B518" s="224"/>
      <c r="C518" s="977"/>
      <c r="D518" s="978"/>
      <c r="E518" s="1653" t="str">
        <f>Translations!$B$766</f>
        <v>Īpašs importētais siltums</v>
      </c>
      <c r="F518" s="1653"/>
      <c r="G518" s="1653"/>
      <c r="H518" s="462" t="str">
        <f>EUconst_Unit</f>
        <v>Vienība</v>
      </c>
      <c r="I518" s="463">
        <f>I$1820</f>
        <v>2019</v>
      </c>
      <c r="J518" s="463">
        <f>J$1820</f>
        <v>2020</v>
      </c>
      <c r="K518" s="463">
        <f>K$1820</f>
        <v>2021</v>
      </c>
      <c r="L518" s="463">
        <f>L$1820</f>
        <v>2022</v>
      </c>
      <c r="M518" s="463">
        <f>M$1820</f>
        <v>2023</v>
      </c>
      <c r="N518" s="1205"/>
      <c r="O518" s="25"/>
      <c r="P518" s="955"/>
      <c r="R518" s="955"/>
      <c r="S518" s="955"/>
    </row>
    <row r="519" spans="2:24" ht="12.75" customHeight="1" x14ac:dyDescent="0.2">
      <c r="B519" s="224"/>
      <c r="C519" s="977"/>
      <c r="D519" s="695" t="s">
        <v>4</v>
      </c>
      <c r="E519" s="1651" t="str">
        <f>Translations!$B$767</f>
        <v>No pulpas apakšiekārtām importētais neto siltums</v>
      </c>
      <c r="F519" s="1652"/>
      <c r="G519" s="1652"/>
      <c r="H519" s="465" t="str">
        <f>EUconst_TJpa</f>
        <v>TJ / gads</v>
      </c>
      <c r="I519" s="550"/>
      <c r="J519" s="550"/>
      <c r="K519" s="550"/>
      <c r="L519" s="550"/>
      <c r="M519" s="550"/>
      <c r="N519" s="698"/>
      <c r="O519" s="25"/>
      <c r="P519" s="979" t="str">
        <f>EUconst_CNTR_HeatImportPulp &amp; I420</f>
        <v>HeatImPulp_</v>
      </c>
      <c r="R519" s="955"/>
      <c r="S519" s="955"/>
    </row>
    <row r="520" spans="2:24" ht="25.5" customHeight="1" x14ac:dyDescent="0.2">
      <c r="B520" s="224"/>
      <c r="C520" s="977"/>
      <c r="D520" s="695" t="s">
        <v>6</v>
      </c>
      <c r="E520" s="1651" t="str">
        <f>Translations!$B$768</f>
        <v>No slāpekļskābes apakšiekārtas importētais neto siltums</v>
      </c>
      <c r="F520" s="1652"/>
      <c r="G520" s="1652"/>
      <c r="H520" s="465" t="str">
        <f>EUconst_TJpa</f>
        <v>TJ / gads</v>
      </c>
      <c r="I520" s="483"/>
      <c r="J520" s="483"/>
      <c r="K520" s="483"/>
      <c r="L520" s="483"/>
      <c r="M520" s="483"/>
      <c r="N520" s="698"/>
      <c r="O520" s="25"/>
      <c r="P520" s="979" t="str">
        <f>EUconst_CNTR_HeatImportNitric &amp; I420</f>
        <v>HeatImNitric_</v>
      </c>
      <c r="R520" s="955"/>
      <c r="S520" s="955"/>
    </row>
    <row r="521" spans="2:24" ht="5.0999999999999996" customHeight="1" thickBot="1" x14ac:dyDescent="0.25">
      <c r="B521" s="224"/>
      <c r="C521" s="977"/>
      <c r="D521" s="978"/>
      <c r="E521" s="978"/>
      <c r="F521" s="978"/>
      <c r="G521" s="978"/>
      <c r="H521" s="978"/>
      <c r="I521" s="978"/>
      <c r="J521" s="978"/>
      <c r="K521" s="978"/>
      <c r="L521" s="978"/>
      <c r="M521" s="980"/>
      <c r="N521" s="661"/>
      <c r="O521" s="25"/>
      <c r="P521" s="955"/>
      <c r="R521" s="955"/>
      <c r="S521" s="955"/>
    </row>
    <row r="522" spans="2:24" ht="12.75" customHeight="1" x14ac:dyDescent="0.2">
      <c r="B522" s="224"/>
      <c r="C522" s="977"/>
      <c r="D522" s="978"/>
      <c r="E522" s="1653" t="str">
        <f>Translations!$B$769</f>
        <v>Kopējais eksportētais siltums</v>
      </c>
      <c r="F522" s="1653"/>
      <c r="G522" s="1653"/>
      <c r="H522" s="462" t="str">
        <f>EUconst_Unit</f>
        <v>Vienība</v>
      </c>
      <c r="I522" s="463">
        <f>I$1820</f>
        <v>2019</v>
      </c>
      <c r="J522" s="463">
        <f>J$1820</f>
        <v>2020</v>
      </c>
      <c r="K522" s="463">
        <f>K$1820</f>
        <v>2021</v>
      </c>
      <c r="L522" s="463">
        <f>L$1820</f>
        <v>2022</v>
      </c>
      <c r="M522" s="463">
        <f>M$1820</f>
        <v>2023</v>
      </c>
      <c r="N522" s="1205"/>
      <c r="O522" s="25"/>
      <c r="P522" s="955"/>
      <c r="R522" s="970"/>
      <c r="S522" s="809">
        <f>I522</f>
        <v>2019</v>
      </c>
      <c r="T522" s="809">
        <f>J522</f>
        <v>2020</v>
      </c>
      <c r="U522" s="809">
        <f>K522</f>
        <v>2021</v>
      </c>
      <c r="V522" s="809">
        <f>L522</f>
        <v>2022</v>
      </c>
      <c r="W522" s="810">
        <f>M522</f>
        <v>2023</v>
      </c>
    </row>
    <row r="523" spans="2:24" ht="12.75" customHeight="1" x14ac:dyDescent="0.2">
      <c r="B523" s="224"/>
      <c r="C523" s="977"/>
      <c r="D523" s="695" t="s">
        <v>303</v>
      </c>
      <c r="E523" s="1651" t="str">
        <f>Translations!$B$770</f>
        <v>Neto eksportētais siltums</v>
      </c>
      <c r="F523" s="1652"/>
      <c r="G523" s="1652"/>
      <c r="H523" s="465" t="str">
        <f>EUconst_TJpa</f>
        <v>TJ / gads</v>
      </c>
      <c r="I523" s="483"/>
      <c r="J523" s="483"/>
      <c r="K523" s="483"/>
      <c r="L523" s="483"/>
      <c r="M523" s="483"/>
      <c r="N523" s="698"/>
      <c r="O523" s="25"/>
      <c r="P523" s="979" t="str">
        <f>EUconst_CNTR_HeatExport &amp; I420</f>
        <v>HeatEx_</v>
      </c>
      <c r="R523" s="981" t="str">
        <f>EUconst_ERR_AttrEmBMapplied &amp; I420</f>
        <v>ERR_AttrEmBM_ </v>
      </c>
      <c r="S523" s="134">
        <f>IF(AND(I523&lt;&gt;0,I524="",EUconst_StatusOfDataCollection=""),1,0)</f>
        <v>0</v>
      </c>
      <c r="T523" s="134">
        <f>IF(AND(J523&lt;&gt;0,J524="",EUconst_StatusOfDataCollection=""),1,0)</f>
        <v>0</v>
      </c>
      <c r="U523" s="134">
        <f>IF(AND(K523&lt;&gt;0,K524="",EUconst_StatusOfDataCollection=""),1,0)</f>
        <v>0</v>
      </c>
      <c r="V523" s="134">
        <f>IF(AND(L523&lt;&gt;0,L524="",EUconst_StatusOfDataCollection=""),1,0)</f>
        <v>0</v>
      </c>
      <c r="W523" s="135">
        <f>IF(AND(M523&lt;&gt;0,M524="",EUconst_StatusOfDataCollection=""),1,0)</f>
        <v>0</v>
      </c>
    </row>
    <row r="524" spans="2:24" ht="12.75" customHeight="1" thickBot="1" x14ac:dyDescent="0.25">
      <c r="B524" s="224"/>
      <c r="C524" s="977"/>
      <c r="D524" s="695" t="s">
        <v>304</v>
      </c>
      <c r="E524" s="1651" t="str">
        <f>Translations!$B$771</f>
        <v>Īpatnējais EF (eksportētais siltums)</v>
      </c>
      <c r="F524" s="1652"/>
      <c r="G524" s="1652"/>
      <c r="H524" s="465" t="str">
        <f>EUconst_tCO2pTJ</f>
        <v>t CO2 / TJ</v>
      </c>
      <c r="I524" s="760"/>
      <c r="J524" s="760"/>
      <c r="K524" s="760"/>
      <c r="L524" s="760"/>
      <c r="M524" s="760"/>
      <c r="N524" s="661"/>
      <c r="O524" s="25"/>
      <c r="P524" s="979" t="str">
        <f>EUconst_CNTR_HeatExportEF &amp; I420</f>
        <v>HeatExEF_</v>
      </c>
      <c r="R524" s="971" t="str">
        <f>EUconst_CNTR_AttributedEmissions &amp; I420</f>
        <v>AttrEmissions_</v>
      </c>
      <c r="S524" s="137" t="str">
        <f>IF(S420,-SUM(I523)*IF(INDEX(EUconst_BMlistMainNumberOfBM,MATCH($I420,EUconst_BMlistNames,0))=39,0,IF(ISNUMBER(I524),I524,EUconst_HeatBMvalueForBM)),"")</f>
        <v/>
      </c>
      <c r="T524" s="137" t="str">
        <f>IF(T420,-SUM(J523)*IF(INDEX(EUconst_BMlistMainNumberOfBM,MATCH($I420,EUconst_BMlistNames,0))=39,0,IF(ISNUMBER(J524),J524,EUconst_HeatBMvalueForBM)),"")</f>
        <v/>
      </c>
      <c r="U524" s="137" t="str">
        <f>IF(U420,-SUM(K523)*IF(INDEX(EUconst_BMlistMainNumberOfBM,MATCH($I420,EUconst_BMlistNames,0))=39,0,IF(ISNUMBER(K524),K524,EUconst_HeatBMvalueForBM)),"")</f>
        <v/>
      </c>
      <c r="V524" s="137" t="str">
        <f>IF(V420,-SUM(L523)*IF(INDEX(EUconst_BMlistMainNumberOfBM,MATCH($I420,EUconst_BMlistNames,0))=39,0,IF(ISNUMBER(L524),L524,EUconst_HeatBMvalueForBM)),"")</f>
        <v/>
      </c>
      <c r="W524" s="138" t="str">
        <f>IF(W420,-SUM(M523)*IF(INDEX(EUconst_BMlistMainNumberOfBM,MATCH($I420,EUconst_BMlistNames,0))=39,0,IF(ISNUMBER(M524),M524,EUconst_HeatBMvalueForBM)),"")</f>
        <v/>
      </c>
    </row>
    <row r="525" spans="2:24" ht="5.0999999999999996" customHeight="1" x14ac:dyDescent="0.2">
      <c r="B525" s="224"/>
      <c r="C525" s="977"/>
      <c r="D525" s="978"/>
      <c r="E525" s="978"/>
      <c r="F525" s="978"/>
      <c r="G525" s="978"/>
      <c r="H525" s="978"/>
      <c r="I525" s="978"/>
      <c r="J525" s="978"/>
      <c r="K525" s="978"/>
      <c r="L525" s="978"/>
      <c r="M525" s="980"/>
      <c r="N525" s="661"/>
      <c r="O525" s="25"/>
      <c r="P525" s="955"/>
      <c r="R525" s="955"/>
      <c r="S525" s="955"/>
    </row>
    <row r="526" spans="2:24" ht="12.75" customHeight="1" x14ac:dyDescent="0.2">
      <c r="B526" s="224"/>
      <c r="C526" s="977"/>
      <c r="D526" s="474" t="s">
        <v>213</v>
      </c>
      <c r="E526" s="1654" t="str">
        <f>Translations!$B$772</f>
        <v>Šīs apakšiekārtas atlikumgāzu bilance</v>
      </c>
      <c r="F526" s="1655"/>
      <c r="G526" s="1655"/>
      <c r="H526" s="1655"/>
      <c r="I526" s="1655"/>
      <c r="J526" s="1655"/>
      <c r="K526" s="1655"/>
      <c r="L526" s="1655"/>
      <c r="M526" s="1655"/>
      <c r="N526" s="1656"/>
      <c r="O526" s="25"/>
      <c r="P526" s="955"/>
      <c r="R526" s="955"/>
      <c r="S526" s="955"/>
    </row>
    <row r="527" spans="2:24" ht="5.0999999999999996" customHeight="1" thickBot="1" x14ac:dyDescent="0.25">
      <c r="B527" s="224"/>
      <c r="C527" s="977"/>
      <c r="D527" s="978"/>
      <c r="E527" s="1727"/>
      <c r="F527" s="1727"/>
      <c r="G527" s="1727"/>
      <c r="H527" s="1727"/>
      <c r="I527" s="1727"/>
      <c r="J527" s="1727"/>
      <c r="K527" s="1727"/>
      <c r="L527" s="1727"/>
      <c r="M527" s="1727"/>
      <c r="N527" s="1734"/>
      <c r="O527" s="25"/>
      <c r="P527" s="955"/>
      <c r="R527" s="955"/>
      <c r="S527" s="955"/>
    </row>
    <row r="528" spans="2:24" ht="12.75" customHeight="1" thickBot="1" x14ac:dyDescent="0.25">
      <c r="B528" s="224"/>
      <c r="C528" s="977"/>
      <c r="D528" s="695" t="s">
        <v>2</v>
      </c>
      <c r="E528" s="1735" t="str">
        <f>Translations!$B$773</f>
        <v>Vai atlikumgāzes ir šai apakšiekārtai relevantas?</v>
      </c>
      <c r="F528" s="1735"/>
      <c r="G528" s="1735"/>
      <c r="H528" s="1735"/>
      <c r="I528" s="1735"/>
      <c r="J528" s="1735"/>
      <c r="K528" s="1736"/>
      <c r="L528" s="527"/>
      <c r="M528" s="1202"/>
      <c r="N528" s="1203"/>
      <c r="O528" s="25"/>
      <c r="P528" s="955"/>
      <c r="R528" s="955"/>
      <c r="W528" s="966" t="s">
        <v>398</v>
      </c>
      <c r="X528" s="964" t="b">
        <f>IF(AND(I420&lt;&gt;"",ISBLANK(L528)),EUconst_Error&amp;"BM"&amp;C420,FALSE)</f>
        <v>0</v>
      </c>
    </row>
    <row r="529" spans="2:27" ht="5.0999999999999996" customHeight="1" thickBot="1" x14ac:dyDescent="0.25">
      <c r="B529" s="224"/>
      <c r="C529" s="977"/>
      <c r="D529" s="978"/>
      <c r="E529" s="978"/>
      <c r="F529" s="978"/>
      <c r="G529" s="978"/>
      <c r="H529" s="978"/>
      <c r="I529" s="978"/>
      <c r="J529" s="978"/>
      <c r="K529" s="978"/>
      <c r="L529" s="978"/>
      <c r="M529" s="980"/>
      <c r="N529" s="661"/>
      <c r="O529" s="25"/>
      <c r="P529" s="955"/>
      <c r="R529" s="955"/>
    </row>
    <row r="530" spans="2:27" ht="12.75" customHeight="1" x14ac:dyDescent="0.2">
      <c r="B530" s="224"/>
      <c r="C530" s="977"/>
      <c r="D530" s="695" t="s">
        <v>3</v>
      </c>
      <c r="E530" s="1663" t="str">
        <f>Translations!$B$775</f>
        <v>Radušos atlikumgāzu veidi:</v>
      </c>
      <c r="F530" s="1663"/>
      <c r="G530" s="1663"/>
      <c r="H530" s="1663"/>
      <c r="I530" s="1664"/>
      <c r="J530" s="1665"/>
      <c r="K530" s="1665"/>
      <c r="L530" s="1665"/>
      <c r="M530" s="1666"/>
      <c r="N530" s="1203"/>
      <c r="O530" s="25"/>
      <c r="P530" s="955"/>
      <c r="R530" s="955"/>
      <c r="AA530" s="643" t="b">
        <f>IF(I420&lt;&gt;"",AND(L528&lt;&gt;"",L528=FALSE),FALSE)</f>
        <v>0</v>
      </c>
    </row>
    <row r="531" spans="2:27" ht="5.0999999999999996" customHeight="1" x14ac:dyDescent="0.2">
      <c r="B531" s="224"/>
      <c r="C531" s="977"/>
      <c r="D531" s="978"/>
      <c r="E531" s="978"/>
      <c r="F531" s="978"/>
      <c r="G531" s="978"/>
      <c r="H531" s="978"/>
      <c r="I531" s="978"/>
      <c r="J531" s="978"/>
      <c r="K531" s="978"/>
      <c r="L531" s="978"/>
      <c r="M531" s="980"/>
      <c r="N531" s="661"/>
      <c r="O531" s="25"/>
      <c r="P531" s="955"/>
      <c r="R531" s="955"/>
    </row>
    <row r="532" spans="2:27" ht="12.75" customHeight="1" x14ac:dyDescent="0.2">
      <c r="B532" s="224"/>
      <c r="C532" s="977"/>
      <c r="D532" s="978"/>
      <c r="E532" s="1653"/>
      <c r="F532" s="1657"/>
      <c r="G532" s="1657"/>
      <c r="H532" s="462" t="str">
        <f>EUconst_Unit</f>
        <v>Vienība</v>
      </c>
      <c r="I532" s="463">
        <f>I$1820</f>
        <v>2019</v>
      </c>
      <c r="J532" s="463">
        <f>J$1820</f>
        <v>2020</v>
      </c>
      <c r="K532" s="463">
        <f>K$1820</f>
        <v>2021</v>
      </c>
      <c r="L532" s="463">
        <f>L$1820</f>
        <v>2022</v>
      </c>
      <c r="M532" s="463">
        <f>M$1820</f>
        <v>2023</v>
      </c>
      <c r="N532" s="1205"/>
      <c r="O532" s="25"/>
      <c r="P532" s="955"/>
      <c r="R532" s="955"/>
      <c r="S532" s="955"/>
      <c r="AA532" s="607"/>
    </row>
    <row r="533" spans="2:27" ht="12.75" customHeight="1" x14ac:dyDescent="0.2">
      <c r="B533" s="224"/>
      <c r="C533" s="977"/>
      <c r="D533" s="695" t="s">
        <v>4</v>
      </c>
      <c r="E533" s="1667" t="str">
        <f>Translations!$B$777</f>
        <v>Radušies daudzumi</v>
      </c>
      <c r="F533" s="1660"/>
      <c r="G533" s="1660"/>
      <c r="H533" s="245" t="s">
        <v>249</v>
      </c>
      <c r="I533" s="484"/>
      <c r="J533" s="484"/>
      <c r="K533" s="484"/>
      <c r="L533" s="484"/>
      <c r="M533" s="484"/>
      <c r="N533" s="1205"/>
      <c r="O533" s="25"/>
      <c r="P533" s="955"/>
      <c r="R533" s="955"/>
      <c r="S533" s="955"/>
      <c r="AA533" s="361" t="b">
        <f>AA530</f>
        <v>0</v>
      </c>
    </row>
    <row r="534" spans="2:27" ht="12.75" customHeight="1" x14ac:dyDescent="0.2">
      <c r="B534" s="224"/>
      <c r="C534" s="977"/>
      <c r="D534" s="695" t="s">
        <v>6</v>
      </c>
      <c r="E534" s="1737" t="str">
        <f>Translations!$B$470</f>
        <v>Zemākā siltumspēja</v>
      </c>
      <c r="F534" s="1659"/>
      <c r="G534" s="1659"/>
      <c r="H534" s="74" t="e">
        <f>IF(ISBLANK(H533),EUconst_GJperUnit,INDEX(EUconst_GJperTorKNm3,MATCH(H533,EUconst_TonnesOrkNm3pa,0)))</f>
        <v>#N/A</v>
      </c>
      <c r="I534" s="458"/>
      <c r="J534" s="458"/>
      <c r="K534" s="458"/>
      <c r="L534" s="458"/>
      <c r="M534" s="458"/>
      <c r="N534" s="1205"/>
      <c r="O534" s="25"/>
      <c r="R534" s="955"/>
      <c r="S534" s="955"/>
      <c r="T534" s="955"/>
      <c r="U534" s="955"/>
      <c r="V534" s="955"/>
      <c r="W534" s="955"/>
      <c r="AA534" s="361" t="b">
        <f>AA533</f>
        <v>0</v>
      </c>
    </row>
    <row r="535" spans="2:27" ht="12.75" customHeight="1" x14ac:dyDescent="0.2">
      <c r="B535" s="224"/>
      <c r="C535" s="977"/>
      <c r="D535" s="695" t="s">
        <v>303</v>
      </c>
      <c r="E535" s="1651" t="str">
        <f>Translations!$B$778</f>
        <v>Radusies atlikumgāze</v>
      </c>
      <c r="F535" s="1652"/>
      <c r="G535" s="1652"/>
      <c r="H535" s="465" t="str">
        <f>EUconst_TJpa</f>
        <v>TJ / gads</v>
      </c>
      <c r="I535" s="523" t="str">
        <f>IF(COUNT(I533:I534)=2,I533*I534/1000,"")</f>
        <v/>
      </c>
      <c r="J535" s="523" t="str">
        <f>IF(COUNT(J533:J534)=2,J533*J534/1000,"")</f>
        <v/>
      </c>
      <c r="K535" s="523" t="str">
        <f>IF(COUNT(K533:K534)=2,K533*K534/1000,"")</f>
        <v/>
      </c>
      <c r="L535" s="523" t="str">
        <f>IF(COUNT(L533:L534)=2,L533*L534/1000,"")</f>
        <v/>
      </c>
      <c r="M535" s="523" t="str">
        <f>IF(COUNT(M533:M534)=2,M533*M534/1000,"")</f>
        <v/>
      </c>
      <c r="N535" s="1205"/>
      <c r="O535" s="25"/>
      <c r="P535" s="979" t="str">
        <f>EUconst_CNTR_WGProduced &amp; I420</f>
        <v>WasteGasProd_</v>
      </c>
      <c r="R535" s="955"/>
      <c r="S535" s="955"/>
      <c r="T535" s="955"/>
      <c r="U535" s="955"/>
      <c r="V535" s="955"/>
      <c r="W535" s="955"/>
      <c r="AA535" s="607"/>
    </row>
    <row r="536" spans="2:27" ht="12.75" customHeight="1" x14ac:dyDescent="0.2">
      <c r="B536" s="224"/>
      <c r="C536" s="977"/>
      <c r="D536" s="695" t="s">
        <v>304</v>
      </c>
      <c r="E536" s="1651" t="str">
        <f>Translations!$B$779</f>
        <v>Īpatnējais EF (radusies atlikumgāze)</v>
      </c>
      <c r="F536" s="1652"/>
      <c r="G536" s="1652"/>
      <c r="H536" s="465" t="str">
        <f>EUconst_tCO2pTJ</f>
        <v>t CO2 / TJ</v>
      </c>
      <c r="I536" s="483"/>
      <c r="J536" s="483"/>
      <c r="K536" s="483"/>
      <c r="L536" s="483"/>
      <c r="M536" s="483"/>
      <c r="N536" s="661"/>
      <c r="O536" s="25"/>
      <c r="P536" s="979" t="str">
        <f>EUconst_CNTR_WGProducedEF &amp; I420</f>
        <v>WasteGasProdEF_</v>
      </c>
      <c r="R536" s="955"/>
      <c r="S536" s="955"/>
      <c r="T536" s="955"/>
      <c r="U536" s="955"/>
      <c r="V536" s="955"/>
      <c r="W536" s="955"/>
      <c r="AA536" s="361" t="b">
        <f>AA534</f>
        <v>0</v>
      </c>
    </row>
    <row r="537" spans="2:27" ht="5.0999999999999996" customHeight="1" x14ac:dyDescent="0.2">
      <c r="B537" s="224"/>
      <c r="C537" s="977"/>
      <c r="D537" s="978"/>
      <c r="E537" s="978"/>
      <c r="F537" s="978"/>
      <c r="G537" s="978"/>
      <c r="H537" s="978"/>
      <c r="I537" s="978"/>
      <c r="J537" s="978"/>
      <c r="K537" s="978"/>
      <c r="L537" s="978"/>
      <c r="M537" s="980"/>
      <c r="N537" s="661"/>
      <c r="O537" s="25"/>
      <c r="P537" s="955"/>
      <c r="R537" s="955"/>
      <c r="S537" s="955"/>
      <c r="T537" s="955"/>
      <c r="U537" s="955"/>
      <c r="V537" s="955"/>
      <c r="W537" s="955"/>
      <c r="AA537" s="607"/>
    </row>
    <row r="538" spans="2:27" ht="12.75" customHeight="1" x14ac:dyDescent="0.2">
      <c r="B538" s="224"/>
      <c r="C538" s="977"/>
      <c r="D538" s="695" t="s">
        <v>305</v>
      </c>
      <c r="E538" s="1663" t="str">
        <f>Translations!$B$780</f>
        <v>Patērēto atlikumgāzu veidi:</v>
      </c>
      <c r="F538" s="1663"/>
      <c r="G538" s="1663"/>
      <c r="H538" s="1663"/>
      <c r="I538" s="1664"/>
      <c r="J538" s="1665"/>
      <c r="K538" s="1665"/>
      <c r="L538" s="1665"/>
      <c r="M538" s="1666"/>
      <c r="N538" s="1203"/>
      <c r="O538" s="25"/>
      <c r="P538" s="955"/>
      <c r="R538" s="955"/>
      <c r="S538" s="955"/>
      <c r="T538" s="955"/>
      <c r="U538" s="955"/>
      <c r="V538" s="955"/>
      <c r="W538" s="955"/>
      <c r="AA538" s="361" t="b">
        <f>AA536</f>
        <v>0</v>
      </c>
    </row>
    <row r="539" spans="2:27" ht="5.0999999999999996" customHeight="1" x14ac:dyDescent="0.2">
      <c r="B539" s="224"/>
      <c r="C539" s="977"/>
      <c r="D539" s="978"/>
      <c r="E539" s="978"/>
      <c r="F539" s="978"/>
      <c r="G539" s="978"/>
      <c r="H539" s="978"/>
      <c r="I539" s="978"/>
      <c r="J539" s="978"/>
      <c r="K539" s="978"/>
      <c r="L539" s="978"/>
      <c r="M539" s="980"/>
      <c r="N539" s="661"/>
      <c r="O539" s="25"/>
      <c r="P539" s="955"/>
      <c r="R539" s="955"/>
    </row>
    <row r="540" spans="2:27" ht="12.75" customHeight="1" x14ac:dyDescent="0.2">
      <c r="B540" s="224"/>
      <c r="C540" s="977"/>
      <c r="D540" s="978"/>
      <c r="E540" s="1653"/>
      <c r="F540" s="1657"/>
      <c r="G540" s="1657"/>
      <c r="H540" s="462" t="str">
        <f>EUconst_Unit</f>
        <v>Vienība</v>
      </c>
      <c r="I540" s="463">
        <f>I$1820</f>
        <v>2019</v>
      </c>
      <c r="J540" s="463">
        <f>J$1820</f>
        <v>2020</v>
      </c>
      <c r="K540" s="463">
        <f>K$1820</f>
        <v>2021</v>
      </c>
      <c r="L540" s="463">
        <f>L$1820</f>
        <v>2022</v>
      </c>
      <c r="M540" s="463">
        <f>M$1820</f>
        <v>2023</v>
      </c>
      <c r="N540" s="1205"/>
      <c r="O540" s="25"/>
      <c r="P540" s="955"/>
      <c r="R540" s="955"/>
      <c r="S540" s="955"/>
      <c r="T540" s="955"/>
      <c r="U540" s="955"/>
      <c r="V540" s="955"/>
      <c r="W540" s="955"/>
      <c r="AA540" s="607"/>
    </row>
    <row r="541" spans="2:27" ht="12.75" customHeight="1" x14ac:dyDescent="0.2">
      <c r="B541" s="224"/>
      <c r="C541" s="977"/>
      <c r="D541" s="695" t="s">
        <v>306</v>
      </c>
      <c r="E541" s="1667" t="str">
        <f>Translations!$B$782</f>
        <v>Patērētie daudzumi</v>
      </c>
      <c r="F541" s="1660"/>
      <c r="G541" s="1660"/>
      <c r="H541" s="245" t="s">
        <v>249</v>
      </c>
      <c r="I541" s="484"/>
      <c r="J541" s="484"/>
      <c r="K541" s="484"/>
      <c r="L541" s="484"/>
      <c r="M541" s="484"/>
      <c r="N541" s="1205"/>
      <c r="O541" s="25"/>
      <c r="P541" s="955"/>
      <c r="R541" s="955"/>
      <c r="S541" s="955"/>
      <c r="T541" s="955"/>
      <c r="U541" s="955"/>
      <c r="V541" s="955"/>
      <c r="W541" s="955"/>
      <c r="AA541" s="361" t="b">
        <f>AA538</f>
        <v>0</v>
      </c>
    </row>
    <row r="542" spans="2:27" ht="12.75" customHeight="1" x14ac:dyDescent="0.2">
      <c r="B542" s="224"/>
      <c r="C542" s="977"/>
      <c r="D542" s="695" t="s">
        <v>307</v>
      </c>
      <c r="E542" s="1737" t="str">
        <f>Translations!$B$470</f>
        <v>Zemākā siltumspēja</v>
      </c>
      <c r="F542" s="1659"/>
      <c r="G542" s="1659"/>
      <c r="H542" s="74" t="e">
        <f>IF(ISBLANK(H541),EUconst_GJperUnit,INDEX(EUconst_GJperTorKNm3,MATCH(H541,EUconst_TonnesOrkNm3pa,0)))</f>
        <v>#N/A</v>
      </c>
      <c r="I542" s="458"/>
      <c r="J542" s="458"/>
      <c r="K542" s="458"/>
      <c r="L542" s="458"/>
      <c r="M542" s="458"/>
      <c r="N542" s="1205"/>
      <c r="O542" s="25"/>
      <c r="R542" s="955"/>
      <c r="S542" s="955"/>
      <c r="T542" s="955"/>
      <c r="U542" s="955"/>
      <c r="V542" s="955"/>
      <c r="W542" s="955"/>
      <c r="AA542" s="361" t="b">
        <f>AA541</f>
        <v>0</v>
      </c>
    </row>
    <row r="543" spans="2:27" ht="12.75" customHeight="1" x14ac:dyDescent="0.2">
      <c r="B543" s="224"/>
      <c r="C543" s="977"/>
      <c r="D543" s="695" t="s">
        <v>15</v>
      </c>
      <c r="E543" s="1651" t="str">
        <f>Translations!$B$783</f>
        <v>Patērētā atlikumgāze</v>
      </c>
      <c r="F543" s="1652"/>
      <c r="G543" s="1652"/>
      <c r="H543" s="465" t="str">
        <f>EUconst_TJpa</f>
        <v>TJ / gads</v>
      </c>
      <c r="I543" s="523" t="str">
        <f>IF(COUNT(I541:I542)=2,I541*I542/1000,"")</f>
        <v/>
      </c>
      <c r="J543" s="523" t="str">
        <f>IF(COUNT(J541:J542)=2,J541*J542/1000,"")</f>
        <v/>
      </c>
      <c r="K543" s="523" t="str">
        <f>IF(COUNT(K541:K542)=2,K541*K542/1000,"")</f>
        <v/>
      </c>
      <c r="L543" s="523" t="str">
        <f>IF(COUNT(L541:L542)=2,L541*L542/1000,"")</f>
        <v/>
      </c>
      <c r="M543" s="523" t="str">
        <f>IF(COUNT(M541:M542)=2,M541*M542/1000,"")</f>
        <v/>
      </c>
      <c r="N543" s="1205"/>
      <c r="O543" s="25"/>
      <c r="P543" s="979" t="str">
        <f>EUconst_CNTR_WGConsumed &amp; I420</f>
        <v>WasteGasCons_</v>
      </c>
      <c r="R543" s="955"/>
      <c r="S543" s="955"/>
      <c r="T543" s="955"/>
      <c r="U543" s="955"/>
      <c r="V543" s="955"/>
      <c r="W543" s="955"/>
      <c r="AA543" s="607"/>
    </row>
    <row r="544" spans="2:27" ht="12.75" customHeight="1" x14ac:dyDescent="0.2">
      <c r="B544" s="224"/>
      <c r="C544" s="977"/>
      <c r="D544" s="695" t="s">
        <v>16</v>
      </c>
      <c r="E544" s="1651" t="str">
        <f>Translations!$B$784</f>
        <v>Īpatnējais EF (patērētā atlikumgāze)</v>
      </c>
      <c r="F544" s="1652"/>
      <c r="G544" s="1652"/>
      <c r="H544" s="465" t="str">
        <f>EUconst_tCO2pTJ</f>
        <v>t CO2 / TJ</v>
      </c>
      <c r="I544" s="483"/>
      <c r="J544" s="483"/>
      <c r="K544" s="483"/>
      <c r="L544" s="483"/>
      <c r="M544" s="483"/>
      <c r="N544" s="661"/>
      <c r="O544" s="25"/>
      <c r="P544" s="979" t="str">
        <f>EUconst_CNTR_WGConsumedEF &amp; I420</f>
        <v>WasteGasConsEF_</v>
      </c>
      <c r="R544" s="955"/>
      <c r="S544" s="955"/>
      <c r="T544" s="955"/>
      <c r="U544" s="955"/>
      <c r="V544" s="955"/>
      <c r="W544" s="955"/>
      <c r="AA544" s="361" t="b">
        <f>AA542</f>
        <v>0</v>
      </c>
    </row>
    <row r="545" spans="1:27" ht="5.0999999999999996" customHeight="1" x14ac:dyDescent="0.2">
      <c r="B545" s="224"/>
      <c r="C545" s="977"/>
      <c r="D545" s="978"/>
      <c r="E545" s="978"/>
      <c r="F545" s="978"/>
      <c r="G545" s="978"/>
      <c r="H545" s="978"/>
      <c r="I545" s="978"/>
      <c r="J545" s="978"/>
      <c r="K545" s="978"/>
      <c r="L545" s="978"/>
      <c r="M545" s="980"/>
      <c r="N545" s="661"/>
      <c r="O545" s="25"/>
      <c r="P545" s="955"/>
      <c r="R545" s="955"/>
      <c r="S545" s="955"/>
      <c r="AA545" s="607"/>
    </row>
    <row r="546" spans="1:27" ht="12.75" customHeight="1" x14ac:dyDescent="0.2">
      <c r="B546" s="224"/>
      <c r="C546" s="977"/>
      <c r="D546" s="695" t="s">
        <v>17</v>
      </c>
      <c r="E546" s="1663" t="str">
        <f>Translations!$B$785</f>
        <v>Lāpā sadedzināto atlikumgāzu veidi:</v>
      </c>
      <c r="F546" s="1663"/>
      <c r="G546" s="1663"/>
      <c r="H546" s="1663"/>
      <c r="I546" s="1664"/>
      <c r="J546" s="1665"/>
      <c r="K546" s="1665"/>
      <c r="L546" s="1665"/>
      <c r="M546" s="1666"/>
      <c r="N546" s="1203"/>
      <c r="O546" s="25"/>
      <c r="P546" s="955"/>
      <c r="R546" s="955"/>
      <c r="AA546" s="361" t="b">
        <f>AA536</f>
        <v>0</v>
      </c>
    </row>
    <row r="547" spans="1:27" ht="5.0999999999999996" customHeight="1" x14ac:dyDescent="0.2">
      <c r="B547" s="224"/>
      <c r="C547" s="977"/>
      <c r="D547" s="978"/>
      <c r="E547" s="978"/>
      <c r="F547" s="978"/>
      <c r="G547" s="978"/>
      <c r="H547" s="978"/>
      <c r="I547" s="978"/>
      <c r="J547" s="978"/>
      <c r="K547" s="978"/>
      <c r="L547" s="978"/>
      <c r="M547" s="980"/>
      <c r="N547" s="661"/>
      <c r="O547" s="25"/>
      <c r="P547" s="955"/>
      <c r="R547" s="955"/>
    </row>
    <row r="548" spans="1:27" ht="12.75" customHeight="1" x14ac:dyDescent="0.2">
      <c r="B548" s="224"/>
      <c r="C548" s="977"/>
      <c r="D548" s="978"/>
      <c r="E548" s="1653"/>
      <c r="F548" s="1657"/>
      <c r="G548" s="1657"/>
      <c r="H548" s="462" t="str">
        <f>EUconst_Unit</f>
        <v>Vienība</v>
      </c>
      <c r="I548" s="463">
        <f>I$1820</f>
        <v>2019</v>
      </c>
      <c r="J548" s="463">
        <f>J$1820</f>
        <v>2020</v>
      </c>
      <c r="K548" s="463">
        <f>K$1820</f>
        <v>2021</v>
      </c>
      <c r="L548" s="463">
        <f>L$1820</f>
        <v>2022</v>
      </c>
      <c r="M548" s="463">
        <f>M$1820</f>
        <v>2023</v>
      </c>
      <c r="N548" s="1205"/>
      <c r="O548" s="25"/>
      <c r="P548" s="955"/>
      <c r="AA548" s="607"/>
    </row>
    <row r="549" spans="1:27" ht="12.75" customHeight="1" thickBot="1" x14ac:dyDescent="0.25">
      <c r="B549" s="224"/>
      <c r="C549" s="977"/>
      <c r="D549" s="695" t="s">
        <v>438</v>
      </c>
      <c r="E549" s="1667" t="str">
        <f>Translations!$B$789</f>
        <v>Lāpā sadedzinātie daudzumi</v>
      </c>
      <c r="F549" s="1660"/>
      <c r="G549" s="1660"/>
      <c r="H549" s="245" t="s">
        <v>249</v>
      </c>
      <c r="I549" s="484"/>
      <c r="J549" s="484"/>
      <c r="K549" s="484"/>
      <c r="L549" s="484"/>
      <c r="M549" s="484"/>
      <c r="N549" s="1205"/>
      <c r="O549" s="25"/>
      <c r="P549" s="955"/>
      <c r="R549" s="955" t="s">
        <v>525</v>
      </c>
      <c r="AA549" s="361" t="b">
        <f>AA546</f>
        <v>0</v>
      </c>
    </row>
    <row r="550" spans="1:27" ht="12.75" customHeight="1" thickBot="1" x14ac:dyDescent="0.25">
      <c r="B550" s="224"/>
      <c r="C550" s="977"/>
      <c r="D550" s="695" t="s">
        <v>439</v>
      </c>
      <c r="E550" s="1737" t="str">
        <f>Translations!$B$470</f>
        <v>Zemākā siltumspēja</v>
      </c>
      <c r="F550" s="1659"/>
      <c r="G550" s="1659"/>
      <c r="H550" s="74" t="e">
        <f>IF(ISBLANK(H549),EUconst_GJperUnit,INDEX(EUconst_GJperTorKNm3,MATCH(H549,EUconst_TonnesOrkNm3pa,0)))</f>
        <v>#N/A</v>
      </c>
      <c r="I550" s="458"/>
      <c r="J550" s="458"/>
      <c r="K550" s="458"/>
      <c r="L550" s="458"/>
      <c r="M550" s="458"/>
      <c r="N550" s="1205"/>
      <c r="O550" s="25"/>
      <c r="R550" s="708" t="s">
        <v>421</v>
      </c>
      <c r="S550" s="705">
        <f>I548</f>
        <v>2019</v>
      </c>
      <c r="T550" s="706">
        <f>J548</f>
        <v>2020</v>
      </c>
      <c r="U550" s="706">
        <f>K548</f>
        <v>2021</v>
      </c>
      <c r="V550" s="706">
        <f>L548</f>
        <v>2022</v>
      </c>
      <c r="W550" s="707">
        <f>M548</f>
        <v>2023</v>
      </c>
      <c r="AA550" s="361" t="b">
        <f>AA549</f>
        <v>0</v>
      </c>
    </row>
    <row r="551" spans="1:27" ht="12.75" customHeight="1" thickBot="1" x14ac:dyDescent="0.25">
      <c r="B551" s="224"/>
      <c r="C551" s="977"/>
      <c r="D551" s="695" t="s">
        <v>440</v>
      </c>
      <c r="E551" s="1651" t="str">
        <f>Translations!$B$790</f>
        <v>Lāpā sadedzinātā atlikumgāze</v>
      </c>
      <c r="F551" s="1652"/>
      <c r="G551" s="1652"/>
      <c r="H551" s="465" t="str">
        <f>EUconst_TJpa</f>
        <v>TJ / gads</v>
      </c>
      <c r="I551" s="523" t="str">
        <f>IF(COUNT(I549:I550)=2,I549*I550/1000,"")</f>
        <v/>
      </c>
      <c r="J551" s="523" t="str">
        <f>IF(COUNT(J549:J550)=2,J549*J550/1000,"")</f>
        <v/>
      </c>
      <c r="K551" s="523" t="str">
        <f>IF(COUNT(K549:K550)=2,K549*K550/1000,"")</f>
        <v/>
      </c>
      <c r="L551" s="523" t="str">
        <f>IF(COUNT(L549:L550)=2,L549*L550/1000,"")</f>
        <v/>
      </c>
      <c r="M551" s="523" t="str">
        <f>IF(COUNT(M549:M550)=2,M549*M550/1000,"")</f>
        <v/>
      </c>
      <c r="N551" s="1205"/>
      <c r="O551" s="25"/>
      <c r="P551" s="979" t="str">
        <f>EUconst_CNTR_WGFlared &amp; I420</f>
        <v>WasteGasFlare_</v>
      </c>
      <c r="R551" s="363" t="str">
        <f>IF(COUNT(S551:W551)&gt;0,AVERAGE(S551:W551),"")</f>
        <v/>
      </c>
      <c r="S551" s="454" t="str">
        <f>IF(S420,IF(ISNUMBER(I551),I551,0),"")</f>
        <v/>
      </c>
      <c r="T551" s="455" t="str">
        <f>IF(T420,IF(ISNUMBER(J551),J551,0),"")</f>
        <v/>
      </c>
      <c r="U551" s="455" t="str">
        <f>IF(U420,IF(ISNUMBER(K551),K551,0),"")</f>
        <v/>
      </c>
      <c r="V551" s="455" t="str">
        <f>IF(V420,IF(ISNUMBER(L551),L551,0),"")</f>
        <v/>
      </c>
      <c r="W551" s="456" t="str">
        <f>IF(W420,IF(ISNUMBER(M551),M551,0),"")</f>
        <v/>
      </c>
      <c r="AA551" s="607"/>
    </row>
    <row r="552" spans="1:27" ht="12.75" customHeight="1" thickBot="1" x14ac:dyDescent="0.25">
      <c r="B552" s="224"/>
      <c r="C552" s="977"/>
      <c r="D552" s="695" t="s">
        <v>441</v>
      </c>
      <c r="E552" s="1651" t="str">
        <f>Translations!$B$791</f>
        <v>Īpatnējais EF (lāpā sadedzinātā atlikumgāze)</v>
      </c>
      <c r="F552" s="1652"/>
      <c r="G552" s="1652"/>
      <c r="H552" s="465" t="str">
        <f>EUconst_tCO2pTJ</f>
        <v>t CO2 / TJ</v>
      </c>
      <c r="I552" s="483"/>
      <c r="J552" s="483"/>
      <c r="K552" s="483"/>
      <c r="L552" s="483"/>
      <c r="M552" s="483"/>
      <c r="N552" s="661"/>
      <c r="O552" s="25"/>
      <c r="P552" s="979" t="str">
        <f>EUconst_CNTR_WGFlaredEF &amp; I420</f>
        <v>WasteGasFlareEF_</v>
      </c>
      <c r="R552" s="843" t="str">
        <f>IF(COUNT(S552:W552)&gt;0,AVERAGE(S552:W552),"")</f>
        <v/>
      </c>
      <c r="S552" s="454" t="str">
        <f>IF(S420,SUM(I551)*SUM(I552),"")</f>
        <v/>
      </c>
      <c r="T552" s="455" t="str">
        <f>IF(T420,SUM(J551)*SUM(J552),"")</f>
        <v/>
      </c>
      <c r="U552" s="455" t="str">
        <f>IF(U420,SUM(K551)*SUM(K552),"")</f>
        <v/>
      </c>
      <c r="V552" s="455" t="str">
        <f>IF(V420,SUM(L551)*SUM(L552),"")</f>
        <v/>
      </c>
      <c r="W552" s="456" t="str">
        <f>IF(W420,SUM(M551)*SUM(M552),"")</f>
        <v/>
      </c>
      <c r="AA552" s="361" t="b">
        <f>AA550</f>
        <v>0</v>
      </c>
    </row>
    <row r="553" spans="1:27" ht="5.0999999999999996" customHeight="1" x14ac:dyDescent="0.2">
      <c r="B553" s="224"/>
      <c r="C553" s="977"/>
      <c r="D553" s="978"/>
      <c r="E553" s="978"/>
      <c r="F553" s="978"/>
      <c r="G553" s="978"/>
      <c r="H553" s="978"/>
      <c r="I553" s="978"/>
      <c r="J553" s="978"/>
      <c r="K553" s="978"/>
      <c r="L553" s="978"/>
      <c r="M553" s="980"/>
      <c r="N553" s="661"/>
      <c r="O553" s="25"/>
      <c r="P553" s="955"/>
      <c r="R553" s="955"/>
      <c r="S553" s="955"/>
      <c r="AA553" s="607"/>
    </row>
    <row r="554" spans="1:27" ht="12.75" customHeight="1" x14ac:dyDescent="0.2">
      <c r="B554" s="224"/>
      <c r="C554" s="977"/>
      <c r="D554" s="695" t="s">
        <v>442</v>
      </c>
      <c r="E554" s="1663" t="str">
        <f>Translations!$B$792</f>
        <v>Importēto atlikumgāzu veidi:</v>
      </c>
      <c r="F554" s="1663"/>
      <c r="G554" s="1663"/>
      <c r="H554" s="1663"/>
      <c r="I554" s="1664"/>
      <c r="J554" s="1665"/>
      <c r="K554" s="1665"/>
      <c r="L554" s="1665"/>
      <c r="M554" s="1666"/>
      <c r="N554" s="661"/>
      <c r="O554" s="25"/>
      <c r="P554" s="955"/>
      <c r="R554" s="955"/>
      <c r="AA554" s="361" t="b">
        <f>AA534</f>
        <v>0</v>
      </c>
    </row>
    <row r="555" spans="1:27" ht="5.0999999999999996" customHeight="1" x14ac:dyDescent="0.2">
      <c r="B555" s="224"/>
      <c r="C555" s="977"/>
      <c r="D555" s="978"/>
      <c r="E555" s="978"/>
      <c r="F555" s="978"/>
      <c r="G555" s="978"/>
      <c r="H555" s="978"/>
      <c r="I555" s="978"/>
      <c r="J555" s="978"/>
      <c r="K555" s="978"/>
      <c r="L555" s="978"/>
      <c r="M555" s="980"/>
      <c r="N555" s="661"/>
      <c r="O555" s="25"/>
      <c r="P555" s="955"/>
      <c r="R555" s="955"/>
    </row>
    <row r="556" spans="1:27" ht="12.75" customHeight="1" x14ac:dyDescent="0.2">
      <c r="B556" s="224"/>
      <c r="C556" s="977"/>
      <c r="D556" s="978"/>
      <c r="E556" s="1653"/>
      <c r="F556" s="1657"/>
      <c r="G556" s="1657"/>
      <c r="H556" s="462" t="str">
        <f>EUconst_Unit</f>
        <v>Vienība</v>
      </c>
      <c r="I556" s="463">
        <f>I$1820</f>
        <v>2019</v>
      </c>
      <c r="J556" s="463">
        <f>J$1820</f>
        <v>2020</v>
      </c>
      <c r="K556" s="463">
        <f>K$1820</f>
        <v>2021</v>
      </c>
      <c r="L556" s="463">
        <f>L$1820</f>
        <v>2022</v>
      </c>
      <c r="M556" s="463">
        <f>M$1820</f>
        <v>2023</v>
      </c>
      <c r="N556" s="1205"/>
      <c r="O556" s="25"/>
      <c r="P556" s="955"/>
      <c r="R556" s="955"/>
      <c r="S556" s="955"/>
      <c r="AA556" s="607"/>
    </row>
    <row r="557" spans="1:27" ht="12.75" customHeight="1" thickBot="1" x14ac:dyDescent="0.25">
      <c r="B557" s="224"/>
      <c r="C557" s="977"/>
      <c r="D557" s="695" t="s">
        <v>443</v>
      </c>
      <c r="E557" s="1667" t="str">
        <f>Translations!$B$795</f>
        <v>Importētie daudzumi</v>
      </c>
      <c r="F557" s="1660"/>
      <c r="G557" s="1660"/>
      <c r="H557" s="245" t="s">
        <v>249</v>
      </c>
      <c r="I557" s="484"/>
      <c r="J557" s="484"/>
      <c r="K557" s="484"/>
      <c r="L557" s="484"/>
      <c r="M557" s="484"/>
      <c r="N557" s="1205"/>
      <c r="O557" s="25"/>
      <c r="P557" s="955"/>
      <c r="R557" s="955"/>
      <c r="S557" s="955"/>
      <c r="AA557" s="361" t="b">
        <f>AA554</f>
        <v>0</v>
      </c>
    </row>
    <row r="558" spans="1:27" ht="12.75" customHeight="1" x14ac:dyDescent="0.2">
      <c r="B558" s="224"/>
      <c r="C558" s="977"/>
      <c r="D558" s="695" t="s">
        <v>444</v>
      </c>
      <c r="E558" s="1737" t="str">
        <f>Translations!$B$470</f>
        <v>Zemākā siltumspēja</v>
      </c>
      <c r="F558" s="1659"/>
      <c r="G558" s="1659"/>
      <c r="H558" s="74" t="e">
        <f>IF(ISBLANK(H557),EUconst_GJperUnit,INDEX(EUconst_GJperTorKNm3,MATCH(H557,EUconst_TonnesOrkNm3pa,0)))</f>
        <v>#N/A</v>
      </c>
      <c r="I558" s="458"/>
      <c r="J558" s="458"/>
      <c r="K558" s="458"/>
      <c r="L558" s="458"/>
      <c r="M558" s="458"/>
      <c r="N558" s="1205"/>
      <c r="O558" s="25"/>
      <c r="P558" s="982"/>
      <c r="R558" s="970"/>
      <c r="S558" s="809">
        <f>I556</f>
        <v>2019</v>
      </c>
      <c r="T558" s="809">
        <f>J556</f>
        <v>2020</v>
      </c>
      <c r="U558" s="809">
        <f>K556</f>
        <v>2021</v>
      </c>
      <c r="V558" s="809">
        <f>L556</f>
        <v>2022</v>
      </c>
      <c r="W558" s="810">
        <f>M556</f>
        <v>2023</v>
      </c>
      <c r="AA558" s="361" t="b">
        <f>AA557</f>
        <v>0</v>
      </c>
    </row>
    <row r="559" spans="1:27" ht="12.75" customHeight="1" x14ac:dyDescent="0.2">
      <c r="B559" s="224"/>
      <c r="C559" s="977"/>
      <c r="D559" s="695" t="s">
        <v>445</v>
      </c>
      <c r="E559" s="1651" t="str">
        <f>Translations!$B$796</f>
        <v>Importētā atlikumgāze</v>
      </c>
      <c r="F559" s="1652"/>
      <c r="G559" s="1652"/>
      <c r="H559" s="465" t="str">
        <f>EUconst_TJpa</f>
        <v>TJ / gads</v>
      </c>
      <c r="I559" s="448" t="str">
        <f>IF(COUNT(I557:I558)=2,I557*I558/1000,"")</f>
        <v/>
      </c>
      <c r="J559" s="448" t="str">
        <f>IF(COUNT(J557:J558)=2,J557*J558/1000,"")</f>
        <v/>
      </c>
      <c r="K559" s="448" t="str">
        <f>IF(COUNT(K557:K558)=2,K557*K558/1000,"")</f>
        <v/>
      </c>
      <c r="L559" s="448" t="str">
        <f>IF(COUNT(L557:L558)=2,L557*L558/1000,"")</f>
        <v/>
      </c>
      <c r="M559" s="448" t="str">
        <f>IF(COUNT(M557:M558)=2,M557*M558/1000,"")</f>
        <v/>
      </c>
      <c r="N559" s="1205"/>
      <c r="O559" s="25"/>
      <c r="P559" s="979" t="str">
        <f>EUconst_CNTR_WGImport &amp; I420</f>
        <v>WasteGasIm_</v>
      </c>
      <c r="R559" s="981" t="str">
        <f>EUconst_ERR_AttrEmBMapplied &amp; I420</f>
        <v>ERR_AttrEmBM_ </v>
      </c>
      <c r="S559" s="134">
        <f>IF(AND(I559&lt;&gt;"",EUconst_StatusOfDataCollection=""),1,0)</f>
        <v>0</v>
      </c>
      <c r="T559" s="134">
        <f>IF(AND(J559&lt;&gt;"",EUconst_StatusOfDataCollection=""),1,0)</f>
        <v>0</v>
      </c>
      <c r="U559" s="134">
        <f>IF(AND(K559&lt;&gt;"",EUconst_StatusOfDataCollection=""),1,0)</f>
        <v>0</v>
      </c>
      <c r="V559" s="134">
        <f>IF(AND(L559&lt;&gt;"",EUconst_StatusOfDataCollection=""),1,0)</f>
        <v>0</v>
      </c>
      <c r="W559" s="135">
        <f>IF(AND(M559&lt;&gt;"",EUconst_StatusOfDataCollection=""),1,0)</f>
        <v>0</v>
      </c>
      <c r="AA559" s="607"/>
    </row>
    <row r="560" spans="1:27" s="697" customFormat="1" ht="12.75" customHeight="1" thickBot="1" x14ac:dyDescent="0.25">
      <c r="A560" s="437"/>
      <c r="B560" s="224"/>
      <c r="C560" s="977"/>
      <c r="D560" s="695" t="s">
        <v>446</v>
      </c>
      <c r="E560" s="1651" t="str">
        <f>Translations!$B$797</f>
        <v>Īpatnējais EF (importētā atlikumgāze)</v>
      </c>
      <c r="F560" s="1651"/>
      <c r="G560" s="1651"/>
      <c r="H560" s="464" t="str">
        <f>EUconst_tCO2pTJ</f>
        <v>t CO2 / TJ</v>
      </c>
      <c r="I560" s="761"/>
      <c r="J560" s="761"/>
      <c r="K560" s="761"/>
      <c r="L560" s="761"/>
      <c r="M560" s="761"/>
      <c r="N560" s="661"/>
      <c r="O560" s="25"/>
      <c r="P560" s="979" t="str">
        <f>EUconst_CNTR_WGImportEF &amp; I420</f>
        <v>WasteGasImEF_</v>
      </c>
      <c r="Q560" s="437"/>
      <c r="R560" s="971" t="str">
        <f>EUconst_CNTR_AttributedEmissions &amp; I420</f>
        <v>AttrEmissions_</v>
      </c>
      <c r="S560" s="137" t="str">
        <f>IF(S420,SUM(I559)*EUconst_FuelBMvalueForBM,"")</f>
        <v/>
      </c>
      <c r="T560" s="137" t="str">
        <f>IF(T420,SUM(J559)*EUconst_FuelBMvalueForBM,"")</f>
        <v/>
      </c>
      <c r="U560" s="137" t="str">
        <f>IF(U420,SUM(K559)*EUconst_FuelBMvalueForBM,"")</f>
        <v/>
      </c>
      <c r="V560" s="137" t="str">
        <f>IF(V420,SUM(L559)*EUconst_FuelBMvalueForBM,"")</f>
        <v/>
      </c>
      <c r="W560" s="138" t="str">
        <f>IF(W420,SUM(M559)*EUconst_FuelBMvalueForBM,"")</f>
        <v/>
      </c>
      <c r="X560" s="437"/>
      <c r="Y560" s="437"/>
      <c r="Z560" s="437"/>
      <c r="AA560" s="361" t="b">
        <f>AA558</f>
        <v>0</v>
      </c>
    </row>
    <row r="561" spans="1:27" ht="5.0999999999999996" customHeight="1" x14ac:dyDescent="0.2">
      <c r="B561" s="224"/>
      <c r="C561" s="977"/>
      <c r="D561" s="978"/>
      <c r="E561" s="978"/>
      <c r="F561" s="978"/>
      <c r="G561" s="978"/>
      <c r="H561" s="978"/>
      <c r="I561" s="978"/>
      <c r="J561" s="978"/>
      <c r="K561" s="978"/>
      <c r="L561" s="978"/>
      <c r="M561" s="980"/>
      <c r="N561" s="661"/>
      <c r="O561" s="25"/>
      <c r="P561" s="955"/>
      <c r="R561" s="955"/>
      <c r="S561" s="955"/>
      <c r="AA561" s="607"/>
    </row>
    <row r="562" spans="1:27" ht="12.75" customHeight="1" x14ac:dyDescent="0.2">
      <c r="B562" s="224"/>
      <c r="C562" s="977"/>
      <c r="D562" s="695" t="s">
        <v>447</v>
      </c>
      <c r="E562" s="1663" t="str">
        <f>Translations!$B$798</f>
        <v>Eksportēto atlikumgāzu veidi:</v>
      </c>
      <c r="F562" s="1663"/>
      <c r="G562" s="1663"/>
      <c r="H562" s="1663"/>
      <c r="I562" s="1664"/>
      <c r="J562" s="1665"/>
      <c r="K562" s="1665"/>
      <c r="L562" s="1665"/>
      <c r="M562" s="1666"/>
      <c r="N562" s="1203"/>
      <c r="O562" s="25"/>
      <c r="P562" s="955"/>
      <c r="R562" s="955"/>
      <c r="AA562" s="361" t="b">
        <f>AA557</f>
        <v>0</v>
      </c>
    </row>
    <row r="563" spans="1:27" ht="5.0999999999999996" customHeight="1" x14ac:dyDescent="0.2">
      <c r="B563" s="224"/>
      <c r="C563" s="977"/>
      <c r="D563" s="978"/>
      <c r="E563" s="978"/>
      <c r="F563" s="978"/>
      <c r="G563" s="978"/>
      <c r="H563" s="978"/>
      <c r="I563" s="978"/>
      <c r="J563" s="978"/>
      <c r="K563" s="978"/>
      <c r="L563" s="978"/>
      <c r="M563" s="980"/>
      <c r="N563" s="661"/>
      <c r="O563" s="25"/>
      <c r="P563" s="955"/>
      <c r="R563" s="955"/>
    </row>
    <row r="564" spans="1:27" ht="12.75" customHeight="1" x14ac:dyDescent="0.2">
      <c r="B564" s="224"/>
      <c r="C564" s="977"/>
      <c r="D564" s="978"/>
      <c r="E564" s="1653"/>
      <c r="F564" s="1657"/>
      <c r="G564" s="1657"/>
      <c r="H564" s="462" t="str">
        <f>EUconst_Unit</f>
        <v>Vienība</v>
      </c>
      <c r="I564" s="463">
        <f>I$1820</f>
        <v>2019</v>
      </c>
      <c r="J564" s="463">
        <f>J$1820</f>
        <v>2020</v>
      </c>
      <c r="K564" s="463">
        <f>K$1820</f>
        <v>2021</v>
      </c>
      <c r="L564" s="463">
        <f>L$1820</f>
        <v>2022</v>
      </c>
      <c r="M564" s="463">
        <f>M$1820</f>
        <v>2023</v>
      </c>
      <c r="N564" s="1205"/>
      <c r="O564" s="25"/>
      <c r="P564" s="955"/>
      <c r="R564" s="955"/>
      <c r="S564" s="955"/>
      <c r="AA564" s="607"/>
    </row>
    <row r="565" spans="1:27" ht="12.75" customHeight="1" x14ac:dyDescent="0.2">
      <c r="B565" s="224"/>
      <c r="C565" s="977"/>
      <c r="D565" s="695" t="s">
        <v>448</v>
      </c>
      <c r="E565" s="1667" t="str">
        <f>Translations!$B$800</f>
        <v>Eksportētie daudzumi</v>
      </c>
      <c r="F565" s="1660"/>
      <c r="G565" s="1660"/>
      <c r="H565" s="245" t="s">
        <v>249</v>
      </c>
      <c r="I565" s="484"/>
      <c r="J565" s="484"/>
      <c r="K565" s="484"/>
      <c r="L565" s="484"/>
      <c r="M565" s="484"/>
      <c r="N565" s="1205"/>
      <c r="O565" s="25"/>
      <c r="P565" s="955"/>
      <c r="R565" s="955"/>
      <c r="S565" s="955"/>
      <c r="AA565" s="361" t="b">
        <f>AA562</f>
        <v>0</v>
      </c>
    </row>
    <row r="566" spans="1:27" ht="12.75" customHeight="1" thickBot="1" x14ac:dyDescent="0.25">
      <c r="B566" s="224"/>
      <c r="C566" s="977"/>
      <c r="D566" s="695" t="s">
        <v>612</v>
      </c>
      <c r="E566" s="1737" t="str">
        <f>Translations!$B$470</f>
        <v>Zemākā siltumspēja</v>
      </c>
      <c r="F566" s="1659"/>
      <c r="G566" s="1659"/>
      <c r="H566" s="74" t="e">
        <f>IF(ISBLANK(H565),EUconst_GJperUnit,INDEX(EUconst_GJperTorKNm3,MATCH(H565,EUconst_TonnesOrkNm3pa,0)))</f>
        <v>#N/A</v>
      </c>
      <c r="I566" s="458"/>
      <c r="J566" s="458"/>
      <c r="K566" s="458"/>
      <c r="L566" s="458"/>
      <c r="M566" s="458"/>
      <c r="N566" s="1205"/>
      <c r="O566" s="25"/>
      <c r="P566" s="982"/>
      <c r="R566" s="955"/>
      <c r="S566" s="955"/>
      <c r="AA566" s="361" t="b">
        <f>AA565</f>
        <v>0</v>
      </c>
    </row>
    <row r="567" spans="1:27" ht="12.75" customHeight="1" x14ac:dyDescent="0.2">
      <c r="B567" s="224"/>
      <c r="C567" s="977"/>
      <c r="D567" s="695" t="s">
        <v>613</v>
      </c>
      <c r="E567" s="1651" t="str">
        <f>Translations!$B$801</f>
        <v>Eksportētā atlikumgāze</v>
      </c>
      <c r="F567" s="1652"/>
      <c r="G567" s="1652"/>
      <c r="H567" s="465" t="str">
        <f>EUconst_TJpa</f>
        <v>TJ / gads</v>
      </c>
      <c r="I567" s="448" t="str">
        <f>IF(COUNT(I565:I566)=2,I565*I566/1000,"")</f>
        <v/>
      </c>
      <c r="J567" s="448" t="str">
        <f>IF(COUNT(J565:J566)=2,J565*J566/1000,"")</f>
        <v/>
      </c>
      <c r="K567" s="448" t="str">
        <f>IF(COUNT(K565:K566)=2,K565*K566/1000,"")</f>
        <v/>
      </c>
      <c r="L567" s="448" t="str">
        <f>IF(COUNT(L565:L566)=2,L565*L566/1000,"")</f>
        <v/>
      </c>
      <c r="M567" s="448" t="str">
        <f>IF(COUNT(M565:M566)=2,M565*M566/1000,"")</f>
        <v/>
      </c>
      <c r="N567" s="698"/>
      <c r="O567" s="25"/>
      <c r="P567" s="979" t="str">
        <f>EUconst_CNTR_WGExport &amp; I420</f>
        <v>WasteGasEx_</v>
      </c>
      <c r="R567" s="970"/>
      <c r="S567" s="809">
        <f>I564</f>
        <v>2019</v>
      </c>
      <c r="T567" s="809">
        <f>J564</f>
        <v>2020</v>
      </c>
      <c r="U567" s="809">
        <f>K564</f>
        <v>2021</v>
      </c>
      <c r="V567" s="809">
        <f>L564</f>
        <v>2022</v>
      </c>
      <c r="W567" s="810">
        <f>M564</f>
        <v>2023</v>
      </c>
      <c r="AA567" s="607"/>
    </row>
    <row r="568" spans="1:27" s="697" customFormat="1" ht="12.75" customHeight="1" thickBot="1" x14ac:dyDescent="0.25">
      <c r="A568" s="20"/>
      <c r="B568" s="224"/>
      <c r="C568" s="977"/>
      <c r="D568" s="695" t="s">
        <v>614</v>
      </c>
      <c r="E568" s="1651" t="str">
        <f>Translations!$B$802</f>
        <v>Īpatnējais EF (eksportētā atlikumgāze)</v>
      </c>
      <c r="F568" s="1651"/>
      <c r="G568" s="1651"/>
      <c r="H568" s="464" t="str">
        <f>EUconst_tCO2pTJ</f>
        <v>t CO2 / TJ</v>
      </c>
      <c r="I568" s="761"/>
      <c r="J568" s="761"/>
      <c r="K568" s="761"/>
      <c r="L568" s="761"/>
      <c r="M568" s="761"/>
      <c r="N568" s="661"/>
      <c r="O568" s="25"/>
      <c r="P568" s="979" t="str">
        <f>EUconst_CNTR_WGExportEF &amp; I420</f>
        <v>WasteGasExEF_</v>
      </c>
      <c r="Q568" s="437"/>
      <c r="R568" s="971" t="str">
        <f>EUconst_CNTR_AttributedEmissions &amp; I420</f>
        <v>AttrEmissions_</v>
      </c>
      <c r="S568" s="137" t="str">
        <f>IF(S420,-SUM(I567)*EUconst_NGEFvalue*EUconst_WasteGasCorrFactor,"")</f>
        <v/>
      </c>
      <c r="T568" s="137" t="str">
        <f>IF(T420,-SUM(J567)*EUconst_NGEFvalue*EUconst_WasteGasCorrFactor,"")</f>
        <v/>
      </c>
      <c r="U568" s="137" t="str">
        <f>IF(U420,-SUM(K567)*EUconst_NGEFvalue*EUconst_WasteGasCorrFactor,"")</f>
        <v/>
      </c>
      <c r="V568" s="137" t="str">
        <f>IF(V420,-SUM(L567)*EUconst_NGEFvalue*EUconst_WasteGasCorrFactor,"")</f>
        <v/>
      </c>
      <c r="W568" s="138" t="str">
        <f>IF(W420,-SUM(M567)*EUconst_NGEFvalue*EUconst_WasteGasCorrFactor,"")</f>
        <v/>
      </c>
      <c r="X568" s="437"/>
      <c r="Y568" s="437"/>
      <c r="Z568" s="437"/>
      <c r="AA568" s="186" t="b">
        <f>AA566</f>
        <v>0</v>
      </c>
    </row>
    <row r="569" spans="1:27" ht="5.0999999999999996" customHeight="1" x14ac:dyDescent="0.2">
      <c r="B569" s="224"/>
      <c r="C569" s="977"/>
      <c r="D569" s="978"/>
      <c r="E569" s="978"/>
      <c r="F569" s="978"/>
      <c r="G569" s="978"/>
      <c r="H569" s="978"/>
      <c r="I569" s="978"/>
      <c r="J569" s="978"/>
      <c r="K569" s="978"/>
      <c r="L569" s="978"/>
      <c r="M569" s="980"/>
      <c r="N569" s="661"/>
      <c r="O569" s="25"/>
      <c r="P569" s="955"/>
      <c r="R569" s="955"/>
    </row>
    <row r="570" spans="1:27" ht="12.75" customHeight="1" thickBot="1" x14ac:dyDescent="0.25">
      <c r="B570" s="224"/>
      <c r="C570" s="977"/>
      <c r="D570" s="474" t="s">
        <v>214</v>
      </c>
      <c r="E570" s="1654" t="str">
        <f>Translations!$B$420</f>
        <v>Elektroenerģijas ražošana</v>
      </c>
      <c r="F570" s="1655"/>
      <c r="G570" s="1655"/>
      <c r="H570" s="1655"/>
      <c r="I570" s="1655"/>
      <c r="J570" s="1655"/>
      <c r="K570" s="1655"/>
      <c r="L570" s="1655"/>
      <c r="M570" s="1655"/>
      <c r="N570" s="1656"/>
      <c r="O570" s="25"/>
      <c r="P570" s="955"/>
      <c r="R570" s="955"/>
    </row>
    <row r="571" spans="1:27" ht="12.75" customHeight="1" x14ac:dyDescent="0.2">
      <c r="B571" s="224"/>
      <c r="C571" s="977"/>
      <c r="D571" s="474"/>
      <c r="E571" s="1653"/>
      <c r="F571" s="1657"/>
      <c r="G571" s="1657"/>
      <c r="H571" s="462" t="str">
        <f>EUconst_Unit</f>
        <v>Vienība</v>
      </c>
      <c r="I571" s="463">
        <f>I$1820</f>
        <v>2019</v>
      </c>
      <c r="J571" s="463">
        <f>J$1820</f>
        <v>2020</v>
      </c>
      <c r="K571" s="463">
        <f>K$1820</f>
        <v>2021</v>
      </c>
      <c r="L571" s="463">
        <f>L$1820</f>
        <v>2022</v>
      </c>
      <c r="M571" s="463">
        <f>M$1820</f>
        <v>2023</v>
      </c>
      <c r="N571" s="661"/>
      <c r="O571" s="25"/>
      <c r="P571" s="955"/>
      <c r="R571" s="970"/>
      <c r="S571" s="809">
        <f>I571</f>
        <v>2019</v>
      </c>
      <c r="T571" s="809">
        <f>J571</f>
        <v>2020</v>
      </c>
      <c r="U571" s="809">
        <f>K571</f>
        <v>2021</v>
      </c>
      <c r="V571" s="809">
        <f>L571</f>
        <v>2022</v>
      </c>
      <c r="W571" s="810">
        <f>M571</f>
        <v>2023</v>
      </c>
    </row>
    <row r="572" spans="1:27" ht="12.75" customHeight="1" thickBot="1" x14ac:dyDescent="0.25">
      <c r="B572" s="224"/>
      <c r="C572" s="977"/>
      <c r="D572" s="695"/>
      <c r="E572" s="1651" t="str">
        <f>Translations!$B$805</f>
        <v>Saražotā elektroenerģija</v>
      </c>
      <c r="F572" s="1652"/>
      <c r="G572" s="1652"/>
      <c r="H572" s="465" t="str">
        <f>EUconst_MWhpa</f>
        <v>MWh / gads</v>
      </c>
      <c r="I572" s="483"/>
      <c r="J572" s="483"/>
      <c r="K572" s="483"/>
      <c r="L572" s="483"/>
      <c r="M572" s="483"/>
      <c r="N572" s="1205"/>
      <c r="O572" s="25"/>
      <c r="P572" s="979" t="str">
        <f>EUconst_CNTR_ElectricityExported &amp; I420</f>
        <v>ElecEx_</v>
      </c>
      <c r="R572" s="971" t="str">
        <f>EUconst_CNTR_AttributedEmissions &amp; I420</f>
        <v>AttrEmissions_</v>
      </c>
      <c r="S572" s="137" t="str">
        <f>IF(S420,-SUM(I572)*EUconst_ElBM,"")</f>
        <v/>
      </c>
      <c r="T572" s="137" t="str">
        <f>IF(T420,-SUM(J572)*EUconst_ElBM,"")</f>
        <v/>
      </c>
      <c r="U572" s="137" t="str">
        <f>IF(U420,-SUM(K572)*EUconst_ElBM,"")</f>
        <v/>
      </c>
      <c r="V572" s="137" t="str">
        <f>IF(V420,-SUM(L572)*EUconst_ElBM,"")</f>
        <v/>
      </c>
      <c r="W572" s="138" t="str">
        <f>IF(W420,-SUM(M572)*EUconst_ElBM,"")</f>
        <v/>
      </c>
    </row>
    <row r="573" spans="1:27" ht="5.0999999999999996" customHeight="1" x14ac:dyDescent="0.2">
      <c r="B573" s="224"/>
      <c r="C573" s="977"/>
      <c r="D573" s="978"/>
      <c r="E573" s="978"/>
      <c r="F573" s="978"/>
      <c r="G573" s="978"/>
      <c r="H573" s="978"/>
      <c r="I573" s="978"/>
      <c r="J573" s="978"/>
      <c r="K573" s="978"/>
      <c r="L573" s="978"/>
      <c r="M573" s="980"/>
      <c r="N573" s="661"/>
      <c r="O573" s="25"/>
      <c r="P573" s="955"/>
      <c r="R573" s="955"/>
      <c r="S573" s="955"/>
    </row>
    <row r="574" spans="1:27" ht="12.75" customHeight="1" thickBot="1" x14ac:dyDescent="0.25">
      <c r="B574" s="224"/>
      <c r="C574" s="977"/>
      <c r="D574" s="474" t="s">
        <v>77</v>
      </c>
      <c r="E574" s="1663" t="str">
        <f>Translations!$B$806</f>
        <v>Kopējais saražotās pulpas daudzums</v>
      </c>
      <c r="F574" s="1663"/>
      <c r="G574" s="1663"/>
      <c r="H574" s="1663"/>
      <c r="I574" s="1663"/>
      <c r="J574" s="1663"/>
      <c r="K574" s="1663"/>
      <c r="L574" s="1663"/>
      <c r="M574" s="1663"/>
      <c r="N574" s="1690"/>
      <c r="O574" s="25"/>
      <c r="S574" s="955"/>
    </row>
    <row r="575" spans="1:27" ht="12.75" customHeight="1" thickBot="1" x14ac:dyDescent="0.25">
      <c r="B575" s="224"/>
      <c r="C575" s="977"/>
      <c r="D575" s="695"/>
      <c r="E575" s="1689" t="str">
        <f>IF(I420="","",IF(INDEX(EUconst_BMlistPulp,MATCH(I420,EUconst_BMlistNames,0)),I420,""))</f>
        <v/>
      </c>
      <c r="F575" s="1689"/>
      <c r="G575" s="1689"/>
      <c r="H575" s="465" t="str">
        <f>EUconst_Tons</f>
        <v>tonnas</v>
      </c>
      <c r="I575" s="483"/>
      <c r="J575" s="483"/>
      <c r="K575" s="483"/>
      <c r="L575" s="483"/>
      <c r="M575" s="483"/>
      <c r="N575" s="1205"/>
      <c r="O575" s="25"/>
      <c r="P575" s="979" t="str">
        <f>EUconst_CNTR_HALPulpTotal &amp; I420</f>
        <v>HALPulpTotal_</v>
      </c>
      <c r="R575" s="955"/>
      <c r="AA575" s="734" t="b">
        <f>IF(I420&lt;&gt;"",IF(INDEX(EUconst_BMlistPulp,MATCH(I420,EUconst_BMlistNames,0))=TRUE,FALSE,TRUE),FALSE)</f>
        <v>0</v>
      </c>
    </row>
    <row r="576" spans="1:27" ht="5.0999999999999996" customHeight="1" x14ac:dyDescent="0.2">
      <c r="B576" s="224"/>
      <c r="C576" s="977"/>
      <c r="D576" s="695"/>
      <c r="E576" s="695"/>
      <c r="F576" s="695"/>
      <c r="G576" s="695"/>
      <c r="H576" s="695"/>
      <c r="I576" s="695"/>
      <c r="J576" s="695"/>
      <c r="K576" s="695"/>
      <c r="L576" s="695"/>
      <c r="M576" s="695"/>
      <c r="N576" s="1205"/>
      <c r="O576" s="25"/>
      <c r="P576" s="982"/>
      <c r="R576" s="955"/>
      <c r="S576" s="955"/>
    </row>
    <row r="577" spans="2:27" ht="12.75" customHeight="1" thickBot="1" x14ac:dyDescent="0.25">
      <c r="B577" s="224"/>
      <c r="C577" s="977"/>
      <c r="D577" s="474" t="s">
        <v>322</v>
      </c>
      <c r="E577" s="1654" t="str">
        <f>Translations!$B$810</f>
        <v>Produktu līmeņatzīmju aptverto starpproduktu imports vai eksports</v>
      </c>
      <c r="F577" s="1655"/>
      <c r="G577" s="1655"/>
      <c r="H577" s="1655"/>
      <c r="I577" s="1655"/>
      <c r="J577" s="1655"/>
      <c r="K577" s="1655"/>
      <c r="L577" s="1655"/>
      <c r="M577" s="1655"/>
      <c r="N577" s="1656"/>
      <c r="O577" s="25"/>
      <c r="P577" s="955"/>
      <c r="R577" s="955"/>
      <c r="S577" s="955"/>
    </row>
    <row r="578" spans="2:27" ht="12.75" customHeight="1" thickBot="1" x14ac:dyDescent="0.25">
      <c r="B578" s="38"/>
      <c r="C578" s="977"/>
      <c r="D578" s="695" t="s">
        <v>2</v>
      </c>
      <c r="E578" s="1732" t="str">
        <f>Translations!$B$813</f>
        <v>Vai notiek produktu līmeņatzīmju aptverto starpproduktu imports vai eksports?</v>
      </c>
      <c r="F578" s="1732"/>
      <c r="G578" s="1732"/>
      <c r="H578" s="1732"/>
      <c r="I578" s="1732"/>
      <c r="J578" s="1732"/>
      <c r="K578" s="1733"/>
      <c r="L578" s="527"/>
      <c r="M578" s="461"/>
      <c r="N578" s="698"/>
      <c r="O578" s="25"/>
      <c r="W578" s="966" t="s">
        <v>398</v>
      </c>
      <c r="X578" s="964" t="b">
        <f>IF(AND(I420&lt;&gt;"",ISBLANK(L578)),EUconst_Error&amp;"BM"&amp;C420,FALSE)</f>
        <v>0</v>
      </c>
    </row>
    <row r="579" spans="2:27" ht="5.0999999999999996" customHeight="1" x14ac:dyDescent="0.2">
      <c r="B579" s="224"/>
      <c r="C579" s="977"/>
      <c r="D579" s="695"/>
      <c r="E579" s="695"/>
      <c r="F579" s="695"/>
      <c r="G579" s="695"/>
      <c r="H579" s="695"/>
      <c r="I579" s="695"/>
      <c r="J579" s="695"/>
      <c r="K579" s="695"/>
      <c r="L579" s="695"/>
      <c r="M579" s="695"/>
      <c r="N579" s="1205"/>
      <c r="O579" s="25"/>
      <c r="P579" s="982"/>
      <c r="R579" s="955"/>
      <c r="S579" s="955"/>
    </row>
    <row r="580" spans="2:27" ht="12.75" customHeight="1" thickBot="1" x14ac:dyDescent="0.25">
      <c r="B580" s="224"/>
      <c r="C580" s="977"/>
      <c r="D580" s="524"/>
      <c r="E580" s="1653" t="str">
        <f>Translations!$B$814</f>
        <v>Importētie daudzumi:</v>
      </c>
      <c r="F580" s="1657"/>
      <c r="G580" s="1657"/>
      <c r="H580" s="525" t="str">
        <f>EUconst_Unit</f>
        <v>Vienība</v>
      </c>
      <c r="I580" s="463">
        <f>I$1820</f>
        <v>2019</v>
      </c>
      <c r="J580" s="463">
        <f>J$1820</f>
        <v>2020</v>
      </c>
      <c r="K580" s="463">
        <f>K$1820</f>
        <v>2021</v>
      </c>
      <c r="L580" s="463">
        <f>L$1820</f>
        <v>2022</v>
      </c>
      <c r="M580" s="463">
        <f>M$1820</f>
        <v>2023</v>
      </c>
      <c r="N580" s="1205"/>
      <c r="O580" s="25"/>
      <c r="P580" s="982"/>
      <c r="R580" s="955"/>
      <c r="S580" s="955"/>
      <c r="AA580" s="437" t="s">
        <v>262</v>
      </c>
    </row>
    <row r="581" spans="2:27" ht="12.75" customHeight="1" x14ac:dyDescent="0.2">
      <c r="B581" s="224"/>
      <c r="C581" s="977"/>
      <c r="D581" s="526" t="s">
        <v>3</v>
      </c>
      <c r="E581" s="1745"/>
      <c r="F581" s="1745"/>
      <c r="G581" s="1745"/>
      <c r="H581" s="82" t="str">
        <f>IF(E581&lt;&gt;"",INDEX(EUconst_BMlistUnits,MATCH(E581,EUconst_BMlistNames,0)),EUconst_Tons)</f>
        <v>tonnas</v>
      </c>
      <c r="I581" s="334"/>
      <c r="J581" s="334"/>
      <c r="K581" s="334"/>
      <c r="L581" s="334"/>
      <c r="M581" s="334"/>
      <c r="N581" s="1205"/>
      <c r="O581" s="25"/>
      <c r="P581" s="979" t="str">
        <f>EUconst_CNTR_IntermediateImport &amp; R581 &amp; "_" &amp; I420</f>
        <v>IntImp_1_</v>
      </c>
      <c r="R581" s="979">
        <v>1</v>
      </c>
      <c r="S581" s="955"/>
      <c r="AA581" s="643" t="b">
        <f>AND(NOT(ISBLANK(L578)),L578=FALSE)</f>
        <v>0</v>
      </c>
    </row>
    <row r="582" spans="2:27" ht="12.75" customHeight="1" x14ac:dyDescent="0.2">
      <c r="B582" s="224"/>
      <c r="C582" s="977"/>
      <c r="D582" s="526" t="s">
        <v>4</v>
      </c>
      <c r="E582" s="1746"/>
      <c r="F582" s="1746"/>
      <c r="G582" s="1746"/>
      <c r="H582" s="74" t="str">
        <f>IF(E582&lt;&gt;"",INDEX(EUconst_BMlistUnits,MATCH(E582,EUconst_BMlistNames,0)),EUconst_Tons)</f>
        <v>tonnas</v>
      </c>
      <c r="I582" s="333"/>
      <c r="J582" s="333"/>
      <c r="K582" s="333"/>
      <c r="L582" s="333"/>
      <c r="M582" s="333"/>
      <c r="N582" s="1205"/>
      <c r="O582" s="25"/>
      <c r="P582" s="979" t="str">
        <f>EUconst_CNTR_IntermediateImport &amp; R582 &amp; "_" &amp; I420</f>
        <v>IntImp_2_</v>
      </c>
      <c r="R582" s="979">
        <v>2</v>
      </c>
      <c r="S582" s="955"/>
      <c r="AA582" s="361" t="b">
        <f>AA581</f>
        <v>0</v>
      </c>
    </row>
    <row r="583" spans="2:27" ht="5.0999999999999996" customHeight="1" x14ac:dyDescent="0.2">
      <c r="B583" s="224"/>
      <c r="C583" s="977"/>
      <c r="D583" s="695"/>
      <c r="E583" s="695"/>
      <c r="F583" s="695"/>
      <c r="G583" s="695"/>
      <c r="H583" s="695"/>
      <c r="I583" s="695"/>
      <c r="J583" s="695"/>
      <c r="K583" s="695"/>
      <c r="L583" s="695"/>
      <c r="M583" s="695"/>
      <c r="N583" s="1205"/>
      <c r="O583" s="25"/>
      <c r="P583" s="982"/>
      <c r="R583" s="955"/>
      <c r="S583" s="955"/>
      <c r="AA583" s="607"/>
    </row>
    <row r="584" spans="2:27" ht="12.75" customHeight="1" x14ac:dyDescent="0.2">
      <c r="B584" s="224"/>
      <c r="C584" s="977"/>
      <c r="D584" s="524"/>
      <c r="E584" s="1653" t="str">
        <f>Translations!$B$815</f>
        <v>Eksportētie daudzumi:</v>
      </c>
      <c r="F584" s="1657"/>
      <c r="G584" s="1657"/>
      <c r="H584" s="525" t="str">
        <f>EUconst_Unit</f>
        <v>Vienība</v>
      </c>
      <c r="I584" s="463">
        <f>I$1820</f>
        <v>2019</v>
      </c>
      <c r="J584" s="463">
        <f>J$1820</f>
        <v>2020</v>
      </c>
      <c r="K584" s="463">
        <f>K$1820</f>
        <v>2021</v>
      </c>
      <c r="L584" s="463">
        <f>L$1820</f>
        <v>2022</v>
      </c>
      <c r="M584" s="463">
        <f>M$1820</f>
        <v>2023</v>
      </c>
      <c r="N584" s="1205"/>
      <c r="O584" s="25"/>
      <c r="P584" s="982"/>
      <c r="R584" s="955"/>
      <c r="S584" s="955"/>
      <c r="AA584" s="607"/>
    </row>
    <row r="585" spans="2:27" ht="12.75" customHeight="1" x14ac:dyDescent="0.2">
      <c r="B585" s="224"/>
      <c r="C585" s="977"/>
      <c r="D585" s="526" t="s">
        <v>6</v>
      </c>
      <c r="E585" s="1745"/>
      <c r="F585" s="1745"/>
      <c r="G585" s="1745"/>
      <c r="H585" s="82" t="str">
        <f>IF(E585&lt;&gt;"",INDEX(EUconst_BMlistUnits,MATCH(E585,EUconst_BMlistNames,0)),EUconst_Tons)</f>
        <v>tonnas</v>
      </c>
      <c r="I585" s="334"/>
      <c r="J585" s="334"/>
      <c r="K585" s="334"/>
      <c r="L585" s="334"/>
      <c r="M585" s="334"/>
      <c r="N585" s="1205"/>
      <c r="O585" s="25"/>
      <c r="P585" s="979" t="str">
        <f>EUconst_CNTR_IntermediateExport &amp; R581 &amp; "_" &amp; I420</f>
        <v>IntExp_1_</v>
      </c>
      <c r="R585" s="979">
        <v>1</v>
      </c>
      <c r="S585" s="955"/>
      <c r="U585" s="522"/>
      <c r="V585" s="522"/>
      <c r="AA585" s="361" t="b">
        <f>AA581</f>
        <v>0</v>
      </c>
    </row>
    <row r="586" spans="2:27" ht="12.75" customHeight="1" x14ac:dyDescent="0.2">
      <c r="B586" s="224"/>
      <c r="C586" s="977"/>
      <c r="D586" s="526" t="s">
        <v>303</v>
      </c>
      <c r="E586" s="1746"/>
      <c r="F586" s="1746"/>
      <c r="G586" s="1746"/>
      <c r="H586" s="74" t="str">
        <f>IF(E586&lt;&gt;"",INDEX(EUconst_BMlistUnits,MATCH(E586,EUconst_BMlistNames,0)),EUconst_Tons)</f>
        <v>tonnas</v>
      </c>
      <c r="I586" s="333"/>
      <c r="J586" s="333"/>
      <c r="K586" s="333"/>
      <c r="L586" s="333"/>
      <c r="M586" s="333"/>
      <c r="N586" s="1205"/>
      <c r="O586" s="25"/>
      <c r="P586" s="979" t="str">
        <f>EUconst_CNTR_IntermediateExport &amp; R586 &amp; "_" &amp; I420</f>
        <v>IntExp_2_</v>
      </c>
      <c r="R586" s="979">
        <v>2</v>
      </c>
      <c r="S586" s="955"/>
      <c r="U586" s="522"/>
      <c r="V586" s="522"/>
      <c r="AA586" s="361" t="b">
        <f>AA581</f>
        <v>0</v>
      </c>
    </row>
    <row r="587" spans="2:27" ht="5.0999999999999996" customHeight="1" x14ac:dyDescent="0.2">
      <c r="B587" s="224"/>
      <c r="C587" s="977"/>
      <c r="D587" s="695"/>
      <c r="E587" s="695"/>
      <c r="F587" s="695"/>
      <c r="G587" s="695"/>
      <c r="H587" s="695"/>
      <c r="I587" s="695"/>
      <c r="J587" s="695"/>
      <c r="K587" s="695"/>
      <c r="L587" s="695"/>
      <c r="M587" s="695"/>
      <c r="N587" s="1205"/>
      <c r="O587" s="25"/>
      <c r="P587" s="982"/>
      <c r="R587" s="955"/>
      <c r="S587" s="955"/>
      <c r="U587" s="522"/>
      <c r="V587" s="522"/>
      <c r="AA587" s="607"/>
    </row>
    <row r="588" spans="2:27" ht="12.75" customHeight="1" x14ac:dyDescent="0.2">
      <c r="B588" s="224"/>
      <c r="C588" s="977"/>
      <c r="D588" s="526" t="s">
        <v>304</v>
      </c>
      <c r="E588" s="1738" t="str">
        <f>Translations!$B$816</f>
        <v>Importēto vai eksportēto starpproduktu apraksts</v>
      </c>
      <c r="F588" s="1738"/>
      <c r="G588" s="1738"/>
      <c r="H588" s="1738"/>
      <c r="I588" s="1738"/>
      <c r="J588" s="1738"/>
      <c r="K588" s="1738"/>
      <c r="L588" s="1738"/>
      <c r="M588" s="1738"/>
      <c r="N588" s="1205"/>
      <c r="O588" s="25"/>
      <c r="P588" s="982"/>
      <c r="R588" s="955"/>
      <c r="S588" s="955"/>
      <c r="U588" s="522"/>
      <c r="V588" s="522"/>
      <c r="AA588" s="607"/>
    </row>
    <row r="589" spans="2:27" ht="12.75" customHeight="1" x14ac:dyDescent="0.2">
      <c r="B589" s="224"/>
      <c r="C589" s="977"/>
      <c r="D589" s="695"/>
      <c r="E589" s="1739"/>
      <c r="F589" s="1740"/>
      <c r="G589" s="1740"/>
      <c r="H589" s="1740"/>
      <c r="I589" s="1740"/>
      <c r="J589" s="1740"/>
      <c r="K589" s="1740"/>
      <c r="L589" s="1740"/>
      <c r="M589" s="1741"/>
      <c r="N589" s="1205"/>
      <c r="O589" s="25"/>
      <c r="P589" s="982"/>
      <c r="R589" s="955"/>
      <c r="S589" s="955"/>
      <c r="U589" s="522"/>
      <c r="V589" s="522"/>
      <c r="AA589" s="361" t="b">
        <f>AA581</f>
        <v>0</v>
      </c>
    </row>
    <row r="590" spans="2:27" ht="12.75" customHeight="1" thickBot="1" x14ac:dyDescent="0.25">
      <c r="B590" s="224"/>
      <c r="C590" s="977"/>
      <c r="D590" s="695"/>
      <c r="E590" s="1742"/>
      <c r="F590" s="1743"/>
      <c r="G590" s="1743"/>
      <c r="H590" s="1743"/>
      <c r="I590" s="1743"/>
      <c r="J590" s="1743"/>
      <c r="K590" s="1743"/>
      <c r="L590" s="1743"/>
      <c r="M590" s="1744"/>
      <c r="N590" s="1205"/>
      <c r="O590" s="25"/>
      <c r="P590" s="982"/>
      <c r="R590" s="955"/>
      <c r="S590" s="955"/>
      <c r="U590" s="522"/>
      <c r="V590" s="522"/>
      <c r="AA590" s="186" t="b">
        <f>AA581</f>
        <v>0</v>
      </c>
    </row>
    <row r="591" spans="2:27" ht="12.75" customHeight="1" thickBot="1" x14ac:dyDescent="0.25">
      <c r="B591" s="224"/>
      <c r="C591" s="983"/>
      <c r="D591" s="984"/>
      <c r="E591" s="984"/>
      <c r="F591" s="984"/>
      <c r="G591" s="984"/>
      <c r="H591" s="984"/>
      <c r="I591" s="984"/>
      <c r="J591" s="984"/>
      <c r="K591" s="984"/>
      <c r="L591" s="984"/>
      <c r="M591" s="985"/>
      <c r="N591" s="986"/>
      <c r="O591" s="25"/>
      <c r="P591" s="955"/>
      <c r="R591" s="955"/>
      <c r="S591" s="955"/>
    </row>
    <row r="592" spans="2:27" ht="13.5" thickBot="1" x14ac:dyDescent="0.25">
      <c r="B592" s="38"/>
      <c r="C592" s="38"/>
      <c r="D592" s="38"/>
      <c r="E592" s="38"/>
      <c r="F592" s="38"/>
      <c r="G592" s="38"/>
      <c r="H592" s="38"/>
      <c r="I592" s="38"/>
      <c r="J592" s="38"/>
      <c r="K592" s="38"/>
      <c r="L592" s="38"/>
      <c r="M592" s="38"/>
      <c r="N592" s="38"/>
      <c r="O592" s="25"/>
      <c r="P592" s="362" t="str">
        <f>IF(OR(AND(CNTR_ExistProductSubEntries=FALSE,P420=1),AND(I420&lt;&gt;"",COUNTIF(P593:$P$1814,"PRINT")=0)),"PRINT","")</f>
        <v/>
      </c>
      <c r="Q592" s="437" t="s">
        <v>481</v>
      </c>
      <c r="R592" s="955"/>
      <c r="S592" s="955"/>
    </row>
    <row r="593" spans="1:27" ht="5.0999999999999996" customHeight="1" thickBot="1" x14ac:dyDescent="0.25">
      <c r="B593" s="38"/>
      <c r="C593" s="987"/>
      <c r="D593" s="987"/>
      <c r="E593" s="987"/>
      <c r="F593" s="987"/>
      <c r="G593" s="987"/>
      <c r="H593" s="987"/>
      <c r="I593" s="987"/>
      <c r="J593" s="987"/>
      <c r="K593" s="987"/>
      <c r="L593" s="987"/>
      <c r="M593" s="987"/>
      <c r="N593" s="987"/>
      <c r="O593" s="25"/>
      <c r="R593" s="955"/>
      <c r="S593" s="955"/>
    </row>
    <row r="594" spans="1:27" ht="15.75" thickBot="1" x14ac:dyDescent="0.25">
      <c r="B594" s="224"/>
      <c r="C594" s="965">
        <f>C420+1</f>
        <v>4</v>
      </c>
      <c r="D594" s="1318" t="str">
        <f>EUconst_BMSubinst &amp; ":"</f>
        <v>Apakšiekārta ar produkta līmeņatzīmi:</v>
      </c>
      <c r="E594" s="1251"/>
      <c r="F594" s="1251"/>
      <c r="G594" s="1251"/>
      <c r="H594" s="1328"/>
      <c r="I594" s="1701" t="str">
        <f>IF(INDEX(CNTR_SubInstListIsProdBM,$C594),INDEX(CNTR_SubInstListNames,$C594),"")</f>
        <v/>
      </c>
      <c r="J594" s="1457"/>
      <c r="K594" s="1457"/>
      <c r="L594" s="1457"/>
      <c r="M594" s="1457"/>
      <c r="N594" s="1259"/>
      <c r="O594" s="25"/>
      <c r="P594" s="362">
        <f>C594</f>
        <v>4</v>
      </c>
      <c r="Q594" s="966" t="s">
        <v>225</v>
      </c>
      <c r="R594" s="967" t="str">
        <f>IF(I594="","",INDEX(CNTR_SubInstStartDate,MATCH($I594,CNTR_SubInstListNames,0)))</f>
        <v/>
      </c>
      <c r="S594" s="968" t="b">
        <f>IF($I594="",FALSE,AND(I$1823,YEAR($R594)&lt;I$1820))</f>
        <v>0</v>
      </c>
      <c r="T594" s="968" t="b">
        <f>IF($I594="",FALSE,AND(J$1823,YEAR($R594)&lt;J$1820))</f>
        <v>0</v>
      </c>
      <c r="U594" s="968" t="b">
        <f>IF($I594="",FALSE,AND(K$1823,YEAR($R594)&lt;K$1820))</f>
        <v>0</v>
      </c>
      <c r="V594" s="968" t="b">
        <f>IF($I594="",FALSE,AND(L$1823,YEAR($R594)&lt;L$1820))</f>
        <v>0</v>
      </c>
      <c r="W594" s="968" t="b">
        <f>IF($I594="",FALSE,AND(M$1823,YEAR($R594)&lt;M$1820))</f>
        <v>0</v>
      </c>
      <c r="Z594" s="732" t="s">
        <v>529</v>
      </c>
      <c r="AA594" s="734" t="b">
        <f>AND(CNTR_ExistSubInstEntries,I594="")</f>
        <v>0</v>
      </c>
    </row>
    <row r="595" spans="1:27" ht="5.0999999999999996" customHeight="1" x14ac:dyDescent="0.2">
      <c r="B595" s="224"/>
      <c r="C595" s="224"/>
      <c r="D595" s="224"/>
      <c r="E595" s="224"/>
      <c r="F595" s="224"/>
      <c r="G595" s="224"/>
      <c r="H595" s="224"/>
      <c r="I595" s="224"/>
      <c r="J595" s="224"/>
      <c r="K595" s="224"/>
      <c r="L595" s="224"/>
      <c r="M595" s="34"/>
      <c r="N595" s="34"/>
      <c r="O595" s="25"/>
      <c r="P595" s="955"/>
      <c r="R595" s="955"/>
      <c r="S595" s="955"/>
    </row>
    <row r="596" spans="1:27" ht="13.5" thickBot="1" x14ac:dyDescent="0.25">
      <c r="B596" s="224"/>
      <c r="C596" s="224"/>
      <c r="D596" s="32" t="s">
        <v>165</v>
      </c>
      <c r="E596" s="1250" t="str">
        <f>Translations!$B$670</f>
        <v>Vēsturiskie darbības līmeņi</v>
      </c>
      <c r="F596" s="1251"/>
      <c r="G596" s="1251"/>
      <c r="H596" s="1251"/>
      <c r="I596" s="1251"/>
      <c r="J596" s="1251"/>
      <c r="K596" s="1251"/>
      <c r="L596" s="1251"/>
      <c r="M596" s="1251"/>
      <c r="N596" s="1251"/>
      <c r="O596" s="25"/>
      <c r="P596" s="955"/>
      <c r="R596" s="955"/>
      <c r="S596" s="955"/>
    </row>
    <row r="597" spans="1:27" ht="13.5" customHeight="1" thickBot="1" x14ac:dyDescent="0.25">
      <c r="B597" s="38"/>
      <c r="C597" s="38"/>
      <c r="D597" s="32"/>
      <c r="E597" s="1320" t="str">
        <f>Translations!$B$676</f>
        <v>Gada darbības līmeņi:</v>
      </c>
      <c r="F597" s="1320"/>
      <c r="G597" s="1320"/>
      <c r="H597" s="52" t="str">
        <f>EUconst_Unit</f>
        <v>Vienība</v>
      </c>
      <c r="I597" s="412">
        <f>I$1820</f>
        <v>2019</v>
      </c>
      <c r="J597" s="412">
        <f>J$1820</f>
        <v>2020</v>
      </c>
      <c r="K597" s="412">
        <f>K$1820</f>
        <v>2021</v>
      </c>
      <c r="L597" s="412">
        <f>L$1820</f>
        <v>2022</v>
      </c>
      <c r="M597" s="412">
        <f>M$1820</f>
        <v>2023</v>
      </c>
      <c r="N597" s="34"/>
      <c r="O597" s="25"/>
      <c r="P597" s="955"/>
      <c r="Q597" s="439" t="s">
        <v>416</v>
      </c>
      <c r="R597" s="289"/>
      <c r="S597" s="289"/>
      <c r="T597" s="289"/>
      <c r="U597" s="289"/>
      <c r="V597" s="289"/>
      <c r="W597" s="290"/>
      <c r="AA597" s="437" t="s">
        <v>262</v>
      </c>
    </row>
    <row r="598" spans="1:27" ht="13.5" thickBot="1" x14ac:dyDescent="0.25">
      <c r="B598" s="38"/>
      <c r="C598" s="38"/>
      <c r="D598" s="212" t="s">
        <v>2</v>
      </c>
      <c r="E598" s="1716" t="str">
        <f>I594</f>
        <v/>
      </c>
      <c r="F598" s="1716"/>
      <c r="G598" s="1716"/>
      <c r="H598" s="116" t="str">
        <f>IF(INDEX(CNTR_SubInstListIsProdBM,$C594),INDEX(CNTR_SubInstListHALUnit,$C594),EUconst_Tons)</f>
        <v>tonnas</v>
      </c>
      <c r="I598" s="595"/>
      <c r="J598" s="595"/>
      <c r="K598" s="595"/>
      <c r="L598" s="595"/>
      <c r="M598" s="595"/>
      <c r="N598" s="34"/>
      <c r="O598" s="25"/>
      <c r="P598" s="182" t="s">
        <v>228</v>
      </c>
      <c r="Q598" s="1023" t="s">
        <v>618</v>
      </c>
      <c r="R598" s="204" t="s">
        <v>629</v>
      </c>
      <c r="S598" s="454">
        <f>I597</f>
        <v>2019</v>
      </c>
      <c r="T598" s="455">
        <f>J597</f>
        <v>2020</v>
      </c>
      <c r="U598" s="455">
        <f>K597</f>
        <v>2021</v>
      </c>
      <c r="V598" s="455">
        <f>L597</f>
        <v>2022</v>
      </c>
      <c r="W598" s="456">
        <f>M597</f>
        <v>2023</v>
      </c>
      <c r="Z598" s="437"/>
      <c r="AA598" s="643" t="b">
        <f>IF(CNTR_ExistSubInstEntries,AND(I594&lt;&gt;"",Q602),FALSE)</f>
        <v>0</v>
      </c>
    </row>
    <row r="599" spans="1:27" ht="13.5" thickBot="1" x14ac:dyDescent="0.25">
      <c r="B599" s="38"/>
      <c r="C599" s="38"/>
      <c r="D599" s="212" t="s">
        <v>3</v>
      </c>
      <c r="E599" s="1716" t="str">
        <f>Translations!$B$677</f>
        <v>No lapas “H_SpecialBM”:</v>
      </c>
      <c r="F599" s="1716"/>
      <c r="G599" s="1716"/>
      <c r="H599" s="116" t="str">
        <f>H598</f>
        <v>tonnas</v>
      </c>
      <c r="I599" s="336" t="str">
        <f>IF($I594="","",IF($Q602,SUMIF(H_SpecialBM!$P$9:$P$401,$P599,H_SpecialBM!I$9:I$401),""))</f>
        <v/>
      </c>
      <c r="J599" s="336" t="str">
        <f>IF($I594="","",IF($Q602,SUMIF(H_SpecialBM!$P$9:$P$401,$P599,H_SpecialBM!J$9:J$401),""))</f>
        <v/>
      </c>
      <c r="K599" s="336" t="str">
        <f>IF($I594="","",IF($Q602,SUMIF(H_SpecialBM!$P$9:$P$401,$P599,H_SpecialBM!K$9:K$401),""))</f>
        <v/>
      </c>
      <c r="L599" s="336" t="str">
        <f>IF($I594="","",IF($Q602,SUMIF(H_SpecialBM!$P$9:$P$401,$P599,H_SpecialBM!L$9:L$401),""))</f>
        <v/>
      </c>
      <c r="M599" s="336" t="str">
        <f>IF($I594="","",IF($Q602,SUMIF(H_SpecialBM!$P$9:$P$401,$P599,H_SpecialBM!M$9:M$401),""))</f>
        <v/>
      </c>
      <c r="N599" s="34"/>
      <c r="O599" s="25"/>
      <c r="P599" s="969" t="str">
        <f>EUconst_CNTR_HALspecial&amp;I594</f>
        <v>HALspecial_</v>
      </c>
      <c r="Q599" s="1093" t="str">
        <f>IF(COUNT($U599:$V599)&gt;0,SUM($U599:$V599),"")</f>
        <v/>
      </c>
      <c r="R599" s="1094" t="str">
        <f>IF(COUNT(S599:W599)&gt;0,MEDIAN(S599:W599),"")</f>
        <v/>
      </c>
      <c r="S599" s="1095" t="str">
        <f>IF(S594,IF(ISNUMBER(I599),I599,""),"")</f>
        <v/>
      </c>
      <c r="T599" s="1096" t="str">
        <f>IF(T594,IF(ISNUMBER(J599),J599,""),"")</f>
        <v/>
      </c>
      <c r="U599" s="1096" t="str">
        <f>IF(U594,IF(ISNUMBER(K599),K599,""),"")</f>
        <v/>
      </c>
      <c r="V599" s="1096" t="str">
        <f>IF(V594,IF(ISNUMBER(L599),L599,""),"")</f>
        <v/>
      </c>
      <c r="W599" s="1094" t="str">
        <f>IF(W594,IF(ISNUMBER(M599),M599,""),"")</f>
        <v/>
      </c>
      <c r="AA599" s="719" t="b">
        <f>Q602=FALSE</f>
        <v>0</v>
      </c>
    </row>
    <row r="600" spans="1:27" ht="13.5" thickBot="1" x14ac:dyDescent="0.25">
      <c r="B600" s="38"/>
      <c r="C600" s="38"/>
      <c r="D600" s="212" t="s">
        <v>4</v>
      </c>
      <c r="E600" s="1716" t="str">
        <f>Translations!$B$678</f>
        <v>Aprēķinā izmantotās vērtības:</v>
      </c>
      <c r="F600" s="1716"/>
      <c r="G600" s="1716"/>
      <c r="H600" s="116" t="str">
        <f>H599</f>
        <v>tonnas</v>
      </c>
      <c r="I600" s="336" t="str">
        <f>IF($I594="","",IF($Q602=TRUE,IF(ISNUMBER(I599),I599,0),IF(ISNUMBER(I598),I598,0)))</f>
        <v/>
      </c>
      <c r="J600" s="336" t="str">
        <f>IF($I594="","",IF($Q602=TRUE,IF(ISNUMBER(J599),J599,0),IF(ISNUMBER(J598),J598,0)))</f>
        <v/>
      </c>
      <c r="K600" s="336" t="str">
        <f>IF($I594="","",IF($Q602=TRUE,IF(ISNUMBER(K599),K599,0),IF(ISNUMBER(K598),K598,0)))</f>
        <v/>
      </c>
      <c r="L600" s="336" t="str">
        <f>IF($I594="","",IF($Q602=TRUE,IF(ISNUMBER(L599),L599,0),IF(ISNUMBER(L598),L598,0)))</f>
        <v/>
      </c>
      <c r="M600" s="336" t="str">
        <f>IF($I594="","",IF($Q602=TRUE,IF(ISNUMBER(M599),M599,0),IF(ISNUMBER(M598),M598,0)))</f>
        <v/>
      </c>
      <c r="N600" s="34"/>
      <c r="O600" s="25"/>
      <c r="P600" s="969" t="str">
        <f>EUconst_CNTR_HAL&amp;I594</f>
        <v>HAL_</v>
      </c>
      <c r="Q600" s="1097" t="str">
        <f>IF(COUNT($U600:$V600)&gt;0,SUM($U600:$V600),"")</f>
        <v/>
      </c>
      <c r="R600" s="1098" t="str">
        <f>IF(COUNT(S600:W600)&gt;0,MEDIAN(S600:W600),"")</f>
        <v/>
      </c>
      <c r="S600" s="1099" t="str">
        <f>IF(S594,IF(ISNUMBER(I600),I600,""),"")</f>
        <v/>
      </c>
      <c r="T600" s="1100" t="str">
        <f>IF(T594,IF(ISNUMBER(J600),J600,""),"")</f>
        <v/>
      </c>
      <c r="U600" s="1100" t="str">
        <f>IF(U594,IF(ISNUMBER(K600),K600,""),"")</f>
        <v/>
      </c>
      <c r="V600" s="1100" t="str">
        <f>IF(V594,IF(ISNUMBER(L600),L600,""),"")</f>
        <v/>
      </c>
      <c r="W600" s="1098" t="str">
        <f>IF(W594,IF(ISNUMBER(M600),M600,""),"")</f>
        <v/>
      </c>
    </row>
    <row r="601" spans="1:27" ht="5.0999999999999996" customHeight="1" x14ac:dyDescent="0.2">
      <c r="B601" s="224"/>
      <c r="C601" s="224"/>
      <c r="D601" s="224"/>
      <c r="E601" s="224"/>
      <c r="F601" s="224"/>
      <c r="G601" s="224"/>
      <c r="H601" s="224"/>
      <c r="I601" s="224"/>
      <c r="J601" s="224"/>
      <c r="K601" s="224"/>
      <c r="L601" s="224"/>
      <c r="M601" s="34"/>
      <c r="N601" s="34"/>
      <c r="O601" s="25"/>
      <c r="P601" s="955"/>
      <c r="R601" s="955"/>
      <c r="S601" s="955"/>
    </row>
    <row r="602" spans="1:27" x14ac:dyDescent="0.2">
      <c r="B602" s="224"/>
      <c r="C602" s="224"/>
      <c r="D602" s="32" t="s">
        <v>339</v>
      </c>
      <c r="E602" s="1250" t="str">
        <f>Translations!$B$679</f>
        <v>Īpašas ziņošanas prasības:</v>
      </c>
      <c r="F602" s="1250"/>
      <c r="G602" s="1524"/>
      <c r="H602" s="1713" t="str">
        <f>IF(I594="","",HYPERLINK(INDEX(EUconst_BMlistSpecialJumpTable,MATCH(I594,EUconst_BMlistNames,0)),INDEX(EUconst_BMlistSpecialReporting,MATCH(I594,EUconst_BMlistNames,0))))</f>
        <v/>
      </c>
      <c r="I602" s="1718"/>
      <c r="J602" s="1718"/>
      <c r="K602" s="1718"/>
      <c r="L602" s="1718"/>
      <c r="M602" s="1718"/>
      <c r="N602" s="1719"/>
      <c r="O602" s="25"/>
      <c r="P602" s="966" t="s">
        <v>37</v>
      </c>
      <c r="Q602" s="134" t="str">
        <f>IF(I594="","",IF(AND(INDEX(EUconst_BMlistSpecialJumpTable,MATCH(I594,EUconst_BMlistNames,0))&lt;&gt;"",INDEX(EUconst_BMlistMainNumberOfBM,MATCH(I594,EUconst_BMlistNames,0))&lt;&gt;47),TRUE,FALSE))</f>
        <v/>
      </c>
      <c r="R602" s="966" t="s">
        <v>574</v>
      </c>
      <c r="S602" s="134" t="b">
        <f>IF(I594="",FALSE,INDEX(CNTR_SubInstLess1Year,MATCH(I594,CNTR_SubInstListNames,0)))</f>
        <v>0</v>
      </c>
    </row>
    <row r="603" spans="1:27" ht="5.0999999999999996" customHeight="1" x14ac:dyDescent="0.2">
      <c r="B603" s="224"/>
      <c r="C603" s="224"/>
      <c r="D603" s="224"/>
      <c r="E603" s="224"/>
      <c r="F603" s="224"/>
      <c r="G603" s="224"/>
      <c r="H603" s="224"/>
      <c r="I603" s="224"/>
      <c r="J603" s="224"/>
      <c r="K603" s="224"/>
      <c r="L603" s="224"/>
      <c r="M603" s="224"/>
      <c r="N603" s="224"/>
      <c r="O603" s="25"/>
      <c r="P603" s="955"/>
      <c r="R603" s="955"/>
      <c r="S603" s="955"/>
    </row>
    <row r="604" spans="1:27" ht="12.75" customHeight="1" x14ac:dyDescent="0.2">
      <c r="B604" s="38"/>
      <c r="C604" s="38"/>
      <c r="D604" s="32" t="s">
        <v>11</v>
      </c>
      <c r="E604" s="1717" t="str">
        <f>Translations!$B$1663</f>
        <v>Elektroenerģijas patēriņš</v>
      </c>
      <c r="F604" s="1717"/>
      <c r="G604" s="1717"/>
      <c r="H604" s="1717"/>
      <c r="I604" s="1717"/>
      <c r="J604" s="1717"/>
      <c r="K604" s="1717"/>
      <c r="L604" s="1717"/>
      <c r="M604" s="1717"/>
      <c r="N604" s="1717"/>
      <c r="O604" s="25"/>
      <c r="P604" s="20" t="s">
        <v>192</v>
      </c>
      <c r="Q604" s="362" t="str">
        <f>"#"&amp;ADDRESS(ROW(D608),COLUMN(D608))</f>
        <v>#$D$608</v>
      </c>
      <c r="R604" s="955"/>
      <c r="S604" s="955"/>
      <c r="AA604" s="955"/>
    </row>
    <row r="605" spans="1:27" s="697" customFormat="1" ht="13.5" thickBot="1" x14ac:dyDescent="0.25">
      <c r="A605" s="437"/>
      <c r="B605" s="414"/>
      <c r="C605" s="414"/>
      <c r="D605" s="32"/>
      <c r="E605" s="1320" t="str">
        <f>Translations!$B$686</f>
        <v>Parametrs</v>
      </c>
      <c r="F605" s="1275"/>
      <c r="G605" s="1275"/>
      <c r="H605" s="52" t="str">
        <f>EUconst_Unit</f>
        <v>Vienība</v>
      </c>
      <c r="I605" s="412">
        <f>I597</f>
        <v>2019</v>
      </c>
      <c r="J605" s="412">
        <f>J597</f>
        <v>2020</v>
      </c>
      <c r="K605" s="412">
        <f>K597</f>
        <v>2021</v>
      </c>
      <c r="L605" s="412">
        <f>L597</f>
        <v>2022</v>
      </c>
      <c r="M605" s="412">
        <f>M597</f>
        <v>2023</v>
      </c>
      <c r="N605" s="34"/>
      <c r="O605" s="25"/>
      <c r="P605" s="437"/>
      <c r="Q605" s="437"/>
      <c r="R605" s="955"/>
      <c r="S605" s="955"/>
      <c r="T605" s="955"/>
      <c r="U605" s="955"/>
      <c r="V605" s="955"/>
      <c r="W605" s="955"/>
      <c r="X605" s="20"/>
      <c r="Y605" s="20"/>
      <c r="Z605" s="437"/>
      <c r="AA605" s="955" t="s">
        <v>633</v>
      </c>
    </row>
    <row r="606" spans="1:27" s="697" customFormat="1" ht="12.75" customHeight="1" thickBot="1" x14ac:dyDescent="0.25">
      <c r="A606" s="437"/>
      <c r="B606" s="414"/>
      <c r="C606" s="414"/>
      <c r="D606" s="440"/>
      <c r="E606" s="1711" t="str">
        <f>Translations!$B$689</f>
        <v>Relevantais elektroenerģijas patēriņš</v>
      </c>
      <c r="F606" s="1712"/>
      <c r="G606" s="1712"/>
      <c r="H606" s="610" t="str">
        <f>EUconst_MWhpa</f>
        <v>MWh / gads</v>
      </c>
      <c r="I606" s="1102"/>
      <c r="J606" s="1102"/>
      <c r="K606" s="1102"/>
      <c r="L606" s="1102"/>
      <c r="M606" s="1102"/>
      <c r="N606" s="34"/>
      <c r="O606" s="25"/>
      <c r="P606" s="202" t="str">
        <f>EUconst_CNTR_HAL&amp;EUconst_CNTR_ELEXCH</f>
        <v>HAL_ELEXCH_</v>
      </c>
      <c r="Q606" s="202" t="str">
        <f>EUconst_CNTR_HAL&amp;EUconst_CNTR_ELEXCH &amp; I594</f>
        <v>HAL_ELEXCH_</v>
      </c>
      <c r="R606" s="955"/>
      <c r="S606" s="955"/>
      <c r="T606" s="955"/>
      <c r="U606" s="955"/>
      <c r="V606" s="955"/>
      <c r="W606" s="955"/>
      <c r="X606" s="20"/>
      <c r="Y606" s="20"/>
      <c r="Z606" s="437"/>
      <c r="AA606" s="885" t="b">
        <f>IF(CNTR_ExistSubInstEntries,IF(I594&lt;&gt;"",IF(INDEX(EUconst_BMlistElExchangability,MATCH(I594,EUconst_BMlistNames,0)),FALSE,TRUE),TRUE),FALSE)</f>
        <v>0</v>
      </c>
    </row>
    <row r="607" spans="1:27" ht="5.0999999999999996" customHeight="1" x14ac:dyDescent="0.2">
      <c r="B607" s="224"/>
      <c r="C607" s="224"/>
      <c r="D607" s="224"/>
      <c r="E607" s="224"/>
      <c r="F607" s="224"/>
      <c r="G607" s="224"/>
      <c r="H607" s="224"/>
      <c r="I607" s="224"/>
      <c r="J607" s="224"/>
      <c r="K607" s="224"/>
      <c r="L607" s="224"/>
      <c r="M607" s="34"/>
      <c r="N607" s="34"/>
      <c r="O607" s="25"/>
      <c r="P607" s="955"/>
    </row>
    <row r="608" spans="1:27" x14ac:dyDescent="0.2">
      <c r="B608" s="224"/>
      <c r="C608" s="224"/>
      <c r="D608" s="32" t="s">
        <v>342</v>
      </c>
      <c r="E608" s="1250" t="str">
        <f>Translations!$B$692</f>
        <v>No ETS neaptvertām iekārtām vai vienībām importētais siltums:</v>
      </c>
      <c r="F608" s="1250"/>
      <c r="G608" s="1250"/>
      <c r="H608" s="1250"/>
      <c r="I608" s="1524"/>
      <c r="J608" s="1713" t="str">
        <f>IF(I594="","",HYPERLINK(Q608,EUconst_MsgGoOnIfNotRelevant))</f>
        <v/>
      </c>
      <c r="K608" s="1714"/>
      <c r="L608" s="1714"/>
      <c r="M608" s="1714"/>
      <c r="N608" s="1715"/>
      <c r="O608" s="25"/>
      <c r="P608" s="20" t="s">
        <v>192</v>
      </c>
      <c r="Q608" s="362" t="str">
        <f>"#"&amp;ADDRESS(ROW(D615),COLUMN(D615))</f>
        <v>#$D$615</v>
      </c>
    </row>
    <row r="609" spans="2:27" ht="5.0999999999999996" customHeight="1" x14ac:dyDescent="0.2">
      <c r="B609" s="224"/>
      <c r="C609" s="224"/>
      <c r="D609" s="34"/>
      <c r="E609" s="1319"/>
      <c r="F609" s="1319"/>
      <c r="G609" s="1319"/>
      <c r="H609" s="1319"/>
      <c r="I609" s="1319"/>
      <c r="J609" s="1319"/>
      <c r="K609" s="1319"/>
      <c r="L609" s="1319"/>
      <c r="M609" s="1319"/>
      <c r="N609" s="1319"/>
      <c r="O609" s="25"/>
      <c r="P609" s="955"/>
      <c r="R609" s="955"/>
      <c r="S609" s="955"/>
    </row>
    <row r="610" spans="2:27" ht="13.5" thickBot="1" x14ac:dyDescent="0.25">
      <c r="B610" s="38"/>
      <c r="C610" s="38"/>
      <c r="D610" s="32"/>
      <c r="E610" s="1320" t="str">
        <f>Translations!$B$686</f>
        <v>Parametrs</v>
      </c>
      <c r="F610" s="1275"/>
      <c r="G610" s="1275"/>
      <c r="H610" s="52" t="str">
        <f>EUconst_Unit</f>
        <v>Vienība</v>
      </c>
      <c r="I610" s="412">
        <f>I597</f>
        <v>2019</v>
      </c>
      <c r="J610" s="412">
        <f>J597</f>
        <v>2020</v>
      </c>
      <c r="K610" s="412">
        <f>K597</f>
        <v>2021</v>
      </c>
      <c r="L610" s="412">
        <f>L597</f>
        <v>2022</v>
      </c>
      <c r="M610" s="412">
        <f>M597</f>
        <v>2023</v>
      </c>
      <c r="N610" s="34"/>
      <c r="O610" s="25"/>
      <c r="Q610" s="63"/>
      <c r="R610" s="955"/>
      <c r="S610" s="63">
        <f>I610</f>
        <v>2019</v>
      </c>
      <c r="T610" s="63">
        <f>J610</f>
        <v>2020</v>
      </c>
      <c r="U610" s="63">
        <f>K610</f>
        <v>2021</v>
      </c>
      <c r="V610" s="63">
        <f>L610</f>
        <v>2022</v>
      </c>
      <c r="W610" s="63">
        <f>M610</f>
        <v>2023</v>
      </c>
      <c r="Z610" s="63"/>
      <c r="AA610" s="437" t="s">
        <v>262</v>
      </c>
    </row>
    <row r="611" spans="2:27" ht="13.5" thickBot="1" x14ac:dyDescent="0.25">
      <c r="B611" s="38"/>
      <c r="C611" s="38"/>
      <c r="D611" s="212" t="s">
        <v>2</v>
      </c>
      <c r="E611" s="1517" t="str">
        <f>Translations!$B$697</f>
        <v>No ETS neaptvertām iekārtām/vienībām importēts izmērāmais siltums</v>
      </c>
      <c r="F611" s="1517"/>
      <c r="G611" s="1517"/>
      <c r="H611" s="66" t="str">
        <f>EUconst_TJpa</f>
        <v>TJ / gads</v>
      </c>
      <c r="I611" s="330"/>
      <c r="J611" s="330"/>
      <c r="K611" s="330"/>
      <c r="L611" s="330"/>
      <c r="M611" s="330"/>
      <c r="N611" s="34"/>
      <c r="O611" s="25"/>
      <c r="P611" s="134" t="str">
        <f>EUconst_CNTR_HAL&amp;EUconst_CNTR_nonETSMeasHeat</f>
        <v>HAL_ETS neaptverts izmērāmais siltums</v>
      </c>
      <c r="R611" s="955"/>
      <c r="S611" s="454" t="str">
        <f>IF(S594,IF(ISNUMBER(I611),I611,0),"")</f>
        <v/>
      </c>
      <c r="T611" s="455" t="str">
        <f>IF(T594,IF(ISNUMBER(J611),J611,0),"")</f>
        <v/>
      </c>
      <c r="U611" s="455" t="str">
        <f>IF(U594,IF(ISNUMBER(K611),K611,0),"")</f>
        <v/>
      </c>
      <c r="V611" s="455" t="str">
        <f>IF(V594,IF(ISNUMBER(L611),L611,0),"")</f>
        <v/>
      </c>
      <c r="W611" s="456" t="str">
        <f>IF(W594,IF(ISNUMBER(M611),M611,0),"")</f>
        <v/>
      </c>
      <c r="AA611" s="643" t="b">
        <f>AND(CNTR_ExistSubInstEntries,I594="")</f>
        <v>0</v>
      </c>
    </row>
    <row r="612" spans="2:27" ht="25.5" customHeight="1" thickBot="1" x14ac:dyDescent="0.25">
      <c r="B612" s="38"/>
      <c r="C612" s="38"/>
      <c r="D612" s="212" t="s">
        <v>3</v>
      </c>
      <c r="E612" s="1541" t="str">
        <f>Translations!$B$698</f>
        <v>Konsekvences pārbaude — saskanība ar lapu “E_Energy flows”:</v>
      </c>
      <c r="F612" s="1541"/>
      <c r="G612" s="1541"/>
      <c r="H612" s="45" t="s">
        <v>393</v>
      </c>
      <c r="I612" s="317" t="str">
        <f>IF(AND(ISNUMBER(I611),ISNUMBER(E_EnergyFlows!I$120)), I611/E_EnergyFlows!I$120*100,"")</f>
        <v/>
      </c>
      <c r="J612" s="317" t="str">
        <f>IF(AND(ISNUMBER(J611),ISNUMBER(E_EnergyFlows!J$120)), J611/E_EnergyFlows!J$120*100,"")</f>
        <v/>
      </c>
      <c r="K612" s="317" t="str">
        <f>IF(AND(ISNUMBER(K611),ISNUMBER(E_EnergyFlows!K$120)), K611/E_EnergyFlows!K$120*100,"")</f>
        <v/>
      </c>
      <c r="L612" s="317" t="str">
        <f>IF(AND(ISNUMBER(L611),ISNUMBER(E_EnergyFlows!L$120)), L611/E_EnergyFlows!L$120*100,"")</f>
        <v/>
      </c>
      <c r="M612" s="317" t="str">
        <f>IF(AND(ISNUMBER(M611),ISNUMBER(E_EnergyFlows!M$120)), M611/E_EnergyFlows!M$120*100,"")</f>
        <v/>
      </c>
      <c r="N612" s="38"/>
      <c r="O612" s="25"/>
      <c r="P612" s="182" t="str">
        <f>EUconst_CNTR_HEAT &amp; I594</f>
        <v>HEAT_</v>
      </c>
      <c r="Q612" s="315" t="str">
        <f>IF(COUNT(S611:X611)&gt;0,AVERAGE(S611:X611)*EUconst_HeatBMvalue,EUconst_NA)</f>
        <v>NA</v>
      </c>
      <c r="R612" s="955"/>
      <c r="S612" s="955"/>
      <c r="AA612" s="607"/>
    </row>
    <row r="613" spans="2:27" x14ac:dyDescent="0.2">
      <c r="B613" s="38"/>
      <c r="C613" s="38"/>
      <c r="D613" s="212" t="s">
        <v>4</v>
      </c>
      <c r="E613" s="1373" t="str">
        <f>Translations!$B$699</f>
        <v>Konsekvences pārbaude — saskanība ar k) punkta i. apakšpunktu.</v>
      </c>
      <c r="F613" s="1550"/>
      <c r="G613" s="1550"/>
      <c r="H613" s="48" t="s">
        <v>393</v>
      </c>
      <c r="I613" s="316" t="str">
        <f>IF(AND(I689&gt;0,ISNUMBER(I611)), I611/I689*100,"")</f>
        <v/>
      </c>
      <c r="J613" s="316" t="str">
        <f>IF(AND(J689&gt;0,ISNUMBER(J611)), J611/J689*100,"")</f>
        <v/>
      </c>
      <c r="K613" s="316" t="str">
        <f>IF(AND(K689&gt;0,ISNUMBER(K611)), K611/K689*100,"")</f>
        <v/>
      </c>
      <c r="L613" s="316" t="str">
        <f>IF(AND(L689&gt;0,ISNUMBER(L611)), L611/L689*100,"")</f>
        <v/>
      </c>
      <c r="M613" s="316" t="str">
        <f>IF(AND(M689&gt;0,ISNUMBER(M611)), M611/M689*100,"")</f>
        <v/>
      </c>
      <c r="N613" s="38"/>
      <c r="O613" s="25"/>
      <c r="R613" s="955"/>
      <c r="S613" s="955"/>
      <c r="AA613" s="607"/>
    </row>
    <row r="614" spans="2:27" ht="12.75" customHeight="1" x14ac:dyDescent="0.2">
      <c r="B614" s="38"/>
      <c r="C614" s="38"/>
      <c r="D614" s="38"/>
      <c r="E614" s="38"/>
      <c r="F614" s="38"/>
      <c r="G614" s="38"/>
      <c r="H614" s="38"/>
      <c r="I614" s="125"/>
      <c r="J614" s="38"/>
      <c r="K614" s="38"/>
      <c r="L614" s="38"/>
      <c r="M614" s="38"/>
      <c r="N614" s="38"/>
      <c r="O614" s="25"/>
      <c r="P614" s="157"/>
      <c r="R614" s="955"/>
      <c r="S614" s="955"/>
      <c r="AA614" s="607"/>
    </row>
    <row r="615" spans="2:27" ht="15" x14ac:dyDescent="0.2">
      <c r="B615" s="38"/>
      <c r="C615" s="972"/>
      <c r="D615" s="1318" t="str">
        <f>Translations!$B$700</f>
        <v>Ražošanas dati</v>
      </c>
      <c r="E615" s="1251"/>
      <c r="F615" s="1251"/>
      <c r="G615" s="1251"/>
      <c r="H615" s="1251"/>
      <c r="I615" s="1251"/>
      <c r="J615" s="1251"/>
      <c r="K615" s="1251"/>
      <c r="L615" s="1251"/>
      <c r="M615" s="1251"/>
      <c r="N615" s="1251"/>
      <c r="O615" s="25"/>
      <c r="R615" s="955"/>
      <c r="S615" s="955"/>
      <c r="AA615" s="607"/>
    </row>
    <row r="616" spans="2:27" ht="5.0999999999999996" customHeight="1" x14ac:dyDescent="0.2">
      <c r="B616" s="224"/>
      <c r="C616" s="224"/>
      <c r="D616" s="224"/>
      <c r="E616" s="224"/>
      <c r="F616" s="224"/>
      <c r="G616" s="224"/>
      <c r="H616" s="224"/>
      <c r="I616" s="224"/>
      <c r="J616" s="224"/>
      <c r="K616" s="224"/>
      <c r="L616" s="224"/>
      <c r="M616" s="224"/>
      <c r="N616" s="224"/>
      <c r="O616" s="25"/>
      <c r="P616" s="955"/>
      <c r="Q616" s="955"/>
      <c r="R616" s="955"/>
      <c r="S616" s="955"/>
      <c r="AA616" s="607"/>
    </row>
    <row r="617" spans="2:27" x14ac:dyDescent="0.2">
      <c r="B617" s="224"/>
      <c r="C617" s="32"/>
      <c r="D617" s="32" t="s">
        <v>12</v>
      </c>
      <c r="E617" s="1250" t="str">
        <f>Translations!$B$701</f>
        <v>Šajā produkta līmeņatzīmes apakšiekārtā ietverto produktu identificēšana</v>
      </c>
      <c r="F617" s="1251"/>
      <c r="G617" s="1251"/>
      <c r="H617" s="1251"/>
      <c r="I617" s="1251"/>
      <c r="J617" s="1251"/>
      <c r="K617" s="1251"/>
      <c r="L617" s="1251"/>
      <c r="M617" s="1251"/>
      <c r="N617" s="1251"/>
      <c r="O617" s="25"/>
      <c r="P617" s="955"/>
      <c r="R617" s="955"/>
      <c r="S617" s="955"/>
      <c r="AA617" s="607"/>
    </row>
    <row r="618" spans="2:27" ht="5.0999999999999996" customHeight="1" x14ac:dyDescent="0.2">
      <c r="B618" s="224"/>
      <c r="C618" s="224"/>
      <c r="D618" s="224"/>
      <c r="E618" s="224"/>
      <c r="F618" s="224"/>
      <c r="G618" s="224"/>
      <c r="H618" s="224"/>
      <c r="I618" s="224"/>
      <c r="J618" s="224"/>
      <c r="K618" s="224"/>
      <c r="L618" s="224"/>
      <c r="M618" s="224"/>
      <c r="N618" s="224"/>
      <c r="O618" s="25"/>
      <c r="P618" s="955"/>
      <c r="Q618" s="955"/>
      <c r="R618" s="955"/>
      <c r="S618" s="955"/>
      <c r="AA618" s="607"/>
    </row>
    <row r="619" spans="2:27" x14ac:dyDescent="0.2">
      <c r="B619" s="224"/>
      <c r="C619" s="32"/>
      <c r="D619" s="32" t="s">
        <v>13</v>
      </c>
      <c r="E619" s="1250" t="str">
        <f>Translations!$B$706</f>
        <v>Šajā produkta līmeņatzīmes apakšiekārtā ietverto produktu atsevišķie ražošanas līmeņi</v>
      </c>
      <c r="F619" s="1251"/>
      <c r="G619" s="1251"/>
      <c r="H619" s="1251"/>
      <c r="I619" s="1251"/>
      <c r="J619" s="1251"/>
      <c r="K619" s="1251"/>
      <c r="L619" s="1251"/>
      <c r="M619" s="1251"/>
      <c r="N619" s="1251"/>
      <c r="O619" s="25"/>
      <c r="P619" s="955"/>
      <c r="R619" s="955"/>
      <c r="S619" s="955"/>
      <c r="AA619" s="607"/>
    </row>
    <row r="620" spans="2:27" ht="5.0999999999999996" customHeight="1" x14ac:dyDescent="0.2">
      <c r="B620" s="224"/>
      <c r="C620" s="224"/>
      <c r="D620" s="34"/>
      <c r="E620" s="35"/>
      <c r="F620" s="35"/>
      <c r="G620" s="35"/>
      <c r="H620" s="35"/>
      <c r="I620" s="35"/>
      <c r="J620" s="39"/>
      <c r="K620" s="39"/>
      <c r="L620" s="39"/>
      <c r="M620" s="34"/>
      <c r="N620" s="34"/>
      <c r="O620" s="25"/>
      <c r="P620" s="955"/>
      <c r="R620" s="955"/>
      <c r="S620" s="955"/>
      <c r="AA620" s="607"/>
    </row>
    <row r="621" spans="2:27" ht="25.5" customHeight="1" x14ac:dyDescent="0.2">
      <c r="B621" s="38"/>
      <c r="C621" s="38"/>
      <c r="D621" s="360"/>
      <c r="E621" s="1121" t="str">
        <f>Translations!$B$1668</f>
        <v>PRODCOM 2010</v>
      </c>
      <c r="F621" s="1703" t="str">
        <f>Translations!$B$707</f>
        <v>Produkta vai produktu grupas nosaukums</v>
      </c>
      <c r="G621" s="1704"/>
      <c r="H621" s="1129" t="str">
        <f>EUconst_Unit</f>
        <v>Vienība</v>
      </c>
      <c r="I621" s="1130">
        <f>I$1820</f>
        <v>2019</v>
      </c>
      <c r="J621" s="1130">
        <f>J$1820</f>
        <v>2020</v>
      </c>
      <c r="K621" s="1130">
        <f>K$1820</f>
        <v>2021</v>
      </c>
      <c r="L621" s="1130">
        <f>L$1820</f>
        <v>2022</v>
      </c>
      <c r="M621" s="1130">
        <f>M$1820</f>
        <v>2023</v>
      </c>
      <c r="N621" s="1131" t="str">
        <f>Translations!$B$1669</f>
        <v>KN kodi</v>
      </c>
      <c r="O621" s="25"/>
      <c r="R621" s="955"/>
      <c r="S621" s="955"/>
      <c r="AA621" s="607"/>
    </row>
    <row r="622" spans="2:27" x14ac:dyDescent="0.2">
      <c r="B622" s="38"/>
      <c r="C622" s="38"/>
      <c r="D622" s="55">
        <v>1</v>
      </c>
      <c r="E622" s="1199"/>
      <c r="F622" s="1705"/>
      <c r="G622" s="1706"/>
      <c r="H622" s="800"/>
      <c r="I622" s="484"/>
      <c r="J622" s="484"/>
      <c r="K622" s="484"/>
      <c r="L622" s="484"/>
      <c r="M622" s="484"/>
      <c r="N622" s="1145"/>
      <c r="O622" s="25"/>
      <c r="R622" s="955"/>
      <c r="S622" s="955"/>
      <c r="AA622" s="361" t="b">
        <f>AA611</f>
        <v>0</v>
      </c>
    </row>
    <row r="623" spans="2:27" x14ac:dyDescent="0.2">
      <c r="B623" s="38"/>
      <c r="C623" s="38"/>
      <c r="D623" s="56">
        <f>D622+1</f>
        <v>2</v>
      </c>
      <c r="E623" s="1200"/>
      <c r="F623" s="1707"/>
      <c r="G623" s="1708"/>
      <c r="H623" s="573"/>
      <c r="I623" s="557"/>
      <c r="J623" s="557"/>
      <c r="K623" s="557"/>
      <c r="L623" s="557"/>
      <c r="M623" s="557"/>
      <c r="N623" s="1146"/>
      <c r="O623" s="25"/>
      <c r="R623" s="955"/>
      <c r="S623" s="955"/>
      <c r="AA623" s="361" t="b">
        <f>AA622</f>
        <v>0</v>
      </c>
    </row>
    <row r="624" spans="2:27" x14ac:dyDescent="0.2">
      <c r="B624" s="38"/>
      <c r="C624" s="38"/>
      <c r="D624" s="56">
        <f t="shared" ref="D624:D631" si="6">D623+1</f>
        <v>3</v>
      </c>
      <c r="E624" s="1200"/>
      <c r="F624" s="1691"/>
      <c r="G624" s="1692"/>
      <c r="H624" s="573"/>
      <c r="I624" s="557"/>
      <c r="J624" s="557"/>
      <c r="K624" s="557"/>
      <c r="L624" s="557"/>
      <c r="M624" s="557"/>
      <c r="N624" s="1147"/>
      <c r="O624" s="25"/>
      <c r="R624" s="955"/>
      <c r="S624" s="955"/>
      <c r="AA624" s="361" t="b">
        <f t="shared" ref="AA624:AA632" si="7">AA623</f>
        <v>0</v>
      </c>
    </row>
    <row r="625" spans="2:27" x14ac:dyDescent="0.2">
      <c r="B625" s="38"/>
      <c r="C625" s="38"/>
      <c r="D625" s="56">
        <f t="shared" si="6"/>
        <v>4</v>
      </c>
      <c r="E625" s="1200"/>
      <c r="F625" s="1691"/>
      <c r="G625" s="1692"/>
      <c r="H625" s="573"/>
      <c r="I625" s="557"/>
      <c r="J625" s="557"/>
      <c r="K625" s="557"/>
      <c r="L625" s="557"/>
      <c r="M625" s="557"/>
      <c r="N625" s="1147"/>
      <c r="O625" s="25"/>
      <c r="R625" s="955"/>
      <c r="S625" s="955"/>
      <c r="AA625" s="361" t="b">
        <f t="shared" si="7"/>
        <v>0</v>
      </c>
    </row>
    <row r="626" spans="2:27" x14ac:dyDescent="0.2">
      <c r="B626" s="38"/>
      <c r="C626" s="38"/>
      <c r="D626" s="56">
        <f t="shared" si="6"/>
        <v>5</v>
      </c>
      <c r="E626" s="1200"/>
      <c r="F626" s="1691"/>
      <c r="G626" s="1692"/>
      <c r="H626" s="573"/>
      <c r="I626" s="557"/>
      <c r="J626" s="557"/>
      <c r="K626" s="557"/>
      <c r="L626" s="557"/>
      <c r="M626" s="557"/>
      <c r="N626" s="1147"/>
      <c r="O626" s="25"/>
      <c r="R626" s="955"/>
      <c r="S626" s="955"/>
      <c r="AA626" s="361" t="b">
        <f t="shared" si="7"/>
        <v>0</v>
      </c>
    </row>
    <row r="627" spans="2:27" x14ac:dyDescent="0.2">
      <c r="B627" s="38"/>
      <c r="C627" s="38"/>
      <c r="D627" s="56">
        <f t="shared" si="6"/>
        <v>6</v>
      </c>
      <c r="E627" s="1200"/>
      <c r="F627" s="1691"/>
      <c r="G627" s="1692"/>
      <c r="H627" s="573"/>
      <c r="I627" s="557"/>
      <c r="J627" s="557"/>
      <c r="K627" s="557"/>
      <c r="L627" s="557"/>
      <c r="M627" s="557"/>
      <c r="N627" s="1146"/>
      <c r="O627" s="25"/>
      <c r="R627" s="955"/>
      <c r="S627" s="955"/>
      <c r="AA627" s="361" t="b">
        <f t="shared" si="7"/>
        <v>0</v>
      </c>
    </row>
    <row r="628" spans="2:27" x14ac:dyDescent="0.2">
      <c r="B628" s="38"/>
      <c r="C628" s="38"/>
      <c r="D628" s="56">
        <f t="shared" si="6"/>
        <v>7</v>
      </c>
      <c r="E628" s="1200"/>
      <c r="F628" s="1691"/>
      <c r="G628" s="1692"/>
      <c r="H628" s="573"/>
      <c r="I628" s="557"/>
      <c r="J628" s="557"/>
      <c r="K628" s="557"/>
      <c r="L628" s="557"/>
      <c r="M628" s="557"/>
      <c r="N628" s="1147"/>
      <c r="O628" s="25"/>
      <c r="R628" s="955"/>
      <c r="S628" s="955"/>
      <c r="AA628" s="361" t="b">
        <f t="shared" si="7"/>
        <v>0</v>
      </c>
    </row>
    <row r="629" spans="2:27" x14ac:dyDescent="0.2">
      <c r="B629" s="38"/>
      <c r="C629" s="38"/>
      <c r="D629" s="56">
        <f t="shared" si="6"/>
        <v>8</v>
      </c>
      <c r="E629" s="1200"/>
      <c r="F629" s="1691"/>
      <c r="G629" s="1692"/>
      <c r="H629" s="573"/>
      <c r="I629" s="557"/>
      <c r="J629" s="557"/>
      <c r="K629" s="557"/>
      <c r="L629" s="557"/>
      <c r="M629" s="557"/>
      <c r="N629" s="1147"/>
      <c r="O629" s="25"/>
      <c r="R629" s="955"/>
      <c r="S629" s="955"/>
      <c r="AA629" s="361" t="b">
        <f t="shared" si="7"/>
        <v>0</v>
      </c>
    </row>
    <row r="630" spans="2:27" x14ac:dyDescent="0.2">
      <c r="B630" s="38"/>
      <c r="C630" s="38"/>
      <c r="D630" s="56">
        <f t="shared" si="6"/>
        <v>9</v>
      </c>
      <c r="E630" s="1200"/>
      <c r="F630" s="1691"/>
      <c r="G630" s="1692"/>
      <c r="H630" s="573"/>
      <c r="I630" s="557"/>
      <c r="J630" s="557"/>
      <c r="K630" s="557"/>
      <c r="L630" s="557"/>
      <c r="M630" s="557"/>
      <c r="N630" s="1147"/>
      <c r="O630" s="25"/>
      <c r="R630" s="955"/>
      <c r="S630" s="955"/>
      <c r="AA630" s="361" t="b">
        <f t="shared" si="7"/>
        <v>0</v>
      </c>
    </row>
    <row r="631" spans="2:27" x14ac:dyDescent="0.2">
      <c r="B631" s="38"/>
      <c r="C631" s="38"/>
      <c r="D631" s="59">
        <f t="shared" si="6"/>
        <v>10</v>
      </c>
      <c r="E631" s="1201"/>
      <c r="F631" s="1694"/>
      <c r="G631" s="1695"/>
      <c r="H631" s="574"/>
      <c r="I631" s="458"/>
      <c r="J631" s="458"/>
      <c r="K631" s="458"/>
      <c r="L631" s="458"/>
      <c r="M631" s="458"/>
      <c r="N631" s="1148"/>
      <c r="O631" s="25"/>
      <c r="R631" s="955"/>
      <c r="S631" s="955"/>
      <c r="AA631" s="361" t="b">
        <f t="shared" si="7"/>
        <v>0</v>
      </c>
    </row>
    <row r="632" spans="2:27" ht="12.75" customHeight="1" thickBot="1" x14ac:dyDescent="0.25">
      <c r="B632" s="38"/>
      <c r="C632" s="38"/>
      <c r="D632" s="115"/>
      <c r="E632" s="1696" t="str">
        <f>Translations!$B$708</f>
        <v>Ražošanas līmeņu summa</v>
      </c>
      <c r="F632" s="1696"/>
      <c r="G632" s="1696"/>
      <c r="H632" s="733"/>
      <c r="I632" s="343" t="str">
        <f>IF(COUNT(I622:I631)&gt;0,SUM(I622:I631),"")</f>
        <v/>
      </c>
      <c r="J632" s="343" t="str">
        <f>IF(COUNT(J622:J631)&gt;0,SUM(J622:J631),"")</f>
        <v/>
      </c>
      <c r="K632" s="343" t="str">
        <f>IF(COUNT(K622:K631)&gt;0,SUM(K622:K631),"")</f>
        <v/>
      </c>
      <c r="L632" s="343" t="str">
        <f>IF(COUNT(L622:L631)&gt;0,SUM(L622:L631),"")</f>
        <v/>
      </c>
      <c r="M632" s="343" t="str">
        <f>IF(COUNT(M622:M631)&gt;0,SUM(M622:M631),"")</f>
        <v/>
      </c>
      <c r="N632" s="34"/>
      <c r="O632" s="25"/>
      <c r="R632" s="955"/>
      <c r="S632" s="955"/>
      <c r="AA632" s="186" t="b">
        <f t="shared" si="7"/>
        <v>0</v>
      </c>
    </row>
    <row r="633" spans="2:27" ht="12.75" customHeight="1" thickBot="1" x14ac:dyDescent="0.25">
      <c r="B633" s="224"/>
      <c r="C633" s="224"/>
      <c r="D633" s="224"/>
      <c r="E633" s="224"/>
      <c r="F633" s="224"/>
      <c r="G633" s="224"/>
      <c r="H633" s="224"/>
      <c r="I633" s="224"/>
      <c r="J633" s="224"/>
      <c r="K633" s="224"/>
      <c r="L633" s="224"/>
      <c r="M633" s="34"/>
      <c r="N633" s="34"/>
      <c r="O633" s="25"/>
      <c r="P633" s="955"/>
      <c r="R633" s="955"/>
      <c r="S633" s="955"/>
    </row>
    <row r="634" spans="2:27" ht="5.0999999999999996" customHeight="1" x14ac:dyDescent="0.2">
      <c r="B634" s="224"/>
      <c r="C634" s="973"/>
      <c r="D634" s="974"/>
      <c r="E634" s="974"/>
      <c r="F634" s="974"/>
      <c r="G634" s="974"/>
      <c r="H634" s="974"/>
      <c r="I634" s="974"/>
      <c r="J634" s="974"/>
      <c r="K634" s="974"/>
      <c r="L634" s="974"/>
      <c r="M634" s="975"/>
      <c r="N634" s="976"/>
      <c r="O634" s="25"/>
      <c r="P634" s="955"/>
      <c r="R634" s="955"/>
      <c r="S634" s="955"/>
    </row>
    <row r="635" spans="2:27" ht="15" customHeight="1" x14ac:dyDescent="0.2">
      <c r="B635" s="38"/>
      <c r="C635" s="977"/>
      <c r="D635" s="1697" t="str">
        <f>Translations!$B$709</f>
        <v>Dati, kas vajadzīgi, lai noteiktu līmeņatzīmju uzlabošanas rādītāju saskaņā ar ES ETS direktīvas 10.a panta 2. punktu.</v>
      </c>
      <c r="E635" s="1655"/>
      <c r="F635" s="1655"/>
      <c r="G635" s="1655"/>
      <c r="H635" s="1655"/>
      <c r="I635" s="1655"/>
      <c r="J635" s="1655"/>
      <c r="K635" s="1655"/>
      <c r="L635" s="1655"/>
      <c r="M635" s="1655"/>
      <c r="N635" s="1656"/>
      <c r="O635" s="25"/>
      <c r="R635" s="955"/>
      <c r="S635" s="955"/>
    </row>
    <row r="636" spans="2:27" ht="5.0999999999999996" customHeight="1" x14ac:dyDescent="0.2">
      <c r="B636" s="38"/>
      <c r="C636" s="472"/>
      <c r="D636" s="461"/>
      <c r="E636" s="461"/>
      <c r="F636" s="461"/>
      <c r="G636" s="461"/>
      <c r="H636" s="461"/>
      <c r="I636" s="461"/>
      <c r="J636" s="461"/>
      <c r="K636" s="461"/>
      <c r="L636" s="461"/>
      <c r="M636" s="461"/>
      <c r="N636" s="473"/>
      <c r="O636" s="25"/>
      <c r="R636" s="955"/>
      <c r="S636" s="955"/>
    </row>
    <row r="637" spans="2:27" ht="15" customHeight="1" x14ac:dyDescent="0.2">
      <c r="B637" s="38"/>
      <c r="C637" s="472"/>
      <c r="D637" s="1698" t="str">
        <f>EUconst_BMSubinst &amp; ":"</f>
        <v>Apakšiekārta ar produkta līmeņatzīmi:</v>
      </c>
      <c r="E637" s="1699"/>
      <c r="F637" s="1699"/>
      <c r="G637" s="1699"/>
      <c r="H637" s="1700"/>
      <c r="I637" s="1701" t="str">
        <f>I594</f>
        <v/>
      </c>
      <c r="J637" s="1457"/>
      <c r="K637" s="1457"/>
      <c r="L637" s="1457"/>
      <c r="M637" s="1457"/>
      <c r="N637" s="1702"/>
      <c r="O637" s="25"/>
      <c r="R637" s="955"/>
      <c r="S637" s="955"/>
    </row>
    <row r="638" spans="2:27" ht="5.0999999999999996" customHeight="1" x14ac:dyDescent="0.2">
      <c r="B638" s="38"/>
      <c r="C638" s="472"/>
      <c r="D638" s="461"/>
      <c r="E638" s="461"/>
      <c r="F638" s="461"/>
      <c r="G638" s="461"/>
      <c r="H638" s="461"/>
      <c r="I638" s="461"/>
      <c r="J638" s="461"/>
      <c r="K638" s="461"/>
      <c r="L638" s="461"/>
      <c r="M638" s="461"/>
      <c r="N638" s="473"/>
      <c r="O638" s="25"/>
      <c r="R638" s="955"/>
      <c r="S638" s="955"/>
    </row>
    <row r="639" spans="2:27" ht="30" customHeight="1" x14ac:dyDescent="0.2">
      <c r="B639" s="224"/>
      <c r="C639" s="977"/>
      <c r="D639" s="978"/>
      <c r="E639" s="1670" t="str">
        <f>Translations!$B$710</f>
        <v>Šī apakšsadaļa attiecas uz tādu emisiju attiecināšanu, kas saistītas ar avota plūsmām, emisiju avotiem, izmērāma siltuma un atlikumgāzu importu un eksportu, arī siltuma zudumiem saskaņā ar FAR VII pielikuma 10. iedaļu.</v>
      </c>
      <c r="F639" s="1670"/>
      <c r="G639" s="1670"/>
      <c r="H639" s="1670"/>
      <c r="I639" s="1670"/>
      <c r="J639" s="1670"/>
      <c r="K639" s="1670"/>
      <c r="L639" s="1670"/>
      <c r="M639" s="1670"/>
      <c r="N639" s="698"/>
      <c r="O639" s="25"/>
      <c r="P639" s="955"/>
    </row>
    <row r="640" spans="2:27" ht="30" customHeight="1" x14ac:dyDescent="0.2">
      <c r="B640" s="224"/>
      <c r="C640" s="977"/>
      <c r="D640" s="978"/>
      <c r="E640" s="1670" t="str">
        <f>Translations!$B$711</f>
        <v xml:space="preserve">Ņemiet vērā, ka, lai gan ir sniegti daži norādījumi par katru no nākamajiem punktiem, papildu informācija būtu jāmeklē Norādījumu dokumentā Nr. 5 (“Monitoring and Reporting in relation to the FAR” — “Ar FAR saistītais monitorings un ziņošana”), kurā ietverti arī piemēri. </v>
      </c>
      <c r="F640" s="1670"/>
      <c r="G640" s="1670"/>
      <c r="H640" s="1670"/>
      <c r="I640" s="1670"/>
      <c r="J640" s="1670"/>
      <c r="K640" s="1670"/>
      <c r="L640" s="1670"/>
      <c r="M640" s="1670"/>
      <c r="N640" s="698"/>
      <c r="O640" s="25"/>
      <c r="P640" s="955"/>
    </row>
    <row r="641" spans="2:24" ht="12.75" customHeight="1" x14ac:dyDescent="0.2">
      <c r="B641" s="224"/>
      <c r="C641" s="977"/>
      <c r="D641" s="978"/>
      <c r="E641" s="1670" t="str">
        <f>Translations!$B$712</f>
        <v xml:space="preserve">Šos norādījumus var lejupielādēt šeit: </v>
      </c>
      <c r="F641" s="1268"/>
      <c r="G641" s="1268"/>
      <c r="H641" s="1268"/>
      <c r="I641" s="1268"/>
      <c r="J641" s="1268"/>
      <c r="K641" s="1268"/>
      <c r="L641" s="1268"/>
      <c r="M641" s="1268"/>
      <c r="N641" s="698"/>
      <c r="O641" s="25"/>
      <c r="P641" s="955"/>
    </row>
    <row r="642" spans="2:24" ht="15" customHeight="1" x14ac:dyDescent="0.2">
      <c r="B642" s="224"/>
      <c r="C642" s="977"/>
      <c r="D642" s="978"/>
      <c r="E642" s="1549" t="str">
        <f>Translations!$B$713</f>
        <v>https://ec.europa.eu/clima/policies/ets/allowances_en#tab-0-1</v>
      </c>
      <c r="F642" s="1549"/>
      <c r="G642" s="1549"/>
      <c r="H642" s="1549"/>
      <c r="I642" s="1549"/>
      <c r="J642" s="1549"/>
      <c r="K642" s="1549"/>
      <c r="L642" s="1549"/>
      <c r="M642" s="1549"/>
      <c r="N642" s="698"/>
      <c r="O642" s="25"/>
      <c r="P642" s="955"/>
    </row>
    <row r="643" spans="2:24" ht="5.0999999999999996" customHeight="1" x14ac:dyDescent="0.2">
      <c r="B643" s="38"/>
      <c r="C643" s="472"/>
      <c r="D643" s="461"/>
      <c r="E643" s="461"/>
      <c r="F643" s="461"/>
      <c r="G643" s="461"/>
      <c r="H643" s="461"/>
      <c r="I643" s="461"/>
      <c r="J643" s="461"/>
      <c r="K643" s="461"/>
      <c r="L643" s="461"/>
      <c r="M643" s="461"/>
      <c r="N643" s="473"/>
      <c r="O643" s="25"/>
      <c r="R643" s="955"/>
      <c r="S643" s="955"/>
    </row>
    <row r="644" spans="2:24" ht="15" customHeight="1" x14ac:dyDescent="0.2">
      <c r="B644" s="224"/>
      <c r="C644" s="977"/>
      <c r="D644" s="978"/>
      <c r="E644" s="1693" t="str">
        <f>Translations!$B$714</f>
        <v>Balstoties uz tālāk izdarītajiem ierakstiem, attiecināmās emisijas tiek aprēķinātas kopsavilkuma lapas K III sadaļas 2. punktā.</v>
      </c>
      <c r="F644" s="1693"/>
      <c r="G644" s="1693"/>
      <c r="H644" s="1693"/>
      <c r="I644" s="1693"/>
      <c r="J644" s="1693"/>
      <c r="K644" s="1693"/>
      <c r="L644" s="1693"/>
      <c r="M644" s="1693"/>
      <c r="N644" s="698"/>
      <c r="O644" s="25"/>
      <c r="P644" s="955"/>
    </row>
    <row r="645" spans="2:24" ht="5.0999999999999996" customHeight="1" x14ac:dyDescent="0.2">
      <c r="B645" s="38"/>
      <c r="C645" s="472"/>
      <c r="D645" s="461"/>
      <c r="E645" s="461"/>
      <c r="F645" s="461"/>
      <c r="G645" s="461"/>
      <c r="H645" s="461"/>
      <c r="I645" s="461"/>
      <c r="J645" s="461"/>
      <c r="K645" s="461"/>
      <c r="L645" s="461"/>
      <c r="M645" s="461"/>
      <c r="N645" s="473"/>
      <c r="O645" s="25"/>
      <c r="R645" s="955"/>
      <c r="S645" s="955"/>
    </row>
    <row r="646" spans="2:24" ht="12.75" customHeight="1" thickBot="1" x14ac:dyDescent="0.25">
      <c r="B646" s="224"/>
      <c r="C646" s="977"/>
      <c r="D646" s="474" t="s">
        <v>81</v>
      </c>
      <c r="E646" s="1654" t="str">
        <f>Translations!$B$715</f>
        <v>Uz šo apakšiekārtu tieši attiecināmas emisijas (DirEm* (MP avota plūsmas))</v>
      </c>
      <c r="F646" s="1655"/>
      <c r="G646" s="1655"/>
      <c r="H646" s="1655"/>
      <c r="I646" s="1655"/>
      <c r="J646" s="1655"/>
      <c r="K646" s="1655"/>
      <c r="L646" s="1655"/>
      <c r="M646" s="1655"/>
      <c r="N646" s="1656"/>
      <c r="O646" s="25"/>
      <c r="P646" s="955"/>
      <c r="R646" s="955"/>
      <c r="S646" s="955"/>
    </row>
    <row r="647" spans="2:24" ht="12.75" customHeight="1" x14ac:dyDescent="0.2">
      <c r="B647" s="224"/>
      <c r="C647" s="977"/>
      <c r="D647" s="474"/>
      <c r="E647" s="1653" t="str">
        <f>Translations!$B$725</f>
        <v>Tieši attiecināmās emisijas (DirEm*)</v>
      </c>
      <c r="F647" s="1657"/>
      <c r="G647" s="1657"/>
      <c r="H647" s="462" t="str">
        <f>EUconst_Unit</f>
        <v>Vienība</v>
      </c>
      <c r="I647" s="463">
        <f>I$1820</f>
        <v>2019</v>
      </c>
      <c r="J647" s="463">
        <f>J$1820</f>
        <v>2020</v>
      </c>
      <c r="K647" s="463">
        <f>K$1820</f>
        <v>2021</v>
      </c>
      <c r="L647" s="463">
        <f>L$1820</f>
        <v>2022</v>
      </c>
      <c r="M647" s="463">
        <f>M$1820</f>
        <v>2023</v>
      </c>
      <c r="N647" s="661"/>
      <c r="O647" s="25"/>
      <c r="P647" s="955"/>
      <c r="R647" s="970"/>
      <c r="S647" s="809">
        <f>I647</f>
        <v>2019</v>
      </c>
      <c r="T647" s="809">
        <f>J647</f>
        <v>2020</v>
      </c>
      <c r="U647" s="809">
        <f>K647</f>
        <v>2021</v>
      </c>
      <c r="V647" s="809">
        <f>L647</f>
        <v>2022</v>
      </c>
      <c r="W647" s="810">
        <f>M647</f>
        <v>2023</v>
      </c>
    </row>
    <row r="648" spans="2:24" ht="12.75" customHeight="1" thickBot="1" x14ac:dyDescent="0.25">
      <c r="B648" s="224"/>
      <c r="C648" s="977"/>
      <c r="D648" s="978"/>
      <c r="E648" s="1689" t="str">
        <f>I594</f>
        <v/>
      </c>
      <c r="F648" s="1689"/>
      <c r="G648" s="1689"/>
      <c r="H648" s="464" t="str">
        <f>EUconst_tCO2epa</f>
        <v>t CO2e/gads</v>
      </c>
      <c r="I648" s="330"/>
      <c r="J648" s="330"/>
      <c r="K648" s="330"/>
      <c r="L648" s="330"/>
      <c r="M648" s="330"/>
      <c r="N648" s="661"/>
      <c r="O648" s="25"/>
      <c r="P648" s="979" t="str">
        <f>EUconst_CNTR_Emissions &amp; I594</f>
        <v>DirEmissions_</v>
      </c>
      <c r="R648" s="971" t="str">
        <f>EUconst_CNTR_AttributedEmissions &amp; I594</f>
        <v>AttrEmissions_</v>
      </c>
      <c r="S648" s="137" t="str">
        <f>IF(S594,SUM(I648),"")</f>
        <v/>
      </c>
      <c r="T648" s="137" t="str">
        <f>IF(T594,SUM(J648),"")</f>
        <v/>
      </c>
      <c r="U648" s="137" t="str">
        <f>IF(U594,SUM(K648),"")</f>
        <v/>
      </c>
      <c r="V648" s="137" t="str">
        <f>IF(V594,SUM(L648),"")</f>
        <v/>
      </c>
      <c r="W648" s="138" t="str">
        <f>IF(W594,SUM(M648),"")</f>
        <v/>
      </c>
    </row>
    <row r="649" spans="2:24" ht="12.75" customHeight="1" x14ac:dyDescent="0.2">
      <c r="B649" s="224"/>
      <c r="C649" s="977"/>
      <c r="D649" s="978"/>
      <c r="E649" s="978"/>
      <c r="F649" s="978"/>
      <c r="G649" s="978"/>
      <c r="H649" s="978"/>
      <c r="I649" s="978"/>
      <c r="J649" s="978"/>
      <c r="K649" s="978"/>
      <c r="L649" s="978"/>
      <c r="M649" s="980"/>
      <c r="N649" s="661"/>
      <c r="O649" s="25"/>
      <c r="P649" s="955"/>
      <c r="R649" s="955"/>
    </row>
    <row r="650" spans="2:24" ht="12.75" customHeight="1" x14ac:dyDescent="0.2">
      <c r="B650" s="224"/>
      <c r="C650" s="977"/>
      <c r="D650" s="474" t="s">
        <v>82</v>
      </c>
      <c r="E650" s="1663" t="str">
        <f>Translations!$B$1670</f>
        <v>Enerģijas ielaide šajā apakšiekārtā un relevantais emisijas faktors</v>
      </c>
      <c r="F650" s="1663"/>
      <c r="G650" s="1663"/>
      <c r="H650" s="1663"/>
      <c r="I650" s="1663"/>
      <c r="J650" s="1663"/>
      <c r="K650" s="1663"/>
      <c r="L650" s="1663"/>
      <c r="M650" s="1663"/>
      <c r="N650" s="1690"/>
      <c r="O650" s="25"/>
      <c r="P650" s="955"/>
      <c r="Q650" s="955"/>
      <c r="R650" s="955"/>
    </row>
    <row r="651" spans="2:24" ht="12.75" customHeight="1" x14ac:dyDescent="0.2">
      <c r="B651" s="224"/>
      <c r="C651" s="977"/>
      <c r="D651" s="474"/>
      <c r="E651" s="1653"/>
      <c r="F651" s="1657"/>
      <c r="G651" s="1657"/>
      <c r="H651" s="462" t="str">
        <f>EUconst_Unit</f>
        <v>Vienība</v>
      </c>
      <c r="I651" s="463">
        <f>I$1820</f>
        <v>2019</v>
      </c>
      <c r="J651" s="463">
        <f>J$1820</f>
        <v>2020</v>
      </c>
      <c r="K651" s="463">
        <f>K$1820</f>
        <v>2021</v>
      </c>
      <c r="L651" s="463">
        <f>L$1820</f>
        <v>2022</v>
      </c>
      <c r="M651" s="463">
        <f>M$1820</f>
        <v>2023</v>
      </c>
      <c r="N651" s="661"/>
      <c r="O651" s="25"/>
      <c r="P651" s="955"/>
      <c r="R651" s="955"/>
    </row>
    <row r="652" spans="2:24" ht="12.75" customHeight="1" x14ac:dyDescent="0.2">
      <c r="B652" s="224"/>
      <c r="C652" s="977"/>
      <c r="D652" s="695" t="s">
        <v>2</v>
      </c>
      <c r="E652" s="1651" t="str">
        <f>Translations!$B$1672</f>
        <v>Enerģijas ielaide</v>
      </c>
      <c r="F652" s="1652"/>
      <c r="G652" s="1652"/>
      <c r="H652" s="465" t="str">
        <f>EUconst_TJpa</f>
        <v>TJ / gads</v>
      </c>
      <c r="I652" s="330"/>
      <c r="J652" s="330"/>
      <c r="K652" s="330"/>
      <c r="L652" s="330"/>
      <c r="M652" s="330"/>
      <c r="N652" s="698"/>
      <c r="O652" s="25"/>
      <c r="P652" s="979" t="str">
        <f>EUconst_CNTR_FuelInput &amp; I594</f>
        <v>FuelInput_</v>
      </c>
      <c r="R652" s="955"/>
    </row>
    <row r="653" spans="2:24" ht="12.75" customHeight="1" x14ac:dyDescent="0.2">
      <c r="B653" s="224"/>
      <c r="C653" s="977"/>
      <c r="D653" s="695" t="s">
        <v>3</v>
      </c>
      <c r="E653" s="1709" t="str">
        <f>Translations!$B$732</f>
        <v>Svērtais emisijas faktors</v>
      </c>
      <c r="F653" s="1710"/>
      <c r="G653" s="1710"/>
      <c r="H653" s="577" t="str">
        <f>EUconst_tCO2pTJ</f>
        <v>t CO2 / TJ</v>
      </c>
      <c r="I653" s="338"/>
      <c r="J653" s="338"/>
      <c r="K653" s="338"/>
      <c r="L653" s="338"/>
      <c r="M653" s="338"/>
      <c r="N653" s="661"/>
      <c r="O653" s="25"/>
      <c r="P653" s="979" t="str">
        <f>EUconst_CNTR_FuelEF &amp; I594</f>
        <v>FuelEF_</v>
      </c>
      <c r="R653" s="955"/>
    </row>
    <row r="654" spans="2:24" ht="12.75" customHeight="1" x14ac:dyDescent="0.2">
      <c r="B654" s="224"/>
      <c r="C654" s="977"/>
      <c r="D654" s="978"/>
      <c r="E654" s="978"/>
      <c r="F654" s="978"/>
      <c r="G654" s="978"/>
      <c r="H654" s="978"/>
      <c r="I654" s="978"/>
      <c r="J654" s="978"/>
      <c r="K654" s="978"/>
      <c r="L654" s="978"/>
      <c r="M654" s="980"/>
      <c r="N654" s="661"/>
      <c r="O654" s="25"/>
      <c r="P654" s="955"/>
      <c r="R654" s="955"/>
    </row>
    <row r="655" spans="2:24" ht="12.75" customHeight="1" thickBot="1" x14ac:dyDescent="0.25">
      <c r="B655" s="224"/>
      <c r="C655" s="977"/>
      <c r="D655" s="474" t="s">
        <v>83</v>
      </c>
      <c r="E655" s="1663" t="str">
        <f>Translations!$B$733</f>
        <v>Citas iekšējās avota plūsmas, kas importētas uz šo apakšiekārtu vai eksportētas no tās</v>
      </c>
      <c r="F655" s="1663"/>
      <c r="G655" s="1663"/>
      <c r="H655" s="1663"/>
      <c r="I655" s="1663"/>
      <c r="J655" s="1663"/>
      <c r="K655" s="1663"/>
      <c r="L655" s="1663"/>
      <c r="M655" s="1663"/>
      <c r="N655" s="1690"/>
      <c r="O655" s="25"/>
      <c r="P655" s="955"/>
      <c r="Q655" s="955"/>
      <c r="R655" s="955"/>
    </row>
    <row r="656" spans="2:24" ht="12.75" customHeight="1" thickBot="1" x14ac:dyDescent="0.25">
      <c r="B656" s="224"/>
      <c r="C656" s="977"/>
      <c r="D656" s="695" t="s">
        <v>2</v>
      </c>
      <c r="E656" s="1732" t="str">
        <f>Translations!$B$739</f>
        <v>Vai šai apakšiekārtai ir relevantas vēl citas importētas vai eksportētas iekšējās avota plūsmas?</v>
      </c>
      <c r="F656" s="1732"/>
      <c r="G656" s="1732"/>
      <c r="H656" s="1732"/>
      <c r="I656" s="1732"/>
      <c r="J656" s="1732"/>
      <c r="K656" s="1733"/>
      <c r="L656" s="527"/>
      <c r="M656" s="1202"/>
      <c r="N656" s="1203"/>
      <c r="O656" s="25"/>
      <c r="P656" s="955"/>
      <c r="R656" s="955"/>
      <c r="W656" s="966" t="s">
        <v>398</v>
      </c>
      <c r="X656" s="964" t="b">
        <f>IF(AND(I594&lt;&gt;"",ISBLANK(L656)),EUconst_Error&amp;"BM"&amp;C594,FALSE)</f>
        <v>0</v>
      </c>
    </row>
    <row r="657" spans="2:27" ht="5.0999999999999996" customHeight="1" thickBot="1" x14ac:dyDescent="0.25">
      <c r="B657" s="224"/>
      <c r="C657" s="977"/>
      <c r="D657" s="978"/>
      <c r="E657" s="978"/>
      <c r="F657" s="978"/>
      <c r="G657" s="978"/>
      <c r="H657" s="978"/>
      <c r="I657" s="978"/>
      <c r="J657" s="978"/>
      <c r="K657" s="978"/>
      <c r="L657" s="978"/>
      <c r="M657" s="980"/>
      <c r="N657" s="661"/>
      <c r="O657" s="25"/>
      <c r="P657" s="955"/>
      <c r="R657" s="955"/>
    </row>
    <row r="658" spans="2:27" ht="12.75" customHeight="1" x14ac:dyDescent="0.2">
      <c r="B658" s="224"/>
      <c r="C658" s="977"/>
      <c r="D658" s="695" t="s">
        <v>3</v>
      </c>
      <c r="E658" s="1663" t="str">
        <f>Translations!$B$741</f>
        <v>Citu avota plūsmu nosaukums, 1:</v>
      </c>
      <c r="F658" s="1663"/>
      <c r="G658" s="1663"/>
      <c r="H658" s="1663"/>
      <c r="I658" s="1664"/>
      <c r="J658" s="1665"/>
      <c r="K658" s="1665"/>
      <c r="L658" s="1665"/>
      <c r="M658" s="1666"/>
      <c r="N658" s="660"/>
      <c r="O658" s="25"/>
      <c r="P658" s="955"/>
      <c r="R658" s="955"/>
      <c r="AA658" s="643" t="b">
        <f>IF(I594&lt;&gt;"",AND(L656&lt;&gt;"",L656=FALSE),FALSE)</f>
        <v>0</v>
      </c>
    </row>
    <row r="659" spans="2:27" ht="5.0999999999999996" customHeight="1" x14ac:dyDescent="0.2">
      <c r="B659" s="224"/>
      <c r="C659" s="977"/>
      <c r="D659" s="978"/>
      <c r="E659" s="1204"/>
      <c r="F659" s="1202"/>
      <c r="G659" s="1202"/>
      <c r="H659" s="1202"/>
      <c r="I659" s="1202"/>
      <c r="J659" s="1202"/>
      <c r="K659" s="1202"/>
      <c r="L659" s="1202"/>
      <c r="M659" s="1202"/>
      <c r="N659" s="1203"/>
      <c r="O659" s="25"/>
      <c r="P659" s="955"/>
      <c r="R659" s="955"/>
      <c r="AA659" s="607"/>
    </row>
    <row r="660" spans="2:27" ht="12.75" customHeight="1" x14ac:dyDescent="0.2">
      <c r="B660" s="224"/>
      <c r="C660" s="977"/>
      <c r="D660" s="978"/>
      <c r="E660" s="1653" t="str">
        <f>Translations!$B$742</f>
        <v>Citas avota plūsmas, 1:</v>
      </c>
      <c r="F660" s="1657"/>
      <c r="G660" s="1657"/>
      <c r="H660" s="462" t="str">
        <f>EUconst_Unit</f>
        <v>Vienība</v>
      </c>
      <c r="I660" s="463">
        <f>I$1820</f>
        <v>2019</v>
      </c>
      <c r="J660" s="463">
        <f>J$1820</f>
        <v>2020</v>
      </c>
      <c r="K660" s="463">
        <f>K$1820</f>
        <v>2021</v>
      </c>
      <c r="L660" s="463">
        <f>L$1820</f>
        <v>2022</v>
      </c>
      <c r="M660" s="463">
        <f>M$1820</f>
        <v>2023</v>
      </c>
      <c r="N660" s="661"/>
      <c r="O660" s="25"/>
      <c r="P660" s="955"/>
      <c r="R660" s="955"/>
      <c r="AA660" s="607"/>
    </row>
    <row r="661" spans="2:27" ht="12.75" customHeight="1" x14ac:dyDescent="0.2">
      <c r="B661" s="224"/>
      <c r="C661" s="977"/>
      <c r="D661" s="695" t="s">
        <v>4</v>
      </c>
      <c r="E661" s="1667" t="str">
        <f>Translations!$B$743</f>
        <v>Importētais vai eksportētais daudzums</v>
      </c>
      <c r="F661" s="1660"/>
      <c r="G661" s="1660"/>
      <c r="H661" s="466" t="str">
        <f>EUconst_tpa</f>
        <v>t / gads</v>
      </c>
      <c r="I661" s="348"/>
      <c r="J661" s="348"/>
      <c r="K661" s="348"/>
      <c r="L661" s="348"/>
      <c r="M661" s="348"/>
      <c r="N661" s="661"/>
      <c r="O661" s="25"/>
      <c r="P661" s="955"/>
      <c r="R661" s="955"/>
      <c r="AA661" s="361" t="b">
        <f>AA658</f>
        <v>0</v>
      </c>
    </row>
    <row r="662" spans="2:27" ht="12.75" customHeight="1" x14ac:dyDescent="0.2">
      <c r="B662" s="224"/>
      <c r="C662" s="977"/>
      <c r="D662" s="695" t="s">
        <v>6</v>
      </c>
      <c r="E662" s="1658" t="str">
        <f>Translations!$B$744</f>
        <v>Zemākā siltumspēja (attiecīgā gadījumā)</v>
      </c>
      <c r="F662" s="1658"/>
      <c r="G662" s="1658"/>
      <c r="H662" s="551" t="str">
        <f>EUconst_GJpt</f>
        <v>GJ / t</v>
      </c>
      <c r="I662" s="347"/>
      <c r="J662" s="347"/>
      <c r="K662" s="347"/>
      <c r="L662" s="347"/>
      <c r="M662" s="347"/>
      <c r="N662" s="661"/>
      <c r="O662" s="25"/>
      <c r="P662" s="955"/>
      <c r="R662" s="955"/>
      <c r="AA662" s="361" t="b">
        <f>AA661</f>
        <v>0</v>
      </c>
    </row>
    <row r="663" spans="2:27" ht="12.75" customHeight="1" thickBot="1" x14ac:dyDescent="0.25">
      <c r="B663" s="224"/>
      <c r="C663" s="977"/>
      <c r="D663" s="695" t="s">
        <v>303</v>
      </c>
      <c r="E663" s="1658" t="str">
        <f>Translations!$B$745</f>
        <v>Oglekļa saturs (masas %)</v>
      </c>
      <c r="F663" s="1658"/>
      <c r="G663" s="1658"/>
      <c r="H663" s="552" t="s">
        <v>341</v>
      </c>
      <c r="I663" s="347"/>
      <c r="J663" s="347"/>
      <c r="K663" s="347"/>
      <c r="L663" s="347"/>
      <c r="M663" s="347"/>
      <c r="N663" s="661"/>
      <c r="O663" s="25"/>
      <c r="P663" s="955"/>
      <c r="R663" s="955"/>
      <c r="AA663" s="361" t="b">
        <f>AA662</f>
        <v>0</v>
      </c>
    </row>
    <row r="664" spans="2:27" ht="12.75" customHeight="1" x14ac:dyDescent="0.2">
      <c r="B664" s="224"/>
      <c r="C664" s="977"/>
      <c r="D664" s="695" t="s">
        <v>304</v>
      </c>
      <c r="E664" s="1659" t="str">
        <f>Translations!$B$746</f>
        <v>Biomasas saturs (kā oglekļa frakcija)</v>
      </c>
      <c r="F664" s="1659"/>
      <c r="G664" s="1659"/>
      <c r="H664" s="485" t="s">
        <v>341</v>
      </c>
      <c r="I664" s="345"/>
      <c r="J664" s="345"/>
      <c r="K664" s="345"/>
      <c r="L664" s="345"/>
      <c r="M664" s="345"/>
      <c r="N664" s="661"/>
      <c r="O664" s="25"/>
      <c r="P664" s="955"/>
      <c r="R664" s="970"/>
      <c r="S664" s="809">
        <f>I660</f>
        <v>2019</v>
      </c>
      <c r="T664" s="809">
        <f>J660</f>
        <v>2020</v>
      </c>
      <c r="U664" s="809">
        <f>K660</f>
        <v>2021</v>
      </c>
      <c r="V664" s="809">
        <f>L660</f>
        <v>2022</v>
      </c>
      <c r="W664" s="810">
        <f>M660</f>
        <v>2023</v>
      </c>
      <c r="AA664" s="361" t="b">
        <f>AA663</f>
        <v>0</v>
      </c>
    </row>
    <row r="665" spans="2:27" ht="12.75" customHeight="1" thickBot="1" x14ac:dyDescent="0.25">
      <c r="B665" s="224"/>
      <c r="C665" s="977"/>
      <c r="D665" s="695" t="s">
        <v>305</v>
      </c>
      <c r="E665" s="1660" t="str">
        <f>Translations!$B$747</f>
        <v>Emisijas (no fosilajiem avotiem, aprēķinātās)</v>
      </c>
      <c r="F665" s="1660"/>
      <c r="G665" s="1660"/>
      <c r="H665" s="553" t="str">
        <f>EUconst_tCO2pa</f>
        <v>t CO2 / gads</v>
      </c>
      <c r="I665" s="341" t="str">
        <f>IF(AND(COUNT(I661:I664)&gt;0,I668=""),3.664*I661*(I663/100)*(1-I664/100),"")</f>
        <v/>
      </c>
      <c r="J665" s="341" t="str">
        <f>IF(AND(COUNT(J661:J664)&gt;0,J668=""),3.664*J661*(J663/100)*(1-J664/100),"")</f>
        <v/>
      </c>
      <c r="K665" s="341" t="str">
        <f>IF(AND(COUNT(K661:K664)&gt;0,K668=""),3.664*K661*(K663/100)*(1-K664/100),"")</f>
        <v/>
      </c>
      <c r="L665" s="341" t="str">
        <f>IF(AND(COUNT(L661:L664)&gt;0,L668=""),3.664*L661*(L663/100)*(1-L664/100),"")</f>
        <v/>
      </c>
      <c r="M665" s="341" t="str">
        <f>IF(AND(COUNT(M661:M664)&gt;0,M668=""),3.664*M661*(M663/100)*(1-M664/100),"")</f>
        <v/>
      </c>
      <c r="N665" s="661"/>
      <c r="O665" s="25"/>
      <c r="P665" s="979" t="str">
        <f>EUconst_CNTR_EmissionsIntSource1 &amp; I594</f>
        <v>EmInternalSource1_</v>
      </c>
      <c r="R665" s="971" t="str">
        <f>EUconst_CNTR_AttributedEmissions &amp; I594</f>
        <v>AttrEmissions_</v>
      </c>
      <c r="S665" s="137" t="str">
        <f>IF(S594,SUM(I665),"")</f>
        <v/>
      </c>
      <c r="T665" s="137" t="str">
        <f>IF(T594,SUM(J665),"")</f>
        <v/>
      </c>
      <c r="U665" s="137" t="str">
        <f>IF(U594,SUM(K665),"")</f>
        <v/>
      </c>
      <c r="V665" s="137" t="str">
        <f>IF(V594,SUM(L665),"")</f>
        <v/>
      </c>
      <c r="W665" s="138" t="str">
        <f>IF(W594,SUM(M665),"")</f>
        <v/>
      </c>
      <c r="AA665" s="607"/>
    </row>
    <row r="666" spans="2:27" ht="12.75" customHeight="1" x14ac:dyDescent="0.2">
      <c r="B666" s="224"/>
      <c r="C666" s="977"/>
      <c r="D666" s="695" t="s">
        <v>306</v>
      </c>
      <c r="E666" s="1661" t="str">
        <f>Translations!$B$1617</f>
        <v>Nulles faktora biomasas emisijas</v>
      </c>
      <c r="F666" s="1661"/>
      <c r="G666" s="1661"/>
      <c r="H666" s="554" t="str">
        <f>EUconst_tCO2pa</f>
        <v>t CO2 / gads</v>
      </c>
      <c r="I666" s="340" t="str">
        <f>IF(ISNUMBER(I665),3.664*I661*(I663/100)*(I664/100),"")</f>
        <v/>
      </c>
      <c r="J666" s="340" t="str">
        <f>IF(ISNUMBER(J665),3.664*J661*(J663/100)*(J664/100),"")</f>
        <v/>
      </c>
      <c r="K666" s="340" t="str">
        <f>IF(ISNUMBER(K665),3.664*K661*(K663/100)*(K664/100),"")</f>
        <v/>
      </c>
      <c r="L666" s="340" t="str">
        <f>IF(ISNUMBER(L665),3.664*L661*(L663/100)*(L664/100),"")</f>
        <v/>
      </c>
      <c r="M666" s="340" t="str">
        <f>IF(ISNUMBER(M665),3.664*M661*(M663/100)*(M664/100),"")</f>
        <v/>
      </c>
      <c r="N666" s="661"/>
      <c r="O666" s="25"/>
      <c r="P666" s="955"/>
      <c r="R666" s="955"/>
      <c r="AA666" s="607"/>
    </row>
    <row r="667" spans="2:27" ht="12.75" customHeight="1" x14ac:dyDescent="0.2">
      <c r="B667" s="224"/>
      <c r="C667" s="977"/>
      <c r="D667" s="695" t="s">
        <v>307</v>
      </c>
      <c r="E667" s="1659" t="str">
        <f>Translations!$B$749</f>
        <v>Enerģētiskais saturs (aprēķinātais)</v>
      </c>
      <c r="F667" s="1659"/>
      <c r="G667" s="1659"/>
      <c r="H667" s="555" t="str">
        <f>EUconst_TJpa</f>
        <v>TJ / gads</v>
      </c>
      <c r="I667" s="343" t="str">
        <f>IF(COUNT(I661:I662)=2,I661*I662/1000,"")</f>
        <v/>
      </c>
      <c r="J667" s="343" t="str">
        <f>IF(COUNT(J661:J662)=2,J661*J662/1000,"")</f>
        <v/>
      </c>
      <c r="K667" s="343" t="str">
        <f>IF(COUNT(K661:K662)=2,K661*K662/1000,"")</f>
        <v/>
      </c>
      <c r="L667" s="343" t="str">
        <f>IF(COUNT(L661:L662)=2,L661*L662/1000,"")</f>
        <v/>
      </c>
      <c r="M667" s="343" t="str">
        <f>IF(COUNT(M661:M662)=2,M661*M662/1000,"")</f>
        <v/>
      </c>
      <c r="N667" s="661"/>
      <c r="O667" s="25"/>
      <c r="P667" s="955"/>
      <c r="R667" s="955"/>
      <c r="AA667" s="607"/>
    </row>
    <row r="668" spans="2:27" ht="12.75" customHeight="1" x14ac:dyDescent="0.2">
      <c r="B668" s="224"/>
      <c r="C668" s="977"/>
      <c r="D668" s="695" t="s">
        <v>15</v>
      </c>
      <c r="E668" s="1662" t="str">
        <f>Translations!$B$750</f>
        <v>Kļūdas ziņojumi (emisijas)</v>
      </c>
      <c r="F668" s="1662"/>
      <c r="G668" s="1662"/>
      <c r="H668" s="556"/>
      <c r="I668" s="662" t="str">
        <f>IF(COUNT(I661,I663:I664)&gt;0,IF(COUNTIF(I662:I664,"&lt;0")&gt;0,EUconst_Negative,IF(COUNT(I661,I663:I664)&lt;3,EUconst_Incomplete,"")),"")</f>
        <v/>
      </c>
      <c r="J668" s="662" t="str">
        <f>IF(COUNT(J661,J663:J664)&gt;0,IF(COUNTIF(J662:J664,"&lt;0")&gt;0,EUconst_Negative,IF(COUNT(J661,J663:J664)&lt;3,EUconst_Incomplete,"")),"")</f>
        <v/>
      </c>
      <c r="K668" s="662" t="str">
        <f>IF(COUNT(K661,K663:K664)&gt;0,IF(COUNTIF(K662:K664,"&lt;0")&gt;0,EUconst_Negative,IF(COUNT(K661,K663:K664)&lt;3,EUconst_Incomplete,"")),"")</f>
        <v/>
      </c>
      <c r="L668" s="662" t="str">
        <f>IF(COUNT(L661,L663:L664)&gt;0,IF(COUNTIF(L662:L664,"&lt;0")&gt;0,EUconst_Negative,IF(COUNT(L661,L663:L664)&lt;3,EUconst_Incomplete,"")),"")</f>
        <v/>
      </c>
      <c r="M668" s="662" t="str">
        <f>IF(COUNT(M661,M663:M664)&gt;0,IF(COUNTIF(M662:M664,"&lt;0")&gt;0,EUconst_Negative,IF(COUNT(M661,M663:M664)&lt;3,EUconst_Incomplete,"")),"")</f>
        <v/>
      </c>
      <c r="N668" s="661"/>
      <c r="O668" s="25"/>
      <c r="P668" s="955"/>
      <c r="R668" s="955"/>
      <c r="AA668" s="607"/>
    </row>
    <row r="669" spans="2:27" ht="5.0999999999999996" customHeight="1" x14ac:dyDescent="0.2">
      <c r="B669" s="224"/>
      <c r="C669" s="977"/>
      <c r="D669" s="695"/>
      <c r="E669" s="978"/>
      <c r="F669" s="978"/>
      <c r="G669" s="978"/>
      <c r="H669" s="978"/>
      <c r="I669" s="978"/>
      <c r="J669" s="978"/>
      <c r="K669" s="978"/>
      <c r="L669" s="978"/>
      <c r="M669" s="980"/>
      <c r="N669" s="661"/>
      <c r="O669" s="25"/>
      <c r="P669" s="955"/>
      <c r="R669" s="955"/>
      <c r="AA669" s="607"/>
    </row>
    <row r="670" spans="2:27" ht="12.75" customHeight="1" x14ac:dyDescent="0.2">
      <c r="B670" s="224"/>
      <c r="C670" s="977"/>
      <c r="D670" s="695" t="s">
        <v>16</v>
      </c>
      <c r="E670" s="1663" t="str">
        <f>Translations!$B$751</f>
        <v>Citu avota plūsmu nosaukums, 2:</v>
      </c>
      <c r="F670" s="1663"/>
      <c r="G670" s="1663"/>
      <c r="H670" s="1663"/>
      <c r="I670" s="1664"/>
      <c r="J670" s="1665"/>
      <c r="K670" s="1665"/>
      <c r="L670" s="1665"/>
      <c r="M670" s="1666"/>
      <c r="N670" s="1203"/>
      <c r="O670" s="25"/>
      <c r="P670" s="955"/>
      <c r="R670" s="955"/>
      <c r="AA670" s="361" t="b">
        <f>AA658</f>
        <v>0</v>
      </c>
    </row>
    <row r="671" spans="2:27" ht="5.0999999999999996" customHeight="1" x14ac:dyDescent="0.2">
      <c r="B671" s="224"/>
      <c r="C671" s="977"/>
      <c r="D671" s="978"/>
      <c r="E671" s="1204"/>
      <c r="F671" s="1202"/>
      <c r="G671" s="1202"/>
      <c r="H671" s="1202"/>
      <c r="I671" s="1202"/>
      <c r="J671" s="1202"/>
      <c r="K671" s="1202"/>
      <c r="L671" s="1202"/>
      <c r="M671" s="1202"/>
      <c r="N671" s="1203"/>
      <c r="O671" s="25"/>
      <c r="P671" s="955"/>
      <c r="R671" s="955"/>
      <c r="AA671" s="607"/>
    </row>
    <row r="672" spans="2:27" ht="12.75" customHeight="1" x14ac:dyDescent="0.2">
      <c r="B672" s="224"/>
      <c r="C672" s="977"/>
      <c r="D672" s="695"/>
      <c r="E672" s="1653" t="str">
        <f>Translations!$B$752</f>
        <v>Citas avota plūsmas, 2:</v>
      </c>
      <c r="F672" s="1657"/>
      <c r="G672" s="1657"/>
      <c r="H672" s="462" t="str">
        <f>EUconst_Unit</f>
        <v>Vienība</v>
      </c>
      <c r="I672" s="463">
        <f>I$1820</f>
        <v>2019</v>
      </c>
      <c r="J672" s="463">
        <f>J$1820</f>
        <v>2020</v>
      </c>
      <c r="K672" s="463">
        <f>K$1820</f>
        <v>2021</v>
      </c>
      <c r="L672" s="463">
        <f>L$1820</f>
        <v>2022</v>
      </c>
      <c r="M672" s="463">
        <f>M$1820</f>
        <v>2023</v>
      </c>
      <c r="N672" s="661"/>
      <c r="O672" s="25"/>
      <c r="P672" s="955"/>
      <c r="R672" s="955"/>
      <c r="AA672" s="607"/>
    </row>
    <row r="673" spans="2:27" ht="12.75" customHeight="1" x14ac:dyDescent="0.2">
      <c r="B673" s="224"/>
      <c r="C673" s="977"/>
      <c r="D673" s="695" t="s">
        <v>17</v>
      </c>
      <c r="E673" s="1667" t="str">
        <f>Translations!$B$743</f>
        <v>Importētais vai eksportētais daudzums</v>
      </c>
      <c r="F673" s="1660"/>
      <c r="G673" s="1660"/>
      <c r="H673" s="466" t="str">
        <f>EUconst_tpa</f>
        <v>t / gads</v>
      </c>
      <c r="I673" s="348"/>
      <c r="J673" s="348"/>
      <c r="K673" s="348"/>
      <c r="L673" s="348"/>
      <c r="M673" s="348"/>
      <c r="N673" s="661"/>
      <c r="O673" s="25"/>
      <c r="P673" s="955"/>
      <c r="R673" s="955"/>
      <c r="AA673" s="361" t="b">
        <f>AA670</f>
        <v>0</v>
      </c>
    </row>
    <row r="674" spans="2:27" ht="12.75" customHeight="1" x14ac:dyDescent="0.2">
      <c r="B674" s="224"/>
      <c r="C674" s="977"/>
      <c r="D674" s="695" t="s">
        <v>438</v>
      </c>
      <c r="E674" s="1658" t="str">
        <f>Translations!$B$744</f>
        <v>Zemākā siltumspēja (attiecīgā gadījumā)</v>
      </c>
      <c r="F674" s="1658"/>
      <c r="G674" s="1658"/>
      <c r="H674" s="551" t="str">
        <f>EUconst_GJpt</f>
        <v>GJ / t</v>
      </c>
      <c r="I674" s="347"/>
      <c r="J674" s="347"/>
      <c r="K674" s="347"/>
      <c r="L674" s="347"/>
      <c r="M674" s="347"/>
      <c r="N674" s="661"/>
      <c r="O674" s="25"/>
      <c r="P674" s="955"/>
      <c r="R674" s="955"/>
      <c r="AA674" s="361" t="b">
        <f>AA673</f>
        <v>0</v>
      </c>
    </row>
    <row r="675" spans="2:27" ht="12.75" customHeight="1" thickBot="1" x14ac:dyDescent="0.25">
      <c r="B675" s="224"/>
      <c r="C675" s="977"/>
      <c r="D675" s="695" t="s">
        <v>439</v>
      </c>
      <c r="E675" s="1658" t="str">
        <f>Translations!$B$745</f>
        <v>Oglekļa saturs (masas %)</v>
      </c>
      <c r="F675" s="1658"/>
      <c r="G675" s="1658"/>
      <c r="H675" s="552" t="s">
        <v>341</v>
      </c>
      <c r="I675" s="347"/>
      <c r="J675" s="347"/>
      <c r="K675" s="347"/>
      <c r="L675" s="347"/>
      <c r="M675" s="347"/>
      <c r="N675" s="661"/>
      <c r="O675" s="25"/>
      <c r="P675" s="955"/>
      <c r="R675" s="955"/>
      <c r="AA675" s="361" t="b">
        <f>AA674</f>
        <v>0</v>
      </c>
    </row>
    <row r="676" spans="2:27" ht="12.75" customHeight="1" thickBot="1" x14ac:dyDescent="0.25">
      <c r="B676" s="224"/>
      <c r="C676" s="977"/>
      <c r="D676" s="695" t="s">
        <v>440</v>
      </c>
      <c r="E676" s="1659" t="str">
        <f>Translations!$B$746</f>
        <v>Biomasas saturs (kā oglekļa frakcija)</v>
      </c>
      <c r="F676" s="1659"/>
      <c r="G676" s="1659"/>
      <c r="H676" s="485" t="s">
        <v>341</v>
      </c>
      <c r="I676" s="345"/>
      <c r="J676" s="345"/>
      <c r="K676" s="345"/>
      <c r="L676" s="345"/>
      <c r="M676" s="345"/>
      <c r="N676" s="661"/>
      <c r="O676" s="25"/>
      <c r="P676" s="955"/>
      <c r="R676" s="970"/>
      <c r="S676" s="809">
        <f>I672</f>
        <v>2019</v>
      </c>
      <c r="T676" s="809">
        <f>J672</f>
        <v>2020</v>
      </c>
      <c r="U676" s="809">
        <f>K672</f>
        <v>2021</v>
      </c>
      <c r="V676" s="809">
        <f>L672</f>
        <v>2022</v>
      </c>
      <c r="W676" s="810">
        <f>M672</f>
        <v>2023</v>
      </c>
      <c r="AA676" s="186" t="b">
        <f>AA675</f>
        <v>0</v>
      </c>
    </row>
    <row r="677" spans="2:27" ht="12.75" customHeight="1" thickBot="1" x14ac:dyDescent="0.25">
      <c r="B677" s="224"/>
      <c r="C677" s="977"/>
      <c r="D677" s="695" t="s">
        <v>441</v>
      </c>
      <c r="E677" s="1660" t="str">
        <f>Translations!$B$747</f>
        <v>Emisijas (no fosilajiem avotiem, aprēķinātās)</v>
      </c>
      <c r="F677" s="1660"/>
      <c r="G677" s="1660"/>
      <c r="H677" s="553" t="str">
        <f>EUconst_tCO2pa</f>
        <v>t CO2 / gads</v>
      </c>
      <c r="I677" s="341" t="str">
        <f>IF(AND(COUNT(I673:I676)&gt;0,I680=""),3.664*I673*(I675/100)*(1-I676/100),"")</f>
        <v/>
      </c>
      <c r="J677" s="341" t="str">
        <f>IF(AND(COUNT(J673:J676)&gt;0,J680=""),3.664*J673*(J675/100)*(1-J676/100),"")</f>
        <v/>
      </c>
      <c r="K677" s="341" t="str">
        <f>IF(AND(COUNT(K673:K676)&gt;0,K680=""),3.664*K673*(K675/100)*(1-K676/100),"")</f>
        <v/>
      </c>
      <c r="L677" s="341" t="str">
        <f>IF(AND(COUNT(L673:L676)&gt;0,L680=""),3.664*L673*(L675/100)*(1-L676/100),"")</f>
        <v/>
      </c>
      <c r="M677" s="341" t="str">
        <f>IF(AND(COUNT(M673:M676)&gt;0,M680=""),3.664*M673*(M675/100)*(1-M676/100),"")</f>
        <v/>
      </c>
      <c r="N677" s="661"/>
      <c r="O677" s="25"/>
      <c r="P677" s="979" t="str">
        <f>EUconst_CNTR_EmissionsIntSource2 &amp; I594</f>
        <v>EmInternalSource2_</v>
      </c>
      <c r="R677" s="971" t="str">
        <f>EUconst_CNTR_AttributedEmissions &amp; I594</f>
        <v>AttrEmissions_</v>
      </c>
      <c r="S677" s="137" t="str">
        <f>IF(S594,SUM(I677),"")</f>
        <v/>
      </c>
      <c r="T677" s="137" t="str">
        <f>IF(T594,SUM(J677),"")</f>
        <v/>
      </c>
      <c r="U677" s="137" t="str">
        <f>IF(U594,SUM(K677),"")</f>
        <v/>
      </c>
      <c r="V677" s="137" t="str">
        <f>IF(V594,SUM(L677),"")</f>
        <v/>
      </c>
      <c r="W677" s="138" t="str">
        <f>IF(W594,SUM(M677),"")</f>
        <v/>
      </c>
    </row>
    <row r="678" spans="2:27" ht="12.75" customHeight="1" x14ac:dyDescent="0.2">
      <c r="B678" s="224"/>
      <c r="C678" s="977"/>
      <c r="D678" s="695" t="s">
        <v>442</v>
      </c>
      <c r="E678" s="1661" t="str">
        <f>Translations!$B$1617</f>
        <v>Nulles faktora biomasas emisijas</v>
      </c>
      <c r="F678" s="1661"/>
      <c r="G678" s="1661"/>
      <c r="H678" s="554" t="str">
        <f>EUconst_tCO2pa</f>
        <v>t CO2 / gads</v>
      </c>
      <c r="I678" s="340" t="str">
        <f>IF(ISNUMBER(I677),3.664*I673*(I675/100)*(I676/100),"")</f>
        <v/>
      </c>
      <c r="J678" s="340" t="str">
        <f>IF(ISNUMBER(J677),3.664*J673*(J675/100)*(J676/100),"")</f>
        <v/>
      </c>
      <c r="K678" s="340" t="str">
        <f>IF(ISNUMBER(K677),3.664*K673*(K675/100)*(K676/100),"")</f>
        <v/>
      </c>
      <c r="L678" s="340" t="str">
        <f>IF(ISNUMBER(L677),3.664*L673*(L675/100)*(L676/100),"")</f>
        <v/>
      </c>
      <c r="M678" s="340" t="str">
        <f>IF(ISNUMBER(M677),3.664*M673*(M675/100)*(M676/100),"")</f>
        <v/>
      </c>
      <c r="N678" s="661"/>
      <c r="O678" s="25"/>
      <c r="P678" s="955"/>
      <c r="R678" s="955"/>
    </row>
    <row r="679" spans="2:27" ht="12.75" customHeight="1" x14ac:dyDescent="0.2">
      <c r="B679" s="224"/>
      <c r="C679" s="977"/>
      <c r="D679" s="695" t="s">
        <v>443</v>
      </c>
      <c r="E679" s="1659" t="str">
        <f>Translations!$B$749</f>
        <v>Enerģētiskais saturs (aprēķinātais)</v>
      </c>
      <c r="F679" s="1659"/>
      <c r="G679" s="1659"/>
      <c r="H679" s="555" t="str">
        <f>EUconst_TJpa</f>
        <v>TJ / gads</v>
      </c>
      <c r="I679" s="343" t="str">
        <f>IF(COUNT(I673:I674)=2,I673*I674/1000,"")</f>
        <v/>
      </c>
      <c r="J679" s="343" t="str">
        <f>IF(COUNT(J673:J674)=2,J673*J674/1000,"")</f>
        <v/>
      </c>
      <c r="K679" s="343" t="str">
        <f>IF(COUNT(K673:K674)=2,K673*K674/1000,"")</f>
        <v/>
      </c>
      <c r="L679" s="343" t="str">
        <f>IF(COUNT(L673:L674)=2,L673*L674/1000,"")</f>
        <v/>
      </c>
      <c r="M679" s="343" t="str">
        <f>IF(COUNT(M673:M674)=2,M673*M674/1000,"")</f>
        <v/>
      </c>
      <c r="N679" s="661"/>
      <c r="O679" s="25"/>
      <c r="P679" s="955"/>
      <c r="R679" s="955"/>
    </row>
    <row r="680" spans="2:27" ht="12.75" customHeight="1" x14ac:dyDescent="0.2">
      <c r="B680" s="224"/>
      <c r="C680" s="977"/>
      <c r="D680" s="695" t="s">
        <v>439</v>
      </c>
      <c r="E680" s="1662" t="str">
        <f>Translations!$B$750</f>
        <v>Kļūdas ziņojumi (emisijas)</v>
      </c>
      <c r="F680" s="1662"/>
      <c r="G680" s="1662"/>
      <c r="H680" s="556"/>
      <c r="I680" s="662" t="str">
        <f>IF(COUNT(I673,I675:I676)&gt;0,IF(COUNTIF(I674:I676,"&lt;0")&gt;0,EUconst_Negative,IF(COUNT(I673,I675:I676)&lt;3,EUconst_Incomplete,"")),"")</f>
        <v/>
      </c>
      <c r="J680" s="662" t="str">
        <f>IF(COUNT(J673,J675:J676)&gt;0,IF(COUNTIF(J674:J676,"&lt;0")&gt;0,EUconst_Negative,IF(COUNT(J673,J675:J676)&lt;3,EUconst_Incomplete,"")),"")</f>
        <v/>
      </c>
      <c r="K680" s="662" t="str">
        <f>IF(COUNT(K673,K675:K676)&gt;0,IF(COUNTIF(K674:K676,"&lt;0")&gt;0,EUconst_Negative,IF(COUNT(K673,K675:K676)&lt;3,EUconst_Incomplete,"")),"")</f>
        <v/>
      </c>
      <c r="L680" s="662" t="str">
        <f>IF(COUNT(L673,L675:L676)&gt;0,IF(COUNTIF(L674:L676,"&lt;0")&gt;0,EUconst_Negative,IF(COUNT(L673,L675:L676)&lt;3,EUconst_Incomplete,"")),"")</f>
        <v/>
      </c>
      <c r="M680" s="662" t="str">
        <f>IF(COUNT(M673,M675:M676)&gt;0,IF(COUNTIF(M674:M676,"&lt;0")&gt;0,EUconst_Negative,IF(COUNT(M673,M675:M676)&lt;3,EUconst_Incomplete,"")),"")</f>
        <v/>
      </c>
      <c r="N680" s="661"/>
      <c r="O680" s="25"/>
      <c r="P680" s="955"/>
      <c r="R680" s="955"/>
    </row>
    <row r="681" spans="2:27" ht="5.0999999999999996" customHeight="1" x14ac:dyDescent="0.2">
      <c r="B681" s="224"/>
      <c r="C681" s="977"/>
      <c r="D681" s="978"/>
      <c r="E681" s="978"/>
      <c r="F681" s="978"/>
      <c r="G681" s="978"/>
      <c r="H681" s="978"/>
      <c r="I681" s="978"/>
      <c r="J681" s="978"/>
      <c r="K681" s="978"/>
      <c r="L681" s="978"/>
      <c r="M681" s="980"/>
      <c r="N681" s="661"/>
      <c r="O681" s="25"/>
      <c r="P681" s="955"/>
      <c r="R681" s="955"/>
    </row>
    <row r="682" spans="2:27" ht="12.75" customHeight="1" thickBot="1" x14ac:dyDescent="0.25">
      <c r="B682" s="224"/>
      <c r="C682" s="977"/>
      <c r="D682" s="474" t="s">
        <v>211</v>
      </c>
      <c r="E682" s="1654" t="str">
        <f>Translations!$B$753</f>
        <v>To SEG daudzums, kas importētas vai eksportētas kā ievadmateriāli</v>
      </c>
      <c r="F682" s="1655"/>
      <c r="G682" s="1655"/>
      <c r="H682" s="1655"/>
      <c r="I682" s="1655"/>
      <c r="J682" s="1655"/>
      <c r="K682" s="1655"/>
      <c r="L682" s="1655"/>
      <c r="M682" s="1655"/>
      <c r="N682" s="1656"/>
      <c r="O682" s="25"/>
      <c r="P682" s="955"/>
      <c r="R682" s="955"/>
    </row>
    <row r="683" spans="2:27" ht="12.75" customHeight="1" x14ac:dyDescent="0.2">
      <c r="B683" s="224"/>
      <c r="C683" s="977"/>
      <c r="D683" s="474"/>
      <c r="E683" s="1653"/>
      <c r="F683" s="1657"/>
      <c r="G683" s="1657"/>
      <c r="H683" s="462" t="str">
        <f>EUconst_Unit</f>
        <v>Vienība</v>
      </c>
      <c r="I683" s="463">
        <f>I$1820</f>
        <v>2019</v>
      </c>
      <c r="J683" s="463">
        <f>J$1820</f>
        <v>2020</v>
      </c>
      <c r="K683" s="463">
        <f>K$1820</f>
        <v>2021</v>
      </c>
      <c r="L683" s="463">
        <f>L$1820</f>
        <v>2022</v>
      </c>
      <c r="M683" s="463">
        <f>M$1820</f>
        <v>2023</v>
      </c>
      <c r="N683" s="661"/>
      <c r="O683" s="25"/>
      <c r="P683" s="955"/>
      <c r="R683" s="970"/>
      <c r="S683" s="809">
        <f>I683</f>
        <v>2019</v>
      </c>
      <c r="T683" s="809">
        <f>J683</f>
        <v>2020</v>
      </c>
      <c r="U683" s="809">
        <f>K683</f>
        <v>2021</v>
      </c>
      <c r="V683" s="809">
        <f>L683</f>
        <v>2022</v>
      </c>
      <c r="W683" s="810">
        <f>M683</f>
        <v>2023</v>
      </c>
    </row>
    <row r="684" spans="2:27" ht="12.75" customHeight="1" thickBot="1" x14ac:dyDescent="0.25">
      <c r="B684" s="224"/>
      <c r="C684" s="977"/>
      <c r="D684" s="695"/>
      <c r="E684" s="1651" t="str">
        <f>Translations!$B$756</f>
        <v>Importētās vai eksportētās SEG</v>
      </c>
      <c r="F684" s="1652"/>
      <c r="G684" s="1652"/>
      <c r="H684" s="465" t="str">
        <f>EUconst_tCO2epa</f>
        <v>t CO2e/gads</v>
      </c>
      <c r="I684" s="483"/>
      <c r="J684" s="483"/>
      <c r="K684" s="483"/>
      <c r="L684" s="483"/>
      <c r="M684" s="483"/>
      <c r="N684" s="1205"/>
      <c r="O684" s="25"/>
      <c r="P684" s="979" t="str">
        <f>EUconst_CNTR_CO2Feedstock &amp; I594</f>
        <v>EmCO2Feedstock_</v>
      </c>
      <c r="R684" s="971" t="str">
        <f>EUconst_CNTR_AttributedEmissions &amp; I594</f>
        <v>AttrEmissions_</v>
      </c>
      <c r="S684" s="137" t="str">
        <f>IF(S594,SUM(I684),"")</f>
        <v/>
      </c>
      <c r="T684" s="137" t="str">
        <f>IF(T594,SUM(J684),"")</f>
        <v/>
      </c>
      <c r="U684" s="137" t="str">
        <f>IF(U594,SUM(K684),"")</f>
        <v/>
      </c>
      <c r="V684" s="137" t="str">
        <f>IF(V594,SUM(L684),"")</f>
        <v/>
      </c>
      <c r="W684" s="138" t="str">
        <f>IF(W594,SUM(M684),"")</f>
        <v/>
      </c>
    </row>
    <row r="685" spans="2:27" ht="5.0999999999999996" customHeight="1" x14ac:dyDescent="0.2">
      <c r="B685" s="224"/>
      <c r="C685" s="977"/>
      <c r="D685" s="978"/>
      <c r="E685" s="978"/>
      <c r="F685" s="978"/>
      <c r="G685" s="978"/>
      <c r="H685" s="978"/>
      <c r="I685" s="978"/>
      <c r="J685" s="978"/>
      <c r="K685" s="978"/>
      <c r="L685" s="978"/>
      <c r="M685" s="980"/>
      <c r="N685" s="661"/>
      <c r="O685" s="25"/>
      <c r="P685" s="955"/>
      <c r="R685" s="955"/>
    </row>
    <row r="686" spans="2:27" ht="12.75" customHeight="1" x14ac:dyDescent="0.2">
      <c r="B686" s="224"/>
      <c r="C686" s="977"/>
      <c r="D686" s="474" t="s">
        <v>212</v>
      </c>
      <c r="E686" s="1654" t="str">
        <f>Translations!$B$757</f>
        <v>Šajā apakšiekārtā importētais un no tās eksportētais izmērāmais siltums</v>
      </c>
      <c r="F686" s="1655"/>
      <c r="G686" s="1655"/>
      <c r="H686" s="1655"/>
      <c r="I686" s="1655"/>
      <c r="J686" s="1655"/>
      <c r="K686" s="1655"/>
      <c r="L686" s="1655"/>
      <c r="M686" s="1655"/>
      <c r="N686" s="1656"/>
      <c r="O686" s="25"/>
      <c r="P686" s="955"/>
      <c r="R686" s="955"/>
    </row>
    <row r="687" spans="2:27" ht="12.75" customHeight="1" thickBot="1" x14ac:dyDescent="0.25">
      <c r="B687" s="224"/>
      <c r="C687" s="977"/>
      <c r="D687" s="978"/>
      <c r="E687" s="1628" t="str">
        <f>Translations!$B$762</f>
        <v>Lai uz siltuma ražošanu attiecinātu emisijas no koģenerācijas, jāizmanto koģenerācijas rīks šīs veidnes D. lapas III .sadaļā.</v>
      </c>
      <c r="F687" s="1628"/>
      <c r="G687" s="1628"/>
      <c r="H687" s="1628"/>
      <c r="I687" s="1628"/>
      <c r="J687" s="1628"/>
      <c r="K687" s="1628"/>
      <c r="L687" s="1628"/>
      <c r="M687" s="1628"/>
      <c r="N687" s="1205"/>
      <c r="O687" s="25"/>
      <c r="P687" s="955"/>
    </row>
    <row r="688" spans="2:27" ht="12.75" customHeight="1" x14ac:dyDescent="0.2">
      <c r="B688" s="224"/>
      <c r="C688" s="977"/>
      <c r="D688" s="978"/>
      <c r="E688" s="1653" t="str">
        <f>Translations!$B$763</f>
        <v>Kopējais importētais siltums</v>
      </c>
      <c r="F688" s="1657"/>
      <c r="G688" s="1657"/>
      <c r="H688" s="462" t="str">
        <f>EUconst_Unit</f>
        <v>Vienība</v>
      </c>
      <c r="I688" s="463">
        <f>I$1820</f>
        <v>2019</v>
      </c>
      <c r="J688" s="463">
        <f>J$1820</f>
        <v>2020</v>
      </c>
      <c r="K688" s="463">
        <f>K$1820</f>
        <v>2021</v>
      </c>
      <c r="L688" s="463">
        <f>L$1820</f>
        <v>2022</v>
      </c>
      <c r="M688" s="463">
        <f>M$1820</f>
        <v>2023</v>
      </c>
      <c r="N688" s="1205"/>
      <c r="O688" s="25"/>
      <c r="P688" s="955"/>
      <c r="R688" s="970"/>
      <c r="S688" s="809">
        <f>I688</f>
        <v>2019</v>
      </c>
      <c r="T688" s="809">
        <f>J688</f>
        <v>2020</v>
      </c>
      <c r="U688" s="809">
        <f>K688</f>
        <v>2021</v>
      </c>
      <c r="V688" s="809">
        <f>L688</f>
        <v>2022</v>
      </c>
      <c r="W688" s="810">
        <f>M688</f>
        <v>2023</v>
      </c>
    </row>
    <row r="689" spans="2:27" ht="12.75" customHeight="1" x14ac:dyDescent="0.2">
      <c r="B689" s="224"/>
      <c r="C689" s="977"/>
      <c r="D689" s="695" t="s">
        <v>2</v>
      </c>
      <c r="E689" s="1651" t="str">
        <f>Translations!$B$764</f>
        <v>Neto importētais siltums</v>
      </c>
      <c r="F689" s="1652"/>
      <c r="G689" s="1652"/>
      <c r="H689" s="465" t="str">
        <f>EUconst_TJpa</f>
        <v>TJ / gads</v>
      </c>
      <c r="I689" s="483"/>
      <c r="J689" s="483"/>
      <c r="K689" s="483"/>
      <c r="L689" s="483"/>
      <c r="M689" s="483"/>
      <c r="N689" s="698"/>
      <c r="O689" s="25"/>
      <c r="P689" s="979" t="str">
        <f>EUconst_CNTR_HeatImport &amp; I594</f>
        <v>HeatIm_</v>
      </c>
      <c r="R689" s="981" t="str">
        <f>EUconst_ERR_AttrEmBMapplied &amp; I594</f>
        <v>ERR_AttrEmBM_ </v>
      </c>
      <c r="S689" s="134">
        <f>IF(AND(I689&lt;&gt;0,I690="",EUconst_StatusOfDataCollection=""),1,0)</f>
        <v>0</v>
      </c>
      <c r="T689" s="134">
        <f>IF(AND(J689&lt;&gt;0,J690="",EUconst_StatusOfDataCollection=""),1,0)</f>
        <v>0</v>
      </c>
      <c r="U689" s="134">
        <f>IF(AND(K689&lt;&gt;0,K690="",EUconst_StatusOfDataCollection=""),1,0)</f>
        <v>0</v>
      </c>
      <c r="V689" s="134">
        <f>IF(AND(L689&lt;&gt;0,L690="",EUconst_StatusOfDataCollection=""),1,0)</f>
        <v>0</v>
      </c>
      <c r="W689" s="135">
        <f>IF(AND(M689&lt;&gt;0,M690="",EUconst_StatusOfDataCollection=""),1,0)</f>
        <v>0</v>
      </c>
      <c r="X689" s="63"/>
    </row>
    <row r="690" spans="2:27" ht="12.75" customHeight="1" thickBot="1" x14ac:dyDescent="0.25">
      <c r="B690" s="224"/>
      <c r="C690" s="977"/>
      <c r="D690" s="695" t="s">
        <v>3</v>
      </c>
      <c r="E690" s="1651" t="str">
        <f>Translations!$B$765</f>
        <v>Īpatnējais EF (importētais siltums)</v>
      </c>
      <c r="F690" s="1652"/>
      <c r="G690" s="1652"/>
      <c r="H690" s="465" t="str">
        <f>EUconst_tCO2pTJ</f>
        <v>t CO2 / TJ</v>
      </c>
      <c r="I690" s="760"/>
      <c r="J690" s="760"/>
      <c r="K690" s="760"/>
      <c r="L690" s="760"/>
      <c r="M690" s="760"/>
      <c r="N690" s="661"/>
      <c r="O690" s="25"/>
      <c r="P690" s="979" t="str">
        <f>EUconst_CNTR_HeatImportEF &amp; I594</f>
        <v>HeatImEF_</v>
      </c>
      <c r="R690" s="971" t="str">
        <f>EUconst_CNTR_AttributedEmissions &amp; I594</f>
        <v>AttrEmissions_</v>
      </c>
      <c r="S690" s="137" t="str">
        <f>IF(S594,SUM(I689)*IF(ISNUMBER(I690),I690,EUconst_HeatBMvalueForBM),"")</f>
        <v/>
      </c>
      <c r="T690" s="137" t="str">
        <f>IF(T594,SUM(J689)*IF(ISNUMBER(J690),J690,EUconst_HeatBMvalueForBM),"")</f>
        <v/>
      </c>
      <c r="U690" s="137" t="str">
        <f>IF(U594,SUM(K689)*IF(ISNUMBER(K690),K690,EUconst_HeatBMvalueForBM),"")</f>
        <v/>
      </c>
      <c r="V690" s="137" t="str">
        <f>IF(V594,SUM(L689)*IF(ISNUMBER(L690),L690,EUconst_HeatBMvalueForBM),"")</f>
        <v/>
      </c>
      <c r="W690" s="138" t="str">
        <f>IF(W594,SUM(M689)*IF(ISNUMBER(M690),M690,EUconst_HeatBMvalueForBM),"")</f>
        <v/>
      </c>
    </row>
    <row r="691" spans="2:27" ht="5.0999999999999996" customHeight="1" x14ac:dyDescent="0.2">
      <c r="B691" s="224"/>
      <c r="C691" s="977"/>
      <c r="D691" s="978"/>
      <c r="E691" s="978"/>
      <c r="F691" s="978"/>
      <c r="G691" s="978"/>
      <c r="H691" s="978"/>
      <c r="I691" s="978"/>
      <c r="J691" s="978"/>
      <c r="K691" s="978"/>
      <c r="L691" s="978"/>
      <c r="M691" s="980"/>
      <c r="N691" s="661"/>
      <c r="O691" s="25"/>
      <c r="P691" s="955"/>
      <c r="R691" s="955"/>
      <c r="S691" s="955"/>
    </row>
    <row r="692" spans="2:27" ht="12.75" customHeight="1" x14ac:dyDescent="0.2">
      <c r="B692" s="224"/>
      <c r="C692" s="977"/>
      <c r="D692" s="978"/>
      <c r="E692" s="1653" t="str">
        <f>Translations!$B$766</f>
        <v>Īpašs importētais siltums</v>
      </c>
      <c r="F692" s="1653"/>
      <c r="G692" s="1653"/>
      <c r="H692" s="462" t="str">
        <f>EUconst_Unit</f>
        <v>Vienība</v>
      </c>
      <c r="I692" s="463">
        <f>I$1820</f>
        <v>2019</v>
      </c>
      <c r="J692" s="463">
        <f>J$1820</f>
        <v>2020</v>
      </c>
      <c r="K692" s="463">
        <f>K$1820</f>
        <v>2021</v>
      </c>
      <c r="L692" s="463">
        <f>L$1820</f>
        <v>2022</v>
      </c>
      <c r="M692" s="463">
        <f>M$1820</f>
        <v>2023</v>
      </c>
      <c r="N692" s="1205"/>
      <c r="O692" s="25"/>
      <c r="P692" s="955"/>
      <c r="R692" s="955"/>
      <c r="S692" s="955"/>
    </row>
    <row r="693" spans="2:27" ht="12.75" customHeight="1" x14ac:dyDescent="0.2">
      <c r="B693" s="224"/>
      <c r="C693" s="977"/>
      <c r="D693" s="695" t="s">
        <v>4</v>
      </c>
      <c r="E693" s="1651" t="str">
        <f>Translations!$B$767</f>
        <v>No pulpas apakšiekārtām importētais neto siltums</v>
      </c>
      <c r="F693" s="1652"/>
      <c r="G693" s="1652"/>
      <c r="H693" s="465" t="str">
        <f>EUconst_TJpa</f>
        <v>TJ / gads</v>
      </c>
      <c r="I693" s="550"/>
      <c r="J693" s="550"/>
      <c r="K693" s="550"/>
      <c r="L693" s="550"/>
      <c r="M693" s="550"/>
      <c r="N693" s="698"/>
      <c r="O693" s="25"/>
      <c r="P693" s="979" t="str">
        <f>EUconst_CNTR_HeatImportPulp &amp; I594</f>
        <v>HeatImPulp_</v>
      </c>
      <c r="R693" s="955"/>
      <c r="S693" s="955"/>
    </row>
    <row r="694" spans="2:27" ht="25.5" customHeight="1" x14ac:dyDescent="0.2">
      <c r="B694" s="224"/>
      <c r="C694" s="977"/>
      <c r="D694" s="695" t="s">
        <v>6</v>
      </c>
      <c r="E694" s="1651" t="str">
        <f>Translations!$B$768</f>
        <v>No slāpekļskābes apakšiekārtas importētais neto siltums</v>
      </c>
      <c r="F694" s="1652"/>
      <c r="G694" s="1652"/>
      <c r="H694" s="465" t="str">
        <f>EUconst_TJpa</f>
        <v>TJ / gads</v>
      </c>
      <c r="I694" s="483"/>
      <c r="J694" s="483"/>
      <c r="K694" s="483"/>
      <c r="L694" s="483"/>
      <c r="M694" s="483"/>
      <c r="N694" s="698"/>
      <c r="O694" s="25"/>
      <c r="P694" s="979" t="str">
        <f>EUconst_CNTR_HeatImportNitric &amp; I594</f>
        <v>HeatImNitric_</v>
      </c>
      <c r="R694" s="955"/>
      <c r="S694" s="955"/>
    </row>
    <row r="695" spans="2:27" ht="5.0999999999999996" customHeight="1" thickBot="1" x14ac:dyDescent="0.25">
      <c r="B695" s="224"/>
      <c r="C695" s="977"/>
      <c r="D695" s="978"/>
      <c r="E695" s="978"/>
      <c r="F695" s="978"/>
      <c r="G695" s="978"/>
      <c r="H695" s="978"/>
      <c r="I695" s="978"/>
      <c r="J695" s="978"/>
      <c r="K695" s="978"/>
      <c r="L695" s="978"/>
      <c r="M695" s="980"/>
      <c r="N695" s="661"/>
      <c r="O695" s="25"/>
      <c r="P695" s="955"/>
      <c r="R695" s="955"/>
      <c r="S695" s="955"/>
    </row>
    <row r="696" spans="2:27" ht="12.75" customHeight="1" x14ac:dyDescent="0.2">
      <c r="B696" s="224"/>
      <c r="C696" s="977"/>
      <c r="D696" s="978"/>
      <c r="E696" s="1653" t="str">
        <f>Translations!$B$769</f>
        <v>Kopējais eksportētais siltums</v>
      </c>
      <c r="F696" s="1653"/>
      <c r="G696" s="1653"/>
      <c r="H696" s="462" t="str">
        <f>EUconst_Unit</f>
        <v>Vienība</v>
      </c>
      <c r="I696" s="463">
        <f>I$1820</f>
        <v>2019</v>
      </c>
      <c r="J696" s="463">
        <f>J$1820</f>
        <v>2020</v>
      </c>
      <c r="K696" s="463">
        <f>K$1820</f>
        <v>2021</v>
      </c>
      <c r="L696" s="463">
        <f>L$1820</f>
        <v>2022</v>
      </c>
      <c r="M696" s="463">
        <f>M$1820</f>
        <v>2023</v>
      </c>
      <c r="N696" s="1205"/>
      <c r="O696" s="25"/>
      <c r="P696" s="955"/>
      <c r="R696" s="970"/>
      <c r="S696" s="809">
        <f>I696</f>
        <v>2019</v>
      </c>
      <c r="T696" s="809">
        <f>J696</f>
        <v>2020</v>
      </c>
      <c r="U696" s="809">
        <f>K696</f>
        <v>2021</v>
      </c>
      <c r="V696" s="809">
        <f>L696</f>
        <v>2022</v>
      </c>
      <c r="W696" s="810">
        <f>M696</f>
        <v>2023</v>
      </c>
    </row>
    <row r="697" spans="2:27" ht="12.75" customHeight="1" x14ac:dyDescent="0.2">
      <c r="B697" s="224"/>
      <c r="C697" s="977"/>
      <c r="D697" s="695" t="s">
        <v>303</v>
      </c>
      <c r="E697" s="1651" t="str">
        <f>Translations!$B$770</f>
        <v>Neto eksportētais siltums</v>
      </c>
      <c r="F697" s="1652"/>
      <c r="G697" s="1652"/>
      <c r="H697" s="465" t="str">
        <f>EUconst_TJpa</f>
        <v>TJ / gads</v>
      </c>
      <c r="I697" s="483"/>
      <c r="J697" s="483"/>
      <c r="K697" s="483"/>
      <c r="L697" s="483"/>
      <c r="M697" s="483"/>
      <c r="N697" s="698"/>
      <c r="O697" s="25"/>
      <c r="P697" s="979" t="str">
        <f>EUconst_CNTR_HeatExport &amp; I594</f>
        <v>HeatEx_</v>
      </c>
      <c r="R697" s="981" t="str">
        <f>EUconst_ERR_AttrEmBMapplied &amp; I594</f>
        <v>ERR_AttrEmBM_ </v>
      </c>
      <c r="S697" s="134">
        <f>IF(AND(I697&lt;&gt;0,I698="",EUconst_StatusOfDataCollection=""),1,0)</f>
        <v>0</v>
      </c>
      <c r="T697" s="134">
        <f>IF(AND(J697&lt;&gt;0,J698="",EUconst_StatusOfDataCollection=""),1,0)</f>
        <v>0</v>
      </c>
      <c r="U697" s="134">
        <f>IF(AND(K697&lt;&gt;0,K698="",EUconst_StatusOfDataCollection=""),1,0)</f>
        <v>0</v>
      </c>
      <c r="V697" s="134">
        <f>IF(AND(L697&lt;&gt;0,L698="",EUconst_StatusOfDataCollection=""),1,0)</f>
        <v>0</v>
      </c>
      <c r="W697" s="135">
        <f>IF(AND(M697&lt;&gt;0,M698="",EUconst_StatusOfDataCollection=""),1,0)</f>
        <v>0</v>
      </c>
    </row>
    <row r="698" spans="2:27" ht="12.75" customHeight="1" thickBot="1" x14ac:dyDescent="0.25">
      <c r="B698" s="224"/>
      <c r="C698" s="977"/>
      <c r="D698" s="695" t="s">
        <v>304</v>
      </c>
      <c r="E698" s="1651" t="str">
        <f>Translations!$B$771</f>
        <v>Īpatnējais EF (eksportētais siltums)</v>
      </c>
      <c r="F698" s="1652"/>
      <c r="G698" s="1652"/>
      <c r="H698" s="465" t="str">
        <f>EUconst_tCO2pTJ</f>
        <v>t CO2 / TJ</v>
      </c>
      <c r="I698" s="760"/>
      <c r="J698" s="760"/>
      <c r="K698" s="760"/>
      <c r="L698" s="760"/>
      <c r="M698" s="760"/>
      <c r="N698" s="661"/>
      <c r="O698" s="25"/>
      <c r="P698" s="979" t="str">
        <f>EUconst_CNTR_HeatExportEF &amp; I594</f>
        <v>HeatExEF_</v>
      </c>
      <c r="R698" s="971" t="str">
        <f>EUconst_CNTR_AttributedEmissions &amp; I594</f>
        <v>AttrEmissions_</v>
      </c>
      <c r="S698" s="137" t="str">
        <f>IF(S594,-SUM(I697)*IF(INDEX(EUconst_BMlistMainNumberOfBM,MATCH($I594,EUconst_BMlistNames,0))=39,0,IF(ISNUMBER(I698),I698,EUconst_HeatBMvalueForBM)),"")</f>
        <v/>
      </c>
      <c r="T698" s="137" t="str">
        <f>IF(T594,-SUM(J697)*IF(INDEX(EUconst_BMlistMainNumberOfBM,MATCH($I594,EUconst_BMlistNames,0))=39,0,IF(ISNUMBER(J698),J698,EUconst_HeatBMvalueForBM)),"")</f>
        <v/>
      </c>
      <c r="U698" s="137" t="str">
        <f>IF(U594,-SUM(K697)*IF(INDEX(EUconst_BMlistMainNumberOfBM,MATCH($I594,EUconst_BMlistNames,0))=39,0,IF(ISNUMBER(K698),K698,EUconst_HeatBMvalueForBM)),"")</f>
        <v/>
      </c>
      <c r="V698" s="137" t="str">
        <f>IF(V594,-SUM(L697)*IF(INDEX(EUconst_BMlistMainNumberOfBM,MATCH($I594,EUconst_BMlistNames,0))=39,0,IF(ISNUMBER(L698),L698,EUconst_HeatBMvalueForBM)),"")</f>
        <v/>
      </c>
      <c r="W698" s="138" t="str">
        <f>IF(W594,-SUM(M697)*IF(INDEX(EUconst_BMlistMainNumberOfBM,MATCH($I594,EUconst_BMlistNames,0))=39,0,IF(ISNUMBER(M698),M698,EUconst_HeatBMvalueForBM)),"")</f>
        <v/>
      </c>
    </row>
    <row r="699" spans="2:27" ht="5.0999999999999996" customHeight="1" x14ac:dyDescent="0.2">
      <c r="B699" s="224"/>
      <c r="C699" s="977"/>
      <c r="D699" s="978"/>
      <c r="E699" s="978"/>
      <c r="F699" s="978"/>
      <c r="G699" s="978"/>
      <c r="H699" s="978"/>
      <c r="I699" s="978"/>
      <c r="J699" s="978"/>
      <c r="K699" s="978"/>
      <c r="L699" s="978"/>
      <c r="M699" s="980"/>
      <c r="N699" s="661"/>
      <c r="O699" s="25"/>
      <c r="P699" s="955"/>
      <c r="R699" s="955"/>
      <c r="S699" s="955"/>
    </row>
    <row r="700" spans="2:27" ht="12.75" customHeight="1" x14ac:dyDescent="0.2">
      <c r="B700" s="224"/>
      <c r="C700" s="977"/>
      <c r="D700" s="474" t="s">
        <v>213</v>
      </c>
      <c r="E700" s="1654" t="str">
        <f>Translations!$B$772</f>
        <v>Šīs apakšiekārtas atlikumgāzu bilance</v>
      </c>
      <c r="F700" s="1655"/>
      <c r="G700" s="1655"/>
      <c r="H700" s="1655"/>
      <c r="I700" s="1655"/>
      <c r="J700" s="1655"/>
      <c r="K700" s="1655"/>
      <c r="L700" s="1655"/>
      <c r="M700" s="1655"/>
      <c r="N700" s="1656"/>
      <c r="O700" s="25"/>
      <c r="P700" s="955"/>
      <c r="R700" s="955"/>
      <c r="S700" s="955"/>
    </row>
    <row r="701" spans="2:27" ht="5.0999999999999996" customHeight="1" thickBot="1" x14ac:dyDescent="0.25">
      <c r="B701" s="224"/>
      <c r="C701" s="977"/>
      <c r="D701" s="978"/>
      <c r="E701" s="1727"/>
      <c r="F701" s="1727"/>
      <c r="G701" s="1727"/>
      <c r="H701" s="1727"/>
      <c r="I701" s="1727"/>
      <c r="J701" s="1727"/>
      <c r="K701" s="1727"/>
      <c r="L701" s="1727"/>
      <c r="M701" s="1727"/>
      <c r="N701" s="1734"/>
      <c r="O701" s="25"/>
      <c r="P701" s="955"/>
      <c r="R701" s="955"/>
      <c r="S701" s="955"/>
    </row>
    <row r="702" spans="2:27" ht="12.75" customHeight="1" thickBot="1" x14ac:dyDescent="0.25">
      <c r="B702" s="224"/>
      <c r="C702" s="977"/>
      <c r="D702" s="695" t="s">
        <v>2</v>
      </c>
      <c r="E702" s="1735" t="str">
        <f>Translations!$B$773</f>
        <v>Vai atlikumgāzes ir šai apakšiekārtai relevantas?</v>
      </c>
      <c r="F702" s="1735"/>
      <c r="G702" s="1735"/>
      <c r="H702" s="1735"/>
      <c r="I702" s="1735"/>
      <c r="J702" s="1735"/>
      <c r="K702" s="1736"/>
      <c r="L702" s="527"/>
      <c r="M702" s="1202"/>
      <c r="N702" s="1203"/>
      <c r="O702" s="25"/>
      <c r="P702" s="955"/>
      <c r="R702" s="955"/>
      <c r="W702" s="966" t="s">
        <v>398</v>
      </c>
      <c r="X702" s="964" t="b">
        <f>IF(AND(I594&lt;&gt;"",ISBLANK(L702)),EUconst_Error&amp;"BM"&amp;C594,FALSE)</f>
        <v>0</v>
      </c>
    </row>
    <row r="703" spans="2:27" ht="5.0999999999999996" customHeight="1" thickBot="1" x14ac:dyDescent="0.25">
      <c r="B703" s="224"/>
      <c r="C703" s="977"/>
      <c r="D703" s="978"/>
      <c r="E703" s="978"/>
      <c r="F703" s="978"/>
      <c r="G703" s="978"/>
      <c r="H703" s="978"/>
      <c r="I703" s="978"/>
      <c r="J703" s="978"/>
      <c r="K703" s="978"/>
      <c r="L703" s="978"/>
      <c r="M703" s="980"/>
      <c r="N703" s="661"/>
      <c r="O703" s="25"/>
      <c r="P703" s="955"/>
      <c r="R703" s="955"/>
    </row>
    <row r="704" spans="2:27" ht="12.75" customHeight="1" x14ac:dyDescent="0.2">
      <c r="B704" s="224"/>
      <c r="C704" s="977"/>
      <c r="D704" s="695" t="s">
        <v>3</v>
      </c>
      <c r="E704" s="1663" t="str">
        <f>Translations!$B$775</f>
        <v>Radušos atlikumgāzu veidi:</v>
      </c>
      <c r="F704" s="1663"/>
      <c r="G704" s="1663"/>
      <c r="H704" s="1663"/>
      <c r="I704" s="1664"/>
      <c r="J704" s="1665"/>
      <c r="K704" s="1665"/>
      <c r="L704" s="1665"/>
      <c r="M704" s="1666"/>
      <c r="N704" s="1203"/>
      <c r="O704" s="25"/>
      <c r="P704" s="955"/>
      <c r="R704" s="955"/>
      <c r="AA704" s="643" t="b">
        <f>IF(I594&lt;&gt;"",AND(L702&lt;&gt;"",L702=FALSE),FALSE)</f>
        <v>0</v>
      </c>
    </row>
    <row r="705" spans="2:27" ht="5.0999999999999996" customHeight="1" x14ac:dyDescent="0.2">
      <c r="B705" s="224"/>
      <c r="C705" s="977"/>
      <c r="D705" s="978"/>
      <c r="E705" s="978"/>
      <c r="F705" s="978"/>
      <c r="G705" s="978"/>
      <c r="H705" s="978"/>
      <c r="I705" s="978"/>
      <c r="J705" s="978"/>
      <c r="K705" s="978"/>
      <c r="L705" s="978"/>
      <c r="M705" s="980"/>
      <c r="N705" s="661"/>
      <c r="O705" s="25"/>
      <c r="P705" s="955"/>
      <c r="R705" s="955"/>
    </row>
    <row r="706" spans="2:27" ht="12.75" customHeight="1" x14ac:dyDescent="0.2">
      <c r="B706" s="224"/>
      <c r="C706" s="977"/>
      <c r="D706" s="978"/>
      <c r="E706" s="1653"/>
      <c r="F706" s="1657"/>
      <c r="G706" s="1657"/>
      <c r="H706" s="462" t="str">
        <f>EUconst_Unit</f>
        <v>Vienība</v>
      </c>
      <c r="I706" s="463">
        <f>I$1820</f>
        <v>2019</v>
      </c>
      <c r="J706" s="463">
        <f>J$1820</f>
        <v>2020</v>
      </c>
      <c r="K706" s="463">
        <f>K$1820</f>
        <v>2021</v>
      </c>
      <c r="L706" s="463">
        <f>L$1820</f>
        <v>2022</v>
      </c>
      <c r="M706" s="463">
        <f>M$1820</f>
        <v>2023</v>
      </c>
      <c r="N706" s="1205"/>
      <c r="O706" s="25"/>
      <c r="P706" s="955"/>
      <c r="R706" s="955"/>
      <c r="S706" s="955"/>
      <c r="AA706" s="607"/>
    </row>
    <row r="707" spans="2:27" ht="12.75" customHeight="1" x14ac:dyDescent="0.2">
      <c r="B707" s="224"/>
      <c r="C707" s="977"/>
      <c r="D707" s="695" t="s">
        <v>4</v>
      </c>
      <c r="E707" s="1667" t="str">
        <f>Translations!$B$777</f>
        <v>Radušies daudzumi</v>
      </c>
      <c r="F707" s="1660"/>
      <c r="G707" s="1660"/>
      <c r="H707" s="245" t="s">
        <v>249</v>
      </c>
      <c r="I707" s="484"/>
      <c r="J707" s="484"/>
      <c r="K707" s="484"/>
      <c r="L707" s="484"/>
      <c r="M707" s="484"/>
      <c r="N707" s="1205"/>
      <c r="O707" s="25"/>
      <c r="P707" s="955"/>
      <c r="R707" s="955"/>
      <c r="S707" s="955"/>
      <c r="AA707" s="361" t="b">
        <f>AA704</f>
        <v>0</v>
      </c>
    </row>
    <row r="708" spans="2:27" ht="12.75" customHeight="1" x14ac:dyDescent="0.2">
      <c r="B708" s="224"/>
      <c r="C708" s="977"/>
      <c r="D708" s="695" t="s">
        <v>6</v>
      </c>
      <c r="E708" s="1737" t="str">
        <f>Translations!$B$470</f>
        <v>Zemākā siltumspēja</v>
      </c>
      <c r="F708" s="1659"/>
      <c r="G708" s="1659"/>
      <c r="H708" s="74" t="e">
        <f>IF(ISBLANK(H707),EUconst_GJperUnit,INDEX(EUconst_GJperTorKNm3,MATCH(H707,EUconst_TonnesOrkNm3pa,0)))</f>
        <v>#N/A</v>
      </c>
      <c r="I708" s="458"/>
      <c r="J708" s="458"/>
      <c r="K708" s="458"/>
      <c r="L708" s="458"/>
      <c r="M708" s="458"/>
      <c r="N708" s="1205"/>
      <c r="O708" s="25"/>
      <c r="R708" s="955"/>
      <c r="S708" s="955"/>
      <c r="T708" s="955"/>
      <c r="U708" s="955"/>
      <c r="V708" s="955"/>
      <c r="W708" s="955"/>
      <c r="AA708" s="361" t="b">
        <f>AA707</f>
        <v>0</v>
      </c>
    </row>
    <row r="709" spans="2:27" ht="12.75" customHeight="1" x14ac:dyDescent="0.2">
      <c r="B709" s="224"/>
      <c r="C709" s="977"/>
      <c r="D709" s="695" t="s">
        <v>303</v>
      </c>
      <c r="E709" s="1651" t="str">
        <f>Translations!$B$778</f>
        <v>Radusies atlikumgāze</v>
      </c>
      <c r="F709" s="1652"/>
      <c r="G709" s="1652"/>
      <c r="H709" s="465" t="str">
        <f>EUconst_TJpa</f>
        <v>TJ / gads</v>
      </c>
      <c r="I709" s="523" t="str">
        <f>IF(COUNT(I707:I708)=2,I707*I708/1000,"")</f>
        <v/>
      </c>
      <c r="J709" s="523" t="str">
        <f>IF(COUNT(J707:J708)=2,J707*J708/1000,"")</f>
        <v/>
      </c>
      <c r="K709" s="523" t="str">
        <f>IF(COUNT(K707:K708)=2,K707*K708/1000,"")</f>
        <v/>
      </c>
      <c r="L709" s="523" t="str">
        <f>IF(COUNT(L707:L708)=2,L707*L708/1000,"")</f>
        <v/>
      </c>
      <c r="M709" s="523" t="str">
        <f>IF(COUNT(M707:M708)=2,M707*M708/1000,"")</f>
        <v/>
      </c>
      <c r="N709" s="1205"/>
      <c r="O709" s="25"/>
      <c r="P709" s="979" t="str">
        <f>EUconst_CNTR_WGProduced &amp; I594</f>
        <v>WasteGasProd_</v>
      </c>
      <c r="R709" s="955"/>
      <c r="S709" s="955"/>
      <c r="T709" s="955"/>
      <c r="U709" s="955"/>
      <c r="V709" s="955"/>
      <c r="W709" s="955"/>
      <c r="AA709" s="607"/>
    </row>
    <row r="710" spans="2:27" ht="12.75" customHeight="1" x14ac:dyDescent="0.2">
      <c r="B710" s="224"/>
      <c r="C710" s="977"/>
      <c r="D710" s="695" t="s">
        <v>304</v>
      </c>
      <c r="E710" s="1651" t="str">
        <f>Translations!$B$779</f>
        <v>Īpatnējais EF (radusies atlikumgāze)</v>
      </c>
      <c r="F710" s="1652"/>
      <c r="G710" s="1652"/>
      <c r="H710" s="465" t="str">
        <f>EUconst_tCO2pTJ</f>
        <v>t CO2 / TJ</v>
      </c>
      <c r="I710" s="483"/>
      <c r="J710" s="483"/>
      <c r="K710" s="483"/>
      <c r="L710" s="483"/>
      <c r="M710" s="483"/>
      <c r="N710" s="661"/>
      <c r="O710" s="25"/>
      <c r="P710" s="979" t="str">
        <f>EUconst_CNTR_WGProducedEF &amp; I594</f>
        <v>WasteGasProdEF_</v>
      </c>
      <c r="R710" s="955"/>
      <c r="S710" s="955"/>
      <c r="T710" s="955"/>
      <c r="U710" s="955"/>
      <c r="V710" s="955"/>
      <c r="W710" s="955"/>
      <c r="AA710" s="361" t="b">
        <f>AA708</f>
        <v>0</v>
      </c>
    </row>
    <row r="711" spans="2:27" ht="5.0999999999999996" customHeight="1" x14ac:dyDescent="0.2">
      <c r="B711" s="224"/>
      <c r="C711" s="977"/>
      <c r="D711" s="978"/>
      <c r="E711" s="978"/>
      <c r="F711" s="978"/>
      <c r="G711" s="978"/>
      <c r="H711" s="978"/>
      <c r="I711" s="978"/>
      <c r="J711" s="978"/>
      <c r="K711" s="978"/>
      <c r="L711" s="978"/>
      <c r="M711" s="980"/>
      <c r="N711" s="661"/>
      <c r="O711" s="25"/>
      <c r="P711" s="955"/>
      <c r="R711" s="955"/>
      <c r="S711" s="955"/>
      <c r="T711" s="955"/>
      <c r="U711" s="955"/>
      <c r="V711" s="955"/>
      <c r="W711" s="955"/>
      <c r="AA711" s="607"/>
    </row>
    <row r="712" spans="2:27" ht="12.75" customHeight="1" x14ac:dyDescent="0.2">
      <c r="B712" s="224"/>
      <c r="C712" s="977"/>
      <c r="D712" s="695" t="s">
        <v>305</v>
      </c>
      <c r="E712" s="1663" t="str">
        <f>Translations!$B$780</f>
        <v>Patērēto atlikumgāzu veidi:</v>
      </c>
      <c r="F712" s="1663"/>
      <c r="G712" s="1663"/>
      <c r="H712" s="1663"/>
      <c r="I712" s="1664"/>
      <c r="J712" s="1665"/>
      <c r="K712" s="1665"/>
      <c r="L712" s="1665"/>
      <c r="M712" s="1666"/>
      <c r="N712" s="1203"/>
      <c r="O712" s="25"/>
      <c r="P712" s="955"/>
      <c r="R712" s="955"/>
      <c r="S712" s="955"/>
      <c r="T712" s="955"/>
      <c r="U712" s="955"/>
      <c r="V712" s="955"/>
      <c r="W712" s="955"/>
      <c r="AA712" s="361" t="b">
        <f>AA710</f>
        <v>0</v>
      </c>
    </row>
    <row r="713" spans="2:27" ht="5.0999999999999996" customHeight="1" x14ac:dyDescent="0.2">
      <c r="B713" s="224"/>
      <c r="C713" s="977"/>
      <c r="D713" s="978"/>
      <c r="E713" s="978"/>
      <c r="F713" s="978"/>
      <c r="G713" s="978"/>
      <c r="H713" s="978"/>
      <c r="I713" s="978"/>
      <c r="J713" s="978"/>
      <c r="K713" s="978"/>
      <c r="L713" s="978"/>
      <c r="M713" s="980"/>
      <c r="N713" s="661"/>
      <c r="O713" s="25"/>
      <c r="P713" s="955"/>
      <c r="R713" s="955"/>
    </row>
    <row r="714" spans="2:27" ht="12.75" customHeight="1" x14ac:dyDescent="0.2">
      <c r="B714" s="224"/>
      <c r="C714" s="977"/>
      <c r="D714" s="978"/>
      <c r="E714" s="1653"/>
      <c r="F714" s="1657"/>
      <c r="G714" s="1657"/>
      <c r="H714" s="462" t="str">
        <f>EUconst_Unit</f>
        <v>Vienība</v>
      </c>
      <c r="I714" s="463">
        <f>I$1820</f>
        <v>2019</v>
      </c>
      <c r="J714" s="463">
        <f>J$1820</f>
        <v>2020</v>
      </c>
      <c r="K714" s="463">
        <f>K$1820</f>
        <v>2021</v>
      </c>
      <c r="L714" s="463">
        <f>L$1820</f>
        <v>2022</v>
      </c>
      <c r="M714" s="463">
        <f>M$1820</f>
        <v>2023</v>
      </c>
      <c r="N714" s="1205"/>
      <c r="O714" s="25"/>
      <c r="P714" s="955"/>
      <c r="R714" s="955"/>
      <c r="S714" s="955"/>
      <c r="T714" s="955"/>
      <c r="U714" s="955"/>
      <c r="V714" s="955"/>
      <c r="W714" s="955"/>
      <c r="AA714" s="607"/>
    </row>
    <row r="715" spans="2:27" ht="12.75" customHeight="1" x14ac:dyDescent="0.2">
      <c r="B715" s="224"/>
      <c r="C715" s="977"/>
      <c r="D715" s="695" t="s">
        <v>306</v>
      </c>
      <c r="E715" s="1667" t="str">
        <f>Translations!$B$782</f>
        <v>Patērētie daudzumi</v>
      </c>
      <c r="F715" s="1660"/>
      <c r="G715" s="1660"/>
      <c r="H715" s="245" t="s">
        <v>249</v>
      </c>
      <c r="I715" s="484"/>
      <c r="J715" s="484"/>
      <c r="K715" s="484"/>
      <c r="L715" s="484"/>
      <c r="M715" s="484"/>
      <c r="N715" s="1205"/>
      <c r="O715" s="25"/>
      <c r="P715" s="955"/>
      <c r="R715" s="955"/>
      <c r="S715" s="955"/>
      <c r="T715" s="955"/>
      <c r="U715" s="955"/>
      <c r="V715" s="955"/>
      <c r="W715" s="955"/>
      <c r="AA715" s="361" t="b">
        <f>AA712</f>
        <v>0</v>
      </c>
    </row>
    <row r="716" spans="2:27" ht="12.75" customHeight="1" x14ac:dyDescent="0.2">
      <c r="B716" s="224"/>
      <c r="C716" s="977"/>
      <c r="D716" s="695" t="s">
        <v>307</v>
      </c>
      <c r="E716" s="1737" t="str">
        <f>Translations!$B$470</f>
        <v>Zemākā siltumspēja</v>
      </c>
      <c r="F716" s="1659"/>
      <c r="G716" s="1659"/>
      <c r="H716" s="74" t="e">
        <f>IF(ISBLANK(H715),EUconst_GJperUnit,INDEX(EUconst_GJperTorKNm3,MATCH(H715,EUconst_TonnesOrkNm3pa,0)))</f>
        <v>#N/A</v>
      </c>
      <c r="I716" s="458"/>
      <c r="J716" s="458"/>
      <c r="K716" s="458"/>
      <c r="L716" s="458"/>
      <c r="M716" s="458"/>
      <c r="N716" s="1205"/>
      <c r="O716" s="25"/>
      <c r="R716" s="955"/>
      <c r="S716" s="955"/>
      <c r="T716" s="955"/>
      <c r="U716" s="955"/>
      <c r="V716" s="955"/>
      <c r="W716" s="955"/>
      <c r="AA716" s="361" t="b">
        <f>AA715</f>
        <v>0</v>
      </c>
    </row>
    <row r="717" spans="2:27" ht="12.75" customHeight="1" x14ac:dyDescent="0.2">
      <c r="B717" s="224"/>
      <c r="C717" s="977"/>
      <c r="D717" s="695" t="s">
        <v>15</v>
      </c>
      <c r="E717" s="1651" t="str">
        <f>Translations!$B$783</f>
        <v>Patērētā atlikumgāze</v>
      </c>
      <c r="F717" s="1652"/>
      <c r="G717" s="1652"/>
      <c r="H717" s="465" t="str">
        <f>EUconst_TJpa</f>
        <v>TJ / gads</v>
      </c>
      <c r="I717" s="523" t="str">
        <f>IF(COUNT(I715:I716)=2,I715*I716/1000,"")</f>
        <v/>
      </c>
      <c r="J717" s="523" t="str">
        <f>IF(COUNT(J715:J716)=2,J715*J716/1000,"")</f>
        <v/>
      </c>
      <c r="K717" s="523" t="str">
        <f>IF(COUNT(K715:K716)=2,K715*K716/1000,"")</f>
        <v/>
      </c>
      <c r="L717" s="523" t="str">
        <f>IF(COUNT(L715:L716)=2,L715*L716/1000,"")</f>
        <v/>
      </c>
      <c r="M717" s="523" t="str">
        <f>IF(COUNT(M715:M716)=2,M715*M716/1000,"")</f>
        <v/>
      </c>
      <c r="N717" s="1205"/>
      <c r="O717" s="25"/>
      <c r="P717" s="979" t="str">
        <f>EUconst_CNTR_WGConsumed &amp; I594</f>
        <v>WasteGasCons_</v>
      </c>
      <c r="R717" s="955"/>
      <c r="S717" s="955"/>
      <c r="T717" s="955"/>
      <c r="U717" s="955"/>
      <c r="V717" s="955"/>
      <c r="W717" s="955"/>
      <c r="AA717" s="607"/>
    </row>
    <row r="718" spans="2:27" ht="12.75" customHeight="1" x14ac:dyDescent="0.2">
      <c r="B718" s="224"/>
      <c r="C718" s="977"/>
      <c r="D718" s="695" t="s">
        <v>16</v>
      </c>
      <c r="E718" s="1651" t="str">
        <f>Translations!$B$784</f>
        <v>Īpatnējais EF (patērētā atlikumgāze)</v>
      </c>
      <c r="F718" s="1652"/>
      <c r="G718" s="1652"/>
      <c r="H718" s="465" t="str">
        <f>EUconst_tCO2pTJ</f>
        <v>t CO2 / TJ</v>
      </c>
      <c r="I718" s="483"/>
      <c r="J718" s="483"/>
      <c r="K718" s="483"/>
      <c r="L718" s="483"/>
      <c r="M718" s="483"/>
      <c r="N718" s="661"/>
      <c r="O718" s="25"/>
      <c r="P718" s="979" t="str">
        <f>EUconst_CNTR_WGConsumedEF &amp; I594</f>
        <v>WasteGasConsEF_</v>
      </c>
      <c r="R718" s="955"/>
      <c r="S718" s="955"/>
      <c r="T718" s="955"/>
      <c r="U718" s="955"/>
      <c r="V718" s="955"/>
      <c r="W718" s="955"/>
      <c r="AA718" s="361" t="b">
        <f>AA716</f>
        <v>0</v>
      </c>
    </row>
    <row r="719" spans="2:27" ht="5.0999999999999996" customHeight="1" x14ac:dyDescent="0.2">
      <c r="B719" s="224"/>
      <c r="C719" s="977"/>
      <c r="D719" s="978"/>
      <c r="E719" s="978"/>
      <c r="F719" s="978"/>
      <c r="G719" s="978"/>
      <c r="H719" s="978"/>
      <c r="I719" s="978"/>
      <c r="J719" s="978"/>
      <c r="K719" s="978"/>
      <c r="L719" s="978"/>
      <c r="M719" s="980"/>
      <c r="N719" s="661"/>
      <c r="O719" s="25"/>
      <c r="P719" s="955"/>
      <c r="R719" s="955"/>
      <c r="S719" s="955"/>
      <c r="AA719" s="607"/>
    </row>
    <row r="720" spans="2:27" ht="12.75" customHeight="1" x14ac:dyDescent="0.2">
      <c r="B720" s="224"/>
      <c r="C720" s="977"/>
      <c r="D720" s="695" t="s">
        <v>17</v>
      </c>
      <c r="E720" s="1663" t="str">
        <f>Translations!$B$785</f>
        <v>Lāpā sadedzināto atlikumgāzu veidi:</v>
      </c>
      <c r="F720" s="1663"/>
      <c r="G720" s="1663"/>
      <c r="H720" s="1663"/>
      <c r="I720" s="1664"/>
      <c r="J720" s="1665"/>
      <c r="K720" s="1665"/>
      <c r="L720" s="1665"/>
      <c r="M720" s="1666"/>
      <c r="N720" s="1203"/>
      <c r="O720" s="25"/>
      <c r="P720" s="955"/>
      <c r="R720" s="955"/>
      <c r="AA720" s="361" t="b">
        <f>AA710</f>
        <v>0</v>
      </c>
    </row>
    <row r="721" spans="1:27" ht="5.0999999999999996" customHeight="1" x14ac:dyDescent="0.2">
      <c r="B721" s="224"/>
      <c r="C721" s="977"/>
      <c r="D721" s="978"/>
      <c r="E721" s="978"/>
      <c r="F721" s="978"/>
      <c r="G721" s="978"/>
      <c r="H721" s="978"/>
      <c r="I721" s="978"/>
      <c r="J721" s="978"/>
      <c r="K721" s="978"/>
      <c r="L721" s="978"/>
      <c r="M721" s="980"/>
      <c r="N721" s="661"/>
      <c r="O721" s="25"/>
      <c r="P721" s="955"/>
      <c r="R721" s="955"/>
    </row>
    <row r="722" spans="1:27" ht="12.75" customHeight="1" x14ac:dyDescent="0.2">
      <c r="B722" s="224"/>
      <c r="C722" s="977"/>
      <c r="D722" s="978"/>
      <c r="E722" s="1653"/>
      <c r="F722" s="1657"/>
      <c r="G722" s="1657"/>
      <c r="H722" s="462" t="str">
        <f>EUconst_Unit</f>
        <v>Vienība</v>
      </c>
      <c r="I722" s="463">
        <f>I$1820</f>
        <v>2019</v>
      </c>
      <c r="J722" s="463">
        <f>J$1820</f>
        <v>2020</v>
      </c>
      <c r="K722" s="463">
        <f>K$1820</f>
        <v>2021</v>
      </c>
      <c r="L722" s="463">
        <f>L$1820</f>
        <v>2022</v>
      </c>
      <c r="M722" s="463">
        <f>M$1820</f>
        <v>2023</v>
      </c>
      <c r="N722" s="1205"/>
      <c r="O722" s="25"/>
      <c r="P722" s="955"/>
      <c r="AA722" s="607"/>
    </row>
    <row r="723" spans="1:27" ht="12.75" customHeight="1" thickBot="1" x14ac:dyDescent="0.25">
      <c r="B723" s="224"/>
      <c r="C723" s="977"/>
      <c r="D723" s="695" t="s">
        <v>438</v>
      </c>
      <c r="E723" s="1667" t="str">
        <f>Translations!$B$789</f>
        <v>Lāpā sadedzinātie daudzumi</v>
      </c>
      <c r="F723" s="1660"/>
      <c r="G723" s="1660"/>
      <c r="H723" s="245" t="s">
        <v>249</v>
      </c>
      <c r="I723" s="484"/>
      <c r="J723" s="484"/>
      <c r="K723" s="484"/>
      <c r="L723" s="484"/>
      <c r="M723" s="484"/>
      <c r="N723" s="1205"/>
      <c r="O723" s="25"/>
      <c r="P723" s="955"/>
      <c r="R723" s="955" t="s">
        <v>525</v>
      </c>
      <c r="AA723" s="361" t="b">
        <f>AA720</f>
        <v>0</v>
      </c>
    </row>
    <row r="724" spans="1:27" ht="12.75" customHeight="1" thickBot="1" x14ac:dyDescent="0.25">
      <c r="B724" s="224"/>
      <c r="C724" s="977"/>
      <c r="D724" s="695" t="s">
        <v>439</v>
      </c>
      <c r="E724" s="1737" t="str">
        <f>Translations!$B$470</f>
        <v>Zemākā siltumspēja</v>
      </c>
      <c r="F724" s="1659"/>
      <c r="G724" s="1659"/>
      <c r="H724" s="74" t="e">
        <f>IF(ISBLANK(H723),EUconst_GJperUnit,INDEX(EUconst_GJperTorKNm3,MATCH(H723,EUconst_TonnesOrkNm3pa,0)))</f>
        <v>#N/A</v>
      </c>
      <c r="I724" s="458"/>
      <c r="J724" s="458"/>
      <c r="K724" s="458"/>
      <c r="L724" s="458"/>
      <c r="M724" s="458"/>
      <c r="N724" s="1205"/>
      <c r="O724" s="25"/>
      <c r="R724" s="708" t="s">
        <v>421</v>
      </c>
      <c r="S724" s="705">
        <f>I722</f>
        <v>2019</v>
      </c>
      <c r="T724" s="706">
        <f>J722</f>
        <v>2020</v>
      </c>
      <c r="U724" s="706">
        <f>K722</f>
        <v>2021</v>
      </c>
      <c r="V724" s="706">
        <f>L722</f>
        <v>2022</v>
      </c>
      <c r="W724" s="707">
        <f>M722</f>
        <v>2023</v>
      </c>
      <c r="AA724" s="361" t="b">
        <f>AA723</f>
        <v>0</v>
      </c>
    </row>
    <row r="725" spans="1:27" ht="12.75" customHeight="1" thickBot="1" x14ac:dyDescent="0.25">
      <c r="B725" s="224"/>
      <c r="C725" s="977"/>
      <c r="D725" s="695" t="s">
        <v>440</v>
      </c>
      <c r="E725" s="1651" t="str">
        <f>Translations!$B$790</f>
        <v>Lāpā sadedzinātā atlikumgāze</v>
      </c>
      <c r="F725" s="1652"/>
      <c r="G725" s="1652"/>
      <c r="H725" s="465" t="str">
        <f>EUconst_TJpa</f>
        <v>TJ / gads</v>
      </c>
      <c r="I725" s="523" t="str">
        <f>IF(COUNT(I723:I724)=2,I723*I724/1000,"")</f>
        <v/>
      </c>
      <c r="J725" s="523" t="str">
        <f>IF(COUNT(J723:J724)=2,J723*J724/1000,"")</f>
        <v/>
      </c>
      <c r="K725" s="523" t="str">
        <f>IF(COUNT(K723:K724)=2,K723*K724/1000,"")</f>
        <v/>
      </c>
      <c r="L725" s="523" t="str">
        <f>IF(COUNT(L723:L724)=2,L723*L724/1000,"")</f>
        <v/>
      </c>
      <c r="M725" s="523" t="str">
        <f>IF(COUNT(M723:M724)=2,M723*M724/1000,"")</f>
        <v/>
      </c>
      <c r="N725" s="1205"/>
      <c r="O725" s="25"/>
      <c r="P725" s="979" t="str">
        <f>EUconst_CNTR_WGFlared &amp; I594</f>
        <v>WasteGasFlare_</v>
      </c>
      <c r="R725" s="363" t="str">
        <f>IF(COUNT(S725:W725)&gt;0,AVERAGE(S725:W725),"")</f>
        <v/>
      </c>
      <c r="S725" s="454" t="str">
        <f>IF(S594,IF(ISNUMBER(I725),I725,0),"")</f>
        <v/>
      </c>
      <c r="T725" s="455" t="str">
        <f>IF(T594,IF(ISNUMBER(J725),J725,0),"")</f>
        <v/>
      </c>
      <c r="U725" s="455" t="str">
        <f>IF(U594,IF(ISNUMBER(K725),K725,0),"")</f>
        <v/>
      </c>
      <c r="V725" s="455" t="str">
        <f>IF(V594,IF(ISNUMBER(L725),L725,0),"")</f>
        <v/>
      </c>
      <c r="W725" s="456" t="str">
        <f>IF(W594,IF(ISNUMBER(M725),M725,0),"")</f>
        <v/>
      </c>
      <c r="AA725" s="607"/>
    </row>
    <row r="726" spans="1:27" ht="12.75" customHeight="1" thickBot="1" x14ac:dyDescent="0.25">
      <c r="B726" s="224"/>
      <c r="C726" s="977"/>
      <c r="D726" s="695" t="s">
        <v>441</v>
      </c>
      <c r="E726" s="1651" t="str">
        <f>Translations!$B$791</f>
        <v>Īpatnējais EF (lāpā sadedzinātā atlikumgāze)</v>
      </c>
      <c r="F726" s="1652"/>
      <c r="G726" s="1652"/>
      <c r="H726" s="465" t="str">
        <f>EUconst_tCO2pTJ</f>
        <v>t CO2 / TJ</v>
      </c>
      <c r="I726" s="483"/>
      <c r="J726" s="483"/>
      <c r="K726" s="483"/>
      <c r="L726" s="483"/>
      <c r="M726" s="483"/>
      <c r="N726" s="661"/>
      <c r="O726" s="25"/>
      <c r="P726" s="979" t="str">
        <f>EUconst_CNTR_WGFlaredEF &amp; I594</f>
        <v>WasteGasFlareEF_</v>
      </c>
      <c r="R726" s="843" t="str">
        <f>IF(COUNT(S726:W726)&gt;0,AVERAGE(S726:W726),"")</f>
        <v/>
      </c>
      <c r="S726" s="454" t="str">
        <f>IF(S594,SUM(I725)*SUM(I726),"")</f>
        <v/>
      </c>
      <c r="T726" s="455" t="str">
        <f>IF(T594,SUM(J725)*SUM(J726),"")</f>
        <v/>
      </c>
      <c r="U726" s="455" t="str">
        <f>IF(U594,SUM(K725)*SUM(K726),"")</f>
        <v/>
      </c>
      <c r="V726" s="455" t="str">
        <f>IF(V594,SUM(L725)*SUM(L726),"")</f>
        <v/>
      </c>
      <c r="W726" s="456" t="str">
        <f>IF(W594,SUM(M725)*SUM(M726),"")</f>
        <v/>
      </c>
      <c r="AA726" s="361" t="b">
        <f>AA724</f>
        <v>0</v>
      </c>
    </row>
    <row r="727" spans="1:27" ht="5.0999999999999996" customHeight="1" x14ac:dyDescent="0.2">
      <c r="B727" s="224"/>
      <c r="C727" s="977"/>
      <c r="D727" s="978"/>
      <c r="E727" s="978"/>
      <c r="F727" s="978"/>
      <c r="G727" s="978"/>
      <c r="H727" s="978"/>
      <c r="I727" s="978"/>
      <c r="J727" s="978"/>
      <c r="K727" s="978"/>
      <c r="L727" s="978"/>
      <c r="M727" s="980"/>
      <c r="N727" s="661"/>
      <c r="O727" s="25"/>
      <c r="P727" s="955"/>
      <c r="R727" s="955"/>
      <c r="S727" s="955"/>
      <c r="AA727" s="607"/>
    </row>
    <row r="728" spans="1:27" ht="12.75" customHeight="1" x14ac:dyDescent="0.2">
      <c r="B728" s="224"/>
      <c r="C728" s="977"/>
      <c r="D728" s="695" t="s">
        <v>442</v>
      </c>
      <c r="E728" s="1663" t="str">
        <f>Translations!$B$792</f>
        <v>Importēto atlikumgāzu veidi:</v>
      </c>
      <c r="F728" s="1663"/>
      <c r="G728" s="1663"/>
      <c r="H728" s="1663"/>
      <c r="I728" s="1664"/>
      <c r="J728" s="1665"/>
      <c r="K728" s="1665"/>
      <c r="L728" s="1665"/>
      <c r="M728" s="1666"/>
      <c r="N728" s="661"/>
      <c r="O728" s="25"/>
      <c r="P728" s="955"/>
      <c r="R728" s="955"/>
      <c r="AA728" s="361" t="b">
        <f>AA708</f>
        <v>0</v>
      </c>
    </row>
    <row r="729" spans="1:27" ht="5.0999999999999996" customHeight="1" x14ac:dyDescent="0.2">
      <c r="B729" s="224"/>
      <c r="C729" s="977"/>
      <c r="D729" s="978"/>
      <c r="E729" s="978"/>
      <c r="F729" s="978"/>
      <c r="G729" s="978"/>
      <c r="H729" s="978"/>
      <c r="I729" s="978"/>
      <c r="J729" s="978"/>
      <c r="K729" s="978"/>
      <c r="L729" s="978"/>
      <c r="M729" s="980"/>
      <c r="N729" s="661"/>
      <c r="O729" s="25"/>
      <c r="P729" s="955"/>
      <c r="R729" s="955"/>
    </row>
    <row r="730" spans="1:27" ht="12.75" customHeight="1" x14ac:dyDescent="0.2">
      <c r="B730" s="224"/>
      <c r="C730" s="977"/>
      <c r="D730" s="978"/>
      <c r="E730" s="1653"/>
      <c r="F730" s="1657"/>
      <c r="G730" s="1657"/>
      <c r="H730" s="462" t="str">
        <f>EUconst_Unit</f>
        <v>Vienība</v>
      </c>
      <c r="I730" s="463">
        <f>I$1820</f>
        <v>2019</v>
      </c>
      <c r="J730" s="463">
        <f>J$1820</f>
        <v>2020</v>
      </c>
      <c r="K730" s="463">
        <f>K$1820</f>
        <v>2021</v>
      </c>
      <c r="L730" s="463">
        <f>L$1820</f>
        <v>2022</v>
      </c>
      <c r="M730" s="463">
        <f>M$1820</f>
        <v>2023</v>
      </c>
      <c r="N730" s="1205"/>
      <c r="O730" s="25"/>
      <c r="P730" s="955"/>
      <c r="R730" s="955"/>
      <c r="S730" s="955"/>
      <c r="AA730" s="607"/>
    </row>
    <row r="731" spans="1:27" ht="12.75" customHeight="1" thickBot="1" x14ac:dyDescent="0.25">
      <c r="B731" s="224"/>
      <c r="C731" s="977"/>
      <c r="D731" s="695" t="s">
        <v>443</v>
      </c>
      <c r="E731" s="1667" t="str">
        <f>Translations!$B$795</f>
        <v>Importētie daudzumi</v>
      </c>
      <c r="F731" s="1660"/>
      <c r="G731" s="1660"/>
      <c r="H731" s="245" t="s">
        <v>249</v>
      </c>
      <c r="I731" s="484"/>
      <c r="J731" s="484"/>
      <c r="K731" s="484"/>
      <c r="L731" s="484"/>
      <c r="M731" s="484"/>
      <c r="N731" s="1205"/>
      <c r="O731" s="25"/>
      <c r="P731" s="955"/>
      <c r="R731" s="955"/>
      <c r="S731" s="955"/>
      <c r="AA731" s="361" t="b">
        <f>AA728</f>
        <v>0</v>
      </c>
    </row>
    <row r="732" spans="1:27" ht="12.75" customHeight="1" x14ac:dyDescent="0.2">
      <c r="B732" s="224"/>
      <c r="C732" s="977"/>
      <c r="D732" s="695" t="s">
        <v>444</v>
      </c>
      <c r="E732" s="1737" t="str">
        <f>Translations!$B$470</f>
        <v>Zemākā siltumspēja</v>
      </c>
      <c r="F732" s="1659"/>
      <c r="G732" s="1659"/>
      <c r="H732" s="74" t="e">
        <f>IF(ISBLANK(H731),EUconst_GJperUnit,INDEX(EUconst_GJperTorKNm3,MATCH(H731,EUconst_TonnesOrkNm3pa,0)))</f>
        <v>#N/A</v>
      </c>
      <c r="I732" s="458"/>
      <c r="J732" s="458"/>
      <c r="K732" s="458"/>
      <c r="L732" s="458"/>
      <c r="M732" s="458"/>
      <c r="N732" s="1205"/>
      <c r="O732" s="25"/>
      <c r="P732" s="982"/>
      <c r="R732" s="970"/>
      <c r="S732" s="809">
        <f>I730</f>
        <v>2019</v>
      </c>
      <c r="T732" s="809">
        <f>J730</f>
        <v>2020</v>
      </c>
      <c r="U732" s="809">
        <f>K730</f>
        <v>2021</v>
      </c>
      <c r="V732" s="809">
        <f>L730</f>
        <v>2022</v>
      </c>
      <c r="W732" s="810">
        <f>M730</f>
        <v>2023</v>
      </c>
      <c r="AA732" s="361" t="b">
        <f>AA731</f>
        <v>0</v>
      </c>
    </row>
    <row r="733" spans="1:27" ht="12.75" customHeight="1" x14ac:dyDescent="0.2">
      <c r="B733" s="224"/>
      <c r="C733" s="977"/>
      <c r="D733" s="695" t="s">
        <v>445</v>
      </c>
      <c r="E733" s="1651" t="str">
        <f>Translations!$B$796</f>
        <v>Importētā atlikumgāze</v>
      </c>
      <c r="F733" s="1652"/>
      <c r="G733" s="1652"/>
      <c r="H733" s="465" t="str">
        <f>EUconst_TJpa</f>
        <v>TJ / gads</v>
      </c>
      <c r="I733" s="448" t="str">
        <f>IF(COUNT(I731:I732)=2,I731*I732/1000,"")</f>
        <v/>
      </c>
      <c r="J733" s="448" t="str">
        <f>IF(COUNT(J731:J732)=2,J731*J732/1000,"")</f>
        <v/>
      </c>
      <c r="K733" s="448" t="str">
        <f>IF(COUNT(K731:K732)=2,K731*K732/1000,"")</f>
        <v/>
      </c>
      <c r="L733" s="448" t="str">
        <f>IF(COUNT(L731:L732)=2,L731*L732/1000,"")</f>
        <v/>
      </c>
      <c r="M733" s="448" t="str">
        <f>IF(COUNT(M731:M732)=2,M731*M732/1000,"")</f>
        <v/>
      </c>
      <c r="N733" s="1205"/>
      <c r="O733" s="25"/>
      <c r="P733" s="979" t="str">
        <f>EUconst_CNTR_WGImport &amp; I594</f>
        <v>WasteGasIm_</v>
      </c>
      <c r="R733" s="981" t="str">
        <f>EUconst_ERR_AttrEmBMapplied &amp; I594</f>
        <v>ERR_AttrEmBM_ </v>
      </c>
      <c r="S733" s="134">
        <f>IF(AND(I733&lt;&gt;"",EUconst_StatusOfDataCollection=""),1,0)</f>
        <v>0</v>
      </c>
      <c r="T733" s="134">
        <f>IF(AND(J733&lt;&gt;"",EUconst_StatusOfDataCollection=""),1,0)</f>
        <v>0</v>
      </c>
      <c r="U733" s="134">
        <f>IF(AND(K733&lt;&gt;"",EUconst_StatusOfDataCollection=""),1,0)</f>
        <v>0</v>
      </c>
      <c r="V733" s="134">
        <f>IF(AND(L733&lt;&gt;"",EUconst_StatusOfDataCollection=""),1,0)</f>
        <v>0</v>
      </c>
      <c r="W733" s="135">
        <f>IF(AND(M733&lt;&gt;"",EUconst_StatusOfDataCollection=""),1,0)</f>
        <v>0</v>
      </c>
      <c r="AA733" s="607"/>
    </row>
    <row r="734" spans="1:27" s="697" customFormat="1" ht="12.75" customHeight="1" thickBot="1" x14ac:dyDescent="0.25">
      <c r="A734" s="437"/>
      <c r="B734" s="224"/>
      <c r="C734" s="977"/>
      <c r="D734" s="695" t="s">
        <v>446</v>
      </c>
      <c r="E734" s="1651" t="str">
        <f>Translations!$B$797</f>
        <v>Īpatnējais EF (importētā atlikumgāze)</v>
      </c>
      <c r="F734" s="1651"/>
      <c r="G734" s="1651"/>
      <c r="H734" s="464" t="str">
        <f>EUconst_tCO2pTJ</f>
        <v>t CO2 / TJ</v>
      </c>
      <c r="I734" s="761"/>
      <c r="J734" s="761"/>
      <c r="K734" s="761"/>
      <c r="L734" s="761"/>
      <c r="M734" s="761"/>
      <c r="N734" s="661"/>
      <c r="O734" s="25"/>
      <c r="P734" s="979" t="str">
        <f>EUconst_CNTR_WGImportEF &amp; I594</f>
        <v>WasteGasImEF_</v>
      </c>
      <c r="Q734" s="437"/>
      <c r="R734" s="971" t="str">
        <f>EUconst_CNTR_AttributedEmissions &amp; I594</f>
        <v>AttrEmissions_</v>
      </c>
      <c r="S734" s="137" t="str">
        <f>IF(S594,SUM(I733)*EUconst_FuelBMvalueForBM,"")</f>
        <v/>
      </c>
      <c r="T734" s="137" t="str">
        <f>IF(T594,SUM(J733)*EUconst_FuelBMvalueForBM,"")</f>
        <v/>
      </c>
      <c r="U734" s="137" t="str">
        <f>IF(U594,SUM(K733)*EUconst_FuelBMvalueForBM,"")</f>
        <v/>
      </c>
      <c r="V734" s="137" t="str">
        <f>IF(V594,SUM(L733)*EUconst_FuelBMvalueForBM,"")</f>
        <v/>
      </c>
      <c r="W734" s="138" t="str">
        <f>IF(W594,SUM(M733)*EUconst_FuelBMvalueForBM,"")</f>
        <v/>
      </c>
      <c r="X734" s="437"/>
      <c r="Y734" s="437"/>
      <c r="Z734" s="437"/>
      <c r="AA734" s="361" t="b">
        <f>AA732</f>
        <v>0</v>
      </c>
    </row>
    <row r="735" spans="1:27" ht="5.0999999999999996" customHeight="1" x14ac:dyDescent="0.2">
      <c r="B735" s="224"/>
      <c r="C735" s="977"/>
      <c r="D735" s="978"/>
      <c r="E735" s="978"/>
      <c r="F735" s="978"/>
      <c r="G735" s="978"/>
      <c r="H735" s="978"/>
      <c r="I735" s="978"/>
      <c r="J735" s="978"/>
      <c r="K735" s="978"/>
      <c r="L735" s="978"/>
      <c r="M735" s="980"/>
      <c r="N735" s="661"/>
      <c r="O735" s="25"/>
      <c r="P735" s="955"/>
      <c r="R735" s="955"/>
      <c r="S735" s="955"/>
      <c r="AA735" s="607"/>
    </row>
    <row r="736" spans="1:27" ht="12.75" customHeight="1" x14ac:dyDescent="0.2">
      <c r="B736" s="224"/>
      <c r="C736" s="977"/>
      <c r="D736" s="695" t="s">
        <v>447</v>
      </c>
      <c r="E736" s="1663" t="str">
        <f>Translations!$B$798</f>
        <v>Eksportēto atlikumgāzu veidi:</v>
      </c>
      <c r="F736" s="1663"/>
      <c r="G736" s="1663"/>
      <c r="H736" s="1663"/>
      <c r="I736" s="1664"/>
      <c r="J736" s="1665"/>
      <c r="K736" s="1665"/>
      <c r="L736" s="1665"/>
      <c r="M736" s="1666"/>
      <c r="N736" s="1203"/>
      <c r="O736" s="25"/>
      <c r="P736" s="955"/>
      <c r="R736" s="955"/>
      <c r="AA736" s="361" t="b">
        <f>AA731</f>
        <v>0</v>
      </c>
    </row>
    <row r="737" spans="1:27" ht="5.0999999999999996" customHeight="1" x14ac:dyDescent="0.2">
      <c r="B737" s="224"/>
      <c r="C737" s="977"/>
      <c r="D737" s="978"/>
      <c r="E737" s="978"/>
      <c r="F737" s="978"/>
      <c r="G737" s="978"/>
      <c r="H737" s="978"/>
      <c r="I737" s="978"/>
      <c r="J737" s="978"/>
      <c r="K737" s="978"/>
      <c r="L737" s="978"/>
      <c r="M737" s="980"/>
      <c r="N737" s="661"/>
      <c r="O737" s="25"/>
      <c r="P737" s="955"/>
      <c r="R737" s="955"/>
    </row>
    <row r="738" spans="1:27" ht="12.75" customHeight="1" x14ac:dyDescent="0.2">
      <c r="B738" s="224"/>
      <c r="C738" s="977"/>
      <c r="D738" s="978"/>
      <c r="E738" s="1653"/>
      <c r="F738" s="1657"/>
      <c r="G738" s="1657"/>
      <c r="H738" s="462" t="str">
        <f>EUconst_Unit</f>
        <v>Vienība</v>
      </c>
      <c r="I738" s="463">
        <f>I$1820</f>
        <v>2019</v>
      </c>
      <c r="J738" s="463">
        <f>J$1820</f>
        <v>2020</v>
      </c>
      <c r="K738" s="463">
        <f>K$1820</f>
        <v>2021</v>
      </c>
      <c r="L738" s="463">
        <f>L$1820</f>
        <v>2022</v>
      </c>
      <c r="M738" s="463">
        <f>M$1820</f>
        <v>2023</v>
      </c>
      <c r="N738" s="1205"/>
      <c r="O738" s="25"/>
      <c r="P738" s="955"/>
      <c r="R738" s="955"/>
      <c r="S738" s="955"/>
      <c r="AA738" s="607"/>
    </row>
    <row r="739" spans="1:27" ht="12.75" customHeight="1" x14ac:dyDescent="0.2">
      <c r="B739" s="224"/>
      <c r="C739" s="977"/>
      <c r="D739" s="695" t="s">
        <v>448</v>
      </c>
      <c r="E739" s="1667" t="str">
        <f>Translations!$B$800</f>
        <v>Eksportētie daudzumi</v>
      </c>
      <c r="F739" s="1660"/>
      <c r="G739" s="1660"/>
      <c r="H739" s="245" t="s">
        <v>249</v>
      </c>
      <c r="I739" s="484"/>
      <c r="J739" s="484"/>
      <c r="K739" s="484"/>
      <c r="L739" s="484"/>
      <c r="M739" s="484"/>
      <c r="N739" s="1205"/>
      <c r="O739" s="25"/>
      <c r="P739" s="955"/>
      <c r="R739" s="955"/>
      <c r="S739" s="955"/>
      <c r="AA739" s="361" t="b">
        <f>AA736</f>
        <v>0</v>
      </c>
    </row>
    <row r="740" spans="1:27" ht="12.75" customHeight="1" thickBot="1" x14ac:dyDescent="0.25">
      <c r="B740" s="224"/>
      <c r="C740" s="977"/>
      <c r="D740" s="695" t="s">
        <v>612</v>
      </c>
      <c r="E740" s="1737" t="str">
        <f>Translations!$B$470</f>
        <v>Zemākā siltumspēja</v>
      </c>
      <c r="F740" s="1659"/>
      <c r="G740" s="1659"/>
      <c r="H740" s="74" t="e">
        <f>IF(ISBLANK(H739),EUconst_GJperUnit,INDEX(EUconst_GJperTorKNm3,MATCH(H739,EUconst_TonnesOrkNm3pa,0)))</f>
        <v>#N/A</v>
      </c>
      <c r="I740" s="458"/>
      <c r="J740" s="458"/>
      <c r="K740" s="458"/>
      <c r="L740" s="458"/>
      <c r="M740" s="458"/>
      <c r="N740" s="1205"/>
      <c r="O740" s="25"/>
      <c r="P740" s="982"/>
      <c r="R740" s="955"/>
      <c r="S740" s="955"/>
      <c r="AA740" s="361" t="b">
        <f>AA739</f>
        <v>0</v>
      </c>
    </row>
    <row r="741" spans="1:27" ht="12.75" customHeight="1" x14ac:dyDescent="0.2">
      <c r="B741" s="224"/>
      <c r="C741" s="977"/>
      <c r="D741" s="695" t="s">
        <v>613</v>
      </c>
      <c r="E741" s="1651" t="str">
        <f>Translations!$B$801</f>
        <v>Eksportētā atlikumgāze</v>
      </c>
      <c r="F741" s="1652"/>
      <c r="G741" s="1652"/>
      <c r="H741" s="465" t="str">
        <f>EUconst_TJpa</f>
        <v>TJ / gads</v>
      </c>
      <c r="I741" s="448" t="str">
        <f>IF(COUNT(I739:I740)=2,I739*I740/1000,"")</f>
        <v/>
      </c>
      <c r="J741" s="448" t="str">
        <f>IF(COUNT(J739:J740)=2,J739*J740/1000,"")</f>
        <v/>
      </c>
      <c r="K741" s="448" t="str">
        <f>IF(COUNT(K739:K740)=2,K739*K740/1000,"")</f>
        <v/>
      </c>
      <c r="L741" s="448" t="str">
        <f>IF(COUNT(L739:L740)=2,L739*L740/1000,"")</f>
        <v/>
      </c>
      <c r="M741" s="448" t="str">
        <f>IF(COUNT(M739:M740)=2,M739*M740/1000,"")</f>
        <v/>
      </c>
      <c r="N741" s="698"/>
      <c r="O741" s="25"/>
      <c r="P741" s="979" t="str">
        <f>EUconst_CNTR_WGExport &amp; I594</f>
        <v>WasteGasEx_</v>
      </c>
      <c r="R741" s="970"/>
      <c r="S741" s="809">
        <f>I738</f>
        <v>2019</v>
      </c>
      <c r="T741" s="809">
        <f>J738</f>
        <v>2020</v>
      </c>
      <c r="U741" s="809">
        <f>K738</f>
        <v>2021</v>
      </c>
      <c r="V741" s="809">
        <f>L738</f>
        <v>2022</v>
      </c>
      <c r="W741" s="810">
        <f>M738</f>
        <v>2023</v>
      </c>
      <c r="AA741" s="607"/>
    </row>
    <row r="742" spans="1:27" s="697" customFormat="1" ht="12.75" customHeight="1" thickBot="1" x14ac:dyDescent="0.25">
      <c r="A742" s="20"/>
      <c r="B742" s="224"/>
      <c r="C742" s="977"/>
      <c r="D742" s="695" t="s">
        <v>614</v>
      </c>
      <c r="E742" s="1651" t="str">
        <f>Translations!$B$802</f>
        <v>Īpatnējais EF (eksportētā atlikumgāze)</v>
      </c>
      <c r="F742" s="1651"/>
      <c r="G742" s="1651"/>
      <c r="H742" s="464" t="str">
        <f>EUconst_tCO2pTJ</f>
        <v>t CO2 / TJ</v>
      </c>
      <c r="I742" s="761"/>
      <c r="J742" s="761"/>
      <c r="K742" s="761"/>
      <c r="L742" s="761"/>
      <c r="M742" s="761"/>
      <c r="N742" s="661"/>
      <c r="O742" s="25"/>
      <c r="P742" s="979" t="str">
        <f>EUconst_CNTR_WGExportEF &amp; I594</f>
        <v>WasteGasExEF_</v>
      </c>
      <c r="Q742" s="437"/>
      <c r="R742" s="971" t="str">
        <f>EUconst_CNTR_AttributedEmissions &amp; I594</f>
        <v>AttrEmissions_</v>
      </c>
      <c r="S742" s="137" t="str">
        <f>IF(S594,-SUM(I741)*EUconst_NGEFvalue*EUconst_WasteGasCorrFactor,"")</f>
        <v/>
      </c>
      <c r="T742" s="137" t="str">
        <f>IF(T594,-SUM(J741)*EUconst_NGEFvalue*EUconst_WasteGasCorrFactor,"")</f>
        <v/>
      </c>
      <c r="U742" s="137" t="str">
        <f>IF(U594,-SUM(K741)*EUconst_NGEFvalue*EUconst_WasteGasCorrFactor,"")</f>
        <v/>
      </c>
      <c r="V742" s="137" t="str">
        <f>IF(V594,-SUM(L741)*EUconst_NGEFvalue*EUconst_WasteGasCorrFactor,"")</f>
        <v/>
      </c>
      <c r="W742" s="138" t="str">
        <f>IF(W594,-SUM(M741)*EUconst_NGEFvalue*EUconst_WasteGasCorrFactor,"")</f>
        <v/>
      </c>
      <c r="X742" s="437"/>
      <c r="Y742" s="437"/>
      <c r="Z742" s="437"/>
      <c r="AA742" s="186" t="b">
        <f>AA740</f>
        <v>0</v>
      </c>
    </row>
    <row r="743" spans="1:27" ht="5.0999999999999996" customHeight="1" x14ac:dyDescent="0.2">
      <c r="B743" s="224"/>
      <c r="C743" s="977"/>
      <c r="D743" s="978"/>
      <c r="E743" s="978"/>
      <c r="F743" s="978"/>
      <c r="G743" s="978"/>
      <c r="H743" s="978"/>
      <c r="I743" s="978"/>
      <c r="J743" s="978"/>
      <c r="K743" s="978"/>
      <c r="L743" s="978"/>
      <c r="M743" s="980"/>
      <c r="N743" s="661"/>
      <c r="O743" s="25"/>
      <c r="P743" s="955"/>
      <c r="R743" s="955"/>
    </row>
    <row r="744" spans="1:27" ht="12.75" customHeight="1" thickBot="1" x14ac:dyDescent="0.25">
      <c r="B744" s="224"/>
      <c r="C744" s="977"/>
      <c r="D744" s="474" t="s">
        <v>214</v>
      </c>
      <c r="E744" s="1654" t="str">
        <f>Translations!$B$420</f>
        <v>Elektroenerģijas ražošana</v>
      </c>
      <c r="F744" s="1655"/>
      <c r="G744" s="1655"/>
      <c r="H744" s="1655"/>
      <c r="I744" s="1655"/>
      <c r="J744" s="1655"/>
      <c r="K744" s="1655"/>
      <c r="L744" s="1655"/>
      <c r="M744" s="1655"/>
      <c r="N744" s="1656"/>
      <c r="O744" s="25"/>
      <c r="P744" s="955"/>
      <c r="R744" s="955"/>
    </row>
    <row r="745" spans="1:27" ht="12.75" customHeight="1" x14ac:dyDescent="0.2">
      <c r="B745" s="224"/>
      <c r="C745" s="977"/>
      <c r="D745" s="474"/>
      <c r="E745" s="1653"/>
      <c r="F745" s="1657"/>
      <c r="G745" s="1657"/>
      <c r="H745" s="462" t="str">
        <f>EUconst_Unit</f>
        <v>Vienība</v>
      </c>
      <c r="I745" s="463">
        <f>I$1820</f>
        <v>2019</v>
      </c>
      <c r="J745" s="463">
        <f>J$1820</f>
        <v>2020</v>
      </c>
      <c r="K745" s="463">
        <f>K$1820</f>
        <v>2021</v>
      </c>
      <c r="L745" s="463">
        <f>L$1820</f>
        <v>2022</v>
      </c>
      <c r="M745" s="463">
        <f>M$1820</f>
        <v>2023</v>
      </c>
      <c r="N745" s="661"/>
      <c r="O745" s="25"/>
      <c r="P745" s="955"/>
      <c r="R745" s="970"/>
      <c r="S745" s="809">
        <f>I745</f>
        <v>2019</v>
      </c>
      <c r="T745" s="809">
        <f>J745</f>
        <v>2020</v>
      </c>
      <c r="U745" s="809">
        <f>K745</f>
        <v>2021</v>
      </c>
      <c r="V745" s="809">
        <f>L745</f>
        <v>2022</v>
      </c>
      <c r="W745" s="810">
        <f>M745</f>
        <v>2023</v>
      </c>
    </row>
    <row r="746" spans="1:27" ht="12.75" customHeight="1" thickBot="1" x14ac:dyDescent="0.25">
      <c r="B746" s="224"/>
      <c r="C746" s="977"/>
      <c r="D746" s="695"/>
      <c r="E746" s="1651" t="str">
        <f>Translations!$B$805</f>
        <v>Saražotā elektroenerģija</v>
      </c>
      <c r="F746" s="1652"/>
      <c r="G746" s="1652"/>
      <c r="H746" s="465" t="str">
        <f>EUconst_MWhpa</f>
        <v>MWh / gads</v>
      </c>
      <c r="I746" s="483"/>
      <c r="J746" s="483"/>
      <c r="K746" s="483"/>
      <c r="L746" s="483"/>
      <c r="M746" s="483"/>
      <c r="N746" s="1205"/>
      <c r="O746" s="25"/>
      <c r="P746" s="979" t="str">
        <f>EUconst_CNTR_ElectricityExported &amp; I594</f>
        <v>ElecEx_</v>
      </c>
      <c r="R746" s="971" t="str">
        <f>EUconst_CNTR_AttributedEmissions &amp; I594</f>
        <v>AttrEmissions_</v>
      </c>
      <c r="S746" s="137" t="str">
        <f>IF(S594,-SUM(I746)*EUconst_ElBM,"")</f>
        <v/>
      </c>
      <c r="T746" s="137" t="str">
        <f>IF(T594,-SUM(J746)*EUconst_ElBM,"")</f>
        <v/>
      </c>
      <c r="U746" s="137" t="str">
        <f>IF(U594,-SUM(K746)*EUconst_ElBM,"")</f>
        <v/>
      </c>
      <c r="V746" s="137" t="str">
        <f>IF(V594,-SUM(L746)*EUconst_ElBM,"")</f>
        <v/>
      </c>
      <c r="W746" s="138" t="str">
        <f>IF(W594,-SUM(M746)*EUconst_ElBM,"")</f>
        <v/>
      </c>
    </row>
    <row r="747" spans="1:27" ht="5.0999999999999996" customHeight="1" x14ac:dyDescent="0.2">
      <c r="B747" s="224"/>
      <c r="C747" s="977"/>
      <c r="D747" s="978"/>
      <c r="E747" s="978"/>
      <c r="F747" s="978"/>
      <c r="G747" s="978"/>
      <c r="H747" s="978"/>
      <c r="I747" s="978"/>
      <c r="J747" s="978"/>
      <c r="K747" s="978"/>
      <c r="L747" s="978"/>
      <c r="M747" s="980"/>
      <c r="N747" s="661"/>
      <c r="O747" s="25"/>
      <c r="P747" s="955"/>
      <c r="R747" s="955"/>
      <c r="S747" s="955"/>
    </row>
    <row r="748" spans="1:27" ht="12.75" customHeight="1" thickBot="1" x14ac:dyDescent="0.25">
      <c r="B748" s="224"/>
      <c r="C748" s="977"/>
      <c r="D748" s="474" t="s">
        <v>77</v>
      </c>
      <c r="E748" s="1663" t="str">
        <f>Translations!$B$806</f>
        <v>Kopējais saražotās pulpas daudzums</v>
      </c>
      <c r="F748" s="1663"/>
      <c r="G748" s="1663"/>
      <c r="H748" s="1663"/>
      <c r="I748" s="1663"/>
      <c r="J748" s="1663"/>
      <c r="K748" s="1663"/>
      <c r="L748" s="1663"/>
      <c r="M748" s="1663"/>
      <c r="N748" s="1690"/>
      <c r="O748" s="25"/>
      <c r="S748" s="955"/>
    </row>
    <row r="749" spans="1:27" ht="12.75" customHeight="1" thickBot="1" x14ac:dyDescent="0.25">
      <c r="B749" s="224"/>
      <c r="C749" s="977"/>
      <c r="D749" s="695"/>
      <c r="E749" s="1689" t="str">
        <f>IF(I594="","",IF(INDEX(EUconst_BMlistPulp,MATCH(I594,EUconst_BMlistNames,0)),I594,""))</f>
        <v/>
      </c>
      <c r="F749" s="1689"/>
      <c r="G749" s="1689"/>
      <c r="H749" s="465" t="str">
        <f>EUconst_Tons</f>
        <v>tonnas</v>
      </c>
      <c r="I749" s="483"/>
      <c r="J749" s="483"/>
      <c r="K749" s="483"/>
      <c r="L749" s="483"/>
      <c r="M749" s="483"/>
      <c r="N749" s="1205"/>
      <c r="O749" s="25"/>
      <c r="P749" s="979" t="str">
        <f>EUconst_CNTR_HALPulpTotal &amp; I594</f>
        <v>HALPulpTotal_</v>
      </c>
      <c r="R749" s="955"/>
      <c r="AA749" s="734" t="b">
        <f>IF(I594&lt;&gt;"",IF(INDEX(EUconst_BMlistPulp,MATCH(I594,EUconst_BMlistNames,0))=TRUE,FALSE,TRUE),FALSE)</f>
        <v>0</v>
      </c>
    </row>
    <row r="750" spans="1:27" ht="5.0999999999999996" customHeight="1" x14ac:dyDescent="0.2">
      <c r="B750" s="224"/>
      <c r="C750" s="977"/>
      <c r="D750" s="695"/>
      <c r="E750" s="695"/>
      <c r="F750" s="695"/>
      <c r="G750" s="695"/>
      <c r="H750" s="695"/>
      <c r="I750" s="695"/>
      <c r="J750" s="695"/>
      <c r="K750" s="695"/>
      <c r="L750" s="695"/>
      <c r="M750" s="695"/>
      <c r="N750" s="1205"/>
      <c r="O750" s="25"/>
      <c r="P750" s="982"/>
      <c r="R750" s="955"/>
      <c r="S750" s="955"/>
    </row>
    <row r="751" spans="1:27" ht="12.75" customHeight="1" thickBot="1" x14ac:dyDescent="0.25">
      <c r="B751" s="224"/>
      <c r="C751" s="977"/>
      <c r="D751" s="474" t="s">
        <v>322</v>
      </c>
      <c r="E751" s="1654" t="str">
        <f>Translations!$B$810</f>
        <v>Produktu līmeņatzīmju aptverto starpproduktu imports vai eksports</v>
      </c>
      <c r="F751" s="1655"/>
      <c r="G751" s="1655"/>
      <c r="H751" s="1655"/>
      <c r="I751" s="1655"/>
      <c r="J751" s="1655"/>
      <c r="K751" s="1655"/>
      <c r="L751" s="1655"/>
      <c r="M751" s="1655"/>
      <c r="N751" s="1656"/>
      <c r="O751" s="25"/>
      <c r="P751" s="955"/>
      <c r="R751" s="955"/>
      <c r="S751" s="955"/>
    </row>
    <row r="752" spans="1:27" ht="12.75" customHeight="1" thickBot="1" x14ac:dyDescent="0.25">
      <c r="B752" s="38"/>
      <c r="C752" s="977"/>
      <c r="D752" s="695" t="s">
        <v>2</v>
      </c>
      <c r="E752" s="1732" t="str">
        <f>Translations!$B$813</f>
        <v>Vai notiek produktu līmeņatzīmju aptverto starpproduktu imports vai eksports?</v>
      </c>
      <c r="F752" s="1732"/>
      <c r="G752" s="1732"/>
      <c r="H752" s="1732"/>
      <c r="I752" s="1732"/>
      <c r="J752" s="1732"/>
      <c r="K752" s="1733"/>
      <c r="L752" s="527"/>
      <c r="M752" s="461"/>
      <c r="N752" s="698"/>
      <c r="O752" s="25"/>
      <c r="W752" s="966" t="s">
        <v>398</v>
      </c>
      <c r="X752" s="964" t="b">
        <f>IF(AND(I594&lt;&gt;"",ISBLANK(L752)),EUconst_Error&amp;"BM"&amp;C594,FALSE)</f>
        <v>0</v>
      </c>
    </row>
    <row r="753" spans="2:27" ht="5.0999999999999996" customHeight="1" x14ac:dyDescent="0.2">
      <c r="B753" s="224"/>
      <c r="C753" s="977"/>
      <c r="D753" s="695"/>
      <c r="E753" s="695"/>
      <c r="F753" s="695"/>
      <c r="G753" s="695"/>
      <c r="H753" s="695"/>
      <c r="I753" s="695"/>
      <c r="J753" s="695"/>
      <c r="K753" s="695"/>
      <c r="L753" s="695"/>
      <c r="M753" s="695"/>
      <c r="N753" s="1205"/>
      <c r="O753" s="25"/>
      <c r="P753" s="982"/>
      <c r="R753" s="955"/>
      <c r="S753" s="955"/>
    </row>
    <row r="754" spans="2:27" ht="12.75" customHeight="1" thickBot="1" x14ac:dyDescent="0.25">
      <c r="B754" s="224"/>
      <c r="C754" s="977"/>
      <c r="D754" s="524"/>
      <c r="E754" s="1653" t="str">
        <f>Translations!$B$814</f>
        <v>Importētie daudzumi:</v>
      </c>
      <c r="F754" s="1657"/>
      <c r="G754" s="1657"/>
      <c r="H754" s="525" t="str">
        <f>EUconst_Unit</f>
        <v>Vienība</v>
      </c>
      <c r="I754" s="463">
        <f>I$1820</f>
        <v>2019</v>
      </c>
      <c r="J754" s="463">
        <f>J$1820</f>
        <v>2020</v>
      </c>
      <c r="K754" s="463">
        <f>K$1820</f>
        <v>2021</v>
      </c>
      <c r="L754" s="463">
        <f>L$1820</f>
        <v>2022</v>
      </c>
      <c r="M754" s="463">
        <f>M$1820</f>
        <v>2023</v>
      </c>
      <c r="N754" s="1205"/>
      <c r="O754" s="25"/>
      <c r="P754" s="982"/>
      <c r="R754" s="955"/>
      <c r="S754" s="955"/>
      <c r="AA754" s="437" t="s">
        <v>262</v>
      </c>
    </row>
    <row r="755" spans="2:27" ht="12.75" customHeight="1" x14ac:dyDescent="0.2">
      <c r="B755" s="224"/>
      <c r="C755" s="977"/>
      <c r="D755" s="526" t="s">
        <v>3</v>
      </c>
      <c r="E755" s="1745"/>
      <c r="F755" s="1745"/>
      <c r="G755" s="1745"/>
      <c r="H755" s="82" t="str">
        <f>IF(E755&lt;&gt;"",INDEX(EUconst_BMlistUnits,MATCH(E755,EUconst_BMlistNames,0)),EUconst_Tons)</f>
        <v>tonnas</v>
      </c>
      <c r="I755" s="334"/>
      <c r="J755" s="334"/>
      <c r="K755" s="334"/>
      <c r="L755" s="334"/>
      <c r="M755" s="334"/>
      <c r="N755" s="1205"/>
      <c r="O755" s="25"/>
      <c r="P755" s="979" t="str">
        <f>EUconst_CNTR_IntermediateImport &amp; R755 &amp; "_" &amp; I594</f>
        <v>IntImp_1_</v>
      </c>
      <c r="R755" s="979">
        <v>1</v>
      </c>
      <c r="S755" s="955"/>
      <c r="AA755" s="643" t="b">
        <f>AND(NOT(ISBLANK(L752)),L752=FALSE)</f>
        <v>0</v>
      </c>
    </row>
    <row r="756" spans="2:27" ht="12.75" customHeight="1" x14ac:dyDescent="0.2">
      <c r="B756" s="224"/>
      <c r="C756" s="977"/>
      <c r="D756" s="526" t="s">
        <v>4</v>
      </c>
      <c r="E756" s="1746"/>
      <c r="F756" s="1746"/>
      <c r="G756" s="1746"/>
      <c r="H756" s="74" t="str">
        <f>IF(E756&lt;&gt;"",INDEX(EUconst_BMlistUnits,MATCH(E756,EUconst_BMlistNames,0)),EUconst_Tons)</f>
        <v>tonnas</v>
      </c>
      <c r="I756" s="333"/>
      <c r="J756" s="333"/>
      <c r="K756" s="333"/>
      <c r="L756" s="333"/>
      <c r="M756" s="333"/>
      <c r="N756" s="1205"/>
      <c r="O756" s="25"/>
      <c r="P756" s="979" t="str">
        <f>EUconst_CNTR_IntermediateImport &amp; R756 &amp; "_" &amp; I594</f>
        <v>IntImp_2_</v>
      </c>
      <c r="R756" s="979">
        <v>2</v>
      </c>
      <c r="S756" s="955"/>
      <c r="AA756" s="361" t="b">
        <f>AA755</f>
        <v>0</v>
      </c>
    </row>
    <row r="757" spans="2:27" ht="5.0999999999999996" customHeight="1" x14ac:dyDescent="0.2">
      <c r="B757" s="224"/>
      <c r="C757" s="977"/>
      <c r="D757" s="695"/>
      <c r="E757" s="695"/>
      <c r="F757" s="695"/>
      <c r="G757" s="695"/>
      <c r="H757" s="695"/>
      <c r="I757" s="695"/>
      <c r="J757" s="695"/>
      <c r="K757" s="695"/>
      <c r="L757" s="695"/>
      <c r="M757" s="695"/>
      <c r="N757" s="1205"/>
      <c r="O757" s="25"/>
      <c r="P757" s="982"/>
      <c r="R757" s="955"/>
      <c r="S757" s="955"/>
      <c r="AA757" s="607"/>
    </row>
    <row r="758" spans="2:27" ht="12.75" customHeight="1" x14ac:dyDescent="0.2">
      <c r="B758" s="224"/>
      <c r="C758" s="977"/>
      <c r="D758" s="524"/>
      <c r="E758" s="1653" t="str">
        <f>Translations!$B$815</f>
        <v>Eksportētie daudzumi:</v>
      </c>
      <c r="F758" s="1657"/>
      <c r="G758" s="1657"/>
      <c r="H758" s="525" t="str">
        <f>EUconst_Unit</f>
        <v>Vienība</v>
      </c>
      <c r="I758" s="463">
        <f>I$1820</f>
        <v>2019</v>
      </c>
      <c r="J758" s="463">
        <f>J$1820</f>
        <v>2020</v>
      </c>
      <c r="K758" s="463">
        <f>K$1820</f>
        <v>2021</v>
      </c>
      <c r="L758" s="463">
        <f>L$1820</f>
        <v>2022</v>
      </c>
      <c r="M758" s="463">
        <f>M$1820</f>
        <v>2023</v>
      </c>
      <c r="N758" s="1205"/>
      <c r="O758" s="25"/>
      <c r="P758" s="982"/>
      <c r="R758" s="955"/>
      <c r="S758" s="955"/>
      <c r="AA758" s="607"/>
    </row>
    <row r="759" spans="2:27" ht="12.75" customHeight="1" x14ac:dyDescent="0.2">
      <c r="B759" s="224"/>
      <c r="C759" s="977"/>
      <c r="D759" s="526" t="s">
        <v>6</v>
      </c>
      <c r="E759" s="1745"/>
      <c r="F759" s="1745"/>
      <c r="G759" s="1745"/>
      <c r="H759" s="82" t="str">
        <f>IF(E759&lt;&gt;"",INDEX(EUconst_BMlistUnits,MATCH(E759,EUconst_BMlistNames,0)),EUconst_Tons)</f>
        <v>tonnas</v>
      </c>
      <c r="I759" s="334"/>
      <c r="J759" s="334"/>
      <c r="K759" s="334"/>
      <c r="L759" s="334"/>
      <c r="M759" s="334"/>
      <c r="N759" s="1205"/>
      <c r="O759" s="25"/>
      <c r="P759" s="979" t="str">
        <f>EUconst_CNTR_IntermediateExport &amp; R755 &amp; "_" &amp; I594</f>
        <v>IntExp_1_</v>
      </c>
      <c r="R759" s="979">
        <v>1</v>
      </c>
      <c r="S759" s="955"/>
      <c r="U759" s="522"/>
      <c r="V759" s="522"/>
      <c r="AA759" s="361" t="b">
        <f>AA755</f>
        <v>0</v>
      </c>
    </row>
    <row r="760" spans="2:27" ht="12.75" customHeight="1" x14ac:dyDescent="0.2">
      <c r="B760" s="224"/>
      <c r="C760" s="977"/>
      <c r="D760" s="526" t="s">
        <v>303</v>
      </c>
      <c r="E760" s="1746"/>
      <c r="F760" s="1746"/>
      <c r="G760" s="1746"/>
      <c r="H760" s="74" t="str">
        <f>IF(E760&lt;&gt;"",INDEX(EUconst_BMlistUnits,MATCH(E760,EUconst_BMlistNames,0)),EUconst_Tons)</f>
        <v>tonnas</v>
      </c>
      <c r="I760" s="333"/>
      <c r="J760" s="333"/>
      <c r="K760" s="333"/>
      <c r="L760" s="333"/>
      <c r="M760" s="333"/>
      <c r="N760" s="1205"/>
      <c r="O760" s="25"/>
      <c r="P760" s="979" t="str">
        <f>EUconst_CNTR_IntermediateExport &amp; R760 &amp; "_" &amp; I594</f>
        <v>IntExp_2_</v>
      </c>
      <c r="R760" s="979">
        <v>2</v>
      </c>
      <c r="S760" s="955"/>
      <c r="U760" s="522"/>
      <c r="V760" s="522"/>
      <c r="AA760" s="361" t="b">
        <f>AA755</f>
        <v>0</v>
      </c>
    </row>
    <row r="761" spans="2:27" ht="5.0999999999999996" customHeight="1" x14ac:dyDescent="0.2">
      <c r="B761" s="224"/>
      <c r="C761" s="977"/>
      <c r="D761" s="695"/>
      <c r="E761" s="695"/>
      <c r="F761" s="695"/>
      <c r="G761" s="695"/>
      <c r="H761" s="695"/>
      <c r="I761" s="695"/>
      <c r="J761" s="695"/>
      <c r="K761" s="695"/>
      <c r="L761" s="695"/>
      <c r="M761" s="695"/>
      <c r="N761" s="1205"/>
      <c r="O761" s="25"/>
      <c r="P761" s="982"/>
      <c r="R761" s="955"/>
      <c r="S761" s="955"/>
      <c r="U761" s="522"/>
      <c r="V761" s="522"/>
      <c r="AA761" s="607"/>
    </row>
    <row r="762" spans="2:27" ht="12.75" customHeight="1" x14ac:dyDescent="0.2">
      <c r="B762" s="224"/>
      <c r="C762" s="977"/>
      <c r="D762" s="526" t="s">
        <v>304</v>
      </c>
      <c r="E762" s="1738" t="str">
        <f>Translations!$B$816</f>
        <v>Importēto vai eksportēto starpproduktu apraksts</v>
      </c>
      <c r="F762" s="1738"/>
      <c r="G762" s="1738"/>
      <c r="H762" s="1738"/>
      <c r="I762" s="1738"/>
      <c r="J762" s="1738"/>
      <c r="K762" s="1738"/>
      <c r="L762" s="1738"/>
      <c r="M762" s="1738"/>
      <c r="N762" s="1205"/>
      <c r="O762" s="25"/>
      <c r="P762" s="982"/>
      <c r="R762" s="955"/>
      <c r="S762" s="955"/>
      <c r="U762" s="522"/>
      <c r="V762" s="522"/>
      <c r="AA762" s="607"/>
    </row>
    <row r="763" spans="2:27" ht="12.75" customHeight="1" x14ac:dyDescent="0.2">
      <c r="B763" s="224"/>
      <c r="C763" s="977"/>
      <c r="D763" s="695"/>
      <c r="E763" s="1739"/>
      <c r="F763" s="1740"/>
      <c r="G763" s="1740"/>
      <c r="H763" s="1740"/>
      <c r="I763" s="1740"/>
      <c r="J763" s="1740"/>
      <c r="K763" s="1740"/>
      <c r="L763" s="1740"/>
      <c r="M763" s="1741"/>
      <c r="N763" s="1205"/>
      <c r="O763" s="25"/>
      <c r="P763" s="982"/>
      <c r="R763" s="955"/>
      <c r="S763" s="955"/>
      <c r="U763" s="522"/>
      <c r="V763" s="522"/>
      <c r="AA763" s="361" t="b">
        <f>AA755</f>
        <v>0</v>
      </c>
    </row>
    <row r="764" spans="2:27" ht="12.75" customHeight="1" thickBot="1" x14ac:dyDescent="0.25">
      <c r="B764" s="224"/>
      <c r="C764" s="977"/>
      <c r="D764" s="695"/>
      <c r="E764" s="1742"/>
      <c r="F764" s="1743"/>
      <c r="G764" s="1743"/>
      <c r="H764" s="1743"/>
      <c r="I764" s="1743"/>
      <c r="J764" s="1743"/>
      <c r="K764" s="1743"/>
      <c r="L764" s="1743"/>
      <c r="M764" s="1744"/>
      <c r="N764" s="1205"/>
      <c r="O764" s="25"/>
      <c r="P764" s="982"/>
      <c r="R764" s="955"/>
      <c r="S764" s="955"/>
      <c r="U764" s="522"/>
      <c r="V764" s="522"/>
      <c r="AA764" s="186" t="b">
        <f>AA755</f>
        <v>0</v>
      </c>
    </row>
    <row r="765" spans="2:27" ht="12.75" customHeight="1" thickBot="1" x14ac:dyDescent="0.25">
      <c r="B765" s="224"/>
      <c r="C765" s="983"/>
      <c r="D765" s="984"/>
      <c r="E765" s="984"/>
      <c r="F765" s="984"/>
      <c r="G765" s="984"/>
      <c r="H765" s="984"/>
      <c r="I765" s="984"/>
      <c r="J765" s="984"/>
      <c r="K765" s="984"/>
      <c r="L765" s="984"/>
      <c r="M765" s="985"/>
      <c r="N765" s="986"/>
      <c r="O765" s="25"/>
      <c r="P765" s="955"/>
      <c r="R765" s="955"/>
      <c r="S765" s="955"/>
    </row>
    <row r="766" spans="2:27" ht="13.5" thickBot="1" x14ac:dyDescent="0.25">
      <c r="B766" s="38"/>
      <c r="C766" s="38"/>
      <c r="D766" s="38"/>
      <c r="E766" s="38"/>
      <c r="F766" s="38"/>
      <c r="G766" s="38"/>
      <c r="H766" s="38"/>
      <c r="I766" s="38"/>
      <c r="J766" s="38"/>
      <c r="K766" s="38"/>
      <c r="L766" s="38"/>
      <c r="M766" s="38"/>
      <c r="N766" s="38"/>
      <c r="O766" s="25"/>
      <c r="P766" s="362" t="str">
        <f>IF(OR(AND(CNTR_ExistProductSubEntries=FALSE,P594=1),AND(I594&lt;&gt;"",COUNTIF(P767:$P$1814,"PRINT")=0)),"PRINT","")</f>
        <v/>
      </c>
      <c r="Q766" s="437" t="s">
        <v>481</v>
      </c>
      <c r="R766" s="955"/>
      <c r="S766" s="955"/>
    </row>
    <row r="767" spans="2:27" ht="5.0999999999999996" customHeight="1" thickBot="1" x14ac:dyDescent="0.25">
      <c r="B767" s="38"/>
      <c r="C767" s="987"/>
      <c r="D767" s="987"/>
      <c r="E767" s="987"/>
      <c r="F767" s="987"/>
      <c r="G767" s="987"/>
      <c r="H767" s="987"/>
      <c r="I767" s="987"/>
      <c r="J767" s="987"/>
      <c r="K767" s="987"/>
      <c r="L767" s="987"/>
      <c r="M767" s="987"/>
      <c r="N767" s="987"/>
      <c r="O767" s="25"/>
      <c r="R767" s="955"/>
      <c r="S767" s="955"/>
    </row>
    <row r="768" spans="2:27" ht="15.75" thickBot="1" x14ac:dyDescent="0.25">
      <c r="B768" s="224"/>
      <c r="C768" s="965">
        <f>C594+1</f>
        <v>5</v>
      </c>
      <c r="D768" s="1318" t="str">
        <f>EUconst_BMSubinst &amp; ":"</f>
        <v>Apakšiekārta ar produkta līmeņatzīmi:</v>
      </c>
      <c r="E768" s="1251"/>
      <c r="F768" s="1251"/>
      <c r="G768" s="1251"/>
      <c r="H768" s="1328"/>
      <c r="I768" s="1701" t="str">
        <f>IF(INDEX(CNTR_SubInstListIsProdBM,$C768),INDEX(CNTR_SubInstListNames,$C768),"")</f>
        <v/>
      </c>
      <c r="J768" s="1457"/>
      <c r="K768" s="1457"/>
      <c r="L768" s="1457"/>
      <c r="M768" s="1457"/>
      <c r="N768" s="1259"/>
      <c r="O768" s="25"/>
      <c r="P768" s="362">
        <f>C768</f>
        <v>5</v>
      </c>
      <c r="Q768" s="966" t="s">
        <v>225</v>
      </c>
      <c r="R768" s="967" t="str">
        <f>IF(I768="","",INDEX(CNTR_SubInstStartDate,MATCH($I768,CNTR_SubInstListNames,0)))</f>
        <v/>
      </c>
      <c r="S768" s="968" t="b">
        <f>IF($I768="",FALSE,AND(I$1823,YEAR($R768)&lt;I$1820))</f>
        <v>0</v>
      </c>
      <c r="T768" s="968" t="b">
        <f>IF($I768="",FALSE,AND(J$1823,YEAR($R768)&lt;J$1820))</f>
        <v>0</v>
      </c>
      <c r="U768" s="968" t="b">
        <f>IF($I768="",FALSE,AND(K$1823,YEAR($R768)&lt;K$1820))</f>
        <v>0</v>
      </c>
      <c r="V768" s="968" t="b">
        <f>IF($I768="",FALSE,AND(L$1823,YEAR($R768)&lt;L$1820))</f>
        <v>0</v>
      </c>
      <c r="W768" s="968" t="b">
        <f>IF($I768="",FALSE,AND(M$1823,YEAR($R768)&lt;M$1820))</f>
        <v>0</v>
      </c>
      <c r="Z768" s="732" t="s">
        <v>529</v>
      </c>
      <c r="AA768" s="734" t="b">
        <f>AND(CNTR_ExistSubInstEntries,I768="")</f>
        <v>0</v>
      </c>
    </row>
    <row r="769" spans="1:27" ht="5.0999999999999996" customHeight="1" x14ac:dyDescent="0.2">
      <c r="B769" s="224"/>
      <c r="C769" s="224"/>
      <c r="D769" s="224"/>
      <c r="E769" s="224"/>
      <c r="F769" s="224"/>
      <c r="G769" s="224"/>
      <c r="H769" s="224"/>
      <c r="I769" s="224"/>
      <c r="J769" s="224"/>
      <c r="K769" s="224"/>
      <c r="L769" s="224"/>
      <c r="M769" s="34"/>
      <c r="N769" s="34"/>
      <c r="O769" s="25"/>
      <c r="P769" s="955"/>
      <c r="R769" s="955"/>
      <c r="S769" s="955"/>
    </row>
    <row r="770" spans="1:27" ht="13.5" thickBot="1" x14ac:dyDescent="0.25">
      <c r="B770" s="224"/>
      <c r="C770" s="224"/>
      <c r="D770" s="32" t="s">
        <v>165</v>
      </c>
      <c r="E770" s="1250" t="str">
        <f>Translations!$B$670</f>
        <v>Vēsturiskie darbības līmeņi</v>
      </c>
      <c r="F770" s="1251"/>
      <c r="G770" s="1251"/>
      <c r="H770" s="1251"/>
      <c r="I770" s="1251"/>
      <c r="J770" s="1251"/>
      <c r="K770" s="1251"/>
      <c r="L770" s="1251"/>
      <c r="M770" s="1251"/>
      <c r="N770" s="1251"/>
      <c r="O770" s="25"/>
      <c r="P770" s="955"/>
      <c r="R770" s="955"/>
      <c r="S770" s="955"/>
    </row>
    <row r="771" spans="1:27" ht="13.5" customHeight="1" thickBot="1" x14ac:dyDescent="0.25">
      <c r="B771" s="38"/>
      <c r="C771" s="38"/>
      <c r="D771" s="32"/>
      <c r="E771" s="1320" t="str">
        <f>Translations!$B$676</f>
        <v>Gada darbības līmeņi:</v>
      </c>
      <c r="F771" s="1320"/>
      <c r="G771" s="1320"/>
      <c r="H771" s="52" t="str">
        <f>EUconst_Unit</f>
        <v>Vienība</v>
      </c>
      <c r="I771" s="412">
        <f>I$1820</f>
        <v>2019</v>
      </c>
      <c r="J771" s="412">
        <f>J$1820</f>
        <v>2020</v>
      </c>
      <c r="K771" s="412">
        <f>K$1820</f>
        <v>2021</v>
      </c>
      <c r="L771" s="412">
        <f>L$1820</f>
        <v>2022</v>
      </c>
      <c r="M771" s="412">
        <f>M$1820</f>
        <v>2023</v>
      </c>
      <c r="N771" s="34"/>
      <c r="O771" s="25"/>
      <c r="P771" s="955"/>
      <c r="Q771" s="439" t="s">
        <v>416</v>
      </c>
      <c r="R771" s="289"/>
      <c r="S771" s="289"/>
      <c r="T771" s="289"/>
      <c r="U771" s="289"/>
      <c r="V771" s="289"/>
      <c r="W771" s="290"/>
      <c r="AA771" s="437" t="s">
        <v>262</v>
      </c>
    </row>
    <row r="772" spans="1:27" ht="13.5" thickBot="1" x14ac:dyDescent="0.25">
      <c r="B772" s="38"/>
      <c r="C772" s="38"/>
      <c r="D772" s="212" t="s">
        <v>2</v>
      </c>
      <c r="E772" s="1716" t="str">
        <f>I768</f>
        <v/>
      </c>
      <c r="F772" s="1716"/>
      <c r="G772" s="1716"/>
      <c r="H772" s="116" t="str">
        <f>IF(INDEX(CNTR_SubInstListIsProdBM,$C768),INDEX(CNTR_SubInstListHALUnit,$C768),EUconst_Tons)</f>
        <v>tonnas</v>
      </c>
      <c r="I772" s="595"/>
      <c r="J772" s="595"/>
      <c r="K772" s="595"/>
      <c r="L772" s="595"/>
      <c r="M772" s="595"/>
      <c r="N772" s="34"/>
      <c r="O772" s="25"/>
      <c r="P772" s="182" t="s">
        <v>228</v>
      </c>
      <c r="Q772" s="1023" t="s">
        <v>618</v>
      </c>
      <c r="R772" s="204" t="s">
        <v>629</v>
      </c>
      <c r="S772" s="454">
        <f>I771</f>
        <v>2019</v>
      </c>
      <c r="T772" s="455">
        <f>J771</f>
        <v>2020</v>
      </c>
      <c r="U772" s="455">
        <f>K771</f>
        <v>2021</v>
      </c>
      <c r="V772" s="455">
        <f>L771</f>
        <v>2022</v>
      </c>
      <c r="W772" s="456">
        <f>M771</f>
        <v>2023</v>
      </c>
      <c r="Z772" s="437"/>
      <c r="AA772" s="643" t="b">
        <f>IF(CNTR_ExistSubInstEntries,AND(I768&lt;&gt;"",Q776),FALSE)</f>
        <v>0</v>
      </c>
    </row>
    <row r="773" spans="1:27" ht="13.5" thickBot="1" x14ac:dyDescent="0.25">
      <c r="B773" s="38"/>
      <c r="C773" s="38"/>
      <c r="D773" s="212" t="s">
        <v>3</v>
      </c>
      <c r="E773" s="1716" t="str">
        <f>Translations!$B$677</f>
        <v>No lapas “H_SpecialBM”:</v>
      </c>
      <c r="F773" s="1716"/>
      <c r="G773" s="1716"/>
      <c r="H773" s="116" t="str">
        <f>H772</f>
        <v>tonnas</v>
      </c>
      <c r="I773" s="336" t="str">
        <f>IF($I768="","",IF($Q776,SUMIF(H_SpecialBM!$P$9:$P$401,$P773,H_SpecialBM!I$9:I$401),""))</f>
        <v/>
      </c>
      <c r="J773" s="336" t="str">
        <f>IF($I768="","",IF($Q776,SUMIF(H_SpecialBM!$P$9:$P$401,$P773,H_SpecialBM!J$9:J$401),""))</f>
        <v/>
      </c>
      <c r="K773" s="336" t="str">
        <f>IF($I768="","",IF($Q776,SUMIF(H_SpecialBM!$P$9:$P$401,$P773,H_SpecialBM!K$9:K$401),""))</f>
        <v/>
      </c>
      <c r="L773" s="336" t="str">
        <f>IF($I768="","",IF($Q776,SUMIF(H_SpecialBM!$P$9:$P$401,$P773,H_SpecialBM!L$9:L$401),""))</f>
        <v/>
      </c>
      <c r="M773" s="336" t="str">
        <f>IF($I768="","",IF($Q776,SUMIF(H_SpecialBM!$P$9:$P$401,$P773,H_SpecialBM!M$9:M$401),""))</f>
        <v/>
      </c>
      <c r="N773" s="34"/>
      <c r="O773" s="25"/>
      <c r="P773" s="969" t="str">
        <f>EUconst_CNTR_HALspecial&amp;I768</f>
        <v>HALspecial_</v>
      </c>
      <c r="Q773" s="1093" t="str">
        <f>IF(COUNT($U773:$V773)&gt;0,SUM($U773:$V773),"")</f>
        <v/>
      </c>
      <c r="R773" s="1094" t="str">
        <f>IF(COUNT(S773:W773)&gt;0,MEDIAN(S773:W773),"")</f>
        <v/>
      </c>
      <c r="S773" s="1095" t="str">
        <f>IF(S768,IF(ISNUMBER(I773),I773,""),"")</f>
        <v/>
      </c>
      <c r="T773" s="1096" t="str">
        <f>IF(T768,IF(ISNUMBER(J773),J773,""),"")</f>
        <v/>
      </c>
      <c r="U773" s="1096" t="str">
        <f>IF(U768,IF(ISNUMBER(K773),K773,""),"")</f>
        <v/>
      </c>
      <c r="V773" s="1096" t="str">
        <f>IF(V768,IF(ISNUMBER(L773),L773,""),"")</f>
        <v/>
      </c>
      <c r="W773" s="1094" t="str">
        <f>IF(W768,IF(ISNUMBER(M773),M773,""),"")</f>
        <v/>
      </c>
      <c r="AA773" s="719" t="b">
        <f>Q776=FALSE</f>
        <v>0</v>
      </c>
    </row>
    <row r="774" spans="1:27" ht="13.5" thickBot="1" x14ac:dyDescent="0.25">
      <c r="B774" s="38"/>
      <c r="C774" s="38"/>
      <c r="D774" s="212" t="s">
        <v>4</v>
      </c>
      <c r="E774" s="1716" t="str">
        <f>Translations!$B$678</f>
        <v>Aprēķinā izmantotās vērtības:</v>
      </c>
      <c r="F774" s="1716"/>
      <c r="G774" s="1716"/>
      <c r="H774" s="116" t="str">
        <f>H773</f>
        <v>tonnas</v>
      </c>
      <c r="I774" s="336" t="str">
        <f>IF($I768="","",IF($Q776=TRUE,IF(ISNUMBER(I773),I773,0),IF(ISNUMBER(I772),I772,0)))</f>
        <v/>
      </c>
      <c r="J774" s="336" t="str">
        <f>IF($I768="","",IF($Q776=TRUE,IF(ISNUMBER(J773),J773,0),IF(ISNUMBER(J772),J772,0)))</f>
        <v/>
      </c>
      <c r="K774" s="336" t="str">
        <f>IF($I768="","",IF($Q776=TRUE,IF(ISNUMBER(K773),K773,0),IF(ISNUMBER(K772),K772,0)))</f>
        <v/>
      </c>
      <c r="L774" s="336" t="str">
        <f>IF($I768="","",IF($Q776=TRUE,IF(ISNUMBER(L773),L773,0),IF(ISNUMBER(L772),L772,0)))</f>
        <v/>
      </c>
      <c r="M774" s="336" t="str">
        <f>IF($I768="","",IF($Q776=TRUE,IF(ISNUMBER(M773),M773,0),IF(ISNUMBER(M772),M772,0)))</f>
        <v/>
      </c>
      <c r="N774" s="34"/>
      <c r="O774" s="25"/>
      <c r="P774" s="969" t="str">
        <f>EUconst_CNTR_HAL&amp;I768</f>
        <v>HAL_</v>
      </c>
      <c r="Q774" s="1097" t="str">
        <f>IF(COUNT($U774:$V774)&gt;0,SUM($U774:$V774),"")</f>
        <v/>
      </c>
      <c r="R774" s="1098" t="str">
        <f>IF(COUNT(S774:W774)&gt;0,MEDIAN(S774:W774),"")</f>
        <v/>
      </c>
      <c r="S774" s="1099" t="str">
        <f>IF(S768,IF(ISNUMBER(I774),I774,""),"")</f>
        <v/>
      </c>
      <c r="T774" s="1100" t="str">
        <f>IF(T768,IF(ISNUMBER(J774),J774,""),"")</f>
        <v/>
      </c>
      <c r="U774" s="1100" t="str">
        <f>IF(U768,IF(ISNUMBER(K774),K774,""),"")</f>
        <v/>
      </c>
      <c r="V774" s="1100" t="str">
        <f>IF(V768,IF(ISNUMBER(L774),L774,""),"")</f>
        <v/>
      </c>
      <c r="W774" s="1098" t="str">
        <f>IF(W768,IF(ISNUMBER(M774),M774,""),"")</f>
        <v/>
      </c>
    </row>
    <row r="775" spans="1:27" ht="5.0999999999999996" customHeight="1" x14ac:dyDescent="0.2">
      <c r="B775" s="224"/>
      <c r="C775" s="224"/>
      <c r="D775" s="224"/>
      <c r="E775" s="224"/>
      <c r="F775" s="224"/>
      <c r="G775" s="224"/>
      <c r="H775" s="224"/>
      <c r="I775" s="224"/>
      <c r="J775" s="224"/>
      <c r="K775" s="224"/>
      <c r="L775" s="224"/>
      <c r="M775" s="34"/>
      <c r="N775" s="34"/>
      <c r="O775" s="25"/>
      <c r="P775" s="955"/>
      <c r="R775" s="955"/>
      <c r="S775" s="955"/>
    </row>
    <row r="776" spans="1:27" x14ac:dyDescent="0.2">
      <c r="B776" s="224"/>
      <c r="C776" s="224"/>
      <c r="D776" s="32" t="s">
        <v>339</v>
      </c>
      <c r="E776" s="1250" t="str">
        <f>Translations!$B$679</f>
        <v>Īpašas ziņošanas prasības:</v>
      </c>
      <c r="F776" s="1250"/>
      <c r="G776" s="1524"/>
      <c r="H776" s="1713" t="str">
        <f>IF(I768="","",HYPERLINK(INDEX(EUconst_BMlistSpecialJumpTable,MATCH(I768,EUconst_BMlistNames,0)),INDEX(EUconst_BMlistSpecialReporting,MATCH(I768,EUconst_BMlistNames,0))))</f>
        <v/>
      </c>
      <c r="I776" s="1718"/>
      <c r="J776" s="1718"/>
      <c r="K776" s="1718"/>
      <c r="L776" s="1718"/>
      <c r="M776" s="1718"/>
      <c r="N776" s="1719"/>
      <c r="O776" s="25"/>
      <c r="P776" s="966" t="s">
        <v>37</v>
      </c>
      <c r="Q776" s="134" t="str">
        <f>IF(I768="","",IF(AND(INDEX(EUconst_BMlistSpecialJumpTable,MATCH(I768,EUconst_BMlistNames,0))&lt;&gt;"",INDEX(EUconst_BMlistMainNumberOfBM,MATCH(I768,EUconst_BMlistNames,0))&lt;&gt;47),TRUE,FALSE))</f>
        <v/>
      </c>
      <c r="R776" s="966" t="s">
        <v>574</v>
      </c>
      <c r="S776" s="134" t="b">
        <f>IF(I768="",FALSE,INDEX(CNTR_SubInstLess1Year,MATCH(I768,CNTR_SubInstListNames,0)))</f>
        <v>0</v>
      </c>
    </row>
    <row r="777" spans="1:27" ht="5.0999999999999996" customHeight="1" x14ac:dyDescent="0.2">
      <c r="B777" s="224"/>
      <c r="C777" s="224"/>
      <c r="D777" s="224"/>
      <c r="E777" s="224"/>
      <c r="F777" s="224"/>
      <c r="G777" s="224"/>
      <c r="H777" s="224"/>
      <c r="I777" s="224"/>
      <c r="J777" s="224"/>
      <c r="K777" s="224"/>
      <c r="L777" s="224"/>
      <c r="M777" s="224"/>
      <c r="N777" s="224"/>
      <c r="O777" s="25"/>
      <c r="P777" s="955"/>
      <c r="R777" s="955"/>
      <c r="S777" s="955"/>
    </row>
    <row r="778" spans="1:27" ht="12.75" customHeight="1" x14ac:dyDescent="0.2">
      <c r="B778" s="38"/>
      <c r="C778" s="38"/>
      <c r="D778" s="32" t="s">
        <v>11</v>
      </c>
      <c r="E778" s="1717" t="str">
        <f>Translations!$B$1663</f>
        <v>Elektroenerģijas patēriņš</v>
      </c>
      <c r="F778" s="1717"/>
      <c r="G778" s="1717"/>
      <c r="H778" s="1717"/>
      <c r="I778" s="1717"/>
      <c r="J778" s="1717"/>
      <c r="K778" s="1717"/>
      <c r="L778" s="1717"/>
      <c r="M778" s="1717"/>
      <c r="N778" s="1717"/>
      <c r="O778" s="25"/>
      <c r="P778" s="20" t="s">
        <v>192</v>
      </c>
      <c r="Q778" s="362" t="str">
        <f>"#"&amp;ADDRESS(ROW(D782),COLUMN(D782))</f>
        <v>#$D$782</v>
      </c>
      <c r="R778" s="955"/>
      <c r="S778" s="955"/>
      <c r="AA778" s="955"/>
    </row>
    <row r="779" spans="1:27" s="697" customFormat="1" ht="13.5" thickBot="1" x14ac:dyDescent="0.25">
      <c r="A779" s="437"/>
      <c r="B779" s="414"/>
      <c r="C779" s="414"/>
      <c r="D779" s="32"/>
      <c r="E779" s="1320" t="str">
        <f>Translations!$B$686</f>
        <v>Parametrs</v>
      </c>
      <c r="F779" s="1275"/>
      <c r="G779" s="1275"/>
      <c r="H779" s="52" t="str">
        <f>EUconst_Unit</f>
        <v>Vienība</v>
      </c>
      <c r="I779" s="412">
        <f>I771</f>
        <v>2019</v>
      </c>
      <c r="J779" s="412">
        <f>J771</f>
        <v>2020</v>
      </c>
      <c r="K779" s="412">
        <f>K771</f>
        <v>2021</v>
      </c>
      <c r="L779" s="412">
        <f>L771</f>
        <v>2022</v>
      </c>
      <c r="M779" s="412">
        <f>M771</f>
        <v>2023</v>
      </c>
      <c r="N779" s="34"/>
      <c r="O779" s="25"/>
      <c r="P779" s="437"/>
      <c r="Q779" s="437"/>
      <c r="R779" s="955"/>
      <c r="S779" s="955"/>
      <c r="T779" s="955"/>
      <c r="U779" s="955"/>
      <c r="V779" s="955"/>
      <c r="W779" s="955"/>
      <c r="X779" s="20"/>
      <c r="Y779" s="20"/>
      <c r="Z779" s="437"/>
      <c r="AA779" s="955" t="s">
        <v>633</v>
      </c>
    </row>
    <row r="780" spans="1:27" s="697" customFormat="1" ht="12.75" customHeight="1" thickBot="1" x14ac:dyDescent="0.25">
      <c r="A780" s="437"/>
      <c r="B780" s="414"/>
      <c r="C780" s="414"/>
      <c r="D780" s="440"/>
      <c r="E780" s="1711" t="str">
        <f>Translations!$B$689</f>
        <v>Relevantais elektroenerģijas patēriņš</v>
      </c>
      <c r="F780" s="1712"/>
      <c r="G780" s="1712"/>
      <c r="H780" s="610" t="str">
        <f>EUconst_MWhpa</f>
        <v>MWh / gads</v>
      </c>
      <c r="I780" s="1102"/>
      <c r="J780" s="1102"/>
      <c r="K780" s="1102"/>
      <c r="L780" s="1102"/>
      <c r="M780" s="1102"/>
      <c r="N780" s="34"/>
      <c r="O780" s="25"/>
      <c r="P780" s="202" t="str">
        <f>EUconst_CNTR_HAL&amp;EUconst_CNTR_ELEXCH</f>
        <v>HAL_ELEXCH_</v>
      </c>
      <c r="Q780" s="202" t="str">
        <f>EUconst_CNTR_HAL&amp;EUconst_CNTR_ELEXCH &amp; I768</f>
        <v>HAL_ELEXCH_</v>
      </c>
      <c r="R780" s="955"/>
      <c r="S780" s="955"/>
      <c r="T780" s="955"/>
      <c r="U780" s="955"/>
      <c r="V780" s="955"/>
      <c r="W780" s="955"/>
      <c r="X780" s="20"/>
      <c r="Y780" s="20"/>
      <c r="Z780" s="437"/>
      <c r="AA780" s="885" t="b">
        <f>IF(CNTR_ExistSubInstEntries,IF(I768&lt;&gt;"",IF(INDEX(EUconst_BMlistElExchangability,MATCH(I768,EUconst_BMlistNames,0)),FALSE,TRUE),TRUE),FALSE)</f>
        <v>0</v>
      </c>
    </row>
    <row r="781" spans="1:27" ht="5.0999999999999996" customHeight="1" x14ac:dyDescent="0.2">
      <c r="B781" s="224"/>
      <c r="C781" s="224"/>
      <c r="D781" s="224"/>
      <c r="E781" s="224"/>
      <c r="F781" s="224"/>
      <c r="G781" s="224"/>
      <c r="H781" s="224"/>
      <c r="I781" s="224"/>
      <c r="J781" s="224"/>
      <c r="K781" s="224"/>
      <c r="L781" s="224"/>
      <c r="M781" s="34"/>
      <c r="N781" s="34"/>
      <c r="O781" s="25"/>
      <c r="P781" s="955"/>
    </row>
    <row r="782" spans="1:27" x14ac:dyDescent="0.2">
      <c r="B782" s="224"/>
      <c r="C782" s="224"/>
      <c r="D782" s="32" t="s">
        <v>342</v>
      </c>
      <c r="E782" s="1250" t="str">
        <f>Translations!$B$692</f>
        <v>No ETS neaptvertām iekārtām vai vienībām importētais siltums:</v>
      </c>
      <c r="F782" s="1250"/>
      <c r="G782" s="1250"/>
      <c r="H782" s="1250"/>
      <c r="I782" s="1524"/>
      <c r="J782" s="1713" t="str">
        <f>IF(I768="","",HYPERLINK(Q782,EUconst_MsgGoOnIfNotRelevant))</f>
        <v/>
      </c>
      <c r="K782" s="1714"/>
      <c r="L782" s="1714"/>
      <c r="M782" s="1714"/>
      <c r="N782" s="1715"/>
      <c r="O782" s="25"/>
      <c r="P782" s="20" t="s">
        <v>192</v>
      </c>
      <c r="Q782" s="362" t="str">
        <f>"#"&amp;ADDRESS(ROW(D789),COLUMN(D789))</f>
        <v>#$D$789</v>
      </c>
    </row>
    <row r="783" spans="1:27" ht="5.0999999999999996" customHeight="1" x14ac:dyDescent="0.2">
      <c r="B783" s="224"/>
      <c r="C783" s="224"/>
      <c r="D783" s="34"/>
      <c r="E783" s="1319"/>
      <c r="F783" s="1319"/>
      <c r="G783" s="1319"/>
      <c r="H783" s="1319"/>
      <c r="I783" s="1319"/>
      <c r="J783" s="1319"/>
      <c r="K783" s="1319"/>
      <c r="L783" s="1319"/>
      <c r="M783" s="1319"/>
      <c r="N783" s="1319"/>
      <c r="O783" s="25"/>
      <c r="P783" s="955"/>
      <c r="R783" s="955"/>
      <c r="S783" s="955"/>
    </row>
    <row r="784" spans="1:27" ht="13.5" thickBot="1" x14ac:dyDescent="0.25">
      <c r="B784" s="38"/>
      <c r="C784" s="38"/>
      <c r="D784" s="32"/>
      <c r="E784" s="1320" t="str">
        <f>Translations!$B$686</f>
        <v>Parametrs</v>
      </c>
      <c r="F784" s="1275"/>
      <c r="G784" s="1275"/>
      <c r="H784" s="52" t="str">
        <f>EUconst_Unit</f>
        <v>Vienība</v>
      </c>
      <c r="I784" s="412">
        <f>I771</f>
        <v>2019</v>
      </c>
      <c r="J784" s="412">
        <f>J771</f>
        <v>2020</v>
      </c>
      <c r="K784" s="412">
        <f>K771</f>
        <v>2021</v>
      </c>
      <c r="L784" s="412">
        <f>L771</f>
        <v>2022</v>
      </c>
      <c r="M784" s="412">
        <f>M771</f>
        <v>2023</v>
      </c>
      <c r="N784" s="34"/>
      <c r="O784" s="25"/>
      <c r="Q784" s="63"/>
      <c r="R784" s="955"/>
      <c r="S784" s="63">
        <f>I784</f>
        <v>2019</v>
      </c>
      <c r="T784" s="63">
        <f>J784</f>
        <v>2020</v>
      </c>
      <c r="U784" s="63">
        <f>K784</f>
        <v>2021</v>
      </c>
      <c r="V784" s="63">
        <f>L784</f>
        <v>2022</v>
      </c>
      <c r="W784" s="63">
        <f>M784</f>
        <v>2023</v>
      </c>
      <c r="Z784" s="63"/>
      <c r="AA784" s="437" t="s">
        <v>262</v>
      </c>
    </row>
    <row r="785" spans="2:27" ht="13.5" thickBot="1" x14ac:dyDescent="0.25">
      <c r="B785" s="38"/>
      <c r="C785" s="38"/>
      <c r="D785" s="212" t="s">
        <v>2</v>
      </c>
      <c r="E785" s="1517" t="str">
        <f>Translations!$B$697</f>
        <v>No ETS neaptvertām iekārtām/vienībām importēts izmērāmais siltums</v>
      </c>
      <c r="F785" s="1517"/>
      <c r="G785" s="1517"/>
      <c r="H785" s="66" t="str">
        <f>EUconst_TJpa</f>
        <v>TJ / gads</v>
      </c>
      <c r="I785" s="330"/>
      <c r="J785" s="330"/>
      <c r="K785" s="330"/>
      <c r="L785" s="330"/>
      <c r="M785" s="330"/>
      <c r="N785" s="34"/>
      <c r="O785" s="25"/>
      <c r="P785" s="134" t="str">
        <f>EUconst_CNTR_HAL&amp;EUconst_CNTR_nonETSMeasHeat</f>
        <v>HAL_ETS neaptverts izmērāmais siltums</v>
      </c>
      <c r="R785" s="955"/>
      <c r="S785" s="454" t="str">
        <f>IF(S768,IF(ISNUMBER(I785),I785,0),"")</f>
        <v/>
      </c>
      <c r="T785" s="455" t="str">
        <f>IF(T768,IF(ISNUMBER(J785),J785,0),"")</f>
        <v/>
      </c>
      <c r="U785" s="455" t="str">
        <f>IF(U768,IF(ISNUMBER(K785),K785,0),"")</f>
        <v/>
      </c>
      <c r="V785" s="455" t="str">
        <f>IF(V768,IF(ISNUMBER(L785),L785,0),"")</f>
        <v/>
      </c>
      <c r="W785" s="456" t="str">
        <f>IF(W768,IF(ISNUMBER(M785),M785,0),"")</f>
        <v/>
      </c>
      <c r="AA785" s="643" t="b">
        <f>AND(CNTR_ExistSubInstEntries,I768="")</f>
        <v>0</v>
      </c>
    </row>
    <row r="786" spans="2:27" ht="25.5" customHeight="1" thickBot="1" x14ac:dyDescent="0.25">
      <c r="B786" s="38"/>
      <c r="C786" s="38"/>
      <c r="D786" s="212" t="s">
        <v>3</v>
      </c>
      <c r="E786" s="1541" t="str">
        <f>Translations!$B$698</f>
        <v>Konsekvences pārbaude — saskanība ar lapu “E_Energy flows”:</v>
      </c>
      <c r="F786" s="1541"/>
      <c r="G786" s="1541"/>
      <c r="H786" s="45" t="s">
        <v>393</v>
      </c>
      <c r="I786" s="317" t="str">
        <f>IF(AND(ISNUMBER(I785),ISNUMBER(E_EnergyFlows!I$120)), I785/E_EnergyFlows!I$120*100,"")</f>
        <v/>
      </c>
      <c r="J786" s="317" t="str">
        <f>IF(AND(ISNUMBER(J785),ISNUMBER(E_EnergyFlows!J$120)), J785/E_EnergyFlows!J$120*100,"")</f>
        <v/>
      </c>
      <c r="K786" s="317" t="str">
        <f>IF(AND(ISNUMBER(K785),ISNUMBER(E_EnergyFlows!K$120)), K785/E_EnergyFlows!K$120*100,"")</f>
        <v/>
      </c>
      <c r="L786" s="317" t="str">
        <f>IF(AND(ISNUMBER(L785),ISNUMBER(E_EnergyFlows!L$120)), L785/E_EnergyFlows!L$120*100,"")</f>
        <v/>
      </c>
      <c r="M786" s="317" t="str">
        <f>IF(AND(ISNUMBER(M785),ISNUMBER(E_EnergyFlows!M$120)), M785/E_EnergyFlows!M$120*100,"")</f>
        <v/>
      </c>
      <c r="N786" s="38"/>
      <c r="O786" s="25"/>
      <c r="P786" s="182" t="str">
        <f>EUconst_CNTR_HEAT &amp; I768</f>
        <v>HEAT_</v>
      </c>
      <c r="Q786" s="315" t="str">
        <f>IF(COUNT(S785:X785)&gt;0,AVERAGE(S785:X785)*EUconst_HeatBMvalue,EUconst_NA)</f>
        <v>NA</v>
      </c>
      <c r="R786" s="955"/>
      <c r="S786" s="955"/>
      <c r="AA786" s="607"/>
    </row>
    <row r="787" spans="2:27" x14ac:dyDescent="0.2">
      <c r="B787" s="38"/>
      <c r="C787" s="38"/>
      <c r="D787" s="212" t="s">
        <v>4</v>
      </c>
      <c r="E787" s="1373" t="str">
        <f>Translations!$B$699</f>
        <v>Konsekvences pārbaude — saskanība ar k) punkta i. apakšpunktu.</v>
      </c>
      <c r="F787" s="1550"/>
      <c r="G787" s="1550"/>
      <c r="H787" s="48" t="s">
        <v>393</v>
      </c>
      <c r="I787" s="316" t="str">
        <f>IF(AND(I863&gt;0,ISNUMBER(I785)), I785/I863*100,"")</f>
        <v/>
      </c>
      <c r="J787" s="316" t="str">
        <f>IF(AND(J863&gt;0,ISNUMBER(J785)), J785/J863*100,"")</f>
        <v/>
      </c>
      <c r="K787" s="316" t="str">
        <f>IF(AND(K863&gt;0,ISNUMBER(K785)), K785/K863*100,"")</f>
        <v/>
      </c>
      <c r="L787" s="316" t="str">
        <f>IF(AND(L863&gt;0,ISNUMBER(L785)), L785/L863*100,"")</f>
        <v/>
      </c>
      <c r="M787" s="316" t="str">
        <f>IF(AND(M863&gt;0,ISNUMBER(M785)), M785/M863*100,"")</f>
        <v/>
      </c>
      <c r="N787" s="38"/>
      <c r="O787" s="25"/>
      <c r="R787" s="955"/>
      <c r="S787" s="955"/>
      <c r="AA787" s="607"/>
    </row>
    <row r="788" spans="2:27" ht="12.75" customHeight="1" x14ac:dyDescent="0.2">
      <c r="B788" s="38"/>
      <c r="C788" s="38"/>
      <c r="D788" s="38"/>
      <c r="E788" s="38"/>
      <c r="F788" s="38"/>
      <c r="G788" s="38"/>
      <c r="H788" s="38"/>
      <c r="I788" s="125"/>
      <c r="J788" s="38"/>
      <c r="K788" s="38"/>
      <c r="L788" s="38"/>
      <c r="M788" s="38"/>
      <c r="N788" s="38"/>
      <c r="O788" s="25"/>
      <c r="P788" s="157"/>
      <c r="R788" s="955"/>
      <c r="S788" s="955"/>
      <c r="AA788" s="607"/>
    </row>
    <row r="789" spans="2:27" ht="15" x14ac:dyDescent="0.2">
      <c r="B789" s="38"/>
      <c r="C789" s="972"/>
      <c r="D789" s="1318" t="str">
        <f>Translations!$B$700</f>
        <v>Ražošanas dati</v>
      </c>
      <c r="E789" s="1251"/>
      <c r="F789" s="1251"/>
      <c r="G789" s="1251"/>
      <c r="H789" s="1251"/>
      <c r="I789" s="1251"/>
      <c r="J789" s="1251"/>
      <c r="K789" s="1251"/>
      <c r="L789" s="1251"/>
      <c r="M789" s="1251"/>
      <c r="N789" s="1251"/>
      <c r="O789" s="25"/>
      <c r="R789" s="955"/>
      <c r="S789" s="955"/>
      <c r="AA789" s="607"/>
    </row>
    <row r="790" spans="2:27" ht="5.0999999999999996" customHeight="1" x14ac:dyDescent="0.2">
      <c r="B790" s="224"/>
      <c r="C790" s="224"/>
      <c r="D790" s="224"/>
      <c r="E790" s="224"/>
      <c r="F790" s="224"/>
      <c r="G790" s="224"/>
      <c r="H790" s="224"/>
      <c r="I790" s="224"/>
      <c r="J790" s="224"/>
      <c r="K790" s="224"/>
      <c r="L790" s="224"/>
      <c r="M790" s="224"/>
      <c r="N790" s="224"/>
      <c r="O790" s="25"/>
      <c r="P790" s="955"/>
      <c r="Q790" s="955"/>
      <c r="R790" s="955"/>
      <c r="S790" s="955"/>
      <c r="AA790" s="607"/>
    </row>
    <row r="791" spans="2:27" x14ac:dyDescent="0.2">
      <c r="B791" s="224"/>
      <c r="C791" s="32"/>
      <c r="D791" s="32" t="s">
        <v>12</v>
      </c>
      <c r="E791" s="1250" t="str">
        <f>Translations!$B$701</f>
        <v>Šajā produkta līmeņatzīmes apakšiekārtā ietverto produktu identificēšana</v>
      </c>
      <c r="F791" s="1251"/>
      <c r="G791" s="1251"/>
      <c r="H791" s="1251"/>
      <c r="I791" s="1251"/>
      <c r="J791" s="1251"/>
      <c r="K791" s="1251"/>
      <c r="L791" s="1251"/>
      <c r="M791" s="1251"/>
      <c r="N791" s="1251"/>
      <c r="O791" s="25"/>
      <c r="P791" s="955"/>
      <c r="R791" s="955"/>
      <c r="S791" s="955"/>
      <c r="AA791" s="607"/>
    </row>
    <row r="792" spans="2:27" ht="5.0999999999999996" customHeight="1" x14ac:dyDescent="0.2">
      <c r="B792" s="224"/>
      <c r="C792" s="224"/>
      <c r="D792" s="224"/>
      <c r="E792" s="224"/>
      <c r="F792" s="224"/>
      <c r="G792" s="224"/>
      <c r="H792" s="224"/>
      <c r="I792" s="224"/>
      <c r="J792" s="224"/>
      <c r="K792" s="224"/>
      <c r="L792" s="224"/>
      <c r="M792" s="224"/>
      <c r="N792" s="224"/>
      <c r="O792" s="25"/>
      <c r="P792" s="955"/>
      <c r="Q792" s="955"/>
      <c r="R792" s="955"/>
      <c r="S792" s="955"/>
      <c r="AA792" s="607"/>
    </row>
    <row r="793" spans="2:27" x14ac:dyDescent="0.2">
      <c r="B793" s="224"/>
      <c r="C793" s="32"/>
      <c r="D793" s="32" t="s">
        <v>13</v>
      </c>
      <c r="E793" s="1250" t="str">
        <f>Translations!$B$706</f>
        <v>Šajā produkta līmeņatzīmes apakšiekārtā ietverto produktu atsevišķie ražošanas līmeņi</v>
      </c>
      <c r="F793" s="1251"/>
      <c r="G793" s="1251"/>
      <c r="H793" s="1251"/>
      <c r="I793" s="1251"/>
      <c r="J793" s="1251"/>
      <c r="K793" s="1251"/>
      <c r="L793" s="1251"/>
      <c r="M793" s="1251"/>
      <c r="N793" s="1251"/>
      <c r="O793" s="25"/>
      <c r="P793" s="955"/>
      <c r="R793" s="955"/>
      <c r="S793" s="955"/>
      <c r="AA793" s="607"/>
    </row>
    <row r="794" spans="2:27" ht="5.0999999999999996" customHeight="1" x14ac:dyDescent="0.2">
      <c r="B794" s="224"/>
      <c r="C794" s="224"/>
      <c r="D794" s="34"/>
      <c r="E794" s="35"/>
      <c r="F794" s="35"/>
      <c r="G794" s="35"/>
      <c r="H794" s="35"/>
      <c r="I794" s="35"/>
      <c r="J794" s="39"/>
      <c r="K794" s="39"/>
      <c r="L794" s="39"/>
      <c r="M794" s="34"/>
      <c r="N794" s="34"/>
      <c r="O794" s="25"/>
      <c r="P794" s="955"/>
      <c r="R794" s="955"/>
      <c r="S794" s="955"/>
      <c r="AA794" s="607"/>
    </row>
    <row r="795" spans="2:27" ht="25.5" customHeight="1" x14ac:dyDescent="0.2">
      <c r="B795" s="38"/>
      <c r="C795" s="38"/>
      <c r="D795" s="360"/>
      <c r="E795" s="1121" t="str">
        <f>Translations!$B$1668</f>
        <v>PRODCOM 2010</v>
      </c>
      <c r="F795" s="1703" t="str">
        <f>Translations!$B$707</f>
        <v>Produkta vai produktu grupas nosaukums</v>
      </c>
      <c r="G795" s="1704"/>
      <c r="H795" s="1129" t="str">
        <f>EUconst_Unit</f>
        <v>Vienība</v>
      </c>
      <c r="I795" s="1130">
        <f>I$1820</f>
        <v>2019</v>
      </c>
      <c r="J795" s="1130">
        <f>J$1820</f>
        <v>2020</v>
      </c>
      <c r="K795" s="1130">
        <f>K$1820</f>
        <v>2021</v>
      </c>
      <c r="L795" s="1130">
        <f>L$1820</f>
        <v>2022</v>
      </c>
      <c r="M795" s="1130">
        <f>M$1820</f>
        <v>2023</v>
      </c>
      <c r="N795" s="1131" t="str">
        <f>Translations!$B$1669</f>
        <v>KN kodi</v>
      </c>
      <c r="O795" s="25"/>
      <c r="R795" s="955"/>
      <c r="S795" s="955"/>
      <c r="AA795" s="607"/>
    </row>
    <row r="796" spans="2:27" x14ac:dyDescent="0.2">
      <c r="B796" s="38"/>
      <c r="C796" s="38"/>
      <c r="D796" s="55">
        <v>1</v>
      </c>
      <c r="E796" s="1199"/>
      <c r="F796" s="1705"/>
      <c r="G796" s="1706"/>
      <c r="H796" s="800"/>
      <c r="I796" s="484"/>
      <c r="J796" s="484"/>
      <c r="K796" s="484"/>
      <c r="L796" s="484"/>
      <c r="M796" s="484"/>
      <c r="N796" s="1145"/>
      <c r="O796" s="25"/>
      <c r="R796" s="955"/>
      <c r="S796" s="955"/>
      <c r="AA796" s="361" t="b">
        <f>AA785</f>
        <v>0</v>
      </c>
    </row>
    <row r="797" spans="2:27" x14ac:dyDescent="0.2">
      <c r="B797" s="38"/>
      <c r="C797" s="38"/>
      <c r="D797" s="56">
        <f>D796+1</f>
        <v>2</v>
      </c>
      <c r="E797" s="1200"/>
      <c r="F797" s="1707"/>
      <c r="G797" s="1708"/>
      <c r="H797" s="573"/>
      <c r="I797" s="557"/>
      <c r="J797" s="557"/>
      <c r="K797" s="557"/>
      <c r="L797" s="557"/>
      <c r="M797" s="557"/>
      <c r="N797" s="1146"/>
      <c r="O797" s="25"/>
      <c r="R797" s="955"/>
      <c r="S797" s="955"/>
      <c r="AA797" s="361" t="b">
        <f>AA796</f>
        <v>0</v>
      </c>
    </row>
    <row r="798" spans="2:27" x14ac:dyDescent="0.2">
      <c r="B798" s="38"/>
      <c r="C798" s="38"/>
      <c r="D798" s="56">
        <f t="shared" ref="D798:D805" si="8">D797+1</f>
        <v>3</v>
      </c>
      <c r="E798" s="1200"/>
      <c r="F798" s="1691"/>
      <c r="G798" s="1692"/>
      <c r="H798" s="573"/>
      <c r="I798" s="557"/>
      <c r="J798" s="557"/>
      <c r="K798" s="557"/>
      <c r="L798" s="557"/>
      <c r="M798" s="557"/>
      <c r="N798" s="1147"/>
      <c r="O798" s="25"/>
      <c r="R798" s="955"/>
      <c r="S798" s="955"/>
      <c r="AA798" s="361" t="b">
        <f t="shared" ref="AA798:AA806" si="9">AA797</f>
        <v>0</v>
      </c>
    </row>
    <row r="799" spans="2:27" x14ac:dyDescent="0.2">
      <c r="B799" s="38"/>
      <c r="C799" s="38"/>
      <c r="D799" s="56">
        <f t="shared" si="8"/>
        <v>4</v>
      </c>
      <c r="E799" s="1200"/>
      <c r="F799" s="1691"/>
      <c r="G799" s="1692"/>
      <c r="H799" s="573"/>
      <c r="I799" s="557"/>
      <c r="J799" s="557"/>
      <c r="K799" s="557"/>
      <c r="L799" s="557"/>
      <c r="M799" s="557"/>
      <c r="N799" s="1147"/>
      <c r="O799" s="25"/>
      <c r="R799" s="955"/>
      <c r="S799" s="955"/>
      <c r="AA799" s="361" t="b">
        <f t="shared" si="9"/>
        <v>0</v>
      </c>
    </row>
    <row r="800" spans="2:27" x14ac:dyDescent="0.2">
      <c r="B800" s="38"/>
      <c r="C800" s="38"/>
      <c r="D800" s="56">
        <f t="shared" si="8"/>
        <v>5</v>
      </c>
      <c r="E800" s="1200"/>
      <c r="F800" s="1691"/>
      <c r="G800" s="1692"/>
      <c r="H800" s="573"/>
      <c r="I800" s="557"/>
      <c r="J800" s="557"/>
      <c r="K800" s="557"/>
      <c r="L800" s="557"/>
      <c r="M800" s="557"/>
      <c r="N800" s="1147"/>
      <c r="O800" s="25"/>
      <c r="R800" s="955"/>
      <c r="S800" s="955"/>
      <c r="AA800" s="361" t="b">
        <f t="shared" si="9"/>
        <v>0</v>
      </c>
    </row>
    <row r="801" spans="2:27" x14ac:dyDescent="0.2">
      <c r="B801" s="38"/>
      <c r="C801" s="38"/>
      <c r="D801" s="56">
        <f t="shared" si="8"/>
        <v>6</v>
      </c>
      <c r="E801" s="1200"/>
      <c r="F801" s="1691"/>
      <c r="G801" s="1692"/>
      <c r="H801" s="573"/>
      <c r="I801" s="557"/>
      <c r="J801" s="557"/>
      <c r="K801" s="557"/>
      <c r="L801" s="557"/>
      <c r="M801" s="557"/>
      <c r="N801" s="1146"/>
      <c r="O801" s="25"/>
      <c r="R801" s="955"/>
      <c r="S801" s="955"/>
      <c r="AA801" s="361" t="b">
        <f t="shared" si="9"/>
        <v>0</v>
      </c>
    </row>
    <row r="802" spans="2:27" x14ac:dyDescent="0.2">
      <c r="B802" s="38"/>
      <c r="C802" s="38"/>
      <c r="D802" s="56">
        <f t="shared" si="8"/>
        <v>7</v>
      </c>
      <c r="E802" s="1200"/>
      <c r="F802" s="1691"/>
      <c r="G802" s="1692"/>
      <c r="H802" s="573"/>
      <c r="I802" s="557"/>
      <c r="J802" s="557"/>
      <c r="K802" s="557"/>
      <c r="L802" s="557"/>
      <c r="M802" s="557"/>
      <c r="N802" s="1147"/>
      <c r="O802" s="25"/>
      <c r="R802" s="955"/>
      <c r="S802" s="955"/>
      <c r="AA802" s="361" t="b">
        <f t="shared" si="9"/>
        <v>0</v>
      </c>
    </row>
    <row r="803" spans="2:27" x14ac:dyDescent="0.2">
      <c r="B803" s="38"/>
      <c r="C803" s="38"/>
      <c r="D803" s="56">
        <f t="shared" si="8"/>
        <v>8</v>
      </c>
      <c r="E803" s="1200"/>
      <c r="F803" s="1691"/>
      <c r="G803" s="1692"/>
      <c r="H803" s="573"/>
      <c r="I803" s="557"/>
      <c r="J803" s="557"/>
      <c r="K803" s="557"/>
      <c r="L803" s="557"/>
      <c r="M803" s="557"/>
      <c r="N803" s="1147"/>
      <c r="O803" s="25"/>
      <c r="R803" s="955"/>
      <c r="S803" s="955"/>
      <c r="AA803" s="361" t="b">
        <f t="shared" si="9"/>
        <v>0</v>
      </c>
    </row>
    <row r="804" spans="2:27" x14ac:dyDescent="0.2">
      <c r="B804" s="38"/>
      <c r="C804" s="38"/>
      <c r="D804" s="56">
        <f t="shared" si="8"/>
        <v>9</v>
      </c>
      <c r="E804" s="1200"/>
      <c r="F804" s="1691"/>
      <c r="G804" s="1692"/>
      <c r="H804" s="573"/>
      <c r="I804" s="557"/>
      <c r="J804" s="557"/>
      <c r="K804" s="557"/>
      <c r="L804" s="557"/>
      <c r="M804" s="557"/>
      <c r="N804" s="1147"/>
      <c r="O804" s="25"/>
      <c r="R804" s="955"/>
      <c r="S804" s="955"/>
      <c r="AA804" s="361" t="b">
        <f t="shared" si="9"/>
        <v>0</v>
      </c>
    </row>
    <row r="805" spans="2:27" x14ac:dyDescent="0.2">
      <c r="B805" s="38"/>
      <c r="C805" s="38"/>
      <c r="D805" s="59">
        <f t="shared" si="8"/>
        <v>10</v>
      </c>
      <c r="E805" s="1201"/>
      <c r="F805" s="1694"/>
      <c r="G805" s="1695"/>
      <c r="H805" s="574"/>
      <c r="I805" s="458"/>
      <c r="J805" s="458"/>
      <c r="K805" s="458"/>
      <c r="L805" s="458"/>
      <c r="M805" s="458"/>
      <c r="N805" s="1148"/>
      <c r="O805" s="25"/>
      <c r="R805" s="955"/>
      <c r="S805" s="955"/>
      <c r="AA805" s="361" t="b">
        <f t="shared" si="9"/>
        <v>0</v>
      </c>
    </row>
    <row r="806" spans="2:27" ht="12.75" customHeight="1" thickBot="1" x14ac:dyDescent="0.25">
      <c r="B806" s="38"/>
      <c r="C806" s="38"/>
      <c r="D806" s="115"/>
      <c r="E806" s="1696" t="str">
        <f>Translations!$B$708</f>
        <v>Ražošanas līmeņu summa</v>
      </c>
      <c r="F806" s="1696"/>
      <c r="G806" s="1696"/>
      <c r="H806" s="733"/>
      <c r="I806" s="343" t="str">
        <f>IF(COUNT(I796:I805)&gt;0,SUM(I796:I805),"")</f>
        <v/>
      </c>
      <c r="J806" s="343" t="str">
        <f>IF(COUNT(J796:J805)&gt;0,SUM(J796:J805),"")</f>
        <v/>
      </c>
      <c r="K806" s="343" t="str">
        <f>IF(COUNT(K796:K805)&gt;0,SUM(K796:K805),"")</f>
        <v/>
      </c>
      <c r="L806" s="343" t="str">
        <f>IF(COUNT(L796:L805)&gt;0,SUM(L796:L805),"")</f>
        <v/>
      </c>
      <c r="M806" s="343" t="str">
        <f>IF(COUNT(M796:M805)&gt;0,SUM(M796:M805),"")</f>
        <v/>
      </c>
      <c r="N806" s="34"/>
      <c r="O806" s="25"/>
      <c r="R806" s="955"/>
      <c r="S806" s="955"/>
      <c r="AA806" s="186" t="b">
        <f t="shared" si="9"/>
        <v>0</v>
      </c>
    </row>
    <row r="807" spans="2:27" ht="12.75" customHeight="1" thickBot="1" x14ac:dyDescent="0.25">
      <c r="B807" s="224"/>
      <c r="C807" s="224"/>
      <c r="D807" s="224"/>
      <c r="E807" s="224"/>
      <c r="F807" s="224"/>
      <c r="G807" s="224"/>
      <c r="H807" s="224"/>
      <c r="I807" s="224"/>
      <c r="J807" s="224"/>
      <c r="K807" s="224"/>
      <c r="L807" s="224"/>
      <c r="M807" s="34"/>
      <c r="N807" s="34"/>
      <c r="O807" s="25"/>
      <c r="P807" s="955"/>
      <c r="R807" s="955"/>
      <c r="S807" s="955"/>
    </row>
    <row r="808" spans="2:27" ht="5.0999999999999996" customHeight="1" x14ac:dyDescent="0.2">
      <c r="B808" s="224"/>
      <c r="C808" s="973"/>
      <c r="D808" s="974"/>
      <c r="E808" s="974"/>
      <c r="F808" s="974"/>
      <c r="G808" s="974"/>
      <c r="H808" s="974"/>
      <c r="I808" s="974"/>
      <c r="J808" s="974"/>
      <c r="K808" s="974"/>
      <c r="L808" s="974"/>
      <c r="M808" s="975"/>
      <c r="N808" s="976"/>
      <c r="O808" s="25"/>
      <c r="P808" s="955"/>
      <c r="R808" s="955"/>
      <c r="S808" s="955"/>
    </row>
    <row r="809" spans="2:27" ht="15" customHeight="1" x14ac:dyDescent="0.2">
      <c r="B809" s="38"/>
      <c r="C809" s="977"/>
      <c r="D809" s="1697" t="str">
        <f>Translations!$B$709</f>
        <v>Dati, kas vajadzīgi, lai noteiktu līmeņatzīmju uzlabošanas rādītāju saskaņā ar ES ETS direktīvas 10.a panta 2. punktu.</v>
      </c>
      <c r="E809" s="1655"/>
      <c r="F809" s="1655"/>
      <c r="G809" s="1655"/>
      <c r="H809" s="1655"/>
      <c r="I809" s="1655"/>
      <c r="J809" s="1655"/>
      <c r="K809" s="1655"/>
      <c r="L809" s="1655"/>
      <c r="M809" s="1655"/>
      <c r="N809" s="1656"/>
      <c r="O809" s="25"/>
      <c r="R809" s="955"/>
      <c r="S809" s="955"/>
    </row>
    <row r="810" spans="2:27" ht="5.0999999999999996" customHeight="1" x14ac:dyDescent="0.2">
      <c r="B810" s="38"/>
      <c r="C810" s="472"/>
      <c r="D810" s="461"/>
      <c r="E810" s="461"/>
      <c r="F810" s="461"/>
      <c r="G810" s="461"/>
      <c r="H810" s="461"/>
      <c r="I810" s="461"/>
      <c r="J810" s="461"/>
      <c r="K810" s="461"/>
      <c r="L810" s="461"/>
      <c r="M810" s="461"/>
      <c r="N810" s="473"/>
      <c r="O810" s="25"/>
      <c r="R810" s="955"/>
      <c r="S810" s="955"/>
    </row>
    <row r="811" spans="2:27" ht="15" customHeight="1" x14ac:dyDescent="0.2">
      <c r="B811" s="38"/>
      <c r="C811" s="472"/>
      <c r="D811" s="1698" t="str">
        <f>EUconst_BMSubinst &amp; ":"</f>
        <v>Apakšiekārta ar produkta līmeņatzīmi:</v>
      </c>
      <c r="E811" s="1699"/>
      <c r="F811" s="1699"/>
      <c r="G811" s="1699"/>
      <c r="H811" s="1700"/>
      <c r="I811" s="1701" t="str">
        <f>I768</f>
        <v/>
      </c>
      <c r="J811" s="1457"/>
      <c r="K811" s="1457"/>
      <c r="L811" s="1457"/>
      <c r="M811" s="1457"/>
      <c r="N811" s="1702"/>
      <c r="O811" s="25"/>
      <c r="R811" s="955"/>
      <c r="S811" s="955"/>
    </row>
    <row r="812" spans="2:27" ht="5.0999999999999996" customHeight="1" x14ac:dyDescent="0.2">
      <c r="B812" s="38"/>
      <c r="C812" s="472"/>
      <c r="D812" s="461"/>
      <c r="E812" s="461"/>
      <c r="F812" s="461"/>
      <c r="G812" s="461"/>
      <c r="H812" s="461"/>
      <c r="I812" s="461"/>
      <c r="J812" s="461"/>
      <c r="K812" s="461"/>
      <c r="L812" s="461"/>
      <c r="M812" s="461"/>
      <c r="N812" s="473"/>
      <c r="O812" s="25"/>
      <c r="R812" s="955"/>
      <c r="S812" s="955"/>
    </row>
    <row r="813" spans="2:27" ht="30" customHeight="1" x14ac:dyDescent="0.2">
      <c r="B813" s="224"/>
      <c r="C813" s="977"/>
      <c r="D813" s="978"/>
      <c r="E813" s="1670" t="str">
        <f>Translations!$B$710</f>
        <v>Šī apakšsadaļa attiecas uz tādu emisiju attiecināšanu, kas saistītas ar avota plūsmām, emisiju avotiem, izmērāma siltuma un atlikumgāzu importu un eksportu, arī siltuma zudumiem saskaņā ar FAR VII pielikuma 10. iedaļu.</v>
      </c>
      <c r="F813" s="1670"/>
      <c r="G813" s="1670"/>
      <c r="H813" s="1670"/>
      <c r="I813" s="1670"/>
      <c r="J813" s="1670"/>
      <c r="K813" s="1670"/>
      <c r="L813" s="1670"/>
      <c r="M813" s="1670"/>
      <c r="N813" s="698"/>
      <c r="O813" s="25"/>
      <c r="P813" s="955"/>
    </row>
    <row r="814" spans="2:27" ht="30" customHeight="1" x14ac:dyDescent="0.2">
      <c r="B814" s="224"/>
      <c r="C814" s="977"/>
      <c r="D814" s="978"/>
      <c r="E814" s="1670" t="str">
        <f>Translations!$B$711</f>
        <v xml:space="preserve">Ņemiet vērā, ka, lai gan ir sniegti daži norādījumi par katru no nākamajiem punktiem, papildu informācija būtu jāmeklē Norādījumu dokumentā Nr. 5 (“Monitoring and Reporting in relation to the FAR” — “Ar FAR saistītais monitorings un ziņošana”), kurā ietverti arī piemēri. </v>
      </c>
      <c r="F814" s="1670"/>
      <c r="G814" s="1670"/>
      <c r="H814" s="1670"/>
      <c r="I814" s="1670"/>
      <c r="J814" s="1670"/>
      <c r="K814" s="1670"/>
      <c r="L814" s="1670"/>
      <c r="M814" s="1670"/>
      <c r="N814" s="698"/>
      <c r="O814" s="25"/>
      <c r="P814" s="955"/>
    </row>
    <row r="815" spans="2:27" ht="12.75" customHeight="1" x14ac:dyDescent="0.2">
      <c r="B815" s="224"/>
      <c r="C815" s="977"/>
      <c r="D815" s="978"/>
      <c r="E815" s="1670" t="str">
        <f>Translations!$B$712</f>
        <v xml:space="preserve">Šos norādījumus var lejupielādēt šeit: </v>
      </c>
      <c r="F815" s="1268"/>
      <c r="G815" s="1268"/>
      <c r="H815" s="1268"/>
      <c r="I815" s="1268"/>
      <c r="J815" s="1268"/>
      <c r="K815" s="1268"/>
      <c r="L815" s="1268"/>
      <c r="M815" s="1268"/>
      <c r="N815" s="698"/>
      <c r="O815" s="25"/>
      <c r="P815" s="955"/>
    </row>
    <row r="816" spans="2:27" ht="15" customHeight="1" x14ac:dyDescent="0.2">
      <c r="B816" s="224"/>
      <c r="C816" s="977"/>
      <c r="D816" s="978"/>
      <c r="E816" s="1549" t="str">
        <f>Translations!$B$713</f>
        <v>https://ec.europa.eu/clima/policies/ets/allowances_en#tab-0-1</v>
      </c>
      <c r="F816" s="1549"/>
      <c r="G816" s="1549"/>
      <c r="H816" s="1549"/>
      <c r="I816" s="1549"/>
      <c r="J816" s="1549"/>
      <c r="K816" s="1549"/>
      <c r="L816" s="1549"/>
      <c r="M816" s="1549"/>
      <c r="N816" s="698"/>
      <c r="O816" s="25"/>
      <c r="P816" s="955"/>
    </row>
    <row r="817" spans="2:27" ht="5.0999999999999996" customHeight="1" x14ac:dyDescent="0.2">
      <c r="B817" s="38"/>
      <c r="C817" s="472"/>
      <c r="D817" s="461"/>
      <c r="E817" s="461"/>
      <c r="F817" s="461"/>
      <c r="G817" s="461"/>
      <c r="H817" s="461"/>
      <c r="I817" s="461"/>
      <c r="J817" s="461"/>
      <c r="K817" s="461"/>
      <c r="L817" s="461"/>
      <c r="M817" s="461"/>
      <c r="N817" s="473"/>
      <c r="O817" s="25"/>
      <c r="R817" s="955"/>
      <c r="S817" s="955"/>
    </row>
    <row r="818" spans="2:27" ht="15" customHeight="1" x14ac:dyDescent="0.2">
      <c r="B818" s="224"/>
      <c r="C818" s="977"/>
      <c r="D818" s="978"/>
      <c r="E818" s="1693" t="str">
        <f>Translations!$B$714</f>
        <v>Balstoties uz tālāk izdarītajiem ierakstiem, attiecināmās emisijas tiek aprēķinātas kopsavilkuma lapas K III sadaļas 2. punktā.</v>
      </c>
      <c r="F818" s="1693"/>
      <c r="G818" s="1693"/>
      <c r="H818" s="1693"/>
      <c r="I818" s="1693"/>
      <c r="J818" s="1693"/>
      <c r="K818" s="1693"/>
      <c r="L818" s="1693"/>
      <c r="M818" s="1693"/>
      <c r="N818" s="698"/>
      <c r="O818" s="25"/>
      <c r="P818" s="955"/>
    </row>
    <row r="819" spans="2:27" ht="5.0999999999999996" customHeight="1" x14ac:dyDescent="0.2">
      <c r="B819" s="38"/>
      <c r="C819" s="472"/>
      <c r="D819" s="461"/>
      <c r="E819" s="461"/>
      <c r="F819" s="461"/>
      <c r="G819" s="461"/>
      <c r="H819" s="461"/>
      <c r="I819" s="461"/>
      <c r="J819" s="461"/>
      <c r="K819" s="461"/>
      <c r="L819" s="461"/>
      <c r="M819" s="461"/>
      <c r="N819" s="473"/>
      <c r="O819" s="25"/>
      <c r="R819" s="955"/>
      <c r="S819" s="955"/>
    </row>
    <row r="820" spans="2:27" ht="12.75" customHeight="1" thickBot="1" x14ac:dyDescent="0.25">
      <c r="B820" s="224"/>
      <c r="C820" s="977"/>
      <c r="D820" s="474" t="s">
        <v>81</v>
      </c>
      <c r="E820" s="1654" t="str">
        <f>Translations!$B$715</f>
        <v>Uz šo apakšiekārtu tieši attiecināmas emisijas (DirEm* (MP avota plūsmas))</v>
      </c>
      <c r="F820" s="1655"/>
      <c r="G820" s="1655"/>
      <c r="H820" s="1655"/>
      <c r="I820" s="1655"/>
      <c r="J820" s="1655"/>
      <c r="K820" s="1655"/>
      <c r="L820" s="1655"/>
      <c r="M820" s="1655"/>
      <c r="N820" s="1656"/>
      <c r="O820" s="25"/>
      <c r="P820" s="955"/>
      <c r="R820" s="955"/>
      <c r="S820" s="955"/>
    </row>
    <row r="821" spans="2:27" ht="12.75" customHeight="1" x14ac:dyDescent="0.2">
      <c r="B821" s="224"/>
      <c r="C821" s="977"/>
      <c r="D821" s="474"/>
      <c r="E821" s="1653" t="str">
        <f>Translations!$B$725</f>
        <v>Tieši attiecināmās emisijas (DirEm*)</v>
      </c>
      <c r="F821" s="1657"/>
      <c r="G821" s="1657"/>
      <c r="H821" s="462" t="str">
        <f>EUconst_Unit</f>
        <v>Vienība</v>
      </c>
      <c r="I821" s="463">
        <f>I$1820</f>
        <v>2019</v>
      </c>
      <c r="J821" s="463">
        <f>J$1820</f>
        <v>2020</v>
      </c>
      <c r="K821" s="463">
        <f>K$1820</f>
        <v>2021</v>
      </c>
      <c r="L821" s="463">
        <f>L$1820</f>
        <v>2022</v>
      </c>
      <c r="M821" s="463">
        <f>M$1820</f>
        <v>2023</v>
      </c>
      <c r="N821" s="661"/>
      <c r="O821" s="25"/>
      <c r="P821" s="955"/>
      <c r="R821" s="970"/>
      <c r="S821" s="809">
        <f>I821</f>
        <v>2019</v>
      </c>
      <c r="T821" s="809">
        <f>J821</f>
        <v>2020</v>
      </c>
      <c r="U821" s="809">
        <f>K821</f>
        <v>2021</v>
      </c>
      <c r="V821" s="809">
        <f>L821</f>
        <v>2022</v>
      </c>
      <c r="W821" s="810">
        <f>M821</f>
        <v>2023</v>
      </c>
    </row>
    <row r="822" spans="2:27" ht="12.75" customHeight="1" thickBot="1" x14ac:dyDescent="0.25">
      <c r="B822" s="224"/>
      <c r="C822" s="977"/>
      <c r="D822" s="978"/>
      <c r="E822" s="1689" t="str">
        <f>I768</f>
        <v/>
      </c>
      <c r="F822" s="1689"/>
      <c r="G822" s="1689"/>
      <c r="H822" s="464" t="str">
        <f>EUconst_tCO2epa</f>
        <v>t CO2e/gads</v>
      </c>
      <c r="I822" s="330"/>
      <c r="J822" s="330"/>
      <c r="K822" s="330"/>
      <c r="L822" s="330"/>
      <c r="M822" s="330"/>
      <c r="N822" s="661"/>
      <c r="O822" s="25"/>
      <c r="P822" s="979" t="str">
        <f>EUconst_CNTR_Emissions &amp; I768</f>
        <v>DirEmissions_</v>
      </c>
      <c r="R822" s="971" t="str">
        <f>EUconst_CNTR_AttributedEmissions &amp; I768</f>
        <v>AttrEmissions_</v>
      </c>
      <c r="S822" s="137" t="str">
        <f>IF(S768,SUM(I822),"")</f>
        <v/>
      </c>
      <c r="T822" s="137" t="str">
        <f>IF(T768,SUM(J822),"")</f>
        <v/>
      </c>
      <c r="U822" s="137" t="str">
        <f>IF(U768,SUM(K822),"")</f>
        <v/>
      </c>
      <c r="V822" s="137" t="str">
        <f>IF(V768,SUM(L822),"")</f>
        <v/>
      </c>
      <c r="W822" s="138" t="str">
        <f>IF(W768,SUM(M822),"")</f>
        <v/>
      </c>
    </row>
    <row r="823" spans="2:27" ht="12.75" customHeight="1" x14ac:dyDescent="0.2">
      <c r="B823" s="224"/>
      <c r="C823" s="977"/>
      <c r="D823" s="978"/>
      <c r="E823" s="978"/>
      <c r="F823" s="978"/>
      <c r="G823" s="978"/>
      <c r="H823" s="978"/>
      <c r="I823" s="978"/>
      <c r="J823" s="978"/>
      <c r="K823" s="978"/>
      <c r="L823" s="978"/>
      <c r="M823" s="980"/>
      <c r="N823" s="661"/>
      <c r="O823" s="25"/>
      <c r="P823" s="955"/>
      <c r="R823" s="955"/>
    </row>
    <row r="824" spans="2:27" ht="12.75" customHeight="1" x14ac:dyDescent="0.2">
      <c r="B824" s="224"/>
      <c r="C824" s="977"/>
      <c r="D824" s="474" t="s">
        <v>82</v>
      </c>
      <c r="E824" s="1663" t="str">
        <f>Translations!$B$1670</f>
        <v>Enerģijas ielaide šajā apakšiekārtā un relevantais emisijas faktors</v>
      </c>
      <c r="F824" s="1663"/>
      <c r="G824" s="1663"/>
      <c r="H824" s="1663"/>
      <c r="I824" s="1663"/>
      <c r="J824" s="1663"/>
      <c r="K824" s="1663"/>
      <c r="L824" s="1663"/>
      <c r="M824" s="1663"/>
      <c r="N824" s="1690"/>
      <c r="O824" s="25"/>
      <c r="P824" s="955"/>
      <c r="Q824" s="955"/>
      <c r="R824" s="955"/>
    </row>
    <row r="825" spans="2:27" ht="12.75" customHeight="1" x14ac:dyDescent="0.2">
      <c r="B825" s="224"/>
      <c r="C825" s="977"/>
      <c r="D825" s="474"/>
      <c r="E825" s="1653"/>
      <c r="F825" s="1657"/>
      <c r="G825" s="1657"/>
      <c r="H825" s="462" t="str">
        <f>EUconst_Unit</f>
        <v>Vienība</v>
      </c>
      <c r="I825" s="463">
        <f>I$1820</f>
        <v>2019</v>
      </c>
      <c r="J825" s="463">
        <f>J$1820</f>
        <v>2020</v>
      </c>
      <c r="K825" s="463">
        <f>K$1820</f>
        <v>2021</v>
      </c>
      <c r="L825" s="463">
        <f>L$1820</f>
        <v>2022</v>
      </c>
      <c r="M825" s="463">
        <f>M$1820</f>
        <v>2023</v>
      </c>
      <c r="N825" s="661"/>
      <c r="O825" s="25"/>
      <c r="P825" s="955"/>
      <c r="R825" s="955"/>
    </row>
    <row r="826" spans="2:27" ht="12.75" customHeight="1" x14ac:dyDescent="0.2">
      <c r="B826" s="224"/>
      <c r="C826" s="977"/>
      <c r="D826" s="695" t="s">
        <v>2</v>
      </c>
      <c r="E826" s="1651" t="str">
        <f>Translations!$B$1672</f>
        <v>Enerģijas ielaide</v>
      </c>
      <c r="F826" s="1652"/>
      <c r="G826" s="1652"/>
      <c r="H826" s="465" t="str">
        <f>EUconst_TJpa</f>
        <v>TJ / gads</v>
      </c>
      <c r="I826" s="330"/>
      <c r="J826" s="330"/>
      <c r="K826" s="330"/>
      <c r="L826" s="330"/>
      <c r="M826" s="330"/>
      <c r="N826" s="698"/>
      <c r="O826" s="25"/>
      <c r="P826" s="979" t="str">
        <f>EUconst_CNTR_FuelInput &amp; I768</f>
        <v>FuelInput_</v>
      </c>
      <c r="R826" s="955"/>
    </row>
    <row r="827" spans="2:27" ht="12.75" customHeight="1" x14ac:dyDescent="0.2">
      <c r="B827" s="224"/>
      <c r="C827" s="977"/>
      <c r="D827" s="695" t="s">
        <v>3</v>
      </c>
      <c r="E827" s="1709" t="str">
        <f>Translations!$B$732</f>
        <v>Svērtais emisijas faktors</v>
      </c>
      <c r="F827" s="1710"/>
      <c r="G827" s="1710"/>
      <c r="H827" s="577" t="str">
        <f>EUconst_tCO2pTJ</f>
        <v>t CO2 / TJ</v>
      </c>
      <c r="I827" s="338"/>
      <c r="J827" s="338"/>
      <c r="K827" s="338"/>
      <c r="L827" s="338"/>
      <c r="M827" s="338"/>
      <c r="N827" s="661"/>
      <c r="O827" s="25"/>
      <c r="P827" s="979" t="str">
        <f>EUconst_CNTR_FuelEF &amp; I768</f>
        <v>FuelEF_</v>
      </c>
      <c r="R827" s="955"/>
    </row>
    <row r="828" spans="2:27" ht="12.75" customHeight="1" x14ac:dyDescent="0.2">
      <c r="B828" s="224"/>
      <c r="C828" s="977"/>
      <c r="D828" s="978"/>
      <c r="E828" s="978"/>
      <c r="F828" s="978"/>
      <c r="G828" s="978"/>
      <c r="H828" s="978"/>
      <c r="I828" s="978"/>
      <c r="J828" s="978"/>
      <c r="K828" s="978"/>
      <c r="L828" s="978"/>
      <c r="M828" s="980"/>
      <c r="N828" s="661"/>
      <c r="O828" s="25"/>
      <c r="P828" s="955"/>
      <c r="R828" s="955"/>
    </row>
    <row r="829" spans="2:27" ht="12.75" customHeight="1" thickBot="1" x14ac:dyDescent="0.25">
      <c r="B829" s="224"/>
      <c r="C829" s="977"/>
      <c r="D829" s="474" t="s">
        <v>83</v>
      </c>
      <c r="E829" s="1663" t="str">
        <f>Translations!$B$733</f>
        <v>Citas iekšējās avota plūsmas, kas importētas uz šo apakšiekārtu vai eksportētas no tās</v>
      </c>
      <c r="F829" s="1663"/>
      <c r="G829" s="1663"/>
      <c r="H829" s="1663"/>
      <c r="I829" s="1663"/>
      <c r="J829" s="1663"/>
      <c r="K829" s="1663"/>
      <c r="L829" s="1663"/>
      <c r="M829" s="1663"/>
      <c r="N829" s="1690"/>
      <c r="O829" s="25"/>
      <c r="P829" s="955"/>
      <c r="Q829" s="955"/>
      <c r="R829" s="955"/>
    </row>
    <row r="830" spans="2:27" ht="12.75" customHeight="1" thickBot="1" x14ac:dyDescent="0.25">
      <c r="B830" s="224"/>
      <c r="C830" s="977"/>
      <c r="D830" s="695" t="s">
        <v>2</v>
      </c>
      <c r="E830" s="1732" t="str">
        <f>Translations!$B$739</f>
        <v>Vai šai apakšiekārtai ir relevantas vēl citas importētas vai eksportētas iekšējās avota plūsmas?</v>
      </c>
      <c r="F830" s="1732"/>
      <c r="G830" s="1732"/>
      <c r="H830" s="1732"/>
      <c r="I830" s="1732"/>
      <c r="J830" s="1732"/>
      <c r="K830" s="1733"/>
      <c r="L830" s="527"/>
      <c r="M830" s="1202"/>
      <c r="N830" s="1203"/>
      <c r="O830" s="25"/>
      <c r="P830" s="955"/>
      <c r="R830" s="955"/>
      <c r="W830" s="966" t="s">
        <v>398</v>
      </c>
      <c r="X830" s="964" t="b">
        <f>IF(AND(I768&lt;&gt;"",ISBLANK(L830)),EUconst_Error&amp;"BM"&amp;C768,FALSE)</f>
        <v>0</v>
      </c>
    </row>
    <row r="831" spans="2:27" ht="5.0999999999999996" customHeight="1" thickBot="1" x14ac:dyDescent="0.25">
      <c r="B831" s="224"/>
      <c r="C831" s="977"/>
      <c r="D831" s="978"/>
      <c r="E831" s="978"/>
      <c r="F831" s="978"/>
      <c r="G831" s="978"/>
      <c r="H831" s="978"/>
      <c r="I831" s="978"/>
      <c r="J831" s="978"/>
      <c r="K831" s="978"/>
      <c r="L831" s="978"/>
      <c r="M831" s="980"/>
      <c r="N831" s="661"/>
      <c r="O831" s="25"/>
      <c r="P831" s="955"/>
      <c r="R831" s="955"/>
    </row>
    <row r="832" spans="2:27" ht="12.75" customHeight="1" x14ac:dyDescent="0.2">
      <c r="B832" s="224"/>
      <c r="C832" s="977"/>
      <c r="D832" s="695" t="s">
        <v>3</v>
      </c>
      <c r="E832" s="1663" t="str">
        <f>Translations!$B$741</f>
        <v>Citu avota plūsmu nosaukums, 1:</v>
      </c>
      <c r="F832" s="1663"/>
      <c r="G832" s="1663"/>
      <c r="H832" s="1663"/>
      <c r="I832" s="1664"/>
      <c r="J832" s="1665"/>
      <c r="K832" s="1665"/>
      <c r="L832" s="1665"/>
      <c r="M832" s="1666"/>
      <c r="N832" s="660"/>
      <c r="O832" s="25"/>
      <c r="P832" s="955"/>
      <c r="R832" s="955"/>
      <c r="AA832" s="643" t="b">
        <f>IF(I768&lt;&gt;"",AND(L830&lt;&gt;"",L830=FALSE),FALSE)</f>
        <v>0</v>
      </c>
    </row>
    <row r="833" spans="2:27" ht="5.0999999999999996" customHeight="1" x14ac:dyDescent="0.2">
      <c r="B833" s="224"/>
      <c r="C833" s="977"/>
      <c r="D833" s="978"/>
      <c r="E833" s="1204"/>
      <c r="F833" s="1202"/>
      <c r="G833" s="1202"/>
      <c r="H833" s="1202"/>
      <c r="I833" s="1202"/>
      <c r="J833" s="1202"/>
      <c r="K833" s="1202"/>
      <c r="L833" s="1202"/>
      <c r="M833" s="1202"/>
      <c r="N833" s="1203"/>
      <c r="O833" s="25"/>
      <c r="P833" s="955"/>
      <c r="R833" s="955"/>
      <c r="AA833" s="607"/>
    </row>
    <row r="834" spans="2:27" ht="12.75" customHeight="1" x14ac:dyDescent="0.2">
      <c r="B834" s="224"/>
      <c r="C834" s="977"/>
      <c r="D834" s="978"/>
      <c r="E834" s="1653" t="str">
        <f>Translations!$B$742</f>
        <v>Citas avota plūsmas, 1:</v>
      </c>
      <c r="F834" s="1657"/>
      <c r="G834" s="1657"/>
      <c r="H834" s="462" t="str">
        <f>EUconst_Unit</f>
        <v>Vienība</v>
      </c>
      <c r="I834" s="463">
        <f>I$1820</f>
        <v>2019</v>
      </c>
      <c r="J834" s="463">
        <f>J$1820</f>
        <v>2020</v>
      </c>
      <c r="K834" s="463">
        <f>K$1820</f>
        <v>2021</v>
      </c>
      <c r="L834" s="463">
        <f>L$1820</f>
        <v>2022</v>
      </c>
      <c r="M834" s="463">
        <f>M$1820</f>
        <v>2023</v>
      </c>
      <c r="N834" s="661"/>
      <c r="O834" s="25"/>
      <c r="P834" s="955"/>
      <c r="R834" s="955"/>
      <c r="AA834" s="607"/>
    </row>
    <row r="835" spans="2:27" ht="12.75" customHeight="1" x14ac:dyDescent="0.2">
      <c r="B835" s="224"/>
      <c r="C835" s="977"/>
      <c r="D835" s="695" t="s">
        <v>4</v>
      </c>
      <c r="E835" s="1667" t="str">
        <f>Translations!$B$743</f>
        <v>Importētais vai eksportētais daudzums</v>
      </c>
      <c r="F835" s="1660"/>
      <c r="G835" s="1660"/>
      <c r="H835" s="466" t="str">
        <f>EUconst_tpa</f>
        <v>t / gads</v>
      </c>
      <c r="I835" s="348"/>
      <c r="J835" s="348"/>
      <c r="K835" s="348"/>
      <c r="L835" s="348"/>
      <c r="M835" s="348"/>
      <c r="N835" s="661"/>
      <c r="O835" s="25"/>
      <c r="P835" s="955"/>
      <c r="R835" s="955"/>
      <c r="AA835" s="361" t="b">
        <f>AA832</f>
        <v>0</v>
      </c>
    </row>
    <row r="836" spans="2:27" ht="12.75" customHeight="1" x14ac:dyDescent="0.2">
      <c r="B836" s="224"/>
      <c r="C836" s="977"/>
      <c r="D836" s="695" t="s">
        <v>6</v>
      </c>
      <c r="E836" s="1658" t="str">
        <f>Translations!$B$744</f>
        <v>Zemākā siltumspēja (attiecīgā gadījumā)</v>
      </c>
      <c r="F836" s="1658"/>
      <c r="G836" s="1658"/>
      <c r="H836" s="551" t="str">
        <f>EUconst_GJpt</f>
        <v>GJ / t</v>
      </c>
      <c r="I836" s="347"/>
      <c r="J836" s="347"/>
      <c r="K836" s="347"/>
      <c r="L836" s="347"/>
      <c r="M836" s="347"/>
      <c r="N836" s="661"/>
      <c r="O836" s="25"/>
      <c r="P836" s="955"/>
      <c r="R836" s="955"/>
      <c r="AA836" s="361" t="b">
        <f>AA835</f>
        <v>0</v>
      </c>
    </row>
    <row r="837" spans="2:27" ht="12.75" customHeight="1" thickBot="1" x14ac:dyDescent="0.25">
      <c r="B837" s="224"/>
      <c r="C837" s="977"/>
      <c r="D837" s="695" t="s">
        <v>303</v>
      </c>
      <c r="E837" s="1658" t="str">
        <f>Translations!$B$745</f>
        <v>Oglekļa saturs (masas %)</v>
      </c>
      <c r="F837" s="1658"/>
      <c r="G837" s="1658"/>
      <c r="H837" s="552" t="s">
        <v>341</v>
      </c>
      <c r="I837" s="347"/>
      <c r="J837" s="347"/>
      <c r="K837" s="347"/>
      <c r="L837" s="347"/>
      <c r="M837" s="347"/>
      <c r="N837" s="661"/>
      <c r="O837" s="25"/>
      <c r="P837" s="955"/>
      <c r="R837" s="955"/>
      <c r="AA837" s="361" t="b">
        <f>AA836</f>
        <v>0</v>
      </c>
    </row>
    <row r="838" spans="2:27" ht="12.75" customHeight="1" x14ac:dyDescent="0.2">
      <c r="B838" s="224"/>
      <c r="C838" s="977"/>
      <c r="D838" s="695" t="s">
        <v>304</v>
      </c>
      <c r="E838" s="1659" t="str">
        <f>Translations!$B$746</f>
        <v>Biomasas saturs (kā oglekļa frakcija)</v>
      </c>
      <c r="F838" s="1659"/>
      <c r="G838" s="1659"/>
      <c r="H838" s="485" t="s">
        <v>341</v>
      </c>
      <c r="I838" s="345"/>
      <c r="J838" s="345"/>
      <c r="K838" s="345"/>
      <c r="L838" s="345"/>
      <c r="M838" s="345"/>
      <c r="N838" s="661"/>
      <c r="O838" s="25"/>
      <c r="P838" s="955"/>
      <c r="R838" s="970"/>
      <c r="S838" s="809">
        <f>I834</f>
        <v>2019</v>
      </c>
      <c r="T838" s="809">
        <f>J834</f>
        <v>2020</v>
      </c>
      <c r="U838" s="809">
        <f>K834</f>
        <v>2021</v>
      </c>
      <c r="V838" s="809">
        <f>L834</f>
        <v>2022</v>
      </c>
      <c r="W838" s="810">
        <f>M834</f>
        <v>2023</v>
      </c>
      <c r="AA838" s="361" t="b">
        <f>AA837</f>
        <v>0</v>
      </c>
    </row>
    <row r="839" spans="2:27" ht="12.75" customHeight="1" thickBot="1" x14ac:dyDescent="0.25">
      <c r="B839" s="224"/>
      <c r="C839" s="977"/>
      <c r="D839" s="695" t="s">
        <v>305</v>
      </c>
      <c r="E839" s="1660" t="str">
        <f>Translations!$B$747</f>
        <v>Emisijas (no fosilajiem avotiem, aprēķinātās)</v>
      </c>
      <c r="F839" s="1660"/>
      <c r="G839" s="1660"/>
      <c r="H839" s="553" t="str">
        <f>EUconst_tCO2pa</f>
        <v>t CO2 / gads</v>
      </c>
      <c r="I839" s="341" t="str">
        <f>IF(AND(COUNT(I835:I838)&gt;0,I842=""),3.664*I835*(I837/100)*(1-I838/100),"")</f>
        <v/>
      </c>
      <c r="J839" s="341" t="str">
        <f>IF(AND(COUNT(J835:J838)&gt;0,J842=""),3.664*J835*(J837/100)*(1-J838/100),"")</f>
        <v/>
      </c>
      <c r="K839" s="341" t="str">
        <f>IF(AND(COUNT(K835:K838)&gt;0,K842=""),3.664*K835*(K837/100)*(1-K838/100),"")</f>
        <v/>
      </c>
      <c r="L839" s="341" t="str">
        <f>IF(AND(COUNT(L835:L838)&gt;0,L842=""),3.664*L835*(L837/100)*(1-L838/100),"")</f>
        <v/>
      </c>
      <c r="M839" s="341" t="str">
        <f>IF(AND(COUNT(M835:M838)&gt;0,M842=""),3.664*M835*(M837/100)*(1-M838/100),"")</f>
        <v/>
      </c>
      <c r="N839" s="661"/>
      <c r="O839" s="25"/>
      <c r="P839" s="979" t="str">
        <f>EUconst_CNTR_EmissionsIntSource1 &amp; I768</f>
        <v>EmInternalSource1_</v>
      </c>
      <c r="R839" s="971" t="str">
        <f>EUconst_CNTR_AttributedEmissions &amp; I768</f>
        <v>AttrEmissions_</v>
      </c>
      <c r="S839" s="137" t="str">
        <f>IF(S768,SUM(I839),"")</f>
        <v/>
      </c>
      <c r="T839" s="137" t="str">
        <f>IF(T768,SUM(J839),"")</f>
        <v/>
      </c>
      <c r="U839" s="137" t="str">
        <f>IF(U768,SUM(K839),"")</f>
        <v/>
      </c>
      <c r="V839" s="137" t="str">
        <f>IF(V768,SUM(L839),"")</f>
        <v/>
      </c>
      <c r="W839" s="138" t="str">
        <f>IF(W768,SUM(M839),"")</f>
        <v/>
      </c>
      <c r="AA839" s="607"/>
    </row>
    <row r="840" spans="2:27" ht="12.75" customHeight="1" x14ac:dyDescent="0.2">
      <c r="B840" s="224"/>
      <c r="C840" s="977"/>
      <c r="D840" s="695" t="s">
        <v>306</v>
      </c>
      <c r="E840" s="1661" t="str">
        <f>Translations!$B$1617</f>
        <v>Nulles faktora biomasas emisijas</v>
      </c>
      <c r="F840" s="1661"/>
      <c r="G840" s="1661"/>
      <c r="H840" s="554" t="str">
        <f>EUconst_tCO2pa</f>
        <v>t CO2 / gads</v>
      </c>
      <c r="I840" s="340" t="str">
        <f>IF(ISNUMBER(I839),3.664*I835*(I837/100)*(I838/100),"")</f>
        <v/>
      </c>
      <c r="J840" s="340" t="str">
        <f>IF(ISNUMBER(J839),3.664*J835*(J837/100)*(J838/100),"")</f>
        <v/>
      </c>
      <c r="K840" s="340" t="str">
        <f>IF(ISNUMBER(K839),3.664*K835*(K837/100)*(K838/100),"")</f>
        <v/>
      </c>
      <c r="L840" s="340" t="str">
        <f>IF(ISNUMBER(L839),3.664*L835*(L837/100)*(L838/100),"")</f>
        <v/>
      </c>
      <c r="M840" s="340" t="str">
        <f>IF(ISNUMBER(M839),3.664*M835*(M837/100)*(M838/100),"")</f>
        <v/>
      </c>
      <c r="N840" s="661"/>
      <c r="O840" s="25"/>
      <c r="P840" s="955"/>
      <c r="R840" s="955"/>
      <c r="AA840" s="607"/>
    </row>
    <row r="841" spans="2:27" ht="12.75" customHeight="1" x14ac:dyDescent="0.2">
      <c r="B841" s="224"/>
      <c r="C841" s="977"/>
      <c r="D841" s="695" t="s">
        <v>307</v>
      </c>
      <c r="E841" s="1659" t="str">
        <f>Translations!$B$749</f>
        <v>Enerģētiskais saturs (aprēķinātais)</v>
      </c>
      <c r="F841" s="1659"/>
      <c r="G841" s="1659"/>
      <c r="H841" s="555" t="str">
        <f>EUconst_TJpa</f>
        <v>TJ / gads</v>
      </c>
      <c r="I841" s="343" t="str">
        <f>IF(COUNT(I835:I836)=2,I835*I836/1000,"")</f>
        <v/>
      </c>
      <c r="J841" s="343" t="str">
        <f>IF(COUNT(J835:J836)=2,J835*J836/1000,"")</f>
        <v/>
      </c>
      <c r="K841" s="343" t="str">
        <f>IF(COUNT(K835:K836)=2,K835*K836/1000,"")</f>
        <v/>
      </c>
      <c r="L841" s="343" t="str">
        <f>IF(COUNT(L835:L836)=2,L835*L836/1000,"")</f>
        <v/>
      </c>
      <c r="M841" s="343" t="str">
        <f>IF(COUNT(M835:M836)=2,M835*M836/1000,"")</f>
        <v/>
      </c>
      <c r="N841" s="661"/>
      <c r="O841" s="25"/>
      <c r="P841" s="955"/>
      <c r="R841" s="955"/>
      <c r="AA841" s="607"/>
    </row>
    <row r="842" spans="2:27" ht="12.75" customHeight="1" x14ac:dyDescent="0.2">
      <c r="B842" s="224"/>
      <c r="C842" s="977"/>
      <c r="D842" s="695" t="s">
        <v>15</v>
      </c>
      <c r="E842" s="1662" t="str">
        <f>Translations!$B$750</f>
        <v>Kļūdas ziņojumi (emisijas)</v>
      </c>
      <c r="F842" s="1662"/>
      <c r="G842" s="1662"/>
      <c r="H842" s="556"/>
      <c r="I842" s="662" t="str">
        <f>IF(COUNT(I835,I837:I838)&gt;0,IF(COUNTIF(I836:I838,"&lt;0")&gt;0,EUconst_Negative,IF(COUNT(I835,I837:I838)&lt;3,EUconst_Incomplete,"")),"")</f>
        <v/>
      </c>
      <c r="J842" s="662" t="str">
        <f>IF(COUNT(J835,J837:J838)&gt;0,IF(COUNTIF(J836:J838,"&lt;0")&gt;0,EUconst_Negative,IF(COUNT(J835,J837:J838)&lt;3,EUconst_Incomplete,"")),"")</f>
        <v/>
      </c>
      <c r="K842" s="662" t="str">
        <f>IF(COUNT(K835,K837:K838)&gt;0,IF(COUNTIF(K836:K838,"&lt;0")&gt;0,EUconst_Negative,IF(COUNT(K835,K837:K838)&lt;3,EUconst_Incomplete,"")),"")</f>
        <v/>
      </c>
      <c r="L842" s="662" t="str">
        <f>IF(COUNT(L835,L837:L838)&gt;0,IF(COUNTIF(L836:L838,"&lt;0")&gt;0,EUconst_Negative,IF(COUNT(L835,L837:L838)&lt;3,EUconst_Incomplete,"")),"")</f>
        <v/>
      </c>
      <c r="M842" s="662" t="str">
        <f>IF(COUNT(M835,M837:M838)&gt;0,IF(COUNTIF(M836:M838,"&lt;0")&gt;0,EUconst_Negative,IF(COUNT(M835,M837:M838)&lt;3,EUconst_Incomplete,"")),"")</f>
        <v/>
      </c>
      <c r="N842" s="661"/>
      <c r="O842" s="25"/>
      <c r="P842" s="955"/>
      <c r="R842" s="955"/>
      <c r="AA842" s="607"/>
    </row>
    <row r="843" spans="2:27" ht="5.0999999999999996" customHeight="1" x14ac:dyDescent="0.2">
      <c r="B843" s="224"/>
      <c r="C843" s="977"/>
      <c r="D843" s="695"/>
      <c r="E843" s="978"/>
      <c r="F843" s="978"/>
      <c r="G843" s="978"/>
      <c r="H843" s="978"/>
      <c r="I843" s="978"/>
      <c r="J843" s="978"/>
      <c r="K843" s="978"/>
      <c r="L843" s="978"/>
      <c r="M843" s="980"/>
      <c r="N843" s="661"/>
      <c r="O843" s="25"/>
      <c r="P843" s="955"/>
      <c r="R843" s="955"/>
      <c r="AA843" s="607"/>
    </row>
    <row r="844" spans="2:27" ht="12.75" customHeight="1" x14ac:dyDescent="0.2">
      <c r="B844" s="224"/>
      <c r="C844" s="977"/>
      <c r="D844" s="695" t="s">
        <v>16</v>
      </c>
      <c r="E844" s="1663" t="str">
        <f>Translations!$B$751</f>
        <v>Citu avota plūsmu nosaukums, 2:</v>
      </c>
      <c r="F844" s="1663"/>
      <c r="G844" s="1663"/>
      <c r="H844" s="1663"/>
      <c r="I844" s="1664"/>
      <c r="J844" s="1665"/>
      <c r="K844" s="1665"/>
      <c r="L844" s="1665"/>
      <c r="M844" s="1666"/>
      <c r="N844" s="1203"/>
      <c r="O844" s="25"/>
      <c r="P844" s="955"/>
      <c r="R844" s="955"/>
      <c r="AA844" s="361" t="b">
        <f>AA832</f>
        <v>0</v>
      </c>
    </row>
    <row r="845" spans="2:27" ht="5.0999999999999996" customHeight="1" x14ac:dyDescent="0.2">
      <c r="B845" s="224"/>
      <c r="C845" s="977"/>
      <c r="D845" s="978"/>
      <c r="E845" s="1204"/>
      <c r="F845" s="1202"/>
      <c r="G845" s="1202"/>
      <c r="H845" s="1202"/>
      <c r="I845" s="1202"/>
      <c r="J845" s="1202"/>
      <c r="K845" s="1202"/>
      <c r="L845" s="1202"/>
      <c r="M845" s="1202"/>
      <c r="N845" s="1203"/>
      <c r="O845" s="25"/>
      <c r="P845" s="955"/>
      <c r="R845" s="955"/>
      <c r="AA845" s="607"/>
    </row>
    <row r="846" spans="2:27" ht="12.75" customHeight="1" x14ac:dyDescent="0.2">
      <c r="B846" s="224"/>
      <c r="C846" s="977"/>
      <c r="D846" s="695"/>
      <c r="E846" s="1653" t="str">
        <f>Translations!$B$752</f>
        <v>Citas avota plūsmas, 2:</v>
      </c>
      <c r="F846" s="1657"/>
      <c r="G846" s="1657"/>
      <c r="H846" s="462" t="str">
        <f>EUconst_Unit</f>
        <v>Vienība</v>
      </c>
      <c r="I846" s="463">
        <f>I$1820</f>
        <v>2019</v>
      </c>
      <c r="J846" s="463">
        <f>J$1820</f>
        <v>2020</v>
      </c>
      <c r="K846" s="463">
        <f>K$1820</f>
        <v>2021</v>
      </c>
      <c r="L846" s="463">
        <f>L$1820</f>
        <v>2022</v>
      </c>
      <c r="M846" s="463">
        <f>M$1820</f>
        <v>2023</v>
      </c>
      <c r="N846" s="661"/>
      <c r="O846" s="25"/>
      <c r="P846" s="955"/>
      <c r="R846" s="955"/>
      <c r="AA846" s="607"/>
    </row>
    <row r="847" spans="2:27" ht="12.75" customHeight="1" x14ac:dyDescent="0.2">
      <c r="B847" s="224"/>
      <c r="C847" s="977"/>
      <c r="D847" s="695" t="s">
        <v>17</v>
      </c>
      <c r="E847" s="1667" t="str">
        <f>Translations!$B$743</f>
        <v>Importētais vai eksportētais daudzums</v>
      </c>
      <c r="F847" s="1660"/>
      <c r="G847" s="1660"/>
      <c r="H847" s="466" t="str">
        <f>EUconst_tpa</f>
        <v>t / gads</v>
      </c>
      <c r="I847" s="348"/>
      <c r="J847" s="348"/>
      <c r="K847" s="348"/>
      <c r="L847" s="348"/>
      <c r="M847" s="348"/>
      <c r="N847" s="661"/>
      <c r="O847" s="25"/>
      <c r="P847" s="955"/>
      <c r="R847" s="955"/>
      <c r="AA847" s="361" t="b">
        <f>AA844</f>
        <v>0</v>
      </c>
    </row>
    <row r="848" spans="2:27" ht="12.75" customHeight="1" x14ac:dyDescent="0.2">
      <c r="B848" s="224"/>
      <c r="C848" s="977"/>
      <c r="D848" s="695" t="s">
        <v>438</v>
      </c>
      <c r="E848" s="1658" t="str">
        <f>Translations!$B$744</f>
        <v>Zemākā siltumspēja (attiecīgā gadījumā)</v>
      </c>
      <c r="F848" s="1658"/>
      <c r="G848" s="1658"/>
      <c r="H848" s="551" t="str">
        <f>EUconst_GJpt</f>
        <v>GJ / t</v>
      </c>
      <c r="I848" s="347"/>
      <c r="J848" s="347"/>
      <c r="K848" s="347"/>
      <c r="L848" s="347"/>
      <c r="M848" s="347"/>
      <c r="N848" s="661"/>
      <c r="O848" s="25"/>
      <c r="P848" s="955"/>
      <c r="R848" s="955"/>
      <c r="AA848" s="361" t="b">
        <f>AA847</f>
        <v>0</v>
      </c>
    </row>
    <row r="849" spans="2:27" ht="12.75" customHeight="1" thickBot="1" x14ac:dyDescent="0.25">
      <c r="B849" s="224"/>
      <c r="C849" s="977"/>
      <c r="D849" s="695" t="s">
        <v>439</v>
      </c>
      <c r="E849" s="1658" t="str">
        <f>Translations!$B$745</f>
        <v>Oglekļa saturs (masas %)</v>
      </c>
      <c r="F849" s="1658"/>
      <c r="G849" s="1658"/>
      <c r="H849" s="552" t="s">
        <v>341</v>
      </c>
      <c r="I849" s="347"/>
      <c r="J849" s="347"/>
      <c r="K849" s="347"/>
      <c r="L849" s="347"/>
      <c r="M849" s="347"/>
      <c r="N849" s="661"/>
      <c r="O849" s="25"/>
      <c r="P849" s="955"/>
      <c r="R849" s="955"/>
      <c r="AA849" s="361" t="b">
        <f>AA848</f>
        <v>0</v>
      </c>
    </row>
    <row r="850" spans="2:27" ht="12.75" customHeight="1" thickBot="1" x14ac:dyDescent="0.25">
      <c r="B850" s="224"/>
      <c r="C850" s="977"/>
      <c r="D850" s="695" t="s">
        <v>440</v>
      </c>
      <c r="E850" s="1659" t="str">
        <f>Translations!$B$746</f>
        <v>Biomasas saturs (kā oglekļa frakcija)</v>
      </c>
      <c r="F850" s="1659"/>
      <c r="G850" s="1659"/>
      <c r="H850" s="485" t="s">
        <v>341</v>
      </c>
      <c r="I850" s="345"/>
      <c r="J850" s="345"/>
      <c r="K850" s="345"/>
      <c r="L850" s="345"/>
      <c r="M850" s="345"/>
      <c r="N850" s="661"/>
      <c r="O850" s="25"/>
      <c r="P850" s="955"/>
      <c r="R850" s="970"/>
      <c r="S850" s="809">
        <f>I846</f>
        <v>2019</v>
      </c>
      <c r="T850" s="809">
        <f>J846</f>
        <v>2020</v>
      </c>
      <c r="U850" s="809">
        <f>K846</f>
        <v>2021</v>
      </c>
      <c r="V850" s="809">
        <f>L846</f>
        <v>2022</v>
      </c>
      <c r="W850" s="810">
        <f>M846</f>
        <v>2023</v>
      </c>
      <c r="AA850" s="186" t="b">
        <f>AA849</f>
        <v>0</v>
      </c>
    </row>
    <row r="851" spans="2:27" ht="12.75" customHeight="1" thickBot="1" x14ac:dyDescent="0.25">
      <c r="B851" s="224"/>
      <c r="C851" s="977"/>
      <c r="D851" s="695" t="s">
        <v>441</v>
      </c>
      <c r="E851" s="1660" t="str">
        <f>Translations!$B$747</f>
        <v>Emisijas (no fosilajiem avotiem, aprēķinātās)</v>
      </c>
      <c r="F851" s="1660"/>
      <c r="G851" s="1660"/>
      <c r="H851" s="553" t="str">
        <f>EUconst_tCO2pa</f>
        <v>t CO2 / gads</v>
      </c>
      <c r="I851" s="341" t="str">
        <f>IF(AND(COUNT(I847:I850)&gt;0,I854=""),3.664*I847*(I849/100)*(1-I850/100),"")</f>
        <v/>
      </c>
      <c r="J851" s="341" t="str">
        <f>IF(AND(COUNT(J847:J850)&gt;0,J854=""),3.664*J847*(J849/100)*(1-J850/100),"")</f>
        <v/>
      </c>
      <c r="K851" s="341" t="str">
        <f>IF(AND(COUNT(K847:K850)&gt;0,K854=""),3.664*K847*(K849/100)*(1-K850/100),"")</f>
        <v/>
      </c>
      <c r="L851" s="341" t="str">
        <f>IF(AND(COUNT(L847:L850)&gt;0,L854=""),3.664*L847*(L849/100)*(1-L850/100),"")</f>
        <v/>
      </c>
      <c r="M851" s="341" t="str">
        <f>IF(AND(COUNT(M847:M850)&gt;0,M854=""),3.664*M847*(M849/100)*(1-M850/100),"")</f>
        <v/>
      </c>
      <c r="N851" s="661"/>
      <c r="O851" s="25"/>
      <c r="P851" s="979" t="str">
        <f>EUconst_CNTR_EmissionsIntSource2 &amp; I768</f>
        <v>EmInternalSource2_</v>
      </c>
      <c r="R851" s="971" t="str">
        <f>EUconst_CNTR_AttributedEmissions &amp; I768</f>
        <v>AttrEmissions_</v>
      </c>
      <c r="S851" s="137" t="str">
        <f>IF(S768,SUM(I851),"")</f>
        <v/>
      </c>
      <c r="T851" s="137" t="str">
        <f>IF(T768,SUM(J851),"")</f>
        <v/>
      </c>
      <c r="U851" s="137" t="str">
        <f>IF(U768,SUM(K851),"")</f>
        <v/>
      </c>
      <c r="V851" s="137" t="str">
        <f>IF(V768,SUM(L851),"")</f>
        <v/>
      </c>
      <c r="W851" s="138" t="str">
        <f>IF(W768,SUM(M851),"")</f>
        <v/>
      </c>
    </row>
    <row r="852" spans="2:27" ht="12.75" customHeight="1" x14ac:dyDescent="0.2">
      <c r="B852" s="224"/>
      <c r="C852" s="977"/>
      <c r="D852" s="695" t="s">
        <v>442</v>
      </c>
      <c r="E852" s="1661" t="str">
        <f>Translations!$B$1617</f>
        <v>Nulles faktora biomasas emisijas</v>
      </c>
      <c r="F852" s="1661"/>
      <c r="G852" s="1661"/>
      <c r="H852" s="554" t="str">
        <f>EUconst_tCO2pa</f>
        <v>t CO2 / gads</v>
      </c>
      <c r="I852" s="340" t="str">
        <f>IF(ISNUMBER(I851),3.664*I847*(I849/100)*(I850/100),"")</f>
        <v/>
      </c>
      <c r="J852" s="340" t="str">
        <f>IF(ISNUMBER(J851),3.664*J847*(J849/100)*(J850/100),"")</f>
        <v/>
      </c>
      <c r="K852" s="340" t="str">
        <f>IF(ISNUMBER(K851),3.664*K847*(K849/100)*(K850/100),"")</f>
        <v/>
      </c>
      <c r="L852" s="340" t="str">
        <f>IF(ISNUMBER(L851),3.664*L847*(L849/100)*(L850/100),"")</f>
        <v/>
      </c>
      <c r="M852" s="340" t="str">
        <f>IF(ISNUMBER(M851),3.664*M847*(M849/100)*(M850/100),"")</f>
        <v/>
      </c>
      <c r="N852" s="661"/>
      <c r="O852" s="25"/>
      <c r="P852" s="955"/>
      <c r="R852" s="955"/>
    </row>
    <row r="853" spans="2:27" ht="12.75" customHeight="1" x14ac:dyDescent="0.2">
      <c r="B853" s="224"/>
      <c r="C853" s="977"/>
      <c r="D853" s="695" t="s">
        <v>443</v>
      </c>
      <c r="E853" s="1659" t="str">
        <f>Translations!$B$749</f>
        <v>Enerģētiskais saturs (aprēķinātais)</v>
      </c>
      <c r="F853" s="1659"/>
      <c r="G853" s="1659"/>
      <c r="H853" s="555" t="str">
        <f>EUconst_TJpa</f>
        <v>TJ / gads</v>
      </c>
      <c r="I853" s="343" t="str">
        <f>IF(COUNT(I847:I848)=2,I847*I848/1000,"")</f>
        <v/>
      </c>
      <c r="J853" s="343" t="str">
        <f>IF(COUNT(J847:J848)=2,J847*J848/1000,"")</f>
        <v/>
      </c>
      <c r="K853" s="343" t="str">
        <f>IF(COUNT(K847:K848)=2,K847*K848/1000,"")</f>
        <v/>
      </c>
      <c r="L853" s="343" t="str">
        <f>IF(COUNT(L847:L848)=2,L847*L848/1000,"")</f>
        <v/>
      </c>
      <c r="M853" s="343" t="str">
        <f>IF(COUNT(M847:M848)=2,M847*M848/1000,"")</f>
        <v/>
      </c>
      <c r="N853" s="661"/>
      <c r="O853" s="25"/>
      <c r="P853" s="955"/>
      <c r="R853" s="955"/>
    </row>
    <row r="854" spans="2:27" ht="12.75" customHeight="1" x14ac:dyDescent="0.2">
      <c r="B854" s="224"/>
      <c r="C854" s="977"/>
      <c r="D854" s="695" t="s">
        <v>439</v>
      </c>
      <c r="E854" s="1662" t="str">
        <f>Translations!$B$750</f>
        <v>Kļūdas ziņojumi (emisijas)</v>
      </c>
      <c r="F854" s="1662"/>
      <c r="G854" s="1662"/>
      <c r="H854" s="556"/>
      <c r="I854" s="662" t="str">
        <f>IF(COUNT(I847,I849:I850)&gt;0,IF(COUNTIF(I848:I850,"&lt;0")&gt;0,EUconst_Negative,IF(COUNT(I847,I849:I850)&lt;3,EUconst_Incomplete,"")),"")</f>
        <v/>
      </c>
      <c r="J854" s="662" t="str">
        <f>IF(COUNT(J847,J849:J850)&gt;0,IF(COUNTIF(J848:J850,"&lt;0")&gt;0,EUconst_Negative,IF(COUNT(J847,J849:J850)&lt;3,EUconst_Incomplete,"")),"")</f>
        <v/>
      </c>
      <c r="K854" s="662" t="str">
        <f>IF(COUNT(K847,K849:K850)&gt;0,IF(COUNTIF(K848:K850,"&lt;0")&gt;0,EUconst_Negative,IF(COUNT(K847,K849:K850)&lt;3,EUconst_Incomplete,"")),"")</f>
        <v/>
      </c>
      <c r="L854" s="662" t="str">
        <f>IF(COUNT(L847,L849:L850)&gt;0,IF(COUNTIF(L848:L850,"&lt;0")&gt;0,EUconst_Negative,IF(COUNT(L847,L849:L850)&lt;3,EUconst_Incomplete,"")),"")</f>
        <v/>
      </c>
      <c r="M854" s="662" t="str">
        <f>IF(COUNT(M847,M849:M850)&gt;0,IF(COUNTIF(M848:M850,"&lt;0")&gt;0,EUconst_Negative,IF(COUNT(M847,M849:M850)&lt;3,EUconst_Incomplete,"")),"")</f>
        <v/>
      </c>
      <c r="N854" s="661"/>
      <c r="O854" s="25"/>
      <c r="P854" s="955"/>
      <c r="R854" s="955"/>
    </row>
    <row r="855" spans="2:27" ht="5.0999999999999996" customHeight="1" x14ac:dyDescent="0.2">
      <c r="B855" s="224"/>
      <c r="C855" s="977"/>
      <c r="D855" s="978"/>
      <c r="E855" s="978"/>
      <c r="F855" s="978"/>
      <c r="G855" s="978"/>
      <c r="H855" s="978"/>
      <c r="I855" s="978"/>
      <c r="J855" s="978"/>
      <c r="K855" s="978"/>
      <c r="L855" s="978"/>
      <c r="M855" s="980"/>
      <c r="N855" s="661"/>
      <c r="O855" s="25"/>
      <c r="P855" s="955"/>
      <c r="R855" s="955"/>
    </row>
    <row r="856" spans="2:27" ht="12.75" customHeight="1" thickBot="1" x14ac:dyDescent="0.25">
      <c r="B856" s="224"/>
      <c r="C856" s="977"/>
      <c r="D856" s="474" t="s">
        <v>211</v>
      </c>
      <c r="E856" s="1654" t="str">
        <f>Translations!$B$753</f>
        <v>To SEG daudzums, kas importētas vai eksportētas kā ievadmateriāli</v>
      </c>
      <c r="F856" s="1655"/>
      <c r="G856" s="1655"/>
      <c r="H856" s="1655"/>
      <c r="I856" s="1655"/>
      <c r="J856" s="1655"/>
      <c r="K856" s="1655"/>
      <c r="L856" s="1655"/>
      <c r="M856" s="1655"/>
      <c r="N856" s="1656"/>
      <c r="O856" s="25"/>
      <c r="P856" s="955"/>
      <c r="R856" s="955"/>
    </row>
    <row r="857" spans="2:27" ht="12.75" customHeight="1" x14ac:dyDescent="0.2">
      <c r="B857" s="224"/>
      <c r="C857" s="977"/>
      <c r="D857" s="474"/>
      <c r="E857" s="1653"/>
      <c r="F857" s="1657"/>
      <c r="G857" s="1657"/>
      <c r="H857" s="462" t="str">
        <f>EUconst_Unit</f>
        <v>Vienība</v>
      </c>
      <c r="I857" s="463">
        <f>I$1820</f>
        <v>2019</v>
      </c>
      <c r="J857" s="463">
        <f>J$1820</f>
        <v>2020</v>
      </c>
      <c r="K857" s="463">
        <f>K$1820</f>
        <v>2021</v>
      </c>
      <c r="L857" s="463">
        <f>L$1820</f>
        <v>2022</v>
      </c>
      <c r="M857" s="463">
        <f>M$1820</f>
        <v>2023</v>
      </c>
      <c r="N857" s="661"/>
      <c r="O857" s="25"/>
      <c r="P857" s="955"/>
      <c r="R857" s="970"/>
      <c r="S857" s="809">
        <f>I857</f>
        <v>2019</v>
      </c>
      <c r="T857" s="809">
        <f>J857</f>
        <v>2020</v>
      </c>
      <c r="U857" s="809">
        <f>K857</f>
        <v>2021</v>
      </c>
      <c r="V857" s="809">
        <f>L857</f>
        <v>2022</v>
      </c>
      <c r="W857" s="810">
        <f>M857</f>
        <v>2023</v>
      </c>
    </row>
    <row r="858" spans="2:27" ht="12.75" customHeight="1" thickBot="1" x14ac:dyDescent="0.25">
      <c r="B858" s="224"/>
      <c r="C858" s="977"/>
      <c r="D858" s="695"/>
      <c r="E858" s="1651" t="str">
        <f>Translations!$B$756</f>
        <v>Importētās vai eksportētās SEG</v>
      </c>
      <c r="F858" s="1652"/>
      <c r="G858" s="1652"/>
      <c r="H858" s="465" t="str">
        <f>EUconst_tCO2epa</f>
        <v>t CO2e/gads</v>
      </c>
      <c r="I858" s="483"/>
      <c r="J858" s="483"/>
      <c r="K858" s="483"/>
      <c r="L858" s="483"/>
      <c r="M858" s="483"/>
      <c r="N858" s="1205"/>
      <c r="O858" s="25"/>
      <c r="P858" s="979" t="str">
        <f>EUconst_CNTR_CO2Feedstock &amp; I768</f>
        <v>EmCO2Feedstock_</v>
      </c>
      <c r="R858" s="971" t="str">
        <f>EUconst_CNTR_AttributedEmissions &amp; I768</f>
        <v>AttrEmissions_</v>
      </c>
      <c r="S858" s="137" t="str">
        <f>IF(S768,SUM(I858),"")</f>
        <v/>
      </c>
      <c r="T858" s="137" t="str">
        <f>IF(T768,SUM(J858),"")</f>
        <v/>
      </c>
      <c r="U858" s="137" t="str">
        <f>IF(U768,SUM(K858),"")</f>
        <v/>
      </c>
      <c r="V858" s="137" t="str">
        <f>IF(V768,SUM(L858),"")</f>
        <v/>
      </c>
      <c r="W858" s="138" t="str">
        <f>IF(W768,SUM(M858),"")</f>
        <v/>
      </c>
    </row>
    <row r="859" spans="2:27" ht="5.0999999999999996" customHeight="1" x14ac:dyDescent="0.2">
      <c r="B859" s="224"/>
      <c r="C859" s="977"/>
      <c r="D859" s="978"/>
      <c r="E859" s="978"/>
      <c r="F859" s="978"/>
      <c r="G859" s="978"/>
      <c r="H859" s="978"/>
      <c r="I859" s="978"/>
      <c r="J859" s="978"/>
      <c r="K859" s="978"/>
      <c r="L859" s="978"/>
      <c r="M859" s="980"/>
      <c r="N859" s="661"/>
      <c r="O859" s="25"/>
      <c r="P859" s="955"/>
      <c r="R859" s="955"/>
    </row>
    <row r="860" spans="2:27" ht="12.75" customHeight="1" x14ac:dyDescent="0.2">
      <c r="B860" s="224"/>
      <c r="C860" s="977"/>
      <c r="D860" s="474" t="s">
        <v>212</v>
      </c>
      <c r="E860" s="1654" t="str">
        <f>Translations!$B$757</f>
        <v>Šajā apakšiekārtā importētais un no tās eksportētais izmērāmais siltums</v>
      </c>
      <c r="F860" s="1655"/>
      <c r="G860" s="1655"/>
      <c r="H860" s="1655"/>
      <c r="I860" s="1655"/>
      <c r="J860" s="1655"/>
      <c r="K860" s="1655"/>
      <c r="L860" s="1655"/>
      <c r="M860" s="1655"/>
      <c r="N860" s="1656"/>
      <c r="O860" s="25"/>
      <c r="P860" s="955"/>
      <c r="R860" s="955"/>
    </row>
    <row r="861" spans="2:27" ht="12.75" customHeight="1" thickBot="1" x14ac:dyDescent="0.25">
      <c r="B861" s="224"/>
      <c r="C861" s="977"/>
      <c r="D861" s="978"/>
      <c r="E861" s="1628" t="str">
        <f>Translations!$B$762</f>
        <v>Lai uz siltuma ražošanu attiecinātu emisijas no koģenerācijas, jāizmanto koģenerācijas rīks šīs veidnes D. lapas III .sadaļā.</v>
      </c>
      <c r="F861" s="1628"/>
      <c r="G861" s="1628"/>
      <c r="H861" s="1628"/>
      <c r="I861" s="1628"/>
      <c r="J861" s="1628"/>
      <c r="K861" s="1628"/>
      <c r="L861" s="1628"/>
      <c r="M861" s="1628"/>
      <c r="N861" s="1205"/>
      <c r="O861" s="25"/>
      <c r="P861" s="955"/>
    </row>
    <row r="862" spans="2:27" ht="12.75" customHeight="1" x14ac:dyDescent="0.2">
      <c r="B862" s="224"/>
      <c r="C862" s="977"/>
      <c r="D862" s="978"/>
      <c r="E862" s="1653" t="str">
        <f>Translations!$B$763</f>
        <v>Kopējais importētais siltums</v>
      </c>
      <c r="F862" s="1657"/>
      <c r="G862" s="1657"/>
      <c r="H862" s="462" t="str">
        <f>EUconst_Unit</f>
        <v>Vienība</v>
      </c>
      <c r="I862" s="463">
        <f>I$1820</f>
        <v>2019</v>
      </c>
      <c r="J862" s="463">
        <f>J$1820</f>
        <v>2020</v>
      </c>
      <c r="K862" s="463">
        <f>K$1820</f>
        <v>2021</v>
      </c>
      <c r="L862" s="463">
        <f>L$1820</f>
        <v>2022</v>
      </c>
      <c r="M862" s="463">
        <f>M$1820</f>
        <v>2023</v>
      </c>
      <c r="N862" s="1205"/>
      <c r="O862" s="25"/>
      <c r="P862" s="955"/>
      <c r="R862" s="970"/>
      <c r="S862" s="809">
        <f>I862</f>
        <v>2019</v>
      </c>
      <c r="T862" s="809">
        <f>J862</f>
        <v>2020</v>
      </c>
      <c r="U862" s="809">
        <f>K862</f>
        <v>2021</v>
      </c>
      <c r="V862" s="809">
        <f>L862</f>
        <v>2022</v>
      </c>
      <c r="W862" s="810">
        <f>M862</f>
        <v>2023</v>
      </c>
    </row>
    <row r="863" spans="2:27" ht="12.75" customHeight="1" x14ac:dyDescent="0.2">
      <c r="B863" s="224"/>
      <c r="C863" s="977"/>
      <c r="D863" s="695" t="s">
        <v>2</v>
      </c>
      <c r="E863" s="1651" t="str">
        <f>Translations!$B$764</f>
        <v>Neto importētais siltums</v>
      </c>
      <c r="F863" s="1652"/>
      <c r="G863" s="1652"/>
      <c r="H863" s="465" t="str">
        <f>EUconst_TJpa</f>
        <v>TJ / gads</v>
      </c>
      <c r="I863" s="483"/>
      <c r="J863" s="483"/>
      <c r="K863" s="483"/>
      <c r="L863" s="483"/>
      <c r="M863" s="483"/>
      <c r="N863" s="698"/>
      <c r="O863" s="25"/>
      <c r="P863" s="979" t="str">
        <f>EUconst_CNTR_HeatImport &amp; I768</f>
        <v>HeatIm_</v>
      </c>
      <c r="R863" s="981" t="str">
        <f>EUconst_ERR_AttrEmBMapplied &amp; I768</f>
        <v>ERR_AttrEmBM_ </v>
      </c>
      <c r="S863" s="134">
        <f>IF(AND(I863&lt;&gt;0,I864="",EUconst_StatusOfDataCollection=""),1,0)</f>
        <v>0</v>
      </c>
      <c r="T863" s="134">
        <f>IF(AND(J863&lt;&gt;0,J864="",EUconst_StatusOfDataCollection=""),1,0)</f>
        <v>0</v>
      </c>
      <c r="U863" s="134">
        <f>IF(AND(K863&lt;&gt;0,K864="",EUconst_StatusOfDataCollection=""),1,0)</f>
        <v>0</v>
      </c>
      <c r="V863" s="134">
        <f>IF(AND(L863&lt;&gt;0,L864="",EUconst_StatusOfDataCollection=""),1,0)</f>
        <v>0</v>
      </c>
      <c r="W863" s="135">
        <f>IF(AND(M863&lt;&gt;0,M864="",EUconst_StatusOfDataCollection=""),1,0)</f>
        <v>0</v>
      </c>
      <c r="X863" s="63"/>
    </row>
    <row r="864" spans="2:27" ht="12.75" customHeight="1" thickBot="1" x14ac:dyDescent="0.25">
      <c r="B864" s="224"/>
      <c r="C864" s="977"/>
      <c r="D864" s="695" t="s">
        <v>3</v>
      </c>
      <c r="E864" s="1651" t="str">
        <f>Translations!$B$765</f>
        <v>Īpatnējais EF (importētais siltums)</v>
      </c>
      <c r="F864" s="1652"/>
      <c r="G864" s="1652"/>
      <c r="H864" s="465" t="str">
        <f>EUconst_tCO2pTJ</f>
        <v>t CO2 / TJ</v>
      </c>
      <c r="I864" s="760"/>
      <c r="J864" s="760"/>
      <c r="K864" s="760"/>
      <c r="L864" s="760"/>
      <c r="M864" s="760"/>
      <c r="N864" s="661"/>
      <c r="O864" s="25"/>
      <c r="P864" s="979" t="str">
        <f>EUconst_CNTR_HeatImportEF &amp; I768</f>
        <v>HeatImEF_</v>
      </c>
      <c r="R864" s="971" t="str">
        <f>EUconst_CNTR_AttributedEmissions &amp; I768</f>
        <v>AttrEmissions_</v>
      </c>
      <c r="S864" s="137" t="str">
        <f>IF(S768,SUM(I863)*IF(ISNUMBER(I864),I864,EUconst_HeatBMvalueForBM),"")</f>
        <v/>
      </c>
      <c r="T864" s="137" t="str">
        <f>IF(T768,SUM(J863)*IF(ISNUMBER(J864),J864,EUconst_HeatBMvalueForBM),"")</f>
        <v/>
      </c>
      <c r="U864" s="137" t="str">
        <f>IF(U768,SUM(K863)*IF(ISNUMBER(K864),K864,EUconst_HeatBMvalueForBM),"")</f>
        <v/>
      </c>
      <c r="V864" s="137" t="str">
        <f>IF(V768,SUM(L863)*IF(ISNUMBER(L864),L864,EUconst_HeatBMvalueForBM),"")</f>
        <v/>
      </c>
      <c r="W864" s="138" t="str">
        <f>IF(W768,SUM(M863)*IF(ISNUMBER(M864),M864,EUconst_HeatBMvalueForBM),"")</f>
        <v/>
      </c>
    </row>
    <row r="865" spans="2:27" ht="5.0999999999999996" customHeight="1" x14ac:dyDescent="0.2">
      <c r="B865" s="224"/>
      <c r="C865" s="977"/>
      <c r="D865" s="978"/>
      <c r="E865" s="978"/>
      <c r="F865" s="978"/>
      <c r="G865" s="978"/>
      <c r="H865" s="978"/>
      <c r="I865" s="978"/>
      <c r="J865" s="978"/>
      <c r="K865" s="978"/>
      <c r="L865" s="978"/>
      <c r="M865" s="980"/>
      <c r="N865" s="661"/>
      <c r="O865" s="25"/>
      <c r="P865" s="955"/>
      <c r="R865" s="955"/>
      <c r="S865" s="955"/>
    </row>
    <row r="866" spans="2:27" ht="12.75" customHeight="1" x14ac:dyDescent="0.2">
      <c r="B866" s="224"/>
      <c r="C866" s="977"/>
      <c r="D866" s="978"/>
      <c r="E866" s="1653" t="str">
        <f>Translations!$B$766</f>
        <v>Īpašs importētais siltums</v>
      </c>
      <c r="F866" s="1653"/>
      <c r="G866" s="1653"/>
      <c r="H866" s="462" t="str">
        <f>EUconst_Unit</f>
        <v>Vienība</v>
      </c>
      <c r="I866" s="463">
        <f>I$1820</f>
        <v>2019</v>
      </c>
      <c r="J866" s="463">
        <f>J$1820</f>
        <v>2020</v>
      </c>
      <c r="K866" s="463">
        <f>K$1820</f>
        <v>2021</v>
      </c>
      <c r="L866" s="463">
        <f>L$1820</f>
        <v>2022</v>
      </c>
      <c r="M866" s="463">
        <f>M$1820</f>
        <v>2023</v>
      </c>
      <c r="N866" s="1205"/>
      <c r="O866" s="25"/>
      <c r="P866" s="955"/>
      <c r="R866" s="955"/>
      <c r="S866" s="955"/>
    </row>
    <row r="867" spans="2:27" ht="12.75" customHeight="1" x14ac:dyDescent="0.2">
      <c r="B867" s="224"/>
      <c r="C867" s="977"/>
      <c r="D867" s="695" t="s">
        <v>4</v>
      </c>
      <c r="E867" s="1651" t="str">
        <f>Translations!$B$767</f>
        <v>No pulpas apakšiekārtām importētais neto siltums</v>
      </c>
      <c r="F867" s="1652"/>
      <c r="G867" s="1652"/>
      <c r="H867" s="465" t="str">
        <f>EUconst_TJpa</f>
        <v>TJ / gads</v>
      </c>
      <c r="I867" s="550"/>
      <c r="J867" s="550"/>
      <c r="K867" s="550"/>
      <c r="L867" s="550"/>
      <c r="M867" s="550"/>
      <c r="N867" s="698"/>
      <c r="O867" s="25"/>
      <c r="P867" s="979" t="str">
        <f>EUconst_CNTR_HeatImportPulp &amp; I768</f>
        <v>HeatImPulp_</v>
      </c>
      <c r="R867" s="955"/>
      <c r="S867" s="955"/>
    </row>
    <row r="868" spans="2:27" ht="25.5" customHeight="1" x14ac:dyDescent="0.2">
      <c r="B868" s="224"/>
      <c r="C868" s="977"/>
      <c r="D868" s="695" t="s">
        <v>6</v>
      </c>
      <c r="E868" s="1651" t="str">
        <f>Translations!$B$768</f>
        <v>No slāpekļskābes apakšiekārtas importētais neto siltums</v>
      </c>
      <c r="F868" s="1652"/>
      <c r="G868" s="1652"/>
      <c r="H868" s="465" t="str">
        <f>EUconst_TJpa</f>
        <v>TJ / gads</v>
      </c>
      <c r="I868" s="483"/>
      <c r="J868" s="483"/>
      <c r="K868" s="483"/>
      <c r="L868" s="483"/>
      <c r="M868" s="483"/>
      <c r="N868" s="698"/>
      <c r="O868" s="25"/>
      <c r="P868" s="979" t="str">
        <f>EUconst_CNTR_HeatImportNitric &amp; I768</f>
        <v>HeatImNitric_</v>
      </c>
      <c r="R868" s="955"/>
      <c r="S868" s="955"/>
    </row>
    <row r="869" spans="2:27" ht="5.0999999999999996" customHeight="1" thickBot="1" x14ac:dyDescent="0.25">
      <c r="B869" s="224"/>
      <c r="C869" s="977"/>
      <c r="D869" s="978"/>
      <c r="E869" s="978"/>
      <c r="F869" s="978"/>
      <c r="G869" s="978"/>
      <c r="H869" s="978"/>
      <c r="I869" s="978"/>
      <c r="J869" s="978"/>
      <c r="K869" s="978"/>
      <c r="L869" s="978"/>
      <c r="M869" s="980"/>
      <c r="N869" s="661"/>
      <c r="O869" s="25"/>
      <c r="P869" s="955"/>
      <c r="R869" s="955"/>
      <c r="S869" s="955"/>
    </row>
    <row r="870" spans="2:27" ht="12.75" customHeight="1" x14ac:dyDescent="0.2">
      <c r="B870" s="224"/>
      <c r="C870" s="977"/>
      <c r="D870" s="978"/>
      <c r="E870" s="1653" t="str">
        <f>Translations!$B$769</f>
        <v>Kopējais eksportētais siltums</v>
      </c>
      <c r="F870" s="1653"/>
      <c r="G870" s="1653"/>
      <c r="H870" s="462" t="str">
        <f>EUconst_Unit</f>
        <v>Vienība</v>
      </c>
      <c r="I870" s="463">
        <f>I$1820</f>
        <v>2019</v>
      </c>
      <c r="J870" s="463">
        <f>J$1820</f>
        <v>2020</v>
      </c>
      <c r="K870" s="463">
        <f>K$1820</f>
        <v>2021</v>
      </c>
      <c r="L870" s="463">
        <f>L$1820</f>
        <v>2022</v>
      </c>
      <c r="M870" s="463">
        <f>M$1820</f>
        <v>2023</v>
      </c>
      <c r="N870" s="1205"/>
      <c r="O870" s="25"/>
      <c r="P870" s="955"/>
      <c r="R870" s="970"/>
      <c r="S870" s="809">
        <f>I870</f>
        <v>2019</v>
      </c>
      <c r="T870" s="809">
        <f>J870</f>
        <v>2020</v>
      </c>
      <c r="U870" s="809">
        <f>K870</f>
        <v>2021</v>
      </c>
      <c r="V870" s="809">
        <f>L870</f>
        <v>2022</v>
      </c>
      <c r="W870" s="810">
        <f>M870</f>
        <v>2023</v>
      </c>
    </row>
    <row r="871" spans="2:27" ht="12.75" customHeight="1" x14ac:dyDescent="0.2">
      <c r="B871" s="224"/>
      <c r="C871" s="977"/>
      <c r="D871" s="695" t="s">
        <v>303</v>
      </c>
      <c r="E871" s="1651" t="str">
        <f>Translations!$B$770</f>
        <v>Neto eksportētais siltums</v>
      </c>
      <c r="F871" s="1652"/>
      <c r="G871" s="1652"/>
      <c r="H871" s="465" t="str">
        <f>EUconst_TJpa</f>
        <v>TJ / gads</v>
      </c>
      <c r="I871" s="483"/>
      <c r="J871" s="483"/>
      <c r="K871" s="483"/>
      <c r="L871" s="483"/>
      <c r="M871" s="483"/>
      <c r="N871" s="698"/>
      <c r="O871" s="25"/>
      <c r="P871" s="979" t="str">
        <f>EUconst_CNTR_HeatExport &amp; I768</f>
        <v>HeatEx_</v>
      </c>
      <c r="R871" s="981" t="str">
        <f>EUconst_ERR_AttrEmBMapplied &amp; I768</f>
        <v>ERR_AttrEmBM_ </v>
      </c>
      <c r="S871" s="134">
        <f>IF(AND(I871&lt;&gt;0,I872="",EUconst_StatusOfDataCollection=""),1,0)</f>
        <v>0</v>
      </c>
      <c r="T871" s="134">
        <f>IF(AND(J871&lt;&gt;0,J872="",EUconst_StatusOfDataCollection=""),1,0)</f>
        <v>0</v>
      </c>
      <c r="U871" s="134">
        <f>IF(AND(K871&lt;&gt;0,K872="",EUconst_StatusOfDataCollection=""),1,0)</f>
        <v>0</v>
      </c>
      <c r="V871" s="134">
        <f>IF(AND(L871&lt;&gt;0,L872="",EUconst_StatusOfDataCollection=""),1,0)</f>
        <v>0</v>
      </c>
      <c r="W871" s="135">
        <f>IF(AND(M871&lt;&gt;0,M872="",EUconst_StatusOfDataCollection=""),1,0)</f>
        <v>0</v>
      </c>
    </row>
    <row r="872" spans="2:27" ht="12.75" customHeight="1" thickBot="1" x14ac:dyDescent="0.25">
      <c r="B872" s="224"/>
      <c r="C872" s="977"/>
      <c r="D872" s="695" t="s">
        <v>304</v>
      </c>
      <c r="E872" s="1651" t="str">
        <f>Translations!$B$771</f>
        <v>Īpatnējais EF (eksportētais siltums)</v>
      </c>
      <c r="F872" s="1652"/>
      <c r="G872" s="1652"/>
      <c r="H872" s="465" t="str">
        <f>EUconst_tCO2pTJ</f>
        <v>t CO2 / TJ</v>
      </c>
      <c r="I872" s="760"/>
      <c r="J872" s="760"/>
      <c r="K872" s="760"/>
      <c r="L872" s="760"/>
      <c r="M872" s="760"/>
      <c r="N872" s="661"/>
      <c r="O872" s="25"/>
      <c r="P872" s="979" t="str">
        <f>EUconst_CNTR_HeatExportEF &amp; I768</f>
        <v>HeatExEF_</v>
      </c>
      <c r="R872" s="971" t="str">
        <f>EUconst_CNTR_AttributedEmissions &amp; I768</f>
        <v>AttrEmissions_</v>
      </c>
      <c r="S872" s="137" t="str">
        <f>IF(S768,-SUM(I871)*IF(INDEX(EUconst_BMlistMainNumberOfBM,MATCH($I768,EUconst_BMlistNames,0))=39,0,IF(ISNUMBER(I872),I872,EUconst_HeatBMvalueForBM)),"")</f>
        <v/>
      </c>
      <c r="T872" s="137" t="str">
        <f>IF(T768,-SUM(J871)*IF(INDEX(EUconst_BMlistMainNumberOfBM,MATCH($I768,EUconst_BMlistNames,0))=39,0,IF(ISNUMBER(J872),J872,EUconst_HeatBMvalueForBM)),"")</f>
        <v/>
      </c>
      <c r="U872" s="137" t="str">
        <f>IF(U768,-SUM(K871)*IF(INDEX(EUconst_BMlistMainNumberOfBM,MATCH($I768,EUconst_BMlistNames,0))=39,0,IF(ISNUMBER(K872),K872,EUconst_HeatBMvalueForBM)),"")</f>
        <v/>
      </c>
      <c r="V872" s="137" t="str">
        <f>IF(V768,-SUM(L871)*IF(INDEX(EUconst_BMlistMainNumberOfBM,MATCH($I768,EUconst_BMlistNames,0))=39,0,IF(ISNUMBER(L872),L872,EUconst_HeatBMvalueForBM)),"")</f>
        <v/>
      </c>
      <c r="W872" s="138" t="str">
        <f>IF(W768,-SUM(M871)*IF(INDEX(EUconst_BMlistMainNumberOfBM,MATCH($I768,EUconst_BMlistNames,0))=39,0,IF(ISNUMBER(M872),M872,EUconst_HeatBMvalueForBM)),"")</f>
        <v/>
      </c>
    </row>
    <row r="873" spans="2:27" ht="5.0999999999999996" customHeight="1" x14ac:dyDescent="0.2">
      <c r="B873" s="224"/>
      <c r="C873" s="977"/>
      <c r="D873" s="978"/>
      <c r="E873" s="978"/>
      <c r="F873" s="978"/>
      <c r="G873" s="978"/>
      <c r="H873" s="978"/>
      <c r="I873" s="978"/>
      <c r="J873" s="978"/>
      <c r="K873" s="978"/>
      <c r="L873" s="978"/>
      <c r="M873" s="980"/>
      <c r="N873" s="661"/>
      <c r="O873" s="25"/>
      <c r="P873" s="955"/>
      <c r="R873" s="955"/>
      <c r="S873" s="955"/>
    </row>
    <row r="874" spans="2:27" ht="12.75" customHeight="1" x14ac:dyDescent="0.2">
      <c r="B874" s="224"/>
      <c r="C874" s="977"/>
      <c r="D874" s="474" t="s">
        <v>213</v>
      </c>
      <c r="E874" s="1654" t="str">
        <f>Translations!$B$772</f>
        <v>Šīs apakšiekārtas atlikumgāzu bilance</v>
      </c>
      <c r="F874" s="1655"/>
      <c r="G874" s="1655"/>
      <c r="H874" s="1655"/>
      <c r="I874" s="1655"/>
      <c r="J874" s="1655"/>
      <c r="K874" s="1655"/>
      <c r="L874" s="1655"/>
      <c r="M874" s="1655"/>
      <c r="N874" s="1656"/>
      <c r="O874" s="25"/>
      <c r="P874" s="955"/>
      <c r="R874" s="955"/>
      <c r="S874" s="955"/>
    </row>
    <row r="875" spans="2:27" ht="5.0999999999999996" customHeight="1" thickBot="1" x14ac:dyDescent="0.25">
      <c r="B875" s="224"/>
      <c r="C875" s="977"/>
      <c r="D875" s="978"/>
      <c r="E875" s="1727"/>
      <c r="F875" s="1727"/>
      <c r="G875" s="1727"/>
      <c r="H875" s="1727"/>
      <c r="I875" s="1727"/>
      <c r="J875" s="1727"/>
      <c r="K875" s="1727"/>
      <c r="L875" s="1727"/>
      <c r="M875" s="1727"/>
      <c r="N875" s="1734"/>
      <c r="O875" s="25"/>
      <c r="P875" s="955"/>
      <c r="R875" s="955"/>
      <c r="S875" s="955"/>
    </row>
    <row r="876" spans="2:27" ht="12.75" customHeight="1" thickBot="1" x14ac:dyDescent="0.25">
      <c r="B876" s="224"/>
      <c r="C876" s="977"/>
      <c r="D876" s="695" t="s">
        <v>2</v>
      </c>
      <c r="E876" s="1735" t="str">
        <f>Translations!$B$773</f>
        <v>Vai atlikumgāzes ir šai apakšiekārtai relevantas?</v>
      </c>
      <c r="F876" s="1735"/>
      <c r="G876" s="1735"/>
      <c r="H876" s="1735"/>
      <c r="I876" s="1735"/>
      <c r="J876" s="1735"/>
      <c r="K876" s="1736"/>
      <c r="L876" s="527"/>
      <c r="M876" s="1202"/>
      <c r="N876" s="1203"/>
      <c r="O876" s="25"/>
      <c r="P876" s="955"/>
      <c r="R876" s="955"/>
      <c r="W876" s="966" t="s">
        <v>398</v>
      </c>
      <c r="X876" s="964" t="b">
        <f>IF(AND(I768&lt;&gt;"",ISBLANK(L876)),EUconst_Error&amp;"BM"&amp;C768,FALSE)</f>
        <v>0</v>
      </c>
    </row>
    <row r="877" spans="2:27" ht="5.0999999999999996" customHeight="1" thickBot="1" x14ac:dyDescent="0.25">
      <c r="B877" s="224"/>
      <c r="C877" s="977"/>
      <c r="D877" s="978"/>
      <c r="E877" s="978"/>
      <c r="F877" s="978"/>
      <c r="G877" s="978"/>
      <c r="H877" s="978"/>
      <c r="I877" s="978"/>
      <c r="J877" s="978"/>
      <c r="K877" s="978"/>
      <c r="L877" s="978"/>
      <c r="M877" s="980"/>
      <c r="N877" s="661"/>
      <c r="O877" s="25"/>
      <c r="P877" s="955"/>
      <c r="R877" s="955"/>
    </row>
    <row r="878" spans="2:27" ht="12.75" customHeight="1" x14ac:dyDescent="0.2">
      <c r="B878" s="224"/>
      <c r="C878" s="977"/>
      <c r="D878" s="695" t="s">
        <v>3</v>
      </c>
      <c r="E878" s="1663" t="str">
        <f>Translations!$B$775</f>
        <v>Radušos atlikumgāzu veidi:</v>
      </c>
      <c r="F878" s="1663"/>
      <c r="G878" s="1663"/>
      <c r="H878" s="1663"/>
      <c r="I878" s="1664"/>
      <c r="J878" s="1665"/>
      <c r="K878" s="1665"/>
      <c r="L878" s="1665"/>
      <c r="M878" s="1666"/>
      <c r="N878" s="1203"/>
      <c r="O878" s="25"/>
      <c r="P878" s="955"/>
      <c r="R878" s="955"/>
      <c r="AA878" s="643" t="b">
        <f>IF(I768&lt;&gt;"",AND(L876&lt;&gt;"",L876=FALSE),FALSE)</f>
        <v>0</v>
      </c>
    </row>
    <row r="879" spans="2:27" ht="5.0999999999999996" customHeight="1" x14ac:dyDescent="0.2">
      <c r="B879" s="224"/>
      <c r="C879" s="977"/>
      <c r="D879" s="978"/>
      <c r="E879" s="978"/>
      <c r="F879" s="978"/>
      <c r="G879" s="978"/>
      <c r="H879" s="978"/>
      <c r="I879" s="978"/>
      <c r="J879" s="978"/>
      <c r="K879" s="978"/>
      <c r="L879" s="978"/>
      <c r="M879" s="980"/>
      <c r="N879" s="661"/>
      <c r="O879" s="25"/>
      <c r="P879" s="955"/>
      <c r="R879" s="955"/>
    </row>
    <row r="880" spans="2:27" ht="12.75" customHeight="1" x14ac:dyDescent="0.2">
      <c r="B880" s="224"/>
      <c r="C880" s="977"/>
      <c r="D880" s="978"/>
      <c r="E880" s="1653"/>
      <c r="F880" s="1657"/>
      <c r="G880" s="1657"/>
      <c r="H880" s="462" t="str">
        <f>EUconst_Unit</f>
        <v>Vienība</v>
      </c>
      <c r="I880" s="463">
        <f>I$1820</f>
        <v>2019</v>
      </c>
      <c r="J880" s="463">
        <f>J$1820</f>
        <v>2020</v>
      </c>
      <c r="K880" s="463">
        <f>K$1820</f>
        <v>2021</v>
      </c>
      <c r="L880" s="463">
        <f>L$1820</f>
        <v>2022</v>
      </c>
      <c r="M880" s="463">
        <f>M$1820</f>
        <v>2023</v>
      </c>
      <c r="N880" s="1205"/>
      <c r="O880" s="25"/>
      <c r="P880" s="955"/>
      <c r="R880" s="955"/>
      <c r="S880" s="955"/>
      <c r="AA880" s="607"/>
    </row>
    <row r="881" spans="2:27" ht="12.75" customHeight="1" x14ac:dyDescent="0.2">
      <c r="B881" s="224"/>
      <c r="C881" s="977"/>
      <c r="D881" s="695" t="s">
        <v>4</v>
      </c>
      <c r="E881" s="1667" t="str">
        <f>Translations!$B$777</f>
        <v>Radušies daudzumi</v>
      </c>
      <c r="F881" s="1660"/>
      <c r="G881" s="1660"/>
      <c r="H881" s="245" t="s">
        <v>249</v>
      </c>
      <c r="I881" s="484"/>
      <c r="J881" s="484"/>
      <c r="K881" s="484"/>
      <c r="L881" s="484"/>
      <c r="M881" s="484"/>
      <c r="N881" s="1205"/>
      <c r="O881" s="25"/>
      <c r="P881" s="955"/>
      <c r="R881" s="955"/>
      <c r="S881" s="955"/>
      <c r="AA881" s="361" t="b">
        <f>AA878</f>
        <v>0</v>
      </c>
    </row>
    <row r="882" spans="2:27" ht="12.75" customHeight="1" x14ac:dyDescent="0.2">
      <c r="B882" s="224"/>
      <c r="C882" s="977"/>
      <c r="D882" s="695" t="s">
        <v>6</v>
      </c>
      <c r="E882" s="1737" t="str">
        <f>Translations!$B$470</f>
        <v>Zemākā siltumspēja</v>
      </c>
      <c r="F882" s="1659"/>
      <c r="G882" s="1659"/>
      <c r="H882" s="74" t="e">
        <f>IF(ISBLANK(H881),EUconst_GJperUnit,INDEX(EUconst_GJperTorKNm3,MATCH(H881,EUconst_TonnesOrkNm3pa,0)))</f>
        <v>#N/A</v>
      </c>
      <c r="I882" s="458"/>
      <c r="J882" s="458"/>
      <c r="K882" s="458"/>
      <c r="L882" s="458"/>
      <c r="M882" s="458"/>
      <c r="N882" s="1205"/>
      <c r="O882" s="25"/>
      <c r="R882" s="955"/>
      <c r="S882" s="955"/>
      <c r="T882" s="955"/>
      <c r="U882" s="955"/>
      <c r="V882" s="955"/>
      <c r="W882" s="955"/>
      <c r="AA882" s="361" t="b">
        <f>AA881</f>
        <v>0</v>
      </c>
    </row>
    <row r="883" spans="2:27" ht="12.75" customHeight="1" x14ac:dyDescent="0.2">
      <c r="B883" s="224"/>
      <c r="C883" s="977"/>
      <c r="D883" s="695" t="s">
        <v>303</v>
      </c>
      <c r="E883" s="1651" t="str">
        <f>Translations!$B$778</f>
        <v>Radusies atlikumgāze</v>
      </c>
      <c r="F883" s="1652"/>
      <c r="G883" s="1652"/>
      <c r="H883" s="465" t="str">
        <f>EUconst_TJpa</f>
        <v>TJ / gads</v>
      </c>
      <c r="I883" s="523" t="str">
        <f>IF(COUNT(I881:I882)=2,I881*I882/1000,"")</f>
        <v/>
      </c>
      <c r="J883" s="523" t="str">
        <f>IF(COUNT(J881:J882)=2,J881*J882/1000,"")</f>
        <v/>
      </c>
      <c r="K883" s="523" t="str">
        <f>IF(COUNT(K881:K882)=2,K881*K882/1000,"")</f>
        <v/>
      </c>
      <c r="L883" s="523" t="str">
        <f>IF(COUNT(L881:L882)=2,L881*L882/1000,"")</f>
        <v/>
      </c>
      <c r="M883" s="523" t="str">
        <f>IF(COUNT(M881:M882)=2,M881*M882/1000,"")</f>
        <v/>
      </c>
      <c r="N883" s="1205"/>
      <c r="O883" s="25"/>
      <c r="P883" s="979" t="str">
        <f>EUconst_CNTR_WGProduced &amp; I768</f>
        <v>WasteGasProd_</v>
      </c>
      <c r="R883" s="955"/>
      <c r="S883" s="955"/>
      <c r="T883" s="955"/>
      <c r="U883" s="955"/>
      <c r="V883" s="955"/>
      <c r="W883" s="955"/>
      <c r="AA883" s="607"/>
    </row>
    <row r="884" spans="2:27" ht="12.75" customHeight="1" x14ac:dyDescent="0.2">
      <c r="B884" s="224"/>
      <c r="C884" s="977"/>
      <c r="D884" s="695" t="s">
        <v>304</v>
      </c>
      <c r="E884" s="1651" t="str">
        <f>Translations!$B$779</f>
        <v>Īpatnējais EF (radusies atlikumgāze)</v>
      </c>
      <c r="F884" s="1652"/>
      <c r="G884" s="1652"/>
      <c r="H884" s="465" t="str">
        <f>EUconst_tCO2pTJ</f>
        <v>t CO2 / TJ</v>
      </c>
      <c r="I884" s="483"/>
      <c r="J884" s="483"/>
      <c r="K884" s="483"/>
      <c r="L884" s="483"/>
      <c r="M884" s="483"/>
      <c r="N884" s="661"/>
      <c r="O884" s="25"/>
      <c r="P884" s="979" t="str">
        <f>EUconst_CNTR_WGProducedEF &amp; I768</f>
        <v>WasteGasProdEF_</v>
      </c>
      <c r="R884" s="955"/>
      <c r="S884" s="955"/>
      <c r="T884" s="955"/>
      <c r="U884" s="955"/>
      <c r="V884" s="955"/>
      <c r="W884" s="955"/>
      <c r="AA884" s="361" t="b">
        <f>AA882</f>
        <v>0</v>
      </c>
    </row>
    <row r="885" spans="2:27" ht="5.0999999999999996" customHeight="1" x14ac:dyDescent="0.2">
      <c r="B885" s="224"/>
      <c r="C885" s="977"/>
      <c r="D885" s="978"/>
      <c r="E885" s="978"/>
      <c r="F885" s="978"/>
      <c r="G885" s="978"/>
      <c r="H885" s="978"/>
      <c r="I885" s="978"/>
      <c r="J885" s="978"/>
      <c r="K885" s="978"/>
      <c r="L885" s="978"/>
      <c r="M885" s="980"/>
      <c r="N885" s="661"/>
      <c r="O885" s="25"/>
      <c r="P885" s="955"/>
      <c r="R885" s="955"/>
      <c r="S885" s="955"/>
      <c r="T885" s="955"/>
      <c r="U885" s="955"/>
      <c r="V885" s="955"/>
      <c r="W885" s="955"/>
      <c r="AA885" s="607"/>
    </row>
    <row r="886" spans="2:27" ht="12.75" customHeight="1" x14ac:dyDescent="0.2">
      <c r="B886" s="224"/>
      <c r="C886" s="977"/>
      <c r="D886" s="695" t="s">
        <v>305</v>
      </c>
      <c r="E886" s="1663" t="str">
        <f>Translations!$B$780</f>
        <v>Patērēto atlikumgāzu veidi:</v>
      </c>
      <c r="F886" s="1663"/>
      <c r="G886" s="1663"/>
      <c r="H886" s="1663"/>
      <c r="I886" s="1664"/>
      <c r="J886" s="1665"/>
      <c r="K886" s="1665"/>
      <c r="L886" s="1665"/>
      <c r="M886" s="1666"/>
      <c r="N886" s="1203"/>
      <c r="O886" s="25"/>
      <c r="P886" s="955"/>
      <c r="R886" s="955"/>
      <c r="S886" s="955"/>
      <c r="T886" s="955"/>
      <c r="U886" s="955"/>
      <c r="V886" s="955"/>
      <c r="W886" s="955"/>
      <c r="AA886" s="361" t="b">
        <f>AA884</f>
        <v>0</v>
      </c>
    </row>
    <row r="887" spans="2:27" ht="5.0999999999999996" customHeight="1" x14ac:dyDescent="0.2">
      <c r="B887" s="224"/>
      <c r="C887" s="977"/>
      <c r="D887" s="978"/>
      <c r="E887" s="978"/>
      <c r="F887" s="978"/>
      <c r="G887" s="978"/>
      <c r="H887" s="978"/>
      <c r="I887" s="978"/>
      <c r="J887" s="978"/>
      <c r="K887" s="978"/>
      <c r="L887" s="978"/>
      <c r="M887" s="980"/>
      <c r="N887" s="661"/>
      <c r="O887" s="25"/>
      <c r="P887" s="955"/>
      <c r="R887" s="955"/>
    </row>
    <row r="888" spans="2:27" ht="12.75" customHeight="1" x14ac:dyDescent="0.2">
      <c r="B888" s="224"/>
      <c r="C888" s="977"/>
      <c r="D888" s="978"/>
      <c r="E888" s="1653"/>
      <c r="F888" s="1657"/>
      <c r="G888" s="1657"/>
      <c r="H888" s="462" t="str">
        <f>EUconst_Unit</f>
        <v>Vienība</v>
      </c>
      <c r="I888" s="463">
        <f>I$1820</f>
        <v>2019</v>
      </c>
      <c r="J888" s="463">
        <f>J$1820</f>
        <v>2020</v>
      </c>
      <c r="K888" s="463">
        <f>K$1820</f>
        <v>2021</v>
      </c>
      <c r="L888" s="463">
        <f>L$1820</f>
        <v>2022</v>
      </c>
      <c r="M888" s="463">
        <f>M$1820</f>
        <v>2023</v>
      </c>
      <c r="N888" s="1205"/>
      <c r="O888" s="25"/>
      <c r="P888" s="955"/>
      <c r="R888" s="955"/>
      <c r="S888" s="955"/>
      <c r="T888" s="955"/>
      <c r="U888" s="955"/>
      <c r="V888" s="955"/>
      <c r="W888" s="955"/>
      <c r="AA888" s="607"/>
    </row>
    <row r="889" spans="2:27" ht="12.75" customHeight="1" x14ac:dyDescent="0.2">
      <c r="B889" s="224"/>
      <c r="C889" s="977"/>
      <c r="D889" s="695" t="s">
        <v>306</v>
      </c>
      <c r="E889" s="1667" t="str">
        <f>Translations!$B$782</f>
        <v>Patērētie daudzumi</v>
      </c>
      <c r="F889" s="1660"/>
      <c r="G889" s="1660"/>
      <c r="H889" s="245" t="s">
        <v>249</v>
      </c>
      <c r="I889" s="484"/>
      <c r="J889" s="484"/>
      <c r="K889" s="484"/>
      <c r="L889" s="484"/>
      <c r="M889" s="484"/>
      <c r="N889" s="1205"/>
      <c r="O889" s="25"/>
      <c r="P889" s="955"/>
      <c r="R889" s="955"/>
      <c r="S889" s="955"/>
      <c r="T889" s="955"/>
      <c r="U889" s="955"/>
      <c r="V889" s="955"/>
      <c r="W889" s="955"/>
      <c r="AA889" s="361" t="b">
        <f>AA886</f>
        <v>0</v>
      </c>
    </row>
    <row r="890" spans="2:27" ht="12.75" customHeight="1" x14ac:dyDescent="0.2">
      <c r="B890" s="224"/>
      <c r="C890" s="977"/>
      <c r="D890" s="695" t="s">
        <v>307</v>
      </c>
      <c r="E890" s="1737" t="str">
        <f>Translations!$B$470</f>
        <v>Zemākā siltumspēja</v>
      </c>
      <c r="F890" s="1659"/>
      <c r="G890" s="1659"/>
      <c r="H890" s="74" t="e">
        <f>IF(ISBLANK(H889),EUconst_GJperUnit,INDEX(EUconst_GJperTorKNm3,MATCH(H889,EUconst_TonnesOrkNm3pa,0)))</f>
        <v>#N/A</v>
      </c>
      <c r="I890" s="458"/>
      <c r="J890" s="458"/>
      <c r="K890" s="458"/>
      <c r="L890" s="458"/>
      <c r="M890" s="458"/>
      <c r="N890" s="1205"/>
      <c r="O890" s="25"/>
      <c r="R890" s="955"/>
      <c r="S890" s="955"/>
      <c r="T890" s="955"/>
      <c r="U890" s="955"/>
      <c r="V890" s="955"/>
      <c r="W890" s="955"/>
      <c r="AA890" s="361" t="b">
        <f>AA889</f>
        <v>0</v>
      </c>
    </row>
    <row r="891" spans="2:27" ht="12.75" customHeight="1" x14ac:dyDescent="0.2">
      <c r="B891" s="224"/>
      <c r="C891" s="977"/>
      <c r="D891" s="695" t="s">
        <v>15</v>
      </c>
      <c r="E891" s="1651" t="str">
        <f>Translations!$B$783</f>
        <v>Patērētā atlikumgāze</v>
      </c>
      <c r="F891" s="1652"/>
      <c r="G891" s="1652"/>
      <c r="H891" s="465" t="str">
        <f>EUconst_TJpa</f>
        <v>TJ / gads</v>
      </c>
      <c r="I891" s="523" t="str">
        <f>IF(COUNT(I889:I890)=2,I889*I890/1000,"")</f>
        <v/>
      </c>
      <c r="J891" s="523" t="str">
        <f>IF(COUNT(J889:J890)=2,J889*J890/1000,"")</f>
        <v/>
      </c>
      <c r="K891" s="523" t="str">
        <f>IF(COUNT(K889:K890)=2,K889*K890/1000,"")</f>
        <v/>
      </c>
      <c r="L891" s="523" t="str">
        <f>IF(COUNT(L889:L890)=2,L889*L890/1000,"")</f>
        <v/>
      </c>
      <c r="M891" s="523" t="str">
        <f>IF(COUNT(M889:M890)=2,M889*M890/1000,"")</f>
        <v/>
      </c>
      <c r="N891" s="1205"/>
      <c r="O891" s="25"/>
      <c r="P891" s="979" t="str">
        <f>EUconst_CNTR_WGConsumed &amp; I768</f>
        <v>WasteGasCons_</v>
      </c>
      <c r="R891" s="955"/>
      <c r="S891" s="955"/>
      <c r="T891" s="955"/>
      <c r="U891" s="955"/>
      <c r="V891" s="955"/>
      <c r="W891" s="955"/>
      <c r="AA891" s="607"/>
    </row>
    <row r="892" spans="2:27" ht="12.75" customHeight="1" x14ac:dyDescent="0.2">
      <c r="B892" s="224"/>
      <c r="C892" s="977"/>
      <c r="D892" s="695" t="s">
        <v>16</v>
      </c>
      <c r="E892" s="1651" t="str">
        <f>Translations!$B$784</f>
        <v>Īpatnējais EF (patērētā atlikumgāze)</v>
      </c>
      <c r="F892" s="1652"/>
      <c r="G892" s="1652"/>
      <c r="H892" s="465" t="str">
        <f>EUconst_tCO2pTJ</f>
        <v>t CO2 / TJ</v>
      </c>
      <c r="I892" s="483"/>
      <c r="J892" s="483"/>
      <c r="K892" s="483"/>
      <c r="L892" s="483"/>
      <c r="M892" s="483"/>
      <c r="N892" s="661"/>
      <c r="O892" s="25"/>
      <c r="P892" s="979" t="str">
        <f>EUconst_CNTR_WGConsumedEF &amp; I768</f>
        <v>WasteGasConsEF_</v>
      </c>
      <c r="R892" s="955"/>
      <c r="S892" s="955"/>
      <c r="T892" s="955"/>
      <c r="U892" s="955"/>
      <c r="V892" s="955"/>
      <c r="W892" s="955"/>
      <c r="AA892" s="361" t="b">
        <f>AA890</f>
        <v>0</v>
      </c>
    </row>
    <row r="893" spans="2:27" ht="5.0999999999999996" customHeight="1" x14ac:dyDescent="0.2">
      <c r="B893" s="224"/>
      <c r="C893" s="977"/>
      <c r="D893" s="978"/>
      <c r="E893" s="978"/>
      <c r="F893" s="978"/>
      <c r="G893" s="978"/>
      <c r="H893" s="978"/>
      <c r="I893" s="978"/>
      <c r="J893" s="978"/>
      <c r="K893" s="978"/>
      <c r="L893" s="978"/>
      <c r="M893" s="980"/>
      <c r="N893" s="661"/>
      <c r="O893" s="25"/>
      <c r="P893" s="955"/>
      <c r="R893" s="955"/>
      <c r="S893" s="955"/>
      <c r="AA893" s="607"/>
    </row>
    <row r="894" spans="2:27" ht="12.75" customHeight="1" x14ac:dyDescent="0.2">
      <c r="B894" s="224"/>
      <c r="C894" s="977"/>
      <c r="D894" s="695" t="s">
        <v>17</v>
      </c>
      <c r="E894" s="1663" t="str">
        <f>Translations!$B$785</f>
        <v>Lāpā sadedzināto atlikumgāzu veidi:</v>
      </c>
      <c r="F894" s="1663"/>
      <c r="G894" s="1663"/>
      <c r="H894" s="1663"/>
      <c r="I894" s="1664"/>
      <c r="J894" s="1665"/>
      <c r="K894" s="1665"/>
      <c r="L894" s="1665"/>
      <c r="M894" s="1666"/>
      <c r="N894" s="1203"/>
      <c r="O894" s="25"/>
      <c r="P894" s="955"/>
      <c r="R894" s="955"/>
      <c r="AA894" s="361" t="b">
        <f>AA884</f>
        <v>0</v>
      </c>
    </row>
    <row r="895" spans="2:27" ht="5.0999999999999996" customHeight="1" x14ac:dyDescent="0.2">
      <c r="B895" s="224"/>
      <c r="C895" s="977"/>
      <c r="D895" s="978"/>
      <c r="E895" s="978"/>
      <c r="F895" s="978"/>
      <c r="G895" s="978"/>
      <c r="H895" s="978"/>
      <c r="I895" s="978"/>
      <c r="J895" s="978"/>
      <c r="K895" s="978"/>
      <c r="L895" s="978"/>
      <c r="M895" s="980"/>
      <c r="N895" s="661"/>
      <c r="O895" s="25"/>
      <c r="P895" s="955"/>
      <c r="R895" s="955"/>
    </row>
    <row r="896" spans="2:27" ht="12.75" customHeight="1" x14ac:dyDescent="0.2">
      <c r="B896" s="224"/>
      <c r="C896" s="977"/>
      <c r="D896" s="978"/>
      <c r="E896" s="1653"/>
      <c r="F896" s="1657"/>
      <c r="G896" s="1657"/>
      <c r="H896" s="462" t="str">
        <f>EUconst_Unit</f>
        <v>Vienība</v>
      </c>
      <c r="I896" s="463">
        <f>I$1820</f>
        <v>2019</v>
      </c>
      <c r="J896" s="463">
        <f>J$1820</f>
        <v>2020</v>
      </c>
      <c r="K896" s="463">
        <f>K$1820</f>
        <v>2021</v>
      </c>
      <c r="L896" s="463">
        <f>L$1820</f>
        <v>2022</v>
      </c>
      <c r="M896" s="463">
        <f>M$1820</f>
        <v>2023</v>
      </c>
      <c r="N896" s="1205"/>
      <c r="O896" s="25"/>
      <c r="P896" s="955"/>
      <c r="AA896" s="607"/>
    </row>
    <row r="897" spans="1:27" ht="12.75" customHeight="1" thickBot="1" x14ac:dyDescent="0.25">
      <c r="B897" s="224"/>
      <c r="C897" s="977"/>
      <c r="D897" s="695" t="s">
        <v>438</v>
      </c>
      <c r="E897" s="1667" t="str">
        <f>Translations!$B$789</f>
        <v>Lāpā sadedzinātie daudzumi</v>
      </c>
      <c r="F897" s="1660"/>
      <c r="G897" s="1660"/>
      <c r="H897" s="245" t="s">
        <v>249</v>
      </c>
      <c r="I897" s="484"/>
      <c r="J897" s="484"/>
      <c r="K897" s="484"/>
      <c r="L897" s="484"/>
      <c r="M897" s="484"/>
      <c r="N897" s="1205"/>
      <c r="O897" s="25"/>
      <c r="P897" s="955"/>
      <c r="R897" s="955" t="s">
        <v>525</v>
      </c>
      <c r="AA897" s="361" t="b">
        <f>AA894</f>
        <v>0</v>
      </c>
    </row>
    <row r="898" spans="1:27" ht="12.75" customHeight="1" thickBot="1" x14ac:dyDescent="0.25">
      <c r="B898" s="224"/>
      <c r="C898" s="977"/>
      <c r="D898" s="695" t="s">
        <v>439</v>
      </c>
      <c r="E898" s="1737" t="str">
        <f>Translations!$B$470</f>
        <v>Zemākā siltumspēja</v>
      </c>
      <c r="F898" s="1659"/>
      <c r="G898" s="1659"/>
      <c r="H898" s="74" t="e">
        <f>IF(ISBLANK(H897),EUconst_GJperUnit,INDEX(EUconst_GJperTorKNm3,MATCH(H897,EUconst_TonnesOrkNm3pa,0)))</f>
        <v>#N/A</v>
      </c>
      <c r="I898" s="458"/>
      <c r="J898" s="458"/>
      <c r="K898" s="458"/>
      <c r="L898" s="458"/>
      <c r="M898" s="458"/>
      <c r="N898" s="1205"/>
      <c r="O898" s="25"/>
      <c r="R898" s="708" t="s">
        <v>421</v>
      </c>
      <c r="S898" s="705">
        <f>I896</f>
        <v>2019</v>
      </c>
      <c r="T898" s="706">
        <f>J896</f>
        <v>2020</v>
      </c>
      <c r="U898" s="706">
        <f>K896</f>
        <v>2021</v>
      </c>
      <c r="V898" s="706">
        <f>L896</f>
        <v>2022</v>
      </c>
      <c r="W898" s="707">
        <f>M896</f>
        <v>2023</v>
      </c>
      <c r="AA898" s="361" t="b">
        <f>AA897</f>
        <v>0</v>
      </c>
    </row>
    <row r="899" spans="1:27" ht="12.75" customHeight="1" thickBot="1" x14ac:dyDescent="0.25">
      <c r="B899" s="224"/>
      <c r="C899" s="977"/>
      <c r="D899" s="695" t="s">
        <v>440</v>
      </c>
      <c r="E899" s="1651" t="str">
        <f>Translations!$B$790</f>
        <v>Lāpā sadedzinātā atlikumgāze</v>
      </c>
      <c r="F899" s="1652"/>
      <c r="G899" s="1652"/>
      <c r="H899" s="465" t="str">
        <f>EUconst_TJpa</f>
        <v>TJ / gads</v>
      </c>
      <c r="I899" s="523" t="str">
        <f>IF(COUNT(I897:I898)=2,I897*I898/1000,"")</f>
        <v/>
      </c>
      <c r="J899" s="523" t="str">
        <f>IF(COUNT(J897:J898)=2,J897*J898/1000,"")</f>
        <v/>
      </c>
      <c r="K899" s="523" t="str">
        <f>IF(COUNT(K897:K898)=2,K897*K898/1000,"")</f>
        <v/>
      </c>
      <c r="L899" s="523" t="str">
        <f>IF(COUNT(L897:L898)=2,L897*L898/1000,"")</f>
        <v/>
      </c>
      <c r="M899" s="523" t="str">
        <f>IF(COUNT(M897:M898)=2,M897*M898/1000,"")</f>
        <v/>
      </c>
      <c r="N899" s="1205"/>
      <c r="O899" s="25"/>
      <c r="P899" s="979" t="str">
        <f>EUconst_CNTR_WGFlared &amp; I768</f>
        <v>WasteGasFlare_</v>
      </c>
      <c r="R899" s="363" t="str">
        <f>IF(COUNT(S899:W899)&gt;0,AVERAGE(S899:W899),"")</f>
        <v/>
      </c>
      <c r="S899" s="454" t="str">
        <f>IF(S768,IF(ISNUMBER(I899),I899,0),"")</f>
        <v/>
      </c>
      <c r="T899" s="455" t="str">
        <f>IF(T768,IF(ISNUMBER(J899),J899,0),"")</f>
        <v/>
      </c>
      <c r="U899" s="455" t="str">
        <f>IF(U768,IF(ISNUMBER(K899),K899,0),"")</f>
        <v/>
      </c>
      <c r="V899" s="455" t="str">
        <f>IF(V768,IF(ISNUMBER(L899),L899,0),"")</f>
        <v/>
      </c>
      <c r="W899" s="456" t="str">
        <f>IF(W768,IF(ISNUMBER(M899),M899,0),"")</f>
        <v/>
      </c>
      <c r="AA899" s="607"/>
    </row>
    <row r="900" spans="1:27" ht="12.75" customHeight="1" thickBot="1" x14ac:dyDescent="0.25">
      <c r="B900" s="224"/>
      <c r="C900" s="977"/>
      <c r="D900" s="695" t="s">
        <v>441</v>
      </c>
      <c r="E900" s="1651" t="str">
        <f>Translations!$B$791</f>
        <v>Īpatnējais EF (lāpā sadedzinātā atlikumgāze)</v>
      </c>
      <c r="F900" s="1652"/>
      <c r="G900" s="1652"/>
      <c r="H900" s="465" t="str">
        <f>EUconst_tCO2pTJ</f>
        <v>t CO2 / TJ</v>
      </c>
      <c r="I900" s="483"/>
      <c r="J900" s="483"/>
      <c r="K900" s="483"/>
      <c r="L900" s="483"/>
      <c r="M900" s="483"/>
      <c r="N900" s="661"/>
      <c r="O900" s="25"/>
      <c r="P900" s="979" t="str">
        <f>EUconst_CNTR_WGFlaredEF &amp; I768</f>
        <v>WasteGasFlareEF_</v>
      </c>
      <c r="R900" s="843" t="str">
        <f>IF(COUNT(S900:W900)&gt;0,AVERAGE(S900:W900),"")</f>
        <v/>
      </c>
      <c r="S900" s="454" t="str">
        <f>IF(S768,SUM(I899)*SUM(I900),"")</f>
        <v/>
      </c>
      <c r="T900" s="455" t="str">
        <f>IF(T768,SUM(J899)*SUM(J900),"")</f>
        <v/>
      </c>
      <c r="U900" s="455" t="str">
        <f>IF(U768,SUM(K899)*SUM(K900),"")</f>
        <v/>
      </c>
      <c r="V900" s="455" t="str">
        <f>IF(V768,SUM(L899)*SUM(L900),"")</f>
        <v/>
      </c>
      <c r="W900" s="456" t="str">
        <f>IF(W768,SUM(M899)*SUM(M900),"")</f>
        <v/>
      </c>
      <c r="AA900" s="361" t="b">
        <f>AA898</f>
        <v>0</v>
      </c>
    </row>
    <row r="901" spans="1:27" ht="5.0999999999999996" customHeight="1" x14ac:dyDescent="0.2">
      <c r="B901" s="224"/>
      <c r="C901" s="977"/>
      <c r="D901" s="978"/>
      <c r="E901" s="978"/>
      <c r="F901" s="978"/>
      <c r="G901" s="978"/>
      <c r="H901" s="978"/>
      <c r="I901" s="978"/>
      <c r="J901" s="978"/>
      <c r="K901" s="978"/>
      <c r="L901" s="978"/>
      <c r="M901" s="980"/>
      <c r="N901" s="661"/>
      <c r="O901" s="25"/>
      <c r="P901" s="955"/>
      <c r="R901" s="955"/>
      <c r="S901" s="955"/>
      <c r="AA901" s="607"/>
    </row>
    <row r="902" spans="1:27" ht="12.75" customHeight="1" x14ac:dyDescent="0.2">
      <c r="B902" s="224"/>
      <c r="C902" s="977"/>
      <c r="D902" s="695" t="s">
        <v>442</v>
      </c>
      <c r="E902" s="1663" t="str">
        <f>Translations!$B$792</f>
        <v>Importēto atlikumgāzu veidi:</v>
      </c>
      <c r="F902" s="1663"/>
      <c r="G902" s="1663"/>
      <c r="H902" s="1663"/>
      <c r="I902" s="1664"/>
      <c r="J902" s="1665"/>
      <c r="K902" s="1665"/>
      <c r="L902" s="1665"/>
      <c r="M902" s="1666"/>
      <c r="N902" s="661"/>
      <c r="O902" s="25"/>
      <c r="P902" s="955"/>
      <c r="R902" s="955"/>
      <c r="AA902" s="361" t="b">
        <f>AA882</f>
        <v>0</v>
      </c>
    </row>
    <row r="903" spans="1:27" ht="5.0999999999999996" customHeight="1" x14ac:dyDescent="0.2">
      <c r="B903" s="224"/>
      <c r="C903" s="977"/>
      <c r="D903" s="978"/>
      <c r="E903" s="978"/>
      <c r="F903" s="978"/>
      <c r="G903" s="978"/>
      <c r="H903" s="978"/>
      <c r="I903" s="978"/>
      <c r="J903" s="978"/>
      <c r="K903" s="978"/>
      <c r="L903" s="978"/>
      <c r="M903" s="980"/>
      <c r="N903" s="661"/>
      <c r="O903" s="25"/>
      <c r="P903" s="955"/>
      <c r="R903" s="955"/>
    </row>
    <row r="904" spans="1:27" ht="12.75" customHeight="1" x14ac:dyDescent="0.2">
      <c r="B904" s="224"/>
      <c r="C904" s="977"/>
      <c r="D904" s="978"/>
      <c r="E904" s="1653"/>
      <c r="F904" s="1657"/>
      <c r="G904" s="1657"/>
      <c r="H904" s="462" t="str">
        <f>EUconst_Unit</f>
        <v>Vienība</v>
      </c>
      <c r="I904" s="463">
        <f>I$1820</f>
        <v>2019</v>
      </c>
      <c r="J904" s="463">
        <f>J$1820</f>
        <v>2020</v>
      </c>
      <c r="K904" s="463">
        <f>K$1820</f>
        <v>2021</v>
      </c>
      <c r="L904" s="463">
        <f>L$1820</f>
        <v>2022</v>
      </c>
      <c r="M904" s="463">
        <f>M$1820</f>
        <v>2023</v>
      </c>
      <c r="N904" s="1205"/>
      <c r="O904" s="25"/>
      <c r="P904" s="955"/>
      <c r="R904" s="955"/>
      <c r="S904" s="955"/>
      <c r="AA904" s="607"/>
    </row>
    <row r="905" spans="1:27" ht="12.75" customHeight="1" thickBot="1" x14ac:dyDescent="0.25">
      <c r="B905" s="224"/>
      <c r="C905" s="977"/>
      <c r="D905" s="695" t="s">
        <v>443</v>
      </c>
      <c r="E905" s="1667" t="str">
        <f>Translations!$B$795</f>
        <v>Importētie daudzumi</v>
      </c>
      <c r="F905" s="1660"/>
      <c r="G905" s="1660"/>
      <c r="H905" s="245" t="s">
        <v>249</v>
      </c>
      <c r="I905" s="484"/>
      <c r="J905" s="484"/>
      <c r="K905" s="484"/>
      <c r="L905" s="484"/>
      <c r="M905" s="484"/>
      <c r="N905" s="1205"/>
      <c r="O905" s="25"/>
      <c r="P905" s="955"/>
      <c r="R905" s="955"/>
      <c r="S905" s="955"/>
      <c r="AA905" s="361" t="b">
        <f>AA902</f>
        <v>0</v>
      </c>
    </row>
    <row r="906" spans="1:27" ht="12.75" customHeight="1" x14ac:dyDescent="0.2">
      <c r="B906" s="224"/>
      <c r="C906" s="977"/>
      <c r="D906" s="695" t="s">
        <v>444</v>
      </c>
      <c r="E906" s="1737" t="str">
        <f>Translations!$B$470</f>
        <v>Zemākā siltumspēja</v>
      </c>
      <c r="F906" s="1659"/>
      <c r="G906" s="1659"/>
      <c r="H906" s="74" t="e">
        <f>IF(ISBLANK(H905),EUconst_GJperUnit,INDEX(EUconst_GJperTorKNm3,MATCH(H905,EUconst_TonnesOrkNm3pa,0)))</f>
        <v>#N/A</v>
      </c>
      <c r="I906" s="458"/>
      <c r="J906" s="458"/>
      <c r="K906" s="458"/>
      <c r="L906" s="458"/>
      <c r="M906" s="458"/>
      <c r="N906" s="1205"/>
      <c r="O906" s="25"/>
      <c r="P906" s="982"/>
      <c r="R906" s="970"/>
      <c r="S906" s="809">
        <f>I904</f>
        <v>2019</v>
      </c>
      <c r="T906" s="809">
        <f>J904</f>
        <v>2020</v>
      </c>
      <c r="U906" s="809">
        <f>K904</f>
        <v>2021</v>
      </c>
      <c r="V906" s="809">
        <f>L904</f>
        <v>2022</v>
      </c>
      <c r="W906" s="810">
        <f>M904</f>
        <v>2023</v>
      </c>
      <c r="AA906" s="361" t="b">
        <f>AA905</f>
        <v>0</v>
      </c>
    </row>
    <row r="907" spans="1:27" ht="12.75" customHeight="1" x14ac:dyDescent="0.2">
      <c r="B907" s="224"/>
      <c r="C907" s="977"/>
      <c r="D907" s="695" t="s">
        <v>445</v>
      </c>
      <c r="E907" s="1651" t="str">
        <f>Translations!$B$796</f>
        <v>Importētā atlikumgāze</v>
      </c>
      <c r="F907" s="1652"/>
      <c r="G907" s="1652"/>
      <c r="H907" s="465" t="str">
        <f>EUconst_TJpa</f>
        <v>TJ / gads</v>
      </c>
      <c r="I907" s="448" t="str">
        <f>IF(COUNT(I905:I906)=2,I905*I906/1000,"")</f>
        <v/>
      </c>
      <c r="J907" s="448" t="str">
        <f>IF(COUNT(J905:J906)=2,J905*J906/1000,"")</f>
        <v/>
      </c>
      <c r="K907" s="448" t="str">
        <f>IF(COUNT(K905:K906)=2,K905*K906/1000,"")</f>
        <v/>
      </c>
      <c r="L907" s="448" t="str">
        <f>IF(COUNT(L905:L906)=2,L905*L906/1000,"")</f>
        <v/>
      </c>
      <c r="M907" s="448" t="str">
        <f>IF(COUNT(M905:M906)=2,M905*M906/1000,"")</f>
        <v/>
      </c>
      <c r="N907" s="1205"/>
      <c r="O907" s="25"/>
      <c r="P907" s="979" t="str">
        <f>EUconst_CNTR_WGImport &amp; I768</f>
        <v>WasteGasIm_</v>
      </c>
      <c r="R907" s="981" t="str">
        <f>EUconst_ERR_AttrEmBMapplied &amp; I768</f>
        <v>ERR_AttrEmBM_ </v>
      </c>
      <c r="S907" s="134">
        <f>IF(AND(I907&lt;&gt;"",EUconst_StatusOfDataCollection=""),1,0)</f>
        <v>0</v>
      </c>
      <c r="T907" s="134">
        <f>IF(AND(J907&lt;&gt;"",EUconst_StatusOfDataCollection=""),1,0)</f>
        <v>0</v>
      </c>
      <c r="U907" s="134">
        <f>IF(AND(K907&lt;&gt;"",EUconst_StatusOfDataCollection=""),1,0)</f>
        <v>0</v>
      </c>
      <c r="V907" s="134">
        <f>IF(AND(L907&lt;&gt;"",EUconst_StatusOfDataCollection=""),1,0)</f>
        <v>0</v>
      </c>
      <c r="W907" s="135">
        <f>IF(AND(M907&lt;&gt;"",EUconst_StatusOfDataCollection=""),1,0)</f>
        <v>0</v>
      </c>
      <c r="AA907" s="607"/>
    </row>
    <row r="908" spans="1:27" s="697" customFormat="1" ht="12.75" customHeight="1" thickBot="1" x14ac:dyDescent="0.25">
      <c r="A908" s="437"/>
      <c r="B908" s="224"/>
      <c r="C908" s="977"/>
      <c r="D908" s="695" t="s">
        <v>446</v>
      </c>
      <c r="E908" s="1651" t="str">
        <f>Translations!$B$797</f>
        <v>Īpatnējais EF (importētā atlikumgāze)</v>
      </c>
      <c r="F908" s="1651"/>
      <c r="G908" s="1651"/>
      <c r="H908" s="464" t="str">
        <f>EUconst_tCO2pTJ</f>
        <v>t CO2 / TJ</v>
      </c>
      <c r="I908" s="761"/>
      <c r="J908" s="761"/>
      <c r="K908" s="761"/>
      <c r="L908" s="761"/>
      <c r="M908" s="761"/>
      <c r="N908" s="661"/>
      <c r="O908" s="25"/>
      <c r="P908" s="979" t="str">
        <f>EUconst_CNTR_WGImportEF &amp; I768</f>
        <v>WasteGasImEF_</v>
      </c>
      <c r="Q908" s="437"/>
      <c r="R908" s="971" t="str">
        <f>EUconst_CNTR_AttributedEmissions &amp; I768</f>
        <v>AttrEmissions_</v>
      </c>
      <c r="S908" s="137" t="str">
        <f>IF(S768,SUM(I907)*EUconst_FuelBMvalueForBM,"")</f>
        <v/>
      </c>
      <c r="T908" s="137" t="str">
        <f>IF(T768,SUM(J907)*EUconst_FuelBMvalueForBM,"")</f>
        <v/>
      </c>
      <c r="U908" s="137" t="str">
        <f>IF(U768,SUM(K907)*EUconst_FuelBMvalueForBM,"")</f>
        <v/>
      </c>
      <c r="V908" s="137" t="str">
        <f>IF(V768,SUM(L907)*EUconst_FuelBMvalueForBM,"")</f>
        <v/>
      </c>
      <c r="W908" s="138" t="str">
        <f>IF(W768,SUM(M907)*EUconst_FuelBMvalueForBM,"")</f>
        <v/>
      </c>
      <c r="X908" s="437"/>
      <c r="Y908" s="437"/>
      <c r="Z908" s="437"/>
      <c r="AA908" s="361" t="b">
        <f>AA906</f>
        <v>0</v>
      </c>
    </row>
    <row r="909" spans="1:27" ht="5.0999999999999996" customHeight="1" x14ac:dyDescent="0.2">
      <c r="B909" s="224"/>
      <c r="C909" s="977"/>
      <c r="D909" s="978"/>
      <c r="E909" s="978"/>
      <c r="F909" s="978"/>
      <c r="G909" s="978"/>
      <c r="H909" s="978"/>
      <c r="I909" s="978"/>
      <c r="J909" s="978"/>
      <c r="K909" s="978"/>
      <c r="L909" s="978"/>
      <c r="M909" s="980"/>
      <c r="N909" s="661"/>
      <c r="O909" s="25"/>
      <c r="P909" s="955"/>
      <c r="R909" s="955"/>
      <c r="S909" s="955"/>
      <c r="AA909" s="607"/>
    </row>
    <row r="910" spans="1:27" ht="12.75" customHeight="1" x14ac:dyDescent="0.2">
      <c r="B910" s="224"/>
      <c r="C910" s="977"/>
      <c r="D910" s="695" t="s">
        <v>447</v>
      </c>
      <c r="E910" s="1663" t="str">
        <f>Translations!$B$798</f>
        <v>Eksportēto atlikumgāzu veidi:</v>
      </c>
      <c r="F910" s="1663"/>
      <c r="G910" s="1663"/>
      <c r="H910" s="1663"/>
      <c r="I910" s="1664"/>
      <c r="J910" s="1665"/>
      <c r="K910" s="1665"/>
      <c r="L910" s="1665"/>
      <c r="M910" s="1666"/>
      <c r="N910" s="1203"/>
      <c r="O910" s="25"/>
      <c r="P910" s="955"/>
      <c r="R910" s="955"/>
      <c r="AA910" s="361" t="b">
        <f>AA905</f>
        <v>0</v>
      </c>
    </row>
    <row r="911" spans="1:27" ht="5.0999999999999996" customHeight="1" x14ac:dyDescent="0.2">
      <c r="B911" s="224"/>
      <c r="C911" s="977"/>
      <c r="D911" s="978"/>
      <c r="E911" s="978"/>
      <c r="F911" s="978"/>
      <c r="G911" s="978"/>
      <c r="H911" s="978"/>
      <c r="I911" s="978"/>
      <c r="J911" s="978"/>
      <c r="K911" s="978"/>
      <c r="L911" s="978"/>
      <c r="M911" s="980"/>
      <c r="N911" s="661"/>
      <c r="O911" s="25"/>
      <c r="P911" s="955"/>
      <c r="R911" s="955"/>
    </row>
    <row r="912" spans="1:27" ht="12.75" customHeight="1" x14ac:dyDescent="0.2">
      <c r="B912" s="224"/>
      <c r="C912" s="977"/>
      <c r="D912" s="978"/>
      <c r="E912" s="1653"/>
      <c r="F912" s="1657"/>
      <c r="G912" s="1657"/>
      <c r="H912" s="462" t="str">
        <f>EUconst_Unit</f>
        <v>Vienība</v>
      </c>
      <c r="I912" s="463">
        <f>I$1820</f>
        <v>2019</v>
      </c>
      <c r="J912" s="463">
        <f>J$1820</f>
        <v>2020</v>
      </c>
      <c r="K912" s="463">
        <f>K$1820</f>
        <v>2021</v>
      </c>
      <c r="L912" s="463">
        <f>L$1820</f>
        <v>2022</v>
      </c>
      <c r="M912" s="463">
        <f>M$1820</f>
        <v>2023</v>
      </c>
      <c r="N912" s="1205"/>
      <c r="O912" s="25"/>
      <c r="P912" s="955"/>
      <c r="R912" s="955"/>
      <c r="S912" s="955"/>
      <c r="AA912" s="607"/>
    </row>
    <row r="913" spans="1:27" ht="12.75" customHeight="1" x14ac:dyDescent="0.2">
      <c r="B913" s="224"/>
      <c r="C913" s="977"/>
      <c r="D913" s="695" t="s">
        <v>448</v>
      </c>
      <c r="E913" s="1667" t="str">
        <f>Translations!$B$800</f>
        <v>Eksportētie daudzumi</v>
      </c>
      <c r="F913" s="1660"/>
      <c r="G913" s="1660"/>
      <c r="H913" s="245" t="s">
        <v>249</v>
      </c>
      <c r="I913" s="484"/>
      <c r="J913" s="484"/>
      <c r="K913" s="484"/>
      <c r="L913" s="484"/>
      <c r="M913" s="484"/>
      <c r="N913" s="1205"/>
      <c r="O913" s="25"/>
      <c r="P913" s="955"/>
      <c r="R913" s="955"/>
      <c r="S913" s="955"/>
      <c r="AA913" s="361" t="b">
        <f>AA910</f>
        <v>0</v>
      </c>
    </row>
    <row r="914" spans="1:27" ht="12.75" customHeight="1" thickBot="1" x14ac:dyDescent="0.25">
      <c r="B914" s="224"/>
      <c r="C914" s="977"/>
      <c r="D914" s="695" t="s">
        <v>612</v>
      </c>
      <c r="E914" s="1737" t="str">
        <f>Translations!$B$470</f>
        <v>Zemākā siltumspēja</v>
      </c>
      <c r="F914" s="1659"/>
      <c r="G914" s="1659"/>
      <c r="H914" s="74" t="e">
        <f>IF(ISBLANK(H913),EUconst_GJperUnit,INDEX(EUconst_GJperTorKNm3,MATCH(H913,EUconst_TonnesOrkNm3pa,0)))</f>
        <v>#N/A</v>
      </c>
      <c r="I914" s="458"/>
      <c r="J914" s="458"/>
      <c r="K914" s="458"/>
      <c r="L914" s="458"/>
      <c r="M914" s="458"/>
      <c r="N914" s="1205"/>
      <c r="O914" s="25"/>
      <c r="P914" s="982"/>
      <c r="R914" s="955"/>
      <c r="S914" s="955"/>
      <c r="AA914" s="361" t="b">
        <f>AA913</f>
        <v>0</v>
      </c>
    </row>
    <row r="915" spans="1:27" ht="12.75" customHeight="1" x14ac:dyDescent="0.2">
      <c r="B915" s="224"/>
      <c r="C915" s="977"/>
      <c r="D915" s="695" t="s">
        <v>613</v>
      </c>
      <c r="E915" s="1651" t="str">
        <f>Translations!$B$801</f>
        <v>Eksportētā atlikumgāze</v>
      </c>
      <c r="F915" s="1652"/>
      <c r="G915" s="1652"/>
      <c r="H915" s="465" t="str">
        <f>EUconst_TJpa</f>
        <v>TJ / gads</v>
      </c>
      <c r="I915" s="448" t="str">
        <f>IF(COUNT(I913:I914)=2,I913*I914/1000,"")</f>
        <v/>
      </c>
      <c r="J915" s="448" t="str">
        <f>IF(COUNT(J913:J914)=2,J913*J914/1000,"")</f>
        <v/>
      </c>
      <c r="K915" s="448" t="str">
        <f>IF(COUNT(K913:K914)=2,K913*K914/1000,"")</f>
        <v/>
      </c>
      <c r="L915" s="448" t="str">
        <f>IF(COUNT(L913:L914)=2,L913*L914/1000,"")</f>
        <v/>
      </c>
      <c r="M915" s="448" t="str">
        <f>IF(COUNT(M913:M914)=2,M913*M914/1000,"")</f>
        <v/>
      </c>
      <c r="N915" s="698"/>
      <c r="O915" s="25"/>
      <c r="P915" s="979" t="str">
        <f>EUconst_CNTR_WGExport &amp; I768</f>
        <v>WasteGasEx_</v>
      </c>
      <c r="R915" s="970"/>
      <c r="S915" s="809">
        <f>I912</f>
        <v>2019</v>
      </c>
      <c r="T915" s="809">
        <f>J912</f>
        <v>2020</v>
      </c>
      <c r="U915" s="809">
        <f>K912</f>
        <v>2021</v>
      </c>
      <c r="V915" s="809">
        <f>L912</f>
        <v>2022</v>
      </c>
      <c r="W915" s="810">
        <f>M912</f>
        <v>2023</v>
      </c>
      <c r="AA915" s="607"/>
    </row>
    <row r="916" spans="1:27" s="697" customFormat="1" ht="12.75" customHeight="1" thickBot="1" x14ac:dyDescent="0.25">
      <c r="A916" s="20"/>
      <c r="B916" s="224"/>
      <c r="C916" s="977"/>
      <c r="D916" s="695" t="s">
        <v>614</v>
      </c>
      <c r="E916" s="1651" t="str">
        <f>Translations!$B$802</f>
        <v>Īpatnējais EF (eksportētā atlikumgāze)</v>
      </c>
      <c r="F916" s="1651"/>
      <c r="G916" s="1651"/>
      <c r="H916" s="464" t="str">
        <f>EUconst_tCO2pTJ</f>
        <v>t CO2 / TJ</v>
      </c>
      <c r="I916" s="761"/>
      <c r="J916" s="761"/>
      <c r="K916" s="761"/>
      <c r="L916" s="761"/>
      <c r="M916" s="761"/>
      <c r="N916" s="661"/>
      <c r="O916" s="25"/>
      <c r="P916" s="979" t="str">
        <f>EUconst_CNTR_WGExportEF &amp; I768</f>
        <v>WasteGasExEF_</v>
      </c>
      <c r="Q916" s="437"/>
      <c r="R916" s="971" t="str">
        <f>EUconst_CNTR_AttributedEmissions &amp; I768</f>
        <v>AttrEmissions_</v>
      </c>
      <c r="S916" s="137" t="str">
        <f>IF(S768,-SUM(I915)*EUconst_NGEFvalue*EUconst_WasteGasCorrFactor,"")</f>
        <v/>
      </c>
      <c r="T916" s="137" t="str">
        <f>IF(T768,-SUM(J915)*EUconst_NGEFvalue*EUconst_WasteGasCorrFactor,"")</f>
        <v/>
      </c>
      <c r="U916" s="137" t="str">
        <f>IF(U768,-SUM(K915)*EUconst_NGEFvalue*EUconst_WasteGasCorrFactor,"")</f>
        <v/>
      </c>
      <c r="V916" s="137" t="str">
        <f>IF(V768,-SUM(L915)*EUconst_NGEFvalue*EUconst_WasteGasCorrFactor,"")</f>
        <v/>
      </c>
      <c r="W916" s="138" t="str">
        <f>IF(W768,-SUM(M915)*EUconst_NGEFvalue*EUconst_WasteGasCorrFactor,"")</f>
        <v/>
      </c>
      <c r="X916" s="437"/>
      <c r="Y916" s="437"/>
      <c r="Z916" s="437"/>
      <c r="AA916" s="186" t="b">
        <f>AA914</f>
        <v>0</v>
      </c>
    </row>
    <row r="917" spans="1:27" ht="5.0999999999999996" customHeight="1" x14ac:dyDescent="0.2">
      <c r="B917" s="224"/>
      <c r="C917" s="977"/>
      <c r="D917" s="978"/>
      <c r="E917" s="978"/>
      <c r="F917" s="978"/>
      <c r="G917" s="978"/>
      <c r="H917" s="978"/>
      <c r="I917" s="978"/>
      <c r="J917" s="978"/>
      <c r="K917" s="978"/>
      <c r="L917" s="978"/>
      <c r="M917" s="980"/>
      <c r="N917" s="661"/>
      <c r="O917" s="25"/>
      <c r="P917" s="955"/>
      <c r="R917" s="955"/>
    </row>
    <row r="918" spans="1:27" ht="12.75" customHeight="1" thickBot="1" x14ac:dyDescent="0.25">
      <c r="B918" s="224"/>
      <c r="C918" s="977"/>
      <c r="D918" s="474" t="s">
        <v>214</v>
      </c>
      <c r="E918" s="1654" t="str">
        <f>Translations!$B$420</f>
        <v>Elektroenerģijas ražošana</v>
      </c>
      <c r="F918" s="1655"/>
      <c r="G918" s="1655"/>
      <c r="H918" s="1655"/>
      <c r="I918" s="1655"/>
      <c r="J918" s="1655"/>
      <c r="K918" s="1655"/>
      <c r="L918" s="1655"/>
      <c r="M918" s="1655"/>
      <c r="N918" s="1656"/>
      <c r="O918" s="25"/>
      <c r="P918" s="955"/>
      <c r="R918" s="955"/>
    </row>
    <row r="919" spans="1:27" ht="12.75" customHeight="1" x14ac:dyDescent="0.2">
      <c r="B919" s="224"/>
      <c r="C919" s="977"/>
      <c r="D919" s="474"/>
      <c r="E919" s="1653"/>
      <c r="F919" s="1657"/>
      <c r="G919" s="1657"/>
      <c r="H919" s="462" t="str">
        <f>EUconst_Unit</f>
        <v>Vienība</v>
      </c>
      <c r="I919" s="463">
        <f>I$1820</f>
        <v>2019</v>
      </c>
      <c r="J919" s="463">
        <f>J$1820</f>
        <v>2020</v>
      </c>
      <c r="K919" s="463">
        <f>K$1820</f>
        <v>2021</v>
      </c>
      <c r="L919" s="463">
        <f>L$1820</f>
        <v>2022</v>
      </c>
      <c r="M919" s="463">
        <f>M$1820</f>
        <v>2023</v>
      </c>
      <c r="N919" s="661"/>
      <c r="O919" s="25"/>
      <c r="P919" s="955"/>
      <c r="R919" s="970"/>
      <c r="S919" s="809">
        <f>I919</f>
        <v>2019</v>
      </c>
      <c r="T919" s="809">
        <f>J919</f>
        <v>2020</v>
      </c>
      <c r="U919" s="809">
        <f>K919</f>
        <v>2021</v>
      </c>
      <c r="V919" s="809">
        <f>L919</f>
        <v>2022</v>
      </c>
      <c r="W919" s="810">
        <f>M919</f>
        <v>2023</v>
      </c>
    </row>
    <row r="920" spans="1:27" ht="12.75" customHeight="1" thickBot="1" x14ac:dyDescent="0.25">
      <c r="B920" s="224"/>
      <c r="C920" s="977"/>
      <c r="D920" s="695"/>
      <c r="E920" s="1651" t="str">
        <f>Translations!$B$805</f>
        <v>Saražotā elektroenerģija</v>
      </c>
      <c r="F920" s="1652"/>
      <c r="G920" s="1652"/>
      <c r="H920" s="465" t="str">
        <f>EUconst_MWhpa</f>
        <v>MWh / gads</v>
      </c>
      <c r="I920" s="483"/>
      <c r="J920" s="483"/>
      <c r="K920" s="483"/>
      <c r="L920" s="483"/>
      <c r="M920" s="483"/>
      <c r="N920" s="1205"/>
      <c r="O920" s="25"/>
      <c r="P920" s="979" t="str">
        <f>EUconst_CNTR_ElectricityExported &amp; I768</f>
        <v>ElecEx_</v>
      </c>
      <c r="R920" s="971" t="str">
        <f>EUconst_CNTR_AttributedEmissions &amp; I768</f>
        <v>AttrEmissions_</v>
      </c>
      <c r="S920" s="137" t="str">
        <f>IF(S768,-SUM(I920)*EUconst_ElBM,"")</f>
        <v/>
      </c>
      <c r="T920" s="137" t="str">
        <f>IF(T768,-SUM(J920)*EUconst_ElBM,"")</f>
        <v/>
      </c>
      <c r="U920" s="137" t="str">
        <f>IF(U768,-SUM(K920)*EUconst_ElBM,"")</f>
        <v/>
      </c>
      <c r="V920" s="137" t="str">
        <f>IF(V768,-SUM(L920)*EUconst_ElBM,"")</f>
        <v/>
      </c>
      <c r="W920" s="138" t="str">
        <f>IF(W768,-SUM(M920)*EUconst_ElBM,"")</f>
        <v/>
      </c>
    </row>
    <row r="921" spans="1:27" ht="5.0999999999999996" customHeight="1" x14ac:dyDescent="0.2">
      <c r="B921" s="224"/>
      <c r="C921" s="977"/>
      <c r="D921" s="978"/>
      <c r="E921" s="978"/>
      <c r="F921" s="978"/>
      <c r="G921" s="978"/>
      <c r="H921" s="978"/>
      <c r="I921" s="978"/>
      <c r="J921" s="978"/>
      <c r="K921" s="978"/>
      <c r="L921" s="978"/>
      <c r="M921" s="980"/>
      <c r="N921" s="661"/>
      <c r="O921" s="25"/>
      <c r="P921" s="955"/>
      <c r="R921" s="955"/>
      <c r="S921" s="955"/>
    </row>
    <row r="922" spans="1:27" ht="12.75" customHeight="1" thickBot="1" x14ac:dyDescent="0.25">
      <c r="B922" s="224"/>
      <c r="C922" s="977"/>
      <c r="D922" s="474" t="s">
        <v>77</v>
      </c>
      <c r="E922" s="1663" t="str">
        <f>Translations!$B$806</f>
        <v>Kopējais saražotās pulpas daudzums</v>
      </c>
      <c r="F922" s="1663"/>
      <c r="G922" s="1663"/>
      <c r="H922" s="1663"/>
      <c r="I922" s="1663"/>
      <c r="J922" s="1663"/>
      <c r="K922" s="1663"/>
      <c r="L922" s="1663"/>
      <c r="M922" s="1663"/>
      <c r="N922" s="1690"/>
      <c r="O922" s="25"/>
      <c r="S922" s="955"/>
    </row>
    <row r="923" spans="1:27" ht="12.75" customHeight="1" thickBot="1" x14ac:dyDescent="0.25">
      <c r="B923" s="224"/>
      <c r="C923" s="977"/>
      <c r="D923" s="695"/>
      <c r="E923" s="1689" t="str">
        <f>IF(I768="","",IF(INDEX(EUconst_BMlistPulp,MATCH(I768,EUconst_BMlistNames,0)),I768,""))</f>
        <v/>
      </c>
      <c r="F923" s="1689"/>
      <c r="G923" s="1689"/>
      <c r="H923" s="465" t="str">
        <f>EUconst_Tons</f>
        <v>tonnas</v>
      </c>
      <c r="I923" s="483"/>
      <c r="J923" s="483"/>
      <c r="K923" s="483"/>
      <c r="L923" s="483"/>
      <c r="M923" s="483"/>
      <c r="N923" s="1205"/>
      <c r="O923" s="25"/>
      <c r="P923" s="979" t="str">
        <f>EUconst_CNTR_HALPulpTotal &amp; I768</f>
        <v>HALPulpTotal_</v>
      </c>
      <c r="R923" s="955"/>
      <c r="AA923" s="734" t="b">
        <f>IF(I768&lt;&gt;"",IF(INDEX(EUconst_BMlistPulp,MATCH(I768,EUconst_BMlistNames,0))=TRUE,FALSE,TRUE),FALSE)</f>
        <v>0</v>
      </c>
    </row>
    <row r="924" spans="1:27" ht="5.0999999999999996" customHeight="1" x14ac:dyDescent="0.2">
      <c r="B924" s="224"/>
      <c r="C924" s="977"/>
      <c r="D924" s="695"/>
      <c r="E924" s="695"/>
      <c r="F924" s="695"/>
      <c r="G924" s="695"/>
      <c r="H924" s="695"/>
      <c r="I924" s="695"/>
      <c r="J924" s="695"/>
      <c r="K924" s="695"/>
      <c r="L924" s="695"/>
      <c r="M924" s="695"/>
      <c r="N924" s="1205"/>
      <c r="O924" s="25"/>
      <c r="P924" s="982"/>
      <c r="R924" s="955"/>
      <c r="S924" s="955"/>
    </row>
    <row r="925" spans="1:27" ht="12.75" customHeight="1" thickBot="1" x14ac:dyDescent="0.25">
      <c r="B925" s="224"/>
      <c r="C925" s="977"/>
      <c r="D925" s="474" t="s">
        <v>322</v>
      </c>
      <c r="E925" s="1654" t="str">
        <f>Translations!$B$810</f>
        <v>Produktu līmeņatzīmju aptverto starpproduktu imports vai eksports</v>
      </c>
      <c r="F925" s="1655"/>
      <c r="G925" s="1655"/>
      <c r="H925" s="1655"/>
      <c r="I925" s="1655"/>
      <c r="J925" s="1655"/>
      <c r="K925" s="1655"/>
      <c r="L925" s="1655"/>
      <c r="M925" s="1655"/>
      <c r="N925" s="1656"/>
      <c r="O925" s="25"/>
      <c r="P925" s="955"/>
      <c r="R925" s="955"/>
      <c r="S925" s="955"/>
    </row>
    <row r="926" spans="1:27" ht="12.75" customHeight="1" thickBot="1" x14ac:dyDescent="0.25">
      <c r="B926" s="38"/>
      <c r="C926" s="977"/>
      <c r="D926" s="695" t="s">
        <v>2</v>
      </c>
      <c r="E926" s="1732" t="str">
        <f>Translations!$B$813</f>
        <v>Vai notiek produktu līmeņatzīmju aptverto starpproduktu imports vai eksports?</v>
      </c>
      <c r="F926" s="1732"/>
      <c r="G926" s="1732"/>
      <c r="H926" s="1732"/>
      <c r="I926" s="1732"/>
      <c r="J926" s="1732"/>
      <c r="K926" s="1733"/>
      <c r="L926" s="527"/>
      <c r="M926" s="461"/>
      <c r="N926" s="698"/>
      <c r="O926" s="25"/>
      <c r="W926" s="966" t="s">
        <v>398</v>
      </c>
      <c r="X926" s="964" t="b">
        <f>IF(AND(I768&lt;&gt;"",ISBLANK(L926)),EUconst_Error&amp;"BM"&amp;C768,FALSE)</f>
        <v>0</v>
      </c>
    </row>
    <row r="927" spans="1:27" ht="5.0999999999999996" customHeight="1" x14ac:dyDescent="0.2">
      <c r="B927" s="224"/>
      <c r="C927" s="977"/>
      <c r="D927" s="695"/>
      <c r="E927" s="695"/>
      <c r="F927" s="695"/>
      <c r="G927" s="695"/>
      <c r="H927" s="695"/>
      <c r="I927" s="695"/>
      <c r="J927" s="695"/>
      <c r="K927" s="695"/>
      <c r="L927" s="695"/>
      <c r="M927" s="695"/>
      <c r="N927" s="1205"/>
      <c r="O927" s="25"/>
      <c r="P927" s="982"/>
      <c r="R927" s="955"/>
      <c r="S927" s="955"/>
    </row>
    <row r="928" spans="1:27" ht="12.75" customHeight="1" thickBot="1" x14ac:dyDescent="0.25">
      <c r="B928" s="224"/>
      <c r="C928" s="977"/>
      <c r="D928" s="524"/>
      <c r="E928" s="1653" t="str">
        <f>Translations!$B$814</f>
        <v>Importētie daudzumi:</v>
      </c>
      <c r="F928" s="1657"/>
      <c r="G928" s="1657"/>
      <c r="H928" s="525" t="str">
        <f>EUconst_Unit</f>
        <v>Vienība</v>
      </c>
      <c r="I928" s="463">
        <f>I$1820</f>
        <v>2019</v>
      </c>
      <c r="J928" s="463">
        <f>J$1820</f>
        <v>2020</v>
      </c>
      <c r="K928" s="463">
        <f>K$1820</f>
        <v>2021</v>
      </c>
      <c r="L928" s="463">
        <f>L$1820</f>
        <v>2022</v>
      </c>
      <c r="M928" s="463">
        <f>M$1820</f>
        <v>2023</v>
      </c>
      <c r="N928" s="1205"/>
      <c r="O928" s="25"/>
      <c r="P928" s="982"/>
      <c r="R928" s="955"/>
      <c r="S928" s="955"/>
      <c r="AA928" s="437" t="s">
        <v>262</v>
      </c>
    </row>
    <row r="929" spans="2:27" ht="12.75" customHeight="1" x14ac:dyDescent="0.2">
      <c r="B929" s="224"/>
      <c r="C929" s="977"/>
      <c r="D929" s="526" t="s">
        <v>3</v>
      </c>
      <c r="E929" s="1745"/>
      <c r="F929" s="1745"/>
      <c r="G929" s="1745"/>
      <c r="H929" s="82" t="str">
        <f>IF(E929&lt;&gt;"",INDEX(EUconst_BMlistUnits,MATCH(E929,EUconst_BMlistNames,0)),EUconst_Tons)</f>
        <v>tonnas</v>
      </c>
      <c r="I929" s="334"/>
      <c r="J929" s="334"/>
      <c r="K929" s="334"/>
      <c r="L929" s="334"/>
      <c r="M929" s="334"/>
      <c r="N929" s="1205"/>
      <c r="O929" s="25"/>
      <c r="P929" s="979" t="str">
        <f>EUconst_CNTR_IntermediateImport &amp; R929 &amp; "_" &amp; I768</f>
        <v>IntImp_1_</v>
      </c>
      <c r="R929" s="979">
        <v>1</v>
      </c>
      <c r="S929" s="955"/>
      <c r="AA929" s="643" t="b">
        <f>AND(NOT(ISBLANK(L926)),L926=FALSE)</f>
        <v>0</v>
      </c>
    </row>
    <row r="930" spans="2:27" ht="12.75" customHeight="1" x14ac:dyDescent="0.2">
      <c r="B930" s="224"/>
      <c r="C930" s="977"/>
      <c r="D930" s="526" t="s">
        <v>4</v>
      </c>
      <c r="E930" s="1746"/>
      <c r="F930" s="1746"/>
      <c r="G930" s="1746"/>
      <c r="H930" s="74" t="str">
        <f>IF(E930&lt;&gt;"",INDEX(EUconst_BMlistUnits,MATCH(E930,EUconst_BMlistNames,0)),EUconst_Tons)</f>
        <v>tonnas</v>
      </c>
      <c r="I930" s="333"/>
      <c r="J930" s="333"/>
      <c r="K930" s="333"/>
      <c r="L930" s="333"/>
      <c r="M930" s="333"/>
      <c r="N930" s="1205"/>
      <c r="O930" s="25"/>
      <c r="P930" s="979" t="str">
        <f>EUconst_CNTR_IntermediateImport &amp; R930 &amp; "_" &amp; I768</f>
        <v>IntImp_2_</v>
      </c>
      <c r="R930" s="979">
        <v>2</v>
      </c>
      <c r="S930" s="955"/>
      <c r="AA930" s="361" t="b">
        <f>AA929</f>
        <v>0</v>
      </c>
    </row>
    <row r="931" spans="2:27" ht="5.0999999999999996" customHeight="1" x14ac:dyDescent="0.2">
      <c r="B931" s="224"/>
      <c r="C931" s="977"/>
      <c r="D931" s="695"/>
      <c r="E931" s="695"/>
      <c r="F931" s="695"/>
      <c r="G931" s="695"/>
      <c r="H931" s="695"/>
      <c r="I931" s="695"/>
      <c r="J931" s="695"/>
      <c r="K931" s="695"/>
      <c r="L931" s="695"/>
      <c r="M931" s="695"/>
      <c r="N931" s="1205"/>
      <c r="O931" s="25"/>
      <c r="P931" s="982"/>
      <c r="R931" s="955"/>
      <c r="S931" s="955"/>
      <c r="AA931" s="607"/>
    </row>
    <row r="932" spans="2:27" ht="12.75" customHeight="1" x14ac:dyDescent="0.2">
      <c r="B932" s="224"/>
      <c r="C932" s="977"/>
      <c r="D932" s="524"/>
      <c r="E932" s="1653" t="str">
        <f>Translations!$B$815</f>
        <v>Eksportētie daudzumi:</v>
      </c>
      <c r="F932" s="1657"/>
      <c r="G932" s="1657"/>
      <c r="H932" s="525" t="str">
        <f>EUconst_Unit</f>
        <v>Vienība</v>
      </c>
      <c r="I932" s="463">
        <f>I$1820</f>
        <v>2019</v>
      </c>
      <c r="J932" s="463">
        <f>J$1820</f>
        <v>2020</v>
      </c>
      <c r="K932" s="463">
        <f>K$1820</f>
        <v>2021</v>
      </c>
      <c r="L932" s="463">
        <f>L$1820</f>
        <v>2022</v>
      </c>
      <c r="M932" s="463">
        <f>M$1820</f>
        <v>2023</v>
      </c>
      <c r="N932" s="1205"/>
      <c r="O932" s="25"/>
      <c r="P932" s="982"/>
      <c r="R932" s="955"/>
      <c r="S932" s="955"/>
      <c r="AA932" s="607"/>
    </row>
    <row r="933" spans="2:27" ht="12.75" customHeight="1" x14ac:dyDescent="0.2">
      <c r="B933" s="224"/>
      <c r="C933" s="977"/>
      <c r="D933" s="526" t="s">
        <v>6</v>
      </c>
      <c r="E933" s="1745"/>
      <c r="F933" s="1745"/>
      <c r="G933" s="1745"/>
      <c r="H933" s="82" t="str">
        <f>IF(E933&lt;&gt;"",INDEX(EUconst_BMlistUnits,MATCH(E933,EUconst_BMlistNames,0)),EUconst_Tons)</f>
        <v>tonnas</v>
      </c>
      <c r="I933" s="334"/>
      <c r="J933" s="334"/>
      <c r="K933" s="334"/>
      <c r="L933" s="334"/>
      <c r="M933" s="334"/>
      <c r="N933" s="1205"/>
      <c r="O933" s="25"/>
      <c r="P933" s="979" t="str">
        <f>EUconst_CNTR_IntermediateExport &amp; R929 &amp; "_" &amp; I768</f>
        <v>IntExp_1_</v>
      </c>
      <c r="R933" s="979">
        <v>1</v>
      </c>
      <c r="S933" s="955"/>
      <c r="U933" s="522"/>
      <c r="V933" s="522"/>
      <c r="AA933" s="361" t="b">
        <f>AA929</f>
        <v>0</v>
      </c>
    </row>
    <row r="934" spans="2:27" ht="12.75" customHeight="1" x14ac:dyDescent="0.2">
      <c r="B934" s="224"/>
      <c r="C934" s="977"/>
      <c r="D934" s="526" t="s">
        <v>303</v>
      </c>
      <c r="E934" s="1746"/>
      <c r="F934" s="1746"/>
      <c r="G934" s="1746"/>
      <c r="H934" s="74" t="str">
        <f>IF(E934&lt;&gt;"",INDEX(EUconst_BMlistUnits,MATCH(E934,EUconst_BMlistNames,0)),EUconst_Tons)</f>
        <v>tonnas</v>
      </c>
      <c r="I934" s="333"/>
      <c r="J934" s="333"/>
      <c r="K934" s="333"/>
      <c r="L934" s="333"/>
      <c r="M934" s="333"/>
      <c r="N934" s="1205"/>
      <c r="O934" s="25"/>
      <c r="P934" s="979" t="str">
        <f>EUconst_CNTR_IntermediateExport &amp; R934 &amp; "_" &amp; I768</f>
        <v>IntExp_2_</v>
      </c>
      <c r="R934" s="979">
        <v>2</v>
      </c>
      <c r="S934" s="955"/>
      <c r="U934" s="522"/>
      <c r="V934" s="522"/>
      <c r="AA934" s="361" t="b">
        <f>AA929</f>
        <v>0</v>
      </c>
    </row>
    <row r="935" spans="2:27" ht="5.0999999999999996" customHeight="1" x14ac:dyDescent="0.2">
      <c r="B935" s="224"/>
      <c r="C935" s="977"/>
      <c r="D935" s="695"/>
      <c r="E935" s="695"/>
      <c r="F935" s="695"/>
      <c r="G935" s="695"/>
      <c r="H935" s="695"/>
      <c r="I935" s="695"/>
      <c r="J935" s="695"/>
      <c r="K935" s="695"/>
      <c r="L935" s="695"/>
      <c r="M935" s="695"/>
      <c r="N935" s="1205"/>
      <c r="O935" s="25"/>
      <c r="P935" s="982"/>
      <c r="R935" s="955"/>
      <c r="S935" s="955"/>
      <c r="U935" s="522"/>
      <c r="V935" s="522"/>
      <c r="AA935" s="607"/>
    </row>
    <row r="936" spans="2:27" ht="12.75" customHeight="1" x14ac:dyDescent="0.2">
      <c r="B936" s="224"/>
      <c r="C936" s="977"/>
      <c r="D936" s="526" t="s">
        <v>304</v>
      </c>
      <c r="E936" s="1738" t="str">
        <f>Translations!$B$816</f>
        <v>Importēto vai eksportēto starpproduktu apraksts</v>
      </c>
      <c r="F936" s="1738"/>
      <c r="G936" s="1738"/>
      <c r="H936" s="1738"/>
      <c r="I936" s="1738"/>
      <c r="J936" s="1738"/>
      <c r="K936" s="1738"/>
      <c r="L936" s="1738"/>
      <c r="M936" s="1738"/>
      <c r="N936" s="1205"/>
      <c r="O936" s="25"/>
      <c r="P936" s="982"/>
      <c r="R936" s="955"/>
      <c r="S936" s="955"/>
      <c r="U936" s="522"/>
      <c r="V936" s="522"/>
      <c r="AA936" s="607"/>
    </row>
    <row r="937" spans="2:27" ht="12.75" customHeight="1" x14ac:dyDescent="0.2">
      <c r="B937" s="224"/>
      <c r="C937" s="977"/>
      <c r="D937" s="695"/>
      <c r="E937" s="1739"/>
      <c r="F937" s="1740"/>
      <c r="G937" s="1740"/>
      <c r="H937" s="1740"/>
      <c r="I937" s="1740"/>
      <c r="J937" s="1740"/>
      <c r="K937" s="1740"/>
      <c r="L937" s="1740"/>
      <c r="M937" s="1741"/>
      <c r="N937" s="1205"/>
      <c r="O937" s="25"/>
      <c r="P937" s="982"/>
      <c r="R937" s="955"/>
      <c r="S937" s="955"/>
      <c r="U937" s="522"/>
      <c r="V937" s="522"/>
      <c r="AA937" s="361" t="b">
        <f>AA929</f>
        <v>0</v>
      </c>
    </row>
    <row r="938" spans="2:27" ht="12.75" customHeight="1" thickBot="1" x14ac:dyDescent="0.25">
      <c r="B938" s="224"/>
      <c r="C938" s="977"/>
      <c r="D938" s="695"/>
      <c r="E938" s="1742"/>
      <c r="F938" s="1743"/>
      <c r="G938" s="1743"/>
      <c r="H938" s="1743"/>
      <c r="I938" s="1743"/>
      <c r="J938" s="1743"/>
      <c r="K938" s="1743"/>
      <c r="L938" s="1743"/>
      <c r="M938" s="1744"/>
      <c r="N938" s="1205"/>
      <c r="O938" s="25"/>
      <c r="P938" s="982"/>
      <c r="R938" s="955"/>
      <c r="S938" s="955"/>
      <c r="U938" s="522"/>
      <c r="V938" s="522"/>
      <c r="AA938" s="186" t="b">
        <f>AA929</f>
        <v>0</v>
      </c>
    </row>
    <row r="939" spans="2:27" ht="12.75" customHeight="1" thickBot="1" x14ac:dyDescent="0.25">
      <c r="B939" s="224"/>
      <c r="C939" s="983"/>
      <c r="D939" s="984"/>
      <c r="E939" s="984"/>
      <c r="F939" s="984"/>
      <c r="G939" s="984"/>
      <c r="H939" s="984"/>
      <c r="I939" s="984"/>
      <c r="J939" s="984"/>
      <c r="K939" s="984"/>
      <c r="L939" s="984"/>
      <c r="M939" s="985"/>
      <c r="N939" s="986"/>
      <c r="O939" s="25"/>
      <c r="P939" s="955"/>
      <c r="R939" s="955"/>
      <c r="S939" s="955"/>
    </row>
    <row r="940" spans="2:27" ht="13.5" thickBot="1" x14ac:dyDescent="0.25">
      <c r="B940" s="38"/>
      <c r="C940" s="38"/>
      <c r="D940" s="38"/>
      <c r="E940" s="38"/>
      <c r="F940" s="38"/>
      <c r="G940" s="38"/>
      <c r="H940" s="38"/>
      <c r="I940" s="38"/>
      <c r="J940" s="38"/>
      <c r="K940" s="38"/>
      <c r="L940" s="38"/>
      <c r="M940" s="38"/>
      <c r="N940" s="38"/>
      <c r="O940" s="25"/>
      <c r="P940" s="362" t="str">
        <f>IF(OR(AND(CNTR_ExistProductSubEntries=FALSE,P768=1),AND(I768&lt;&gt;"",COUNTIF(P941:$P$1814,"PRINT")=0)),"PRINT","")</f>
        <v/>
      </c>
      <c r="Q940" s="437" t="s">
        <v>481</v>
      </c>
      <c r="R940" s="955"/>
      <c r="S940" s="955"/>
    </row>
    <row r="941" spans="2:27" ht="5.0999999999999996" customHeight="1" thickBot="1" x14ac:dyDescent="0.25">
      <c r="B941" s="38"/>
      <c r="C941" s="987"/>
      <c r="D941" s="987"/>
      <c r="E941" s="987"/>
      <c r="F941" s="987"/>
      <c r="G941" s="987"/>
      <c r="H941" s="987"/>
      <c r="I941" s="987"/>
      <c r="J941" s="987"/>
      <c r="K941" s="987"/>
      <c r="L941" s="987"/>
      <c r="M941" s="987"/>
      <c r="N941" s="987"/>
      <c r="O941" s="25"/>
      <c r="R941" s="955"/>
      <c r="S941" s="955"/>
    </row>
    <row r="942" spans="2:27" ht="15.75" thickBot="1" x14ac:dyDescent="0.25">
      <c r="B942" s="224"/>
      <c r="C942" s="965">
        <f>C768+1</f>
        <v>6</v>
      </c>
      <c r="D942" s="1318" t="str">
        <f>EUconst_BMSubinst &amp; ":"</f>
        <v>Apakšiekārta ar produkta līmeņatzīmi:</v>
      </c>
      <c r="E942" s="1251"/>
      <c r="F942" s="1251"/>
      <c r="G942" s="1251"/>
      <c r="H942" s="1328"/>
      <c r="I942" s="1701" t="str">
        <f>IF(INDEX(CNTR_SubInstListIsProdBM,$C942),INDEX(CNTR_SubInstListNames,$C942),"")</f>
        <v/>
      </c>
      <c r="J942" s="1457"/>
      <c r="K942" s="1457"/>
      <c r="L942" s="1457"/>
      <c r="M942" s="1457"/>
      <c r="N942" s="1259"/>
      <c r="O942" s="25"/>
      <c r="P942" s="362">
        <f>C942</f>
        <v>6</v>
      </c>
      <c r="Q942" s="966" t="s">
        <v>225</v>
      </c>
      <c r="R942" s="967" t="str">
        <f>IF(I942="","",INDEX(CNTR_SubInstStartDate,MATCH($I942,CNTR_SubInstListNames,0)))</f>
        <v/>
      </c>
      <c r="S942" s="968" t="b">
        <f>IF($I942="",FALSE,AND(I$1823,YEAR($R942)&lt;I$1820))</f>
        <v>0</v>
      </c>
      <c r="T942" s="968" t="b">
        <f>IF($I942="",FALSE,AND(J$1823,YEAR($R942)&lt;J$1820))</f>
        <v>0</v>
      </c>
      <c r="U942" s="968" t="b">
        <f>IF($I942="",FALSE,AND(K$1823,YEAR($R942)&lt;K$1820))</f>
        <v>0</v>
      </c>
      <c r="V942" s="968" t="b">
        <f>IF($I942="",FALSE,AND(L$1823,YEAR($R942)&lt;L$1820))</f>
        <v>0</v>
      </c>
      <c r="W942" s="968" t="b">
        <f>IF($I942="",FALSE,AND(M$1823,YEAR($R942)&lt;M$1820))</f>
        <v>0</v>
      </c>
      <c r="Z942" s="732" t="s">
        <v>529</v>
      </c>
      <c r="AA942" s="734" t="b">
        <f>AND(CNTR_ExistSubInstEntries,I942="")</f>
        <v>0</v>
      </c>
    </row>
    <row r="943" spans="2:27" ht="5.0999999999999996" customHeight="1" x14ac:dyDescent="0.2">
      <c r="B943" s="224"/>
      <c r="C943" s="224"/>
      <c r="D943" s="224"/>
      <c r="E943" s="224"/>
      <c r="F943" s="224"/>
      <c r="G943" s="224"/>
      <c r="H943" s="224"/>
      <c r="I943" s="224"/>
      <c r="J943" s="224"/>
      <c r="K943" s="224"/>
      <c r="L943" s="224"/>
      <c r="M943" s="34"/>
      <c r="N943" s="34"/>
      <c r="O943" s="25"/>
      <c r="P943" s="955"/>
      <c r="R943" s="955"/>
      <c r="S943" s="955"/>
    </row>
    <row r="944" spans="2:27" ht="13.5" thickBot="1" x14ac:dyDescent="0.25">
      <c r="B944" s="224"/>
      <c r="C944" s="224"/>
      <c r="D944" s="32" t="s">
        <v>165</v>
      </c>
      <c r="E944" s="1250" t="str">
        <f>Translations!$B$670</f>
        <v>Vēsturiskie darbības līmeņi</v>
      </c>
      <c r="F944" s="1251"/>
      <c r="G944" s="1251"/>
      <c r="H944" s="1251"/>
      <c r="I944" s="1251"/>
      <c r="J944" s="1251"/>
      <c r="K944" s="1251"/>
      <c r="L944" s="1251"/>
      <c r="M944" s="1251"/>
      <c r="N944" s="1251"/>
      <c r="O944" s="25"/>
      <c r="P944" s="955"/>
      <c r="R944" s="955"/>
      <c r="S944" s="955"/>
    </row>
    <row r="945" spans="1:27" ht="13.5" customHeight="1" thickBot="1" x14ac:dyDescent="0.25">
      <c r="B945" s="38"/>
      <c r="C945" s="38"/>
      <c r="D945" s="32"/>
      <c r="E945" s="1320" t="str">
        <f>Translations!$B$676</f>
        <v>Gada darbības līmeņi:</v>
      </c>
      <c r="F945" s="1320"/>
      <c r="G945" s="1320"/>
      <c r="H945" s="52" t="str">
        <f>EUconst_Unit</f>
        <v>Vienība</v>
      </c>
      <c r="I945" s="412">
        <f>I$1820</f>
        <v>2019</v>
      </c>
      <c r="J945" s="412">
        <f>J$1820</f>
        <v>2020</v>
      </c>
      <c r="K945" s="412">
        <f>K$1820</f>
        <v>2021</v>
      </c>
      <c r="L945" s="412">
        <f>L$1820</f>
        <v>2022</v>
      </c>
      <c r="M945" s="412">
        <f>M$1820</f>
        <v>2023</v>
      </c>
      <c r="N945" s="34"/>
      <c r="O945" s="25"/>
      <c r="P945" s="955"/>
      <c r="Q945" s="439" t="s">
        <v>416</v>
      </c>
      <c r="R945" s="289"/>
      <c r="S945" s="289"/>
      <c r="T945" s="289"/>
      <c r="U945" s="289"/>
      <c r="V945" s="289"/>
      <c r="W945" s="290"/>
      <c r="AA945" s="437" t="s">
        <v>262</v>
      </c>
    </row>
    <row r="946" spans="1:27" ht="13.5" thickBot="1" x14ac:dyDescent="0.25">
      <c r="B946" s="38"/>
      <c r="C946" s="38"/>
      <c r="D946" s="212" t="s">
        <v>2</v>
      </c>
      <c r="E946" s="1716" t="str">
        <f>I942</f>
        <v/>
      </c>
      <c r="F946" s="1716"/>
      <c r="G946" s="1716"/>
      <c r="H946" s="116" t="str">
        <f>IF(INDEX(CNTR_SubInstListIsProdBM,$C942),INDEX(CNTR_SubInstListHALUnit,$C942),EUconst_Tons)</f>
        <v>tonnas</v>
      </c>
      <c r="I946" s="595"/>
      <c r="J946" s="595"/>
      <c r="K946" s="595"/>
      <c r="L946" s="595"/>
      <c r="M946" s="595"/>
      <c r="N946" s="34"/>
      <c r="O946" s="25"/>
      <c r="P946" s="182" t="s">
        <v>228</v>
      </c>
      <c r="Q946" s="1023" t="s">
        <v>618</v>
      </c>
      <c r="R946" s="204" t="s">
        <v>629</v>
      </c>
      <c r="S946" s="454">
        <f>I945</f>
        <v>2019</v>
      </c>
      <c r="T946" s="455">
        <f>J945</f>
        <v>2020</v>
      </c>
      <c r="U946" s="455">
        <f>K945</f>
        <v>2021</v>
      </c>
      <c r="V946" s="455">
        <f>L945</f>
        <v>2022</v>
      </c>
      <c r="W946" s="456">
        <f>M945</f>
        <v>2023</v>
      </c>
      <c r="Z946" s="437"/>
      <c r="AA946" s="643" t="b">
        <f>IF(CNTR_ExistSubInstEntries,AND(I942&lt;&gt;"",Q950),FALSE)</f>
        <v>0</v>
      </c>
    </row>
    <row r="947" spans="1:27" ht="13.5" thickBot="1" x14ac:dyDescent="0.25">
      <c r="B947" s="38"/>
      <c r="C947" s="38"/>
      <c r="D947" s="212" t="s">
        <v>3</v>
      </c>
      <c r="E947" s="1716" t="str">
        <f>Translations!$B$677</f>
        <v>No lapas “H_SpecialBM”:</v>
      </c>
      <c r="F947" s="1716"/>
      <c r="G947" s="1716"/>
      <c r="H947" s="116" t="str">
        <f>H946</f>
        <v>tonnas</v>
      </c>
      <c r="I947" s="336" t="str">
        <f>IF($I942="","",IF($Q950,SUMIF(H_SpecialBM!$P$9:$P$401,$P947,H_SpecialBM!I$9:I$401),""))</f>
        <v/>
      </c>
      <c r="J947" s="336" t="str">
        <f>IF($I942="","",IF($Q950,SUMIF(H_SpecialBM!$P$9:$P$401,$P947,H_SpecialBM!J$9:J$401),""))</f>
        <v/>
      </c>
      <c r="K947" s="336" t="str">
        <f>IF($I942="","",IF($Q950,SUMIF(H_SpecialBM!$P$9:$P$401,$P947,H_SpecialBM!K$9:K$401),""))</f>
        <v/>
      </c>
      <c r="L947" s="336" t="str">
        <f>IF($I942="","",IF($Q950,SUMIF(H_SpecialBM!$P$9:$P$401,$P947,H_SpecialBM!L$9:L$401),""))</f>
        <v/>
      </c>
      <c r="M947" s="336" t="str">
        <f>IF($I942="","",IF($Q950,SUMIF(H_SpecialBM!$P$9:$P$401,$P947,H_SpecialBM!M$9:M$401),""))</f>
        <v/>
      </c>
      <c r="N947" s="34"/>
      <c r="O947" s="25"/>
      <c r="P947" s="969" t="str">
        <f>EUconst_CNTR_HALspecial&amp;I942</f>
        <v>HALspecial_</v>
      </c>
      <c r="Q947" s="1093" t="str">
        <f>IF(COUNT($U947:$V947)&gt;0,SUM($U947:$V947),"")</f>
        <v/>
      </c>
      <c r="R947" s="1094" t="str">
        <f>IF(COUNT(S947:W947)&gt;0,MEDIAN(S947:W947),"")</f>
        <v/>
      </c>
      <c r="S947" s="1095" t="str">
        <f>IF(S942,IF(ISNUMBER(I947),I947,""),"")</f>
        <v/>
      </c>
      <c r="T947" s="1096" t="str">
        <f>IF(T942,IF(ISNUMBER(J947),J947,""),"")</f>
        <v/>
      </c>
      <c r="U947" s="1096" t="str">
        <f>IF(U942,IF(ISNUMBER(K947),K947,""),"")</f>
        <v/>
      </c>
      <c r="V947" s="1096" t="str">
        <f>IF(V942,IF(ISNUMBER(L947),L947,""),"")</f>
        <v/>
      </c>
      <c r="W947" s="1094" t="str">
        <f>IF(W942,IF(ISNUMBER(M947),M947,""),"")</f>
        <v/>
      </c>
      <c r="AA947" s="719" t="b">
        <f>Q950=FALSE</f>
        <v>0</v>
      </c>
    </row>
    <row r="948" spans="1:27" ht="13.5" thickBot="1" x14ac:dyDescent="0.25">
      <c r="B948" s="38"/>
      <c r="C948" s="38"/>
      <c r="D948" s="212" t="s">
        <v>4</v>
      </c>
      <c r="E948" s="1716" t="str">
        <f>Translations!$B$678</f>
        <v>Aprēķinā izmantotās vērtības:</v>
      </c>
      <c r="F948" s="1716"/>
      <c r="G948" s="1716"/>
      <c r="H948" s="116" t="str">
        <f>H947</f>
        <v>tonnas</v>
      </c>
      <c r="I948" s="336" t="str">
        <f>IF($I942="","",IF($Q950=TRUE,IF(ISNUMBER(I947),I947,0),IF(ISNUMBER(I946),I946,0)))</f>
        <v/>
      </c>
      <c r="J948" s="336" t="str">
        <f>IF($I942="","",IF($Q950=TRUE,IF(ISNUMBER(J947),J947,0),IF(ISNUMBER(J946),J946,0)))</f>
        <v/>
      </c>
      <c r="K948" s="336" t="str">
        <f>IF($I942="","",IF($Q950=TRUE,IF(ISNUMBER(K947),K947,0),IF(ISNUMBER(K946),K946,0)))</f>
        <v/>
      </c>
      <c r="L948" s="336" t="str">
        <f>IF($I942="","",IF($Q950=TRUE,IF(ISNUMBER(L947),L947,0),IF(ISNUMBER(L946),L946,0)))</f>
        <v/>
      </c>
      <c r="M948" s="336" t="str">
        <f>IF($I942="","",IF($Q950=TRUE,IF(ISNUMBER(M947),M947,0),IF(ISNUMBER(M946),M946,0)))</f>
        <v/>
      </c>
      <c r="N948" s="34"/>
      <c r="O948" s="25"/>
      <c r="P948" s="969" t="str">
        <f>EUconst_CNTR_HAL&amp;I942</f>
        <v>HAL_</v>
      </c>
      <c r="Q948" s="1097" t="str">
        <f>IF(COUNT($U948:$V948)&gt;0,SUM($U948:$V948),"")</f>
        <v/>
      </c>
      <c r="R948" s="1098" t="str">
        <f>IF(COUNT(S948:W948)&gt;0,MEDIAN(S948:W948),"")</f>
        <v/>
      </c>
      <c r="S948" s="1099" t="str">
        <f>IF(S942,IF(ISNUMBER(I948),I948,""),"")</f>
        <v/>
      </c>
      <c r="T948" s="1100" t="str">
        <f>IF(T942,IF(ISNUMBER(J948),J948,""),"")</f>
        <v/>
      </c>
      <c r="U948" s="1100" t="str">
        <f>IF(U942,IF(ISNUMBER(K948),K948,""),"")</f>
        <v/>
      </c>
      <c r="V948" s="1100" t="str">
        <f>IF(V942,IF(ISNUMBER(L948),L948,""),"")</f>
        <v/>
      </c>
      <c r="W948" s="1098" t="str">
        <f>IF(W942,IF(ISNUMBER(M948),M948,""),"")</f>
        <v/>
      </c>
    </row>
    <row r="949" spans="1:27" ht="5.0999999999999996" customHeight="1" x14ac:dyDescent="0.2">
      <c r="B949" s="224"/>
      <c r="C949" s="224"/>
      <c r="D949" s="224"/>
      <c r="E949" s="224"/>
      <c r="F949" s="224"/>
      <c r="G949" s="224"/>
      <c r="H949" s="224"/>
      <c r="I949" s="224"/>
      <c r="J949" s="224"/>
      <c r="K949" s="224"/>
      <c r="L949" s="224"/>
      <c r="M949" s="34"/>
      <c r="N949" s="34"/>
      <c r="O949" s="25"/>
      <c r="P949" s="955"/>
      <c r="R949" s="955"/>
      <c r="S949" s="955"/>
    </row>
    <row r="950" spans="1:27" x14ac:dyDescent="0.2">
      <c r="B950" s="224"/>
      <c r="C950" s="224"/>
      <c r="D950" s="32" t="s">
        <v>339</v>
      </c>
      <c r="E950" s="1250" t="str">
        <f>Translations!$B$679</f>
        <v>Īpašas ziņošanas prasības:</v>
      </c>
      <c r="F950" s="1250"/>
      <c r="G950" s="1524"/>
      <c r="H950" s="1713" t="str">
        <f>IF(I942="","",HYPERLINK(INDEX(EUconst_BMlistSpecialJumpTable,MATCH(I942,EUconst_BMlistNames,0)),INDEX(EUconst_BMlistSpecialReporting,MATCH(I942,EUconst_BMlistNames,0))))</f>
        <v/>
      </c>
      <c r="I950" s="1718"/>
      <c r="J950" s="1718"/>
      <c r="K950" s="1718"/>
      <c r="L950" s="1718"/>
      <c r="M950" s="1718"/>
      <c r="N950" s="1719"/>
      <c r="O950" s="25"/>
      <c r="P950" s="966" t="s">
        <v>37</v>
      </c>
      <c r="Q950" s="134" t="str">
        <f>IF(I942="","",IF(AND(INDEX(EUconst_BMlistSpecialJumpTable,MATCH(I942,EUconst_BMlistNames,0))&lt;&gt;"",INDEX(EUconst_BMlistMainNumberOfBM,MATCH(I942,EUconst_BMlistNames,0))&lt;&gt;47),TRUE,FALSE))</f>
        <v/>
      </c>
      <c r="R950" s="966" t="s">
        <v>574</v>
      </c>
      <c r="S950" s="134" t="b">
        <f>IF(I942="",FALSE,INDEX(CNTR_SubInstLess1Year,MATCH(I942,CNTR_SubInstListNames,0)))</f>
        <v>0</v>
      </c>
    </row>
    <row r="951" spans="1:27" ht="5.0999999999999996" customHeight="1" x14ac:dyDescent="0.2">
      <c r="B951" s="224"/>
      <c r="C951" s="224"/>
      <c r="D951" s="224"/>
      <c r="E951" s="224"/>
      <c r="F951" s="224"/>
      <c r="G951" s="224"/>
      <c r="H951" s="224"/>
      <c r="I951" s="224"/>
      <c r="J951" s="224"/>
      <c r="K951" s="224"/>
      <c r="L951" s="224"/>
      <c r="M951" s="224"/>
      <c r="N951" s="224"/>
      <c r="O951" s="25"/>
      <c r="P951" s="955"/>
      <c r="R951" s="955"/>
      <c r="S951" s="955"/>
    </row>
    <row r="952" spans="1:27" ht="12.75" customHeight="1" x14ac:dyDescent="0.2">
      <c r="B952" s="38"/>
      <c r="C952" s="38"/>
      <c r="D952" s="32" t="s">
        <v>11</v>
      </c>
      <c r="E952" s="1717" t="str">
        <f>Translations!$B$1663</f>
        <v>Elektroenerģijas patēriņš</v>
      </c>
      <c r="F952" s="1717"/>
      <c r="G952" s="1717"/>
      <c r="H952" s="1717"/>
      <c r="I952" s="1717"/>
      <c r="J952" s="1717"/>
      <c r="K952" s="1717"/>
      <c r="L952" s="1717"/>
      <c r="M952" s="1717"/>
      <c r="N952" s="1717"/>
      <c r="O952" s="25"/>
      <c r="P952" s="20" t="s">
        <v>192</v>
      </c>
      <c r="Q952" s="362" t="str">
        <f>"#"&amp;ADDRESS(ROW(D956),COLUMN(D956))</f>
        <v>#$D$956</v>
      </c>
      <c r="R952" s="955"/>
      <c r="S952" s="955"/>
      <c r="AA952" s="955"/>
    </row>
    <row r="953" spans="1:27" s="697" customFormat="1" ht="13.5" thickBot="1" x14ac:dyDescent="0.25">
      <c r="A953" s="437"/>
      <c r="B953" s="414"/>
      <c r="C953" s="414"/>
      <c r="D953" s="32"/>
      <c r="E953" s="1320" t="str">
        <f>Translations!$B$686</f>
        <v>Parametrs</v>
      </c>
      <c r="F953" s="1275"/>
      <c r="G953" s="1275"/>
      <c r="H953" s="52" t="str">
        <f>EUconst_Unit</f>
        <v>Vienība</v>
      </c>
      <c r="I953" s="412">
        <f>I945</f>
        <v>2019</v>
      </c>
      <c r="J953" s="412">
        <f>J945</f>
        <v>2020</v>
      </c>
      <c r="K953" s="412">
        <f>K945</f>
        <v>2021</v>
      </c>
      <c r="L953" s="412">
        <f>L945</f>
        <v>2022</v>
      </c>
      <c r="M953" s="412">
        <f>M945</f>
        <v>2023</v>
      </c>
      <c r="N953" s="34"/>
      <c r="O953" s="25"/>
      <c r="P953" s="437"/>
      <c r="Q953" s="437"/>
      <c r="R953" s="955"/>
      <c r="S953" s="955"/>
      <c r="T953" s="955"/>
      <c r="U953" s="955"/>
      <c r="V953" s="955"/>
      <c r="W953" s="955"/>
      <c r="X953" s="20"/>
      <c r="Y953" s="20"/>
      <c r="Z953" s="437"/>
      <c r="AA953" s="955" t="s">
        <v>633</v>
      </c>
    </row>
    <row r="954" spans="1:27" s="697" customFormat="1" ht="12.75" customHeight="1" thickBot="1" x14ac:dyDescent="0.25">
      <c r="A954" s="437"/>
      <c r="B954" s="414"/>
      <c r="C954" s="414"/>
      <c r="D954" s="440"/>
      <c r="E954" s="1711" t="str">
        <f>Translations!$B$689</f>
        <v>Relevantais elektroenerģijas patēriņš</v>
      </c>
      <c r="F954" s="1712"/>
      <c r="G954" s="1712"/>
      <c r="H954" s="610" t="str">
        <f>EUconst_MWhpa</f>
        <v>MWh / gads</v>
      </c>
      <c r="I954" s="1102"/>
      <c r="J954" s="1102"/>
      <c r="K954" s="1102"/>
      <c r="L954" s="1102"/>
      <c r="M954" s="1102"/>
      <c r="N954" s="34"/>
      <c r="O954" s="25"/>
      <c r="P954" s="202" t="str">
        <f>EUconst_CNTR_HAL&amp;EUconst_CNTR_ELEXCH</f>
        <v>HAL_ELEXCH_</v>
      </c>
      <c r="Q954" s="202" t="str">
        <f>EUconst_CNTR_HAL&amp;EUconst_CNTR_ELEXCH &amp; I942</f>
        <v>HAL_ELEXCH_</v>
      </c>
      <c r="R954" s="955"/>
      <c r="S954" s="955"/>
      <c r="T954" s="955"/>
      <c r="U954" s="955"/>
      <c r="V954" s="955"/>
      <c r="W954" s="955"/>
      <c r="X954" s="20"/>
      <c r="Y954" s="20"/>
      <c r="Z954" s="437"/>
      <c r="AA954" s="885" t="b">
        <f>IF(CNTR_ExistSubInstEntries,IF(I942&lt;&gt;"",IF(INDEX(EUconst_BMlistElExchangability,MATCH(I942,EUconst_BMlistNames,0)),FALSE,TRUE),TRUE),FALSE)</f>
        <v>0</v>
      </c>
    </row>
    <row r="955" spans="1:27" ht="5.0999999999999996" customHeight="1" x14ac:dyDescent="0.2">
      <c r="B955" s="224"/>
      <c r="C955" s="224"/>
      <c r="D955" s="224"/>
      <c r="E955" s="224"/>
      <c r="F955" s="224"/>
      <c r="G955" s="224"/>
      <c r="H955" s="224"/>
      <c r="I955" s="224"/>
      <c r="J955" s="224"/>
      <c r="K955" s="224"/>
      <c r="L955" s="224"/>
      <c r="M955" s="34"/>
      <c r="N955" s="34"/>
      <c r="O955" s="25"/>
      <c r="P955" s="955"/>
    </row>
    <row r="956" spans="1:27" x14ac:dyDescent="0.2">
      <c r="B956" s="224"/>
      <c r="C956" s="224"/>
      <c r="D956" s="32" t="s">
        <v>342</v>
      </c>
      <c r="E956" s="1250" t="str">
        <f>Translations!$B$692</f>
        <v>No ETS neaptvertām iekārtām vai vienībām importētais siltums:</v>
      </c>
      <c r="F956" s="1250"/>
      <c r="G956" s="1250"/>
      <c r="H956" s="1250"/>
      <c r="I956" s="1524"/>
      <c r="J956" s="1713" t="str">
        <f>IF(I942="","",HYPERLINK(Q956,EUconst_MsgGoOnIfNotRelevant))</f>
        <v/>
      </c>
      <c r="K956" s="1714"/>
      <c r="L956" s="1714"/>
      <c r="M956" s="1714"/>
      <c r="N956" s="1715"/>
      <c r="O956" s="25"/>
      <c r="P956" s="20" t="s">
        <v>192</v>
      </c>
      <c r="Q956" s="362" t="str">
        <f>"#"&amp;ADDRESS(ROW(D963),COLUMN(D963))</f>
        <v>#$D$963</v>
      </c>
    </row>
    <row r="957" spans="1:27" ht="5.0999999999999996" customHeight="1" x14ac:dyDescent="0.2">
      <c r="B957" s="224"/>
      <c r="C957" s="224"/>
      <c r="D957" s="34"/>
      <c r="E957" s="1319"/>
      <c r="F957" s="1319"/>
      <c r="G957" s="1319"/>
      <c r="H957" s="1319"/>
      <c r="I957" s="1319"/>
      <c r="J957" s="1319"/>
      <c r="K957" s="1319"/>
      <c r="L957" s="1319"/>
      <c r="M957" s="1319"/>
      <c r="N957" s="1319"/>
      <c r="O957" s="25"/>
      <c r="P957" s="955"/>
      <c r="R957" s="955"/>
      <c r="S957" s="955"/>
    </row>
    <row r="958" spans="1:27" ht="13.5" thickBot="1" x14ac:dyDescent="0.25">
      <c r="B958" s="38"/>
      <c r="C958" s="38"/>
      <c r="D958" s="32"/>
      <c r="E958" s="1320" t="str">
        <f>Translations!$B$686</f>
        <v>Parametrs</v>
      </c>
      <c r="F958" s="1275"/>
      <c r="G958" s="1275"/>
      <c r="H958" s="52" t="str">
        <f>EUconst_Unit</f>
        <v>Vienība</v>
      </c>
      <c r="I958" s="412">
        <f>I945</f>
        <v>2019</v>
      </c>
      <c r="J958" s="412">
        <f>J945</f>
        <v>2020</v>
      </c>
      <c r="K958" s="412">
        <f>K945</f>
        <v>2021</v>
      </c>
      <c r="L958" s="412">
        <f>L945</f>
        <v>2022</v>
      </c>
      <c r="M958" s="412">
        <f>M945</f>
        <v>2023</v>
      </c>
      <c r="N958" s="34"/>
      <c r="O958" s="25"/>
      <c r="Q958" s="63"/>
      <c r="R958" s="955"/>
      <c r="S958" s="63">
        <f>I958</f>
        <v>2019</v>
      </c>
      <c r="T958" s="63">
        <f>J958</f>
        <v>2020</v>
      </c>
      <c r="U958" s="63">
        <f>K958</f>
        <v>2021</v>
      </c>
      <c r="V958" s="63">
        <f>L958</f>
        <v>2022</v>
      </c>
      <c r="W958" s="63">
        <f>M958</f>
        <v>2023</v>
      </c>
      <c r="Z958" s="63"/>
      <c r="AA958" s="437" t="s">
        <v>262</v>
      </c>
    </row>
    <row r="959" spans="1:27" ht="13.5" thickBot="1" x14ac:dyDescent="0.25">
      <c r="B959" s="38"/>
      <c r="C959" s="38"/>
      <c r="D959" s="212" t="s">
        <v>2</v>
      </c>
      <c r="E959" s="1517" t="str">
        <f>Translations!$B$697</f>
        <v>No ETS neaptvertām iekārtām/vienībām importēts izmērāmais siltums</v>
      </c>
      <c r="F959" s="1517"/>
      <c r="G959" s="1517"/>
      <c r="H959" s="66" t="str">
        <f>EUconst_TJpa</f>
        <v>TJ / gads</v>
      </c>
      <c r="I959" s="330"/>
      <c r="J959" s="330"/>
      <c r="K959" s="330"/>
      <c r="L959" s="330"/>
      <c r="M959" s="330"/>
      <c r="N959" s="34"/>
      <c r="O959" s="25"/>
      <c r="P959" s="134" t="str">
        <f>EUconst_CNTR_HAL&amp;EUconst_CNTR_nonETSMeasHeat</f>
        <v>HAL_ETS neaptverts izmērāmais siltums</v>
      </c>
      <c r="R959" s="955"/>
      <c r="S959" s="454" t="str">
        <f>IF(S942,IF(ISNUMBER(I959),I959,0),"")</f>
        <v/>
      </c>
      <c r="T959" s="455" t="str">
        <f>IF(T942,IF(ISNUMBER(J959),J959,0),"")</f>
        <v/>
      </c>
      <c r="U959" s="455" t="str">
        <f>IF(U942,IF(ISNUMBER(K959),K959,0),"")</f>
        <v/>
      </c>
      <c r="V959" s="455" t="str">
        <f>IF(V942,IF(ISNUMBER(L959),L959,0),"")</f>
        <v/>
      </c>
      <c r="W959" s="456" t="str">
        <f>IF(W942,IF(ISNUMBER(M959),M959,0),"")</f>
        <v/>
      </c>
      <c r="AA959" s="643" t="b">
        <f>AND(CNTR_ExistSubInstEntries,I942="")</f>
        <v>0</v>
      </c>
    </row>
    <row r="960" spans="1:27" ht="25.5" customHeight="1" thickBot="1" x14ac:dyDescent="0.25">
      <c r="B960" s="38"/>
      <c r="C960" s="38"/>
      <c r="D960" s="212" t="s">
        <v>3</v>
      </c>
      <c r="E960" s="1541" t="str">
        <f>Translations!$B$698</f>
        <v>Konsekvences pārbaude — saskanība ar lapu “E_Energy flows”:</v>
      </c>
      <c r="F960" s="1541"/>
      <c r="G960" s="1541"/>
      <c r="H960" s="45" t="s">
        <v>393</v>
      </c>
      <c r="I960" s="317" t="str">
        <f>IF(AND(ISNUMBER(I959),ISNUMBER(E_EnergyFlows!I$120)), I959/E_EnergyFlows!I$120*100,"")</f>
        <v/>
      </c>
      <c r="J960" s="317" t="str">
        <f>IF(AND(ISNUMBER(J959),ISNUMBER(E_EnergyFlows!J$120)), J959/E_EnergyFlows!J$120*100,"")</f>
        <v/>
      </c>
      <c r="K960" s="317" t="str">
        <f>IF(AND(ISNUMBER(K959),ISNUMBER(E_EnergyFlows!K$120)), K959/E_EnergyFlows!K$120*100,"")</f>
        <v/>
      </c>
      <c r="L960" s="317" t="str">
        <f>IF(AND(ISNUMBER(L959),ISNUMBER(E_EnergyFlows!L$120)), L959/E_EnergyFlows!L$120*100,"")</f>
        <v/>
      </c>
      <c r="M960" s="317" t="str">
        <f>IF(AND(ISNUMBER(M959),ISNUMBER(E_EnergyFlows!M$120)), M959/E_EnergyFlows!M$120*100,"")</f>
        <v/>
      </c>
      <c r="N960" s="38"/>
      <c r="O960" s="25"/>
      <c r="P960" s="182" t="str">
        <f>EUconst_CNTR_HEAT &amp; I942</f>
        <v>HEAT_</v>
      </c>
      <c r="Q960" s="315" t="str">
        <f>IF(COUNT(S959:X959)&gt;0,AVERAGE(S959:X959)*EUconst_HeatBMvalue,EUconst_NA)</f>
        <v>NA</v>
      </c>
      <c r="R960" s="955"/>
      <c r="S960" s="955"/>
      <c r="AA960" s="607"/>
    </row>
    <row r="961" spans="2:27" x14ac:dyDescent="0.2">
      <c r="B961" s="38"/>
      <c r="C961" s="38"/>
      <c r="D961" s="212" t="s">
        <v>4</v>
      </c>
      <c r="E961" s="1373" t="str">
        <f>Translations!$B$699</f>
        <v>Konsekvences pārbaude — saskanība ar k) punkta i. apakšpunktu.</v>
      </c>
      <c r="F961" s="1550"/>
      <c r="G961" s="1550"/>
      <c r="H961" s="48" t="s">
        <v>393</v>
      </c>
      <c r="I961" s="316" t="str">
        <f>IF(AND(I1037&gt;0,ISNUMBER(I959)), I959/I1037*100,"")</f>
        <v/>
      </c>
      <c r="J961" s="316" t="str">
        <f>IF(AND(J1037&gt;0,ISNUMBER(J959)), J959/J1037*100,"")</f>
        <v/>
      </c>
      <c r="K961" s="316" t="str">
        <f>IF(AND(K1037&gt;0,ISNUMBER(K959)), K959/K1037*100,"")</f>
        <v/>
      </c>
      <c r="L961" s="316" t="str">
        <f>IF(AND(L1037&gt;0,ISNUMBER(L959)), L959/L1037*100,"")</f>
        <v/>
      </c>
      <c r="M961" s="316" t="str">
        <f>IF(AND(M1037&gt;0,ISNUMBER(M959)), M959/M1037*100,"")</f>
        <v/>
      </c>
      <c r="N961" s="38"/>
      <c r="O961" s="25"/>
      <c r="R961" s="955"/>
      <c r="S961" s="955"/>
      <c r="AA961" s="607"/>
    </row>
    <row r="962" spans="2:27" ht="12.75" customHeight="1" x14ac:dyDescent="0.2">
      <c r="B962" s="38"/>
      <c r="C962" s="38"/>
      <c r="D962" s="38"/>
      <c r="E962" s="38"/>
      <c r="F962" s="38"/>
      <c r="G962" s="38"/>
      <c r="H962" s="38"/>
      <c r="I962" s="125"/>
      <c r="J962" s="38"/>
      <c r="K962" s="38"/>
      <c r="L962" s="38"/>
      <c r="M962" s="38"/>
      <c r="N962" s="38"/>
      <c r="O962" s="25"/>
      <c r="P962" s="157"/>
      <c r="R962" s="955"/>
      <c r="S962" s="955"/>
      <c r="AA962" s="607"/>
    </row>
    <row r="963" spans="2:27" ht="15" x14ac:dyDescent="0.2">
      <c r="B963" s="38"/>
      <c r="C963" s="972"/>
      <c r="D963" s="1318" t="str">
        <f>Translations!$B$700</f>
        <v>Ražošanas dati</v>
      </c>
      <c r="E963" s="1251"/>
      <c r="F963" s="1251"/>
      <c r="G963" s="1251"/>
      <c r="H963" s="1251"/>
      <c r="I963" s="1251"/>
      <c r="J963" s="1251"/>
      <c r="K963" s="1251"/>
      <c r="L963" s="1251"/>
      <c r="M963" s="1251"/>
      <c r="N963" s="1251"/>
      <c r="O963" s="25"/>
      <c r="R963" s="955"/>
      <c r="S963" s="955"/>
      <c r="AA963" s="607"/>
    </row>
    <row r="964" spans="2:27" ht="5.0999999999999996" customHeight="1" x14ac:dyDescent="0.2">
      <c r="B964" s="224"/>
      <c r="C964" s="224"/>
      <c r="D964" s="224"/>
      <c r="E964" s="224"/>
      <c r="F964" s="224"/>
      <c r="G964" s="224"/>
      <c r="H964" s="224"/>
      <c r="I964" s="224"/>
      <c r="J964" s="224"/>
      <c r="K964" s="224"/>
      <c r="L964" s="224"/>
      <c r="M964" s="224"/>
      <c r="N964" s="224"/>
      <c r="O964" s="25"/>
      <c r="P964" s="955"/>
      <c r="Q964" s="955"/>
      <c r="R964" s="955"/>
      <c r="S964" s="955"/>
      <c r="AA964" s="607"/>
    </row>
    <row r="965" spans="2:27" x14ac:dyDescent="0.2">
      <c r="B965" s="224"/>
      <c r="C965" s="32"/>
      <c r="D965" s="32" t="s">
        <v>12</v>
      </c>
      <c r="E965" s="1250" t="str">
        <f>Translations!$B$701</f>
        <v>Šajā produkta līmeņatzīmes apakšiekārtā ietverto produktu identificēšana</v>
      </c>
      <c r="F965" s="1251"/>
      <c r="G965" s="1251"/>
      <c r="H965" s="1251"/>
      <c r="I965" s="1251"/>
      <c r="J965" s="1251"/>
      <c r="K965" s="1251"/>
      <c r="L965" s="1251"/>
      <c r="M965" s="1251"/>
      <c r="N965" s="1251"/>
      <c r="O965" s="25"/>
      <c r="P965" s="955"/>
      <c r="R965" s="955"/>
      <c r="S965" s="955"/>
      <c r="AA965" s="607"/>
    </row>
    <row r="966" spans="2:27" ht="5.0999999999999996" customHeight="1" x14ac:dyDescent="0.2">
      <c r="B966" s="224"/>
      <c r="C966" s="224"/>
      <c r="D966" s="224"/>
      <c r="E966" s="224"/>
      <c r="F966" s="224"/>
      <c r="G966" s="224"/>
      <c r="H966" s="224"/>
      <c r="I966" s="224"/>
      <c r="J966" s="224"/>
      <c r="K966" s="224"/>
      <c r="L966" s="224"/>
      <c r="M966" s="224"/>
      <c r="N966" s="224"/>
      <c r="O966" s="25"/>
      <c r="P966" s="955"/>
      <c r="Q966" s="955"/>
      <c r="R966" s="955"/>
      <c r="S966" s="955"/>
      <c r="AA966" s="607"/>
    </row>
    <row r="967" spans="2:27" x14ac:dyDescent="0.2">
      <c r="B967" s="224"/>
      <c r="C967" s="32"/>
      <c r="D967" s="32" t="s">
        <v>13</v>
      </c>
      <c r="E967" s="1250" t="str">
        <f>Translations!$B$706</f>
        <v>Šajā produkta līmeņatzīmes apakšiekārtā ietverto produktu atsevišķie ražošanas līmeņi</v>
      </c>
      <c r="F967" s="1251"/>
      <c r="G967" s="1251"/>
      <c r="H967" s="1251"/>
      <c r="I967" s="1251"/>
      <c r="J967" s="1251"/>
      <c r="K967" s="1251"/>
      <c r="L967" s="1251"/>
      <c r="M967" s="1251"/>
      <c r="N967" s="1251"/>
      <c r="O967" s="25"/>
      <c r="P967" s="955"/>
      <c r="R967" s="955"/>
      <c r="S967" s="955"/>
      <c r="AA967" s="607"/>
    </row>
    <row r="968" spans="2:27" ht="5.0999999999999996" customHeight="1" x14ac:dyDescent="0.2">
      <c r="B968" s="224"/>
      <c r="C968" s="224"/>
      <c r="D968" s="34"/>
      <c r="E968" s="35"/>
      <c r="F968" s="35"/>
      <c r="G968" s="35"/>
      <c r="H968" s="35"/>
      <c r="I968" s="35"/>
      <c r="J968" s="39"/>
      <c r="K968" s="39"/>
      <c r="L968" s="39"/>
      <c r="M968" s="34"/>
      <c r="N968" s="34"/>
      <c r="O968" s="25"/>
      <c r="P968" s="955"/>
      <c r="R968" s="955"/>
      <c r="S968" s="955"/>
      <c r="AA968" s="607"/>
    </row>
    <row r="969" spans="2:27" ht="25.5" customHeight="1" x14ac:dyDescent="0.2">
      <c r="B969" s="38"/>
      <c r="C969" s="38"/>
      <c r="D969" s="360"/>
      <c r="E969" s="1121" t="str">
        <f>Translations!$B$1668</f>
        <v>PRODCOM 2010</v>
      </c>
      <c r="F969" s="1703" t="str">
        <f>Translations!$B$707</f>
        <v>Produkta vai produktu grupas nosaukums</v>
      </c>
      <c r="G969" s="1704"/>
      <c r="H969" s="1129" t="str">
        <f>EUconst_Unit</f>
        <v>Vienība</v>
      </c>
      <c r="I969" s="1130">
        <f>I$1820</f>
        <v>2019</v>
      </c>
      <c r="J969" s="1130">
        <f>J$1820</f>
        <v>2020</v>
      </c>
      <c r="K969" s="1130">
        <f>K$1820</f>
        <v>2021</v>
      </c>
      <c r="L969" s="1130">
        <f>L$1820</f>
        <v>2022</v>
      </c>
      <c r="M969" s="1130">
        <f>M$1820</f>
        <v>2023</v>
      </c>
      <c r="N969" s="1131" t="str">
        <f>Translations!$B$1669</f>
        <v>KN kodi</v>
      </c>
      <c r="O969" s="25"/>
      <c r="R969" s="955"/>
      <c r="S969" s="955"/>
      <c r="AA969" s="607"/>
    </row>
    <row r="970" spans="2:27" x14ac:dyDescent="0.2">
      <c r="B970" s="38"/>
      <c r="C970" s="38"/>
      <c r="D970" s="55">
        <v>1</v>
      </c>
      <c r="E970" s="1199"/>
      <c r="F970" s="1705"/>
      <c r="G970" s="1706"/>
      <c r="H970" s="800"/>
      <c r="I970" s="484"/>
      <c r="J970" s="484"/>
      <c r="K970" s="484"/>
      <c r="L970" s="484"/>
      <c r="M970" s="484"/>
      <c r="N970" s="1145"/>
      <c r="O970" s="25"/>
      <c r="R970" s="955"/>
      <c r="S970" s="955"/>
      <c r="AA970" s="361" t="b">
        <f>AA959</f>
        <v>0</v>
      </c>
    </row>
    <row r="971" spans="2:27" x14ac:dyDescent="0.2">
      <c r="B971" s="38"/>
      <c r="C971" s="38"/>
      <c r="D971" s="56">
        <f>D970+1</f>
        <v>2</v>
      </c>
      <c r="E971" s="1200"/>
      <c r="F971" s="1707"/>
      <c r="G971" s="1708"/>
      <c r="H971" s="573"/>
      <c r="I971" s="557"/>
      <c r="J971" s="557"/>
      <c r="K971" s="557"/>
      <c r="L971" s="557"/>
      <c r="M971" s="557"/>
      <c r="N971" s="1146"/>
      <c r="O971" s="25"/>
      <c r="R971" s="955"/>
      <c r="S971" s="955"/>
      <c r="AA971" s="361" t="b">
        <f>AA970</f>
        <v>0</v>
      </c>
    </row>
    <row r="972" spans="2:27" x14ac:dyDescent="0.2">
      <c r="B972" s="38"/>
      <c r="C972" s="38"/>
      <c r="D972" s="56">
        <f t="shared" ref="D972:D979" si="10">D971+1</f>
        <v>3</v>
      </c>
      <c r="E972" s="1200"/>
      <c r="F972" s="1691"/>
      <c r="G972" s="1692"/>
      <c r="H972" s="573"/>
      <c r="I972" s="557"/>
      <c r="J972" s="557"/>
      <c r="K972" s="557"/>
      <c r="L972" s="557"/>
      <c r="M972" s="557"/>
      <c r="N972" s="1147"/>
      <c r="O972" s="25"/>
      <c r="R972" s="955"/>
      <c r="S972" s="955"/>
      <c r="AA972" s="361" t="b">
        <f t="shared" ref="AA972:AA980" si="11">AA971</f>
        <v>0</v>
      </c>
    </row>
    <row r="973" spans="2:27" x14ac:dyDescent="0.2">
      <c r="B973" s="38"/>
      <c r="C973" s="38"/>
      <c r="D973" s="56">
        <f t="shared" si="10"/>
        <v>4</v>
      </c>
      <c r="E973" s="1200"/>
      <c r="F973" s="1691"/>
      <c r="G973" s="1692"/>
      <c r="H973" s="573"/>
      <c r="I973" s="557"/>
      <c r="J973" s="557"/>
      <c r="K973" s="557"/>
      <c r="L973" s="557"/>
      <c r="M973" s="557"/>
      <c r="N973" s="1147"/>
      <c r="O973" s="25"/>
      <c r="R973" s="955"/>
      <c r="S973" s="955"/>
      <c r="AA973" s="361" t="b">
        <f t="shared" si="11"/>
        <v>0</v>
      </c>
    </row>
    <row r="974" spans="2:27" x14ac:dyDescent="0.2">
      <c r="B974" s="38"/>
      <c r="C974" s="38"/>
      <c r="D974" s="56">
        <f t="shared" si="10"/>
        <v>5</v>
      </c>
      <c r="E974" s="1200"/>
      <c r="F974" s="1691"/>
      <c r="G974" s="1692"/>
      <c r="H974" s="573"/>
      <c r="I974" s="557"/>
      <c r="J974" s="557"/>
      <c r="K974" s="557"/>
      <c r="L974" s="557"/>
      <c r="M974" s="557"/>
      <c r="N974" s="1147"/>
      <c r="O974" s="25"/>
      <c r="R974" s="955"/>
      <c r="S974" s="955"/>
      <c r="AA974" s="361" t="b">
        <f t="shared" si="11"/>
        <v>0</v>
      </c>
    </row>
    <row r="975" spans="2:27" x14ac:dyDescent="0.2">
      <c r="B975" s="38"/>
      <c r="C975" s="38"/>
      <c r="D975" s="56">
        <f t="shared" si="10"/>
        <v>6</v>
      </c>
      <c r="E975" s="1200"/>
      <c r="F975" s="1691"/>
      <c r="G975" s="1692"/>
      <c r="H975" s="573"/>
      <c r="I975" s="557"/>
      <c r="J975" s="557"/>
      <c r="K975" s="557"/>
      <c r="L975" s="557"/>
      <c r="M975" s="557"/>
      <c r="N975" s="1146"/>
      <c r="O975" s="25"/>
      <c r="R975" s="955"/>
      <c r="S975" s="955"/>
      <c r="AA975" s="361" t="b">
        <f t="shared" si="11"/>
        <v>0</v>
      </c>
    </row>
    <row r="976" spans="2:27" x14ac:dyDescent="0.2">
      <c r="B976" s="38"/>
      <c r="C976" s="38"/>
      <c r="D976" s="56">
        <f t="shared" si="10"/>
        <v>7</v>
      </c>
      <c r="E976" s="1200"/>
      <c r="F976" s="1691"/>
      <c r="G976" s="1692"/>
      <c r="H976" s="573"/>
      <c r="I976" s="557"/>
      <c r="J976" s="557"/>
      <c r="K976" s="557"/>
      <c r="L976" s="557"/>
      <c r="M976" s="557"/>
      <c r="N976" s="1147"/>
      <c r="O976" s="25"/>
      <c r="R976" s="955"/>
      <c r="S976" s="955"/>
      <c r="AA976" s="361" t="b">
        <f t="shared" si="11"/>
        <v>0</v>
      </c>
    </row>
    <row r="977" spans="2:27" x14ac:dyDescent="0.2">
      <c r="B977" s="38"/>
      <c r="C977" s="38"/>
      <c r="D977" s="56">
        <f t="shared" si="10"/>
        <v>8</v>
      </c>
      <c r="E977" s="1200"/>
      <c r="F977" s="1691"/>
      <c r="G977" s="1692"/>
      <c r="H977" s="573"/>
      <c r="I977" s="557"/>
      <c r="J977" s="557"/>
      <c r="K977" s="557"/>
      <c r="L977" s="557"/>
      <c r="M977" s="557"/>
      <c r="N977" s="1147"/>
      <c r="O977" s="25"/>
      <c r="R977" s="955"/>
      <c r="S977" s="955"/>
      <c r="AA977" s="361" t="b">
        <f t="shared" si="11"/>
        <v>0</v>
      </c>
    </row>
    <row r="978" spans="2:27" x14ac:dyDescent="0.2">
      <c r="B978" s="38"/>
      <c r="C978" s="38"/>
      <c r="D978" s="56">
        <f t="shared" si="10"/>
        <v>9</v>
      </c>
      <c r="E978" s="1200"/>
      <c r="F978" s="1691"/>
      <c r="G978" s="1692"/>
      <c r="H978" s="573"/>
      <c r="I978" s="557"/>
      <c r="J978" s="557"/>
      <c r="K978" s="557"/>
      <c r="L978" s="557"/>
      <c r="M978" s="557"/>
      <c r="N978" s="1147"/>
      <c r="O978" s="25"/>
      <c r="R978" s="955"/>
      <c r="S978" s="955"/>
      <c r="AA978" s="361" t="b">
        <f t="shared" si="11"/>
        <v>0</v>
      </c>
    </row>
    <row r="979" spans="2:27" x14ac:dyDescent="0.2">
      <c r="B979" s="38"/>
      <c r="C979" s="38"/>
      <c r="D979" s="59">
        <f t="shared" si="10"/>
        <v>10</v>
      </c>
      <c r="E979" s="1201"/>
      <c r="F979" s="1694"/>
      <c r="G979" s="1695"/>
      <c r="H979" s="574"/>
      <c r="I979" s="458"/>
      <c r="J979" s="458"/>
      <c r="K979" s="458"/>
      <c r="L979" s="458"/>
      <c r="M979" s="458"/>
      <c r="N979" s="1148"/>
      <c r="O979" s="25"/>
      <c r="R979" s="955"/>
      <c r="S979" s="955"/>
      <c r="AA979" s="361" t="b">
        <f t="shared" si="11"/>
        <v>0</v>
      </c>
    </row>
    <row r="980" spans="2:27" ht="12.75" customHeight="1" thickBot="1" x14ac:dyDescent="0.25">
      <c r="B980" s="38"/>
      <c r="C980" s="38"/>
      <c r="D980" s="115"/>
      <c r="E980" s="1696" t="str">
        <f>Translations!$B$708</f>
        <v>Ražošanas līmeņu summa</v>
      </c>
      <c r="F980" s="1696"/>
      <c r="G980" s="1696"/>
      <c r="H980" s="733"/>
      <c r="I980" s="343" t="str">
        <f>IF(COUNT(I970:I979)&gt;0,SUM(I970:I979),"")</f>
        <v/>
      </c>
      <c r="J980" s="343" t="str">
        <f>IF(COUNT(J970:J979)&gt;0,SUM(J970:J979),"")</f>
        <v/>
      </c>
      <c r="K980" s="343" t="str">
        <f>IF(COUNT(K970:K979)&gt;0,SUM(K970:K979),"")</f>
        <v/>
      </c>
      <c r="L980" s="343" t="str">
        <f>IF(COUNT(L970:L979)&gt;0,SUM(L970:L979),"")</f>
        <v/>
      </c>
      <c r="M980" s="343" t="str">
        <f>IF(COUNT(M970:M979)&gt;0,SUM(M970:M979),"")</f>
        <v/>
      </c>
      <c r="N980" s="34"/>
      <c r="O980" s="25"/>
      <c r="R980" s="955"/>
      <c r="S980" s="955"/>
      <c r="AA980" s="186" t="b">
        <f t="shared" si="11"/>
        <v>0</v>
      </c>
    </row>
    <row r="981" spans="2:27" ht="12.75" customHeight="1" thickBot="1" x14ac:dyDescent="0.25">
      <c r="B981" s="224"/>
      <c r="C981" s="224"/>
      <c r="D981" s="224"/>
      <c r="E981" s="224"/>
      <c r="F981" s="224"/>
      <c r="G981" s="224"/>
      <c r="H981" s="224"/>
      <c r="I981" s="224"/>
      <c r="J981" s="224"/>
      <c r="K981" s="224"/>
      <c r="L981" s="224"/>
      <c r="M981" s="34"/>
      <c r="N981" s="34"/>
      <c r="O981" s="25"/>
      <c r="P981" s="955"/>
      <c r="R981" s="955"/>
      <c r="S981" s="955"/>
    </row>
    <row r="982" spans="2:27" ht="5.0999999999999996" customHeight="1" x14ac:dyDescent="0.2">
      <c r="B982" s="224"/>
      <c r="C982" s="973"/>
      <c r="D982" s="974"/>
      <c r="E982" s="974"/>
      <c r="F982" s="974"/>
      <c r="G982" s="974"/>
      <c r="H982" s="974"/>
      <c r="I982" s="974"/>
      <c r="J982" s="974"/>
      <c r="K982" s="974"/>
      <c r="L982" s="974"/>
      <c r="M982" s="975"/>
      <c r="N982" s="976"/>
      <c r="O982" s="25"/>
      <c r="P982" s="955"/>
      <c r="R982" s="955"/>
      <c r="S982" s="955"/>
    </row>
    <row r="983" spans="2:27" ht="15" customHeight="1" x14ac:dyDescent="0.2">
      <c r="B983" s="38"/>
      <c r="C983" s="977"/>
      <c r="D983" s="1697" t="str">
        <f>Translations!$B$709</f>
        <v>Dati, kas vajadzīgi, lai noteiktu līmeņatzīmju uzlabošanas rādītāju saskaņā ar ES ETS direktīvas 10.a panta 2. punktu.</v>
      </c>
      <c r="E983" s="1655"/>
      <c r="F983" s="1655"/>
      <c r="G983" s="1655"/>
      <c r="H983" s="1655"/>
      <c r="I983" s="1655"/>
      <c r="J983" s="1655"/>
      <c r="K983" s="1655"/>
      <c r="L983" s="1655"/>
      <c r="M983" s="1655"/>
      <c r="N983" s="1656"/>
      <c r="O983" s="25"/>
      <c r="R983" s="955"/>
      <c r="S983" s="955"/>
    </row>
    <row r="984" spans="2:27" ht="5.0999999999999996" customHeight="1" x14ac:dyDescent="0.2">
      <c r="B984" s="38"/>
      <c r="C984" s="472"/>
      <c r="D984" s="461"/>
      <c r="E984" s="461"/>
      <c r="F984" s="461"/>
      <c r="G984" s="461"/>
      <c r="H984" s="461"/>
      <c r="I984" s="461"/>
      <c r="J984" s="461"/>
      <c r="K984" s="461"/>
      <c r="L984" s="461"/>
      <c r="M984" s="461"/>
      <c r="N984" s="473"/>
      <c r="O984" s="25"/>
      <c r="R984" s="955"/>
      <c r="S984" s="955"/>
    </row>
    <row r="985" spans="2:27" ht="15" customHeight="1" x14ac:dyDescent="0.2">
      <c r="B985" s="38"/>
      <c r="C985" s="472"/>
      <c r="D985" s="1698" t="str">
        <f>EUconst_BMSubinst &amp; ":"</f>
        <v>Apakšiekārta ar produkta līmeņatzīmi:</v>
      </c>
      <c r="E985" s="1699"/>
      <c r="F985" s="1699"/>
      <c r="G985" s="1699"/>
      <c r="H985" s="1700"/>
      <c r="I985" s="1701" t="str">
        <f>I942</f>
        <v/>
      </c>
      <c r="J985" s="1457"/>
      <c r="K985" s="1457"/>
      <c r="L985" s="1457"/>
      <c r="M985" s="1457"/>
      <c r="N985" s="1702"/>
      <c r="O985" s="25"/>
      <c r="R985" s="955"/>
      <c r="S985" s="955"/>
    </row>
    <row r="986" spans="2:27" ht="5.0999999999999996" customHeight="1" x14ac:dyDescent="0.2">
      <c r="B986" s="38"/>
      <c r="C986" s="472"/>
      <c r="D986" s="461"/>
      <c r="E986" s="461"/>
      <c r="F986" s="461"/>
      <c r="G986" s="461"/>
      <c r="H986" s="461"/>
      <c r="I986" s="461"/>
      <c r="J986" s="461"/>
      <c r="K986" s="461"/>
      <c r="L986" s="461"/>
      <c r="M986" s="461"/>
      <c r="N986" s="473"/>
      <c r="O986" s="25"/>
      <c r="R986" s="955"/>
      <c r="S986" s="955"/>
    </row>
    <row r="987" spans="2:27" ht="30" customHeight="1" x14ac:dyDescent="0.2">
      <c r="B987" s="224"/>
      <c r="C987" s="977"/>
      <c r="D987" s="978"/>
      <c r="E987" s="1670" t="str">
        <f>Translations!$B$710</f>
        <v>Šī apakšsadaļa attiecas uz tādu emisiju attiecināšanu, kas saistītas ar avota plūsmām, emisiju avotiem, izmērāma siltuma un atlikumgāzu importu un eksportu, arī siltuma zudumiem saskaņā ar FAR VII pielikuma 10. iedaļu.</v>
      </c>
      <c r="F987" s="1670"/>
      <c r="G987" s="1670"/>
      <c r="H987" s="1670"/>
      <c r="I987" s="1670"/>
      <c r="J987" s="1670"/>
      <c r="K987" s="1670"/>
      <c r="L987" s="1670"/>
      <c r="M987" s="1670"/>
      <c r="N987" s="698"/>
      <c r="O987" s="25"/>
      <c r="P987" s="955"/>
    </row>
    <row r="988" spans="2:27" ht="30" customHeight="1" x14ac:dyDescent="0.2">
      <c r="B988" s="224"/>
      <c r="C988" s="977"/>
      <c r="D988" s="978"/>
      <c r="E988" s="1670" t="str">
        <f>Translations!$B$711</f>
        <v xml:space="preserve">Ņemiet vērā, ka, lai gan ir sniegti daži norādījumi par katru no nākamajiem punktiem, papildu informācija būtu jāmeklē Norādījumu dokumentā Nr. 5 (“Monitoring and Reporting in relation to the FAR” — “Ar FAR saistītais monitorings un ziņošana”), kurā ietverti arī piemēri. </v>
      </c>
      <c r="F988" s="1670"/>
      <c r="G988" s="1670"/>
      <c r="H988" s="1670"/>
      <c r="I988" s="1670"/>
      <c r="J988" s="1670"/>
      <c r="K988" s="1670"/>
      <c r="L988" s="1670"/>
      <c r="M988" s="1670"/>
      <c r="N988" s="698"/>
      <c r="O988" s="25"/>
      <c r="P988" s="955"/>
    </row>
    <row r="989" spans="2:27" ht="12.75" customHeight="1" x14ac:dyDescent="0.2">
      <c r="B989" s="224"/>
      <c r="C989" s="977"/>
      <c r="D989" s="978"/>
      <c r="E989" s="1670" t="str">
        <f>Translations!$B$712</f>
        <v xml:space="preserve">Šos norādījumus var lejupielādēt šeit: </v>
      </c>
      <c r="F989" s="1268"/>
      <c r="G989" s="1268"/>
      <c r="H989" s="1268"/>
      <c r="I989" s="1268"/>
      <c r="J989" s="1268"/>
      <c r="K989" s="1268"/>
      <c r="L989" s="1268"/>
      <c r="M989" s="1268"/>
      <c r="N989" s="698"/>
      <c r="O989" s="25"/>
      <c r="P989" s="955"/>
    </row>
    <row r="990" spans="2:27" ht="15" customHeight="1" x14ac:dyDescent="0.2">
      <c r="B990" s="224"/>
      <c r="C990" s="977"/>
      <c r="D990" s="978"/>
      <c r="E990" s="1549" t="str">
        <f>Translations!$B$713</f>
        <v>https://ec.europa.eu/clima/policies/ets/allowances_en#tab-0-1</v>
      </c>
      <c r="F990" s="1549"/>
      <c r="G990" s="1549"/>
      <c r="H990" s="1549"/>
      <c r="I990" s="1549"/>
      <c r="J990" s="1549"/>
      <c r="K990" s="1549"/>
      <c r="L990" s="1549"/>
      <c r="M990" s="1549"/>
      <c r="N990" s="698"/>
      <c r="O990" s="25"/>
      <c r="P990" s="955"/>
    </row>
    <row r="991" spans="2:27" ht="5.0999999999999996" customHeight="1" x14ac:dyDescent="0.2">
      <c r="B991" s="38"/>
      <c r="C991" s="472"/>
      <c r="D991" s="461"/>
      <c r="E991" s="461"/>
      <c r="F991" s="461"/>
      <c r="G991" s="461"/>
      <c r="H991" s="461"/>
      <c r="I991" s="461"/>
      <c r="J991" s="461"/>
      <c r="K991" s="461"/>
      <c r="L991" s="461"/>
      <c r="M991" s="461"/>
      <c r="N991" s="473"/>
      <c r="O991" s="25"/>
      <c r="R991" s="955"/>
      <c r="S991" s="955"/>
    </row>
    <row r="992" spans="2:27" ht="15" customHeight="1" x14ac:dyDescent="0.2">
      <c r="B992" s="224"/>
      <c r="C992" s="977"/>
      <c r="D992" s="978"/>
      <c r="E992" s="1693" t="str">
        <f>Translations!$B$714</f>
        <v>Balstoties uz tālāk izdarītajiem ierakstiem, attiecināmās emisijas tiek aprēķinātas kopsavilkuma lapas K III sadaļas 2. punktā.</v>
      </c>
      <c r="F992" s="1693"/>
      <c r="G992" s="1693"/>
      <c r="H992" s="1693"/>
      <c r="I992" s="1693"/>
      <c r="J992" s="1693"/>
      <c r="K992" s="1693"/>
      <c r="L992" s="1693"/>
      <c r="M992" s="1693"/>
      <c r="N992" s="698"/>
      <c r="O992" s="25"/>
      <c r="P992" s="955"/>
    </row>
    <row r="993" spans="2:27" ht="5.0999999999999996" customHeight="1" x14ac:dyDescent="0.2">
      <c r="B993" s="38"/>
      <c r="C993" s="472"/>
      <c r="D993" s="461"/>
      <c r="E993" s="461"/>
      <c r="F993" s="461"/>
      <c r="G993" s="461"/>
      <c r="H993" s="461"/>
      <c r="I993" s="461"/>
      <c r="J993" s="461"/>
      <c r="K993" s="461"/>
      <c r="L993" s="461"/>
      <c r="M993" s="461"/>
      <c r="N993" s="473"/>
      <c r="O993" s="25"/>
      <c r="R993" s="955"/>
      <c r="S993" s="955"/>
    </row>
    <row r="994" spans="2:27" ht="12.75" customHeight="1" thickBot="1" x14ac:dyDescent="0.25">
      <c r="B994" s="224"/>
      <c r="C994" s="977"/>
      <c r="D994" s="474" t="s">
        <v>81</v>
      </c>
      <c r="E994" s="1654" t="str">
        <f>Translations!$B$715</f>
        <v>Uz šo apakšiekārtu tieši attiecināmas emisijas (DirEm* (MP avota plūsmas))</v>
      </c>
      <c r="F994" s="1655"/>
      <c r="G994" s="1655"/>
      <c r="H994" s="1655"/>
      <c r="I994" s="1655"/>
      <c r="J994" s="1655"/>
      <c r="K994" s="1655"/>
      <c r="L994" s="1655"/>
      <c r="M994" s="1655"/>
      <c r="N994" s="1656"/>
      <c r="O994" s="25"/>
      <c r="P994" s="955"/>
      <c r="R994" s="955"/>
      <c r="S994" s="955"/>
    </row>
    <row r="995" spans="2:27" ht="12.75" customHeight="1" x14ac:dyDescent="0.2">
      <c r="B995" s="224"/>
      <c r="C995" s="977"/>
      <c r="D995" s="474"/>
      <c r="E995" s="1653" t="str">
        <f>Translations!$B$725</f>
        <v>Tieši attiecināmās emisijas (DirEm*)</v>
      </c>
      <c r="F995" s="1657"/>
      <c r="G995" s="1657"/>
      <c r="H995" s="462" t="str">
        <f>EUconst_Unit</f>
        <v>Vienība</v>
      </c>
      <c r="I995" s="463">
        <f>I$1820</f>
        <v>2019</v>
      </c>
      <c r="J995" s="463">
        <f>J$1820</f>
        <v>2020</v>
      </c>
      <c r="K995" s="463">
        <f>K$1820</f>
        <v>2021</v>
      </c>
      <c r="L995" s="463">
        <f>L$1820</f>
        <v>2022</v>
      </c>
      <c r="M995" s="463">
        <f>M$1820</f>
        <v>2023</v>
      </c>
      <c r="N995" s="661"/>
      <c r="O995" s="25"/>
      <c r="P995" s="955"/>
      <c r="R995" s="970"/>
      <c r="S995" s="809">
        <f>I995</f>
        <v>2019</v>
      </c>
      <c r="T995" s="809">
        <f>J995</f>
        <v>2020</v>
      </c>
      <c r="U995" s="809">
        <f>K995</f>
        <v>2021</v>
      </c>
      <c r="V995" s="809">
        <f>L995</f>
        <v>2022</v>
      </c>
      <c r="W995" s="810">
        <f>M995</f>
        <v>2023</v>
      </c>
    </row>
    <row r="996" spans="2:27" ht="12.75" customHeight="1" thickBot="1" x14ac:dyDescent="0.25">
      <c r="B996" s="224"/>
      <c r="C996" s="977"/>
      <c r="D996" s="978"/>
      <c r="E996" s="1689" t="str">
        <f>I942</f>
        <v/>
      </c>
      <c r="F996" s="1689"/>
      <c r="G996" s="1689"/>
      <c r="H996" s="464" t="str">
        <f>EUconst_tCO2epa</f>
        <v>t CO2e/gads</v>
      </c>
      <c r="I996" s="330"/>
      <c r="J996" s="330"/>
      <c r="K996" s="330"/>
      <c r="L996" s="330"/>
      <c r="M996" s="330"/>
      <c r="N996" s="661"/>
      <c r="O996" s="25"/>
      <c r="P996" s="979" t="str">
        <f>EUconst_CNTR_Emissions &amp; I942</f>
        <v>DirEmissions_</v>
      </c>
      <c r="R996" s="971" t="str">
        <f>EUconst_CNTR_AttributedEmissions &amp; I942</f>
        <v>AttrEmissions_</v>
      </c>
      <c r="S996" s="137" t="str">
        <f>IF(S942,SUM(I996),"")</f>
        <v/>
      </c>
      <c r="T996" s="137" t="str">
        <f>IF(T942,SUM(J996),"")</f>
        <v/>
      </c>
      <c r="U996" s="137" t="str">
        <f>IF(U942,SUM(K996),"")</f>
        <v/>
      </c>
      <c r="V996" s="137" t="str">
        <f>IF(V942,SUM(L996),"")</f>
        <v/>
      </c>
      <c r="W996" s="138" t="str">
        <f>IF(W942,SUM(M996),"")</f>
        <v/>
      </c>
    </row>
    <row r="997" spans="2:27" ht="12.75" customHeight="1" x14ac:dyDescent="0.2">
      <c r="B997" s="224"/>
      <c r="C997" s="977"/>
      <c r="D997" s="978"/>
      <c r="E997" s="978"/>
      <c r="F997" s="978"/>
      <c r="G997" s="978"/>
      <c r="H997" s="978"/>
      <c r="I997" s="978"/>
      <c r="J997" s="978"/>
      <c r="K997" s="978"/>
      <c r="L997" s="978"/>
      <c r="M997" s="980"/>
      <c r="N997" s="661"/>
      <c r="O997" s="25"/>
      <c r="P997" s="955"/>
      <c r="R997" s="955"/>
    </row>
    <row r="998" spans="2:27" ht="12.75" customHeight="1" x14ac:dyDescent="0.2">
      <c r="B998" s="224"/>
      <c r="C998" s="977"/>
      <c r="D998" s="474" t="s">
        <v>82</v>
      </c>
      <c r="E998" s="1663" t="str">
        <f>Translations!$B$1670</f>
        <v>Enerģijas ielaide šajā apakšiekārtā un relevantais emisijas faktors</v>
      </c>
      <c r="F998" s="1663"/>
      <c r="G998" s="1663"/>
      <c r="H998" s="1663"/>
      <c r="I998" s="1663"/>
      <c r="J998" s="1663"/>
      <c r="K998" s="1663"/>
      <c r="L998" s="1663"/>
      <c r="M998" s="1663"/>
      <c r="N998" s="1690"/>
      <c r="O998" s="25"/>
      <c r="P998" s="955"/>
      <c r="Q998" s="955"/>
      <c r="R998" s="955"/>
    </row>
    <row r="999" spans="2:27" ht="12.75" customHeight="1" x14ac:dyDescent="0.2">
      <c r="B999" s="224"/>
      <c r="C999" s="977"/>
      <c r="D999" s="474"/>
      <c r="E999" s="1653"/>
      <c r="F999" s="1657"/>
      <c r="G999" s="1657"/>
      <c r="H999" s="462" t="str">
        <f>EUconst_Unit</f>
        <v>Vienība</v>
      </c>
      <c r="I999" s="463">
        <f>I$1820</f>
        <v>2019</v>
      </c>
      <c r="J999" s="463">
        <f>J$1820</f>
        <v>2020</v>
      </c>
      <c r="K999" s="463">
        <f>K$1820</f>
        <v>2021</v>
      </c>
      <c r="L999" s="463">
        <f>L$1820</f>
        <v>2022</v>
      </c>
      <c r="M999" s="463">
        <f>M$1820</f>
        <v>2023</v>
      </c>
      <c r="N999" s="661"/>
      <c r="O999" s="25"/>
      <c r="P999" s="955"/>
      <c r="R999" s="955"/>
    </row>
    <row r="1000" spans="2:27" ht="12.75" customHeight="1" x14ac:dyDescent="0.2">
      <c r="B1000" s="224"/>
      <c r="C1000" s="977"/>
      <c r="D1000" s="695" t="s">
        <v>2</v>
      </c>
      <c r="E1000" s="1651" t="str">
        <f>Translations!$B$1672</f>
        <v>Enerģijas ielaide</v>
      </c>
      <c r="F1000" s="1652"/>
      <c r="G1000" s="1652"/>
      <c r="H1000" s="465" t="str">
        <f>EUconst_TJpa</f>
        <v>TJ / gads</v>
      </c>
      <c r="I1000" s="330"/>
      <c r="J1000" s="330"/>
      <c r="K1000" s="330"/>
      <c r="L1000" s="330"/>
      <c r="M1000" s="330"/>
      <c r="N1000" s="698"/>
      <c r="O1000" s="25"/>
      <c r="P1000" s="979" t="str">
        <f>EUconst_CNTR_FuelInput &amp; I942</f>
        <v>FuelInput_</v>
      </c>
      <c r="R1000" s="955"/>
    </row>
    <row r="1001" spans="2:27" ht="12.75" customHeight="1" x14ac:dyDescent="0.2">
      <c r="B1001" s="224"/>
      <c r="C1001" s="977"/>
      <c r="D1001" s="695" t="s">
        <v>3</v>
      </c>
      <c r="E1001" s="1709" t="str">
        <f>Translations!$B$732</f>
        <v>Svērtais emisijas faktors</v>
      </c>
      <c r="F1001" s="1710"/>
      <c r="G1001" s="1710"/>
      <c r="H1001" s="577" t="str">
        <f>EUconst_tCO2pTJ</f>
        <v>t CO2 / TJ</v>
      </c>
      <c r="I1001" s="338"/>
      <c r="J1001" s="338"/>
      <c r="K1001" s="338"/>
      <c r="L1001" s="338"/>
      <c r="M1001" s="338"/>
      <c r="N1001" s="661"/>
      <c r="O1001" s="25"/>
      <c r="P1001" s="979" t="str">
        <f>EUconst_CNTR_FuelEF &amp; I942</f>
        <v>FuelEF_</v>
      </c>
      <c r="R1001" s="955"/>
    </row>
    <row r="1002" spans="2:27" ht="12.75" customHeight="1" x14ac:dyDescent="0.2">
      <c r="B1002" s="224"/>
      <c r="C1002" s="977"/>
      <c r="D1002" s="978"/>
      <c r="E1002" s="978"/>
      <c r="F1002" s="978"/>
      <c r="G1002" s="978"/>
      <c r="H1002" s="978"/>
      <c r="I1002" s="978"/>
      <c r="J1002" s="978"/>
      <c r="K1002" s="978"/>
      <c r="L1002" s="978"/>
      <c r="M1002" s="980"/>
      <c r="N1002" s="661"/>
      <c r="O1002" s="25"/>
      <c r="P1002" s="955"/>
      <c r="R1002" s="955"/>
    </row>
    <row r="1003" spans="2:27" ht="12.75" customHeight="1" thickBot="1" x14ac:dyDescent="0.25">
      <c r="B1003" s="224"/>
      <c r="C1003" s="977"/>
      <c r="D1003" s="474" t="s">
        <v>83</v>
      </c>
      <c r="E1003" s="1663" t="str">
        <f>Translations!$B$733</f>
        <v>Citas iekšējās avota plūsmas, kas importētas uz šo apakšiekārtu vai eksportētas no tās</v>
      </c>
      <c r="F1003" s="1663"/>
      <c r="G1003" s="1663"/>
      <c r="H1003" s="1663"/>
      <c r="I1003" s="1663"/>
      <c r="J1003" s="1663"/>
      <c r="K1003" s="1663"/>
      <c r="L1003" s="1663"/>
      <c r="M1003" s="1663"/>
      <c r="N1003" s="1690"/>
      <c r="O1003" s="25"/>
      <c r="P1003" s="955"/>
      <c r="Q1003" s="955"/>
      <c r="R1003" s="955"/>
    </row>
    <row r="1004" spans="2:27" ht="12.75" customHeight="1" thickBot="1" x14ac:dyDescent="0.25">
      <c r="B1004" s="224"/>
      <c r="C1004" s="977"/>
      <c r="D1004" s="695" t="s">
        <v>2</v>
      </c>
      <c r="E1004" s="1732" t="str">
        <f>Translations!$B$739</f>
        <v>Vai šai apakšiekārtai ir relevantas vēl citas importētas vai eksportētas iekšējās avota plūsmas?</v>
      </c>
      <c r="F1004" s="1732"/>
      <c r="G1004" s="1732"/>
      <c r="H1004" s="1732"/>
      <c r="I1004" s="1732"/>
      <c r="J1004" s="1732"/>
      <c r="K1004" s="1733"/>
      <c r="L1004" s="527"/>
      <c r="M1004" s="1202"/>
      <c r="N1004" s="1203"/>
      <c r="O1004" s="25"/>
      <c r="P1004" s="955"/>
      <c r="R1004" s="955"/>
      <c r="W1004" s="966" t="s">
        <v>398</v>
      </c>
      <c r="X1004" s="964" t="b">
        <f>IF(AND(I942&lt;&gt;"",ISBLANK(L1004)),EUconst_Error&amp;"BM"&amp;C942,FALSE)</f>
        <v>0</v>
      </c>
    </row>
    <row r="1005" spans="2:27" ht="5.0999999999999996" customHeight="1" thickBot="1" x14ac:dyDescent="0.25">
      <c r="B1005" s="224"/>
      <c r="C1005" s="977"/>
      <c r="D1005" s="978"/>
      <c r="E1005" s="978"/>
      <c r="F1005" s="978"/>
      <c r="G1005" s="978"/>
      <c r="H1005" s="978"/>
      <c r="I1005" s="978"/>
      <c r="J1005" s="978"/>
      <c r="K1005" s="978"/>
      <c r="L1005" s="978"/>
      <c r="M1005" s="980"/>
      <c r="N1005" s="661"/>
      <c r="O1005" s="25"/>
      <c r="P1005" s="955"/>
      <c r="R1005" s="955"/>
    </row>
    <row r="1006" spans="2:27" ht="12.75" customHeight="1" x14ac:dyDescent="0.2">
      <c r="B1006" s="224"/>
      <c r="C1006" s="977"/>
      <c r="D1006" s="695" t="s">
        <v>3</v>
      </c>
      <c r="E1006" s="1663" t="str">
        <f>Translations!$B$741</f>
        <v>Citu avota plūsmu nosaukums, 1:</v>
      </c>
      <c r="F1006" s="1663"/>
      <c r="G1006" s="1663"/>
      <c r="H1006" s="1663"/>
      <c r="I1006" s="1664"/>
      <c r="J1006" s="1665"/>
      <c r="K1006" s="1665"/>
      <c r="L1006" s="1665"/>
      <c r="M1006" s="1666"/>
      <c r="N1006" s="660"/>
      <c r="O1006" s="25"/>
      <c r="P1006" s="955"/>
      <c r="R1006" s="955"/>
      <c r="AA1006" s="643" t="b">
        <f>IF(I942&lt;&gt;"",AND(L1004&lt;&gt;"",L1004=FALSE),FALSE)</f>
        <v>0</v>
      </c>
    </row>
    <row r="1007" spans="2:27" ht="5.0999999999999996" customHeight="1" x14ac:dyDescent="0.2">
      <c r="B1007" s="224"/>
      <c r="C1007" s="977"/>
      <c r="D1007" s="978"/>
      <c r="E1007" s="1204"/>
      <c r="F1007" s="1202"/>
      <c r="G1007" s="1202"/>
      <c r="H1007" s="1202"/>
      <c r="I1007" s="1202"/>
      <c r="J1007" s="1202"/>
      <c r="K1007" s="1202"/>
      <c r="L1007" s="1202"/>
      <c r="M1007" s="1202"/>
      <c r="N1007" s="1203"/>
      <c r="O1007" s="25"/>
      <c r="P1007" s="955"/>
      <c r="R1007" s="955"/>
      <c r="AA1007" s="607"/>
    </row>
    <row r="1008" spans="2:27" ht="12.75" customHeight="1" x14ac:dyDescent="0.2">
      <c r="B1008" s="224"/>
      <c r="C1008" s="977"/>
      <c r="D1008" s="978"/>
      <c r="E1008" s="1653" t="str">
        <f>Translations!$B$742</f>
        <v>Citas avota plūsmas, 1:</v>
      </c>
      <c r="F1008" s="1657"/>
      <c r="G1008" s="1657"/>
      <c r="H1008" s="462" t="str">
        <f>EUconst_Unit</f>
        <v>Vienība</v>
      </c>
      <c r="I1008" s="463">
        <f>I$1820</f>
        <v>2019</v>
      </c>
      <c r="J1008" s="463">
        <f>J$1820</f>
        <v>2020</v>
      </c>
      <c r="K1008" s="463">
        <f>K$1820</f>
        <v>2021</v>
      </c>
      <c r="L1008" s="463">
        <f>L$1820</f>
        <v>2022</v>
      </c>
      <c r="M1008" s="463">
        <f>M$1820</f>
        <v>2023</v>
      </c>
      <c r="N1008" s="661"/>
      <c r="O1008" s="25"/>
      <c r="P1008" s="955"/>
      <c r="R1008" s="955"/>
      <c r="AA1008" s="607"/>
    </row>
    <row r="1009" spans="2:27" ht="12.75" customHeight="1" x14ac:dyDescent="0.2">
      <c r="B1009" s="224"/>
      <c r="C1009" s="977"/>
      <c r="D1009" s="695" t="s">
        <v>4</v>
      </c>
      <c r="E1009" s="1667" t="str">
        <f>Translations!$B$743</f>
        <v>Importētais vai eksportētais daudzums</v>
      </c>
      <c r="F1009" s="1660"/>
      <c r="G1009" s="1660"/>
      <c r="H1009" s="466" t="str">
        <f>EUconst_tpa</f>
        <v>t / gads</v>
      </c>
      <c r="I1009" s="348"/>
      <c r="J1009" s="348"/>
      <c r="K1009" s="348"/>
      <c r="L1009" s="348"/>
      <c r="M1009" s="348"/>
      <c r="N1009" s="661"/>
      <c r="O1009" s="25"/>
      <c r="P1009" s="955"/>
      <c r="R1009" s="955"/>
      <c r="AA1009" s="361" t="b">
        <f>AA1006</f>
        <v>0</v>
      </c>
    </row>
    <row r="1010" spans="2:27" ht="12.75" customHeight="1" x14ac:dyDescent="0.2">
      <c r="B1010" s="224"/>
      <c r="C1010" s="977"/>
      <c r="D1010" s="695" t="s">
        <v>6</v>
      </c>
      <c r="E1010" s="1658" t="str">
        <f>Translations!$B$744</f>
        <v>Zemākā siltumspēja (attiecīgā gadījumā)</v>
      </c>
      <c r="F1010" s="1658"/>
      <c r="G1010" s="1658"/>
      <c r="H1010" s="551" t="str">
        <f>EUconst_GJpt</f>
        <v>GJ / t</v>
      </c>
      <c r="I1010" s="347"/>
      <c r="J1010" s="347"/>
      <c r="K1010" s="347"/>
      <c r="L1010" s="347"/>
      <c r="M1010" s="347"/>
      <c r="N1010" s="661"/>
      <c r="O1010" s="25"/>
      <c r="P1010" s="955"/>
      <c r="R1010" s="955"/>
      <c r="AA1010" s="361" t="b">
        <f>AA1009</f>
        <v>0</v>
      </c>
    </row>
    <row r="1011" spans="2:27" ht="12.75" customHeight="1" thickBot="1" x14ac:dyDescent="0.25">
      <c r="B1011" s="224"/>
      <c r="C1011" s="977"/>
      <c r="D1011" s="695" t="s">
        <v>303</v>
      </c>
      <c r="E1011" s="1658" t="str">
        <f>Translations!$B$745</f>
        <v>Oglekļa saturs (masas %)</v>
      </c>
      <c r="F1011" s="1658"/>
      <c r="G1011" s="1658"/>
      <c r="H1011" s="552" t="s">
        <v>341</v>
      </c>
      <c r="I1011" s="347"/>
      <c r="J1011" s="347"/>
      <c r="K1011" s="347"/>
      <c r="L1011" s="347"/>
      <c r="M1011" s="347"/>
      <c r="N1011" s="661"/>
      <c r="O1011" s="25"/>
      <c r="P1011" s="955"/>
      <c r="R1011" s="955"/>
      <c r="AA1011" s="361" t="b">
        <f>AA1010</f>
        <v>0</v>
      </c>
    </row>
    <row r="1012" spans="2:27" ht="12.75" customHeight="1" x14ac:dyDescent="0.2">
      <c r="B1012" s="224"/>
      <c r="C1012" s="977"/>
      <c r="D1012" s="695" t="s">
        <v>304</v>
      </c>
      <c r="E1012" s="1659" t="str">
        <f>Translations!$B$746</f>
        <v>Biomasas saturs (kā oglekļa frakcija)</v>
      </c>
      <c r="F1012" s="1659"/>
      <c r="G1012" s="1659"/>
      <c r="H1012" s="485" t="s">
        <v>341</v>
      </c>
      <c r="I1012" s="345"/>
      <c r="J1012" s="345"/>
      <c r="K1012" s="345"/>
      <c r="L1012" s="345"/>
      <c r="M1012" s="345"/>
      <c r="N1012" s="661"/>
      <c r="O1012" s="25"/>
      <c r="P1012" s="955"/>
      <c r="R1012" s="970"/>
      <c r="S1012" s="809">
        <f>I1008</f>
        <v>2019</v>
      </c>
      <c r="T1012" s="809">
        <f>J1008</f>
        <v>2020</v>
      </c>
      <c r="U1012" s="809">
        <f>K1008</f>
        <v>2021</v>
      </c>
      <c r="V1012" s="809">
        <f>L1008</f>
        <v>2022</v>
      </c>
      <c r="W1012" s="810">
        <f>M1008</f>
        <v>2023</v>
      </c>
      <c r="AA1012" s="361" t="b">
        <f>AA1011</f>
        <v>0</v>
      </c>
    </row>
    <row r="1013" spans="2:27" ht="12.75" customHeight="1" thickBot="1" x14ac:dyDescent="0.25">
      <c r="B1013" s="224"/>
      <c r="C1013" s="977"/>
      <c r="D1013" s="695" t="s">
        <v>305</v>
      </c>
      <c r="E1013" s="1660" t="str">
        <f>Translations!$B$747</f>
        <v>Emisijas (no fosilajiem avotiem, aprēķinātās)</v>
      </c>
      <c r="F1013" s="1660"/>
      <c r="G1013" s="1660"/>
      <c r="H1013" s="553" t="str">
        <f>EUconst_tCO2pa</f>
        <v>t CO2 / gads</v>
      </c>
      <c r="I1013" s="341" t="str">
        <f>IF(AND(COUNT(I1009:I1012)&gt;0,I1016=""),3.664*I1009*(I1011/100)*(1-I1012/100),"")</f>
        <v/>
      </c>
      <c r="J1013" s="341" t="str">
        <f>IF(AND(COUNT(J1009:J1012)&gt;0,J1016=""),3.664*J1009*(J1011/100)*(1-J1012/100),"")</f>
        <v/>
      </c>
      <c r="K1013" s="341" t="str">
        <f>IF(AND(COUNT(K1009:K1012)&gt;0,K1016=""),3.664*K1009*(K1011/100)*(1-K1012/100),"")</f>
        <v/>
      </c>
      <c r="L1013" s="341" t="str">
        <f>IF(AND(COUNT(L1009:L1012)&gt;0,L1016=""),3.664*L1009*(L1011/100)*(1-L1012/100),"")</f>
        <v/>
      </c>
      <c r="M1013" s="341" t="str">
        <f>IF(AND(COUNT(M1009:M1012)&gt;0,M1016=""),3.664*M1009*(M1011/100)*(1-M1012/100),"")</f>
        <v/>
      </c>
      <c r="N1013" s="661"/>
      <c r="O1013" s="25"/>
      <c r="P1013" s="979" t="str">
        <f>EUconst_CNTR_EmissionsIntSource1 &amp; I942</f>
        <v>EmInternalSource1_</v>
      </c>
      <c r="R1013" s="971" t="str">
        <f>EUconst_CNTR_AttributedEmissions &amp; I942</f>
        <v>AttrEmissions_</v>
      </c>
      <c r="S1013" s="137" t="str">
        <f>IF(S942,SUM(I1013),"")</f>
        <v/>
      </c>
      <c r="T1013" s="137" t="str">
        <f>IF(T942,SUM(J1013),"")</f>
        <v/>
      </c>
      <c r="U1013" s="137" t="str">
        <f>IF(U942,SUM(K1013),"")</f>
        <v/>
      </c>
      <c r="V1013" s="137" t="str">
        <f>IF(V942,SUM(L1013),"")</f>
        <v/>
      </c>
      <c r="W1013" s="138" t="str">
        <f>IF(W942,SUM(M1013),"")</f>
        <v/>
      </c>
      <c r="AA1013" s="607"/>
    </row>
    <row r="1014" spans="2:27" ht="12.75" customHeight="1" x14ac:dyDescent="0.2">
      <c r="B1014" s="224"/>
      <c r="C1014" s="977"/>
      <c r="D1014" s="695" t="s">
        <v>306</v>
      </c>
      <c r="E1014" s="1661" t="str">
        <f>Translations!$B$1617</f>
        <v>Nulles faktora biomasas emisijas</v>
      </c>
      <c r="F1014" s="1661"/>
      <c r="G1014" s="1661"/>
      <c r="H1014" s="554" t="str">
        <f>EUconst_tCO2pa</f>
        <v>t CO2 / gads</v>
      </c>
      <c r="I1014" s="340" t="str">
        <f>IF(ISNUMBER(I1013),3.664*I1009*(I1011/100)*(I1012/100),"")</f>
        <v/>
      </c>
      <c r="J1014" s="340" t="str">
        <f>IF(ISNUMBER(J1013),3.664*J1009*(J1011/100)*(J1012/100),"")</f>
        <v/>
      </c>
      <c r="K1014" s="340" t="str">
        <f>IF(ISNUMBER(K1013),3.664*K1009*(K1011/100)*(K1012/100),"")</f>
        <v/>
      </c>
      <c r="L1014" s="340" t="str">
        <f>IF(ISNUMBER(L1013),3.664*L1009*(L1011/100)*(L1012/100),"")</f>
        <v/>
      </c>
      <c r="M1014" s="340" t="str">
        <f>IF(ISNUMBER(M1013),3.664*M1009*(M1011/100)*(M1012/100),"")</f>
        <v/>
      </c>
      <c r="N1014" s="661"/>
      <c r="O1014" s="25"/>
      <c r="P1014" s="955"/>
      <c r="R1014" s="955"/>
      <c r="AA1014" s="607"/>
    </row>
    <row r="1015" spans="2:27" ht="12.75" customHeight="1" x14ac:dyDescent="0.2">
      <c r="B1015" s="224"/>
      <c r="C1015" s="977"/>
      <c r="D1015" s="695" t="s">
        <v>307</v>
      </c>
      <c r="E1015" s="1659" t="str">
        <f>Translations!$B$749</f>
        <v>Enerģētiskais saturs (aprēķinātais)</v>
      </c>
      <c r="F1015" s="1659"/>
      <c r="G1015" s="1659"/>
      <c r="H1015" s="555" t="str">
        <f>EUconst_TJpa</f>
        <v>TJ / gads</v>
      </c>
      <c r="I1015" s="343" t="str">
        <f>IF(COUNT(I1009:I1010)=2,I1009*I1010/1000,"")</f>
        <v/>
      </c>
      <c r="J1015" s="343" t="str">
        <f>IF(COUNT(J1009:J1010)=2,J1009*J1010/1000,"")</f>
        <v/>
      </c>
      <c r="K1015" s="343" t="str">
        <f>IF(COUNT(K1009:K1010)=2,K1009*K1010/1000,"")</f>
        <v/>
      </c>
      <c r="L1015" s="343" t="str">
        <f>IF(COUNT(L1009:L1010)=2,L1009*L1010/1000,"")</f>
        <v/>
      </c>
      <c r="M1015" s="343" t="str">
        <f>IF(COUNT(M1009:M1010)=2,M1009*M1010/1000,"")</f>
        <v/>
      </c>
      <c r="N1015" s="661"/>
      <c r="O1015" s="25"/>
      <c r="P1015" s="955"/>
      <c r="R1015" s="955"/>
      <c r="AA1015" s="607"/>
    </row>
    <row r="1016" spans="2:27" ht="12.75" customHeight="1" x14ac:dyDescent="0.2">
      <c r="B1016" s="224"/>
      <c r="C1016" s="977"/>
      <c r="D1016" s="695" t="s">
        <v>15</v>
      </c>
      <c r="E1016" s="1662" t="str">
        <f>Translations!$B$750</f>
        <v>Kļūdas ziņojumi (emisijas)</v>
      </c>
      <c r="F1016" s="1662"/>
      <c r="G1016" s="1662"/>
      <c r="H1016" s="556"/>
      <c r="I1016" s="662" t="str">
        <f>IF(COUNT(I1009,I1011:I1012)&gt;0,IF(COUNTIF(I1010:I1012,"&lt;0")&gt;0,EUconst_Negative,IF(COUNT(I1009,I1011:I1012)&lt;3,EUconst_Incomplete,"")),"")</f>
        <v/>
      </c>
      <c r="J1016" s="662" t="str">
        <f>IF(COUNT(J1009,J1011:J1012)&gt;0,IF(COUNTIF(J1010:J1012,"&lt;0")&gt;0,EUconst_Negative,IF(COUNT(J1009,J1011:J1012)&lt;3,EUconst_Incomplete,"")),"")</f>
        <v/>
      </c>
      <c r="K1016" s="662" t="str">
        <f>IF(COUNT(K1009,K1011:K1012)&gt;0,IF(COUNTIF(K1010:K1012,"&lt;0")&gt;0,EUconst_Negative,IF(COUNT(K1009,K1011:K1012)&lt;3,EUconst_Incomplete,"")),"")</f>
        <v/>
      </c>
      <c r="L1016" s="662" t="str">
        <f>IF(COUNT(L1009,L1011:L1012)&gt;0,IF(COUNTIF(L1010:L1012,"&lt;0")&gt;0,EUconst_Negative,IF(COUNT(L1009,L1011:L1012)&lt;3,EUconst_Incomplete,"")),"")</f>
        <v/>
      </c>
      <c r="M1016" s="662" t="str">
        <f>IF(COUNT(M1009,M1011:M1012)&gt;0,IF(COUNTIF(M1010:M1012,"&lt;0")&gt;0,EUconst_Negative,IF(COUNT(M1009,M1011:M1012)&lt;3,EUconst_Incomplete,"")),"")</f>
        <v/>
      </c>
      <c r="N1016" s="661"/>
      <c r="O1016" s="25"/>
      <c r="P1016" s="955"/>
      <c r="R1016" s="955"/>
      <c r="AA1016" s="607"/>
    </row>
    <row r="1017" spans="2:27" ht="5.0999999999999996" customHeight="1" x14ac:dyDescent="0.2">
      <c r="B1017" s="224"/>
      <c r="C1017" s="977"/>
      <c r="D1017" s="695"/>
      <c r="E1017" s="978"/>
      <c r="F1017" s="978"/>
      <c r="G1017" s="978"/>
      <c r="H1017" s="978"/>
      <c r="I1017" s="978"/>
      <c r="J1017" s="978"/>
      <c r="K1017" s="978"/>
      <c r="L1017" s="978"/>
      <c r="M1017" s="980"/>
      <c r="N1017" s="661"/>
      <c r="O1017" s="25"/>
      <c r="P1017" s="955"/>
      <c r="R1017" s="955"/>
      <c r="AA1017" s="607"/>
    </row>
    <row r="1018" spans="2:27" ht="12.75" customHeight="1" x14ac:dyDescent="0.2">
      <c r="B1018" s="224"/>
      <c r="C1018" s="977"/>
      <c r="D1018" s="695" t="s">
        <v>16</v>
      </c>
      <c r="E1018" s="1663" t="str">
        <f>Translations!$B$751</f>
        <v>Citu avota plūsmu nosaukums, 2:</v>
      </c>
      <c r="F1018" s="1663"/>
      <c r="G1018" s="1663"/>
      <c r="H1018" s="1663"/>
      <c r="I1018" s="1664"/>
      <c r="J1018" s="1665"/>
      <c r="K1018" s="1665"/>
      <c r="L1018" s="1665"/>
      <c r="M1018" s="1666"/>
      <c r="N1018" s="1203"/>
      <c r="O1018" s="25"/>
      <c r="P1018" s="955"/>
      <c r="R1018" s="955"/>
      <c r="AA1018" s="361" t="b">
        <f>AA1006</f>
        <v>0</v>
      </c>
    </row>
    <row r="1019" spans="2:27" ht="5.0999999999999996" customHeight="1" x14ac:dyDescent="0.2">
      <c r="B1019" s="224"/>
      <c r="C1019" s="977"/>
      <c r="D1019" s="978"/>
      <c r="E1019" s="1204"/>
      <c r="F1019" s="1202"/>
      <c r="G1019" s="1202"/>
      <c r="H1019" s="1202"/>
      <c r="I1019" s="1202"/>
      <c r="J1019" s="1202"/>
      <c r="K1019" s="1202"/>
      <c r="L1019" s="1202"/>
      <c r="M1019" s="1202"/>
      <c r="N1019" s="1203"/>
      <c r="O1019" s="25"/>
      <c r="P1019" s="955"/>
      <c r="R1019" s="955"/>
      <c r="AA1019" s="607"/>
    </row>
    <row r="1020" spans="2:27" ht="12.75" customHeight="1" x14ac:dyDescent="0.2">
      <c r="B1020" s="224"/>
      <c r="C1020" s="977"/>
      <c r="D1020" s="695"/>
      <c r="E1020" s="1653" t="str">
        <f>Translations!$B$752</f>
        <v>Citas avota plūsmas, 2:</v>
      </c>
      <c r="F1020" s="1657"/>
      <c r="G1020" s="1657"/>
      <c r="H1020" s="462" t="str">
        <f>EUconst_Unit</f>
        <v>Vienība</v>
      </c>
      <c r="I1020" s="463">
        <f>I$1820</f>
        <v>2019</v>
      </c>
      <c r="J1020" s="463">
        <f>J$1820</f>
        <v>2020</v>
      </c>
      <c r="K1020" s="463">
        <f>K$1820</f>
        <v>2021</v>
      </c>
      <c r="L1020" s="463">
        <f>L$1820</f>
        <v>2022</v>
      </c>
      <c r="M1020" s="463">
        <f>M$1820</f>
        <v>2023</v>
      </c>
      <c r="N1020" s="661"/>
      <c r="O1020" s="25"/>
      <c r="P1020" s="955"/>
      <c r="R1020" s="955"/>
      <c r="AA1020" s="607"/>
    </row>
    <row r="1021" spans="2:27" ht="12.75" customHeight="1" x14ac:dyDescent="0.2">
      <c r="B1021" s="224"/>
      <c r="C1021" s="977"/>
      <c r="D1021" s="695" t="s">
        <v>17</v>
      </c>
      <c r="E1021" s="1667" t="str">
        <f>Translations!$B$743</f>
        <v>Importētais vai eksportētais daudzums</v>
      </c>
      <c r="F1021" s="1660"/>
      <c r="G1021" s="1660"/>
      <c r="H1021" s="466" t="str">
        <f>EUconst_tpa</f>
        <v>t / gads</v>
      </c>
      <c r="I1021" s="348"/>
      <c r="J1021" s="348"/>
      <c r="K1021" s="348"/>
      <c r="L1021" s="348"/>
      <c r="M1021" s="348"/>
      <c r="N1021" s="661"/>
      <c r="O1021" s="25"/>
      <c r="P1021" s="955"/>
      <c r="R1021" s="955"/>
      <c r="AA1021" s="361" t="b">
        <f>AA1018</f>
        <v>0</v>
      </c>
    </row>
    <row r="1022" spans="2:27" ht="12.75" customHeight="1" x14ac:dyDescent="0.2">
      <c r="B1022" s="224"/>
      <c r="C1022" s="977"/>
      <c r="D1022" s="695" t="s">
        <v>438</v>
      </c>
      <c r="E1022" s="1658" t="str">
        <f>Translations!$B$744</f>
        <v>Zemākā siltumspēja (attiecīgā gadījumā)</v>
      </c>
      <c r="F1022" s="1658"/>
      <c r="G1022" s="1658"/>
      <c r="H1022" s="551" t="str">
        <f>EUconst_GJpt</f>
        <v>GJ / t</v>
      </c>
      <c r="I1022" s="347"/>
      <c r="J1022" s="347"/>
      <c r="K1022" s="347"/>
      <c r="L1022" s="347"/>
      <c r="M1022" s="347"/>
      <c r="N1022" s="661"/>
      <c r="O1022" s="25"/>
      <c r="P1022" s="955"/>
      <c r="R1022" s="955"/>
      <c r="AA1022" s="361" t="b">
        <f>AA1021</f>
        <v>0</v>
      </c>
    </row>
    <row r="1023" spans="2:27" ht="12.75" customHeight="1" thickBot="1" x14ac:dyDescent="0.25">
      <c r="B1023" s="224"/>
      <c r="C1023" s="977"/>
      <c r="D1023" s="695" t="s">
        <v>439</v>
      </c>
      <c r="E1023" s="1658" t="str">
        <f>Translations!$B$745</f>
        <v>Oglekļa saturs (masas %)</v>
      </c>
      <c r="F1023" s="1658"/>
      <c r="G1023" s="1658"/>
      <c r="H1023" s="552" t="s">
        <v>341</v>
      </c>
      <c r="I1023" s="347"/>
      <c r="J1023" s="347"/>
      <c r="K1023" s="347"/>
      <c r="L1023" s="347"/>
      <c r="M1023" s="347"/>
      <c r="N1023" s="661"/>
      <c r="O1023" s="25"/>
      <c r="P1023" s="955"/>
      <c r="R1023" s="955"/>
      <c r="AA1023" s="361" t="b">
        <f>AA1022</f>
        <v>0</v>
      </c>
    </row>
    <row r="1024" spans="2:27" ht="12.75" customHeight="1" thickBot="1" x14ac:dyDescent="0.25">
      <c r="B1024" s="224"/>
      <c r="C1024" s="977"/>
      <c r="D1024" s="695" t="s">
        <v>440</v>
      </c>
      <c r="E1024" s="1659" t="str">
        <f>Translations!$B$746</f>
        <v>Biomasas saturs (kā oglekļa frakcija)</v>
      </c>
      <c r="F1024" s="1659"/>
      <c r="G1024" s="1659"/>
      <c r="H1024" s="485" t="s">
        <v>341</v>
      </c>
      <c r="I1024" s="345"/>
      <c r="J1024" s="345"/>
      <c r="K1024" s="345"/>
      <c r="L1024" s="345"/>
      <c r="M1024" s="345"/>
      <c r="N1024" s="661"/>
      <c r="O1024" s="25"/>
      <c r="P1024" s="955"/>
      <c r="R1024" s="970"/>
      <c r="S1024" s="809">
        <f>I1020</f>
        <v>2019</v>
      </c>
      <c r="T1024" s="809">
        <f>J1020</f>
        <v>2020</v>
      </c>
      <c r="U1024" s="809">
        <f>K1020</f>
        <v>2021</v>
      </c>
      <c r="V1024" s="809">
        <f>L1020</f>
        <v>2022</v>
      </c>
      <c r="W1024" s="810">
        <f>M1020</f>
        <v>2023</v>
      </c>
      <c r="AA1024" s="186" t="b">
        <f>AA1023</f>
        <v>0</v>
      </c>
    </row>
    <row r="1025" spans="2:24" ht="12.75" customHeight="1" thickBot="1" x14ac:dyDescent="0.25">
      <c r="B1025" s="224"/>
      <c r="C1025" s="977"/>
      <c r="D1025" s="695" t="s">
        <v>441</v>
      </c>
      <c r="E1025" s="1660" t="str">
        <f>Translations!$B$747</f>
        <v>Emisijas (no fosilajiem avotiem, aprēķinātās)</v>
      </c>
      <c r="F1025" s="1660"/>
      <c r="G1025" s="1660"/>
      <c r="H1025" s="553" t="str">
        <f>EUconst_tCO2pa</f>
        <v>t CO2 / gads</v>
      </c>
      <c r="I1025" s="341" t="str">
        <f>IF(AND(COUNT(I1021:I1024)&gt;0,I1028=""),3.664*I1021*(I1023/100)*(1-I1024/100),"")</f>
        <v/>
      </c>
      <c r="J1025" s="341" t="str">
        <f>IF(AND(COUNT(J1021:J1024)&gt;0,J1028=""),3.664*J1021*(J1023/100)*(1-J1024/100),"")</f>
        <v/>
      </c>
      <c r="K1025" s="341" t="str">
        <f>IF(AND(COUNT(K1021:K1024)&gt;0,K1028=""),3.664*K1021*(K1023/100)*(1-K1024/100),"")</f>
        <v/>
      </c>
      <c r="L1025" s="341" t="str">
        <f>IF(AND(COUNT(L1021:L1024)&gt;0,L1028=""),3.664*L1021*(L1023/100)*(1-L1024/100),"")</f>
        <v/>
      </c>
      <c r="M1025" s="341" t="str">
        <f>IF(AND(COUNT(M1021:M1024)&gt;0,M1028=""),3.664*M1021*(M1023/100)*(1-M1024/100),"")</f>
        <v/>
      </c>
      <c r="N1025" s="661"/>
      <c r="O1025" s="25"/>
      <c r="P1025" s="979" t="str">
        <f>EUconst_CNTR_EmissionsIntSource2 &amp; I942</f>
        <v>EmInternalSource2_</v>
      </c>
      <c r="R1025" s="971" t="str">
        <f>EUconst_CNTR_AttributedEmissions &amp; I942</f>
        <v>AttrEmissions_</v>
      </c>
      <c r="S1025" s="137" t="str">
        <f>IF(S942,SUM(I1025),"")</f>
        <v/>
      </c>
      <c r="T1025" s="137" t="str">
        <f>IF(T942,SUM(J1025),"")</f>
        <v/>
      </c>
      <c r="U1025" s="137" t="str">
        <f>IF(U942,SUM(K1025),"")</f>
        <v/>
      </c>
      <c r="V1025" s="137" t="str">
        <f>IF(V942,SUM(L1025),"")</f>
        <v/>
      </c>
      <c r="W1025" s="138" t="str">
        <f>IF(W942,SUM(M1025),"")</f>
        <v/>
      </c>
    </row>
    <row r="1026" spans="2:24" ht="12.75" customHeight="1" x14ac:dyDescent="0.2">
      <c r="B1026" s="224"/>
      <c r="C1026" s="977"/>
      <c r="D1026" s="695" t="s">
        <v>442</v>
      </c>
      <c r="E1026" s="1661" t="str">
        <f>Translations!$B$1617</f>
        <v>Nulles faktora biomasas emisijas</v>
      </c>
      <c r="F1026" s="1661"/>
      <c r="G1026" s="1661"/>
      <c r="H1026" s="554" t="str">
        <f>EUconst_tCO2pa</f>
        <v>t CO2 / gads</v>
      </c>
      <c r="I1026" s="340" t="str">
        <f>IF(ISNUMBER(I1025),3.664*I1021*(I1023/100)*(I1024/100),"")</f>
        <v/>
      </c>
      <c r="J1026" s="340" t="str">
        <f>IF(ISNUMBER(J1025),3.664*J1021*(J1023/100)*(J1024/100),"")</f>
        <v/>
      </c>
      <c r="K1026" s="340" t="str">
        <f>IF(ISNUMBER(K1025),3.664*K1021*(K1023/100)*(K1024/100),"")</f>
        <v/>
      </c>
      <c r="L1026" s="340" t="str">
        <f>IF(ISNUMBER(L1025),3.664*L1021*(L1023/100)*(L1024/100),"")</f>
        <v/>
      </c>
      <c r="M1026" s="340" t="str">
        <f>IF(ISNUMBER(M1025),3.664*M1021*(M1023/100)*(M1024/100),"")</f>
        <v/>
      </c>
      <c r="N1026" s="661"/>
      <c r="O1026" s="25"/>
      <c r="P1026" s="955"/>
      <c r="R1026" s="955"/>
    </row>
    <row r="1027" spans="2:24" ht="12.75" customHeight="1" x14ac:dyDescent="0.2">
      <c r="B1027" s="224"/>
      <c r="C1027" s="977"/>
      <c r="D1027" s="695" t="s">
        <v>443</v>
      </c>
      <c r="E1027" s="1659" t="str">
        <f>Translations!$B$749</f>
        <v>Enerģētiskais saturs (aprēķinātais)</v>
      </c>
      <c r="F1027" s="1659"/>
      <c r="G1027" s="1659"/>
      <c r="H1027" s="555" t="str">
        <f>EUconst_TJpa</f>
        <v>TJ / gads</v>
      </c>
      <c r="I1027" s="343" t="str">
        <f>IF(COUNT(I1021:I1022)=2,I1021*I1022/1000,"")</f>
        <v/>
      </c>
      <c r="J1027" s="343" t="str">
        <f>IF(COUNT(J1021:J1022)=2,J1021*J1022/1000,"")</f>
        <v/>
      </c>
      <c r="K1027" s="343" t="str">
        <f>IF(COUNT(K1021:K1022)=2,K1021*K1022/1000,"")</f>
        <v/>
      </c>
      <c r="L1027" s="343" t="str">
        <f>IF(COUNT(L1021:L1022)=2,L1021*L1022/1000,"")</f>
        <v/>
      </c>
      <c r="M1027" s="343" t="str">
        <f>IF(COUNT(M1021:M1022)=2,M1021*M1022/1000,"")</f>
        <v/>
      </c>
      <c r="N1027" s="661"/>
      <c r="O1027" s="25"/>
      <c r="P1027" s="955"/>
      <c r="R1027" s="955"/>
    </row>
    <row r="1028" spans="2:24" ht="12.75" customHeight="1" x14ac:dyDescent="0.2">
      <c r="B1028" s="224"/>
      <c r="C1028" s="977"/>
      <c r="D1028" s="695" t="s">
        <v>439</v>
      </c>
      <c r="E1028" s="1662" t="str">
        <f>Translations!$B$750</f>
        <v>Kļūdas ziņojumi (emisijas)</v>
      </c>
      <c r="F1028" s="1662"/>
      <c r="G1028" s="1662"/>
      <c r="H1028" s="556"/>
      <c r="I1028" s="662" t="str">
        <f>IF(COUNT(I1021,I1023:I1024)&gt;0,IF(COUNTIF(I1022:I1024,"&lt;0")&gt;0,EUconst_Negative,IF(COUNT(I1021,I1023:I1024)&lt;3,EUconst_Incomplete,"")),"")</f>
        <v/>
      </c>
      <c r="J1028" s="662" t="str">
        <f>IF(COUNT(J1021,J1023:J1024)&gt;0,IF(COUNTIF(J1022:J1024,"&lt;0")&gt;0,EUconst_Negative,IF(COUNT(J1021,J1023:J1024)&lt;3,EUconst_Incomplete,"")),"")</f>
        <v/>
      </c>
      <c r="K1028" s="662" t="str">
        <f>IF(COUNT(K1021,K1023:K1024)&gt;0,IF(COUNTIF(K1022:K1024,"&lt;0")&gt;0,EUconst_Negative,IF(COUNT(K1021,K1023:K1024)&lt;3,EUconst_Incomplete,"")),"")</f>
        <v/>
      </c>
      <c r="L1028" s="662" t="str">
        <f>IF(COUNT(L1021,L1023:L1024)&gt;0,IF(COUNTIF(L1022:L1024,"&lt;0")&gt;0,EUconst_Negative,IF(COUNT(L1021,L1023:L1024)&lt;3,EUconst_Incomplete,"")),"")</f>
        <v/>
      </c>
      <c r="M1028" s="662" t="str">
        <f>IF(COUNT(M1021,M1023:M1024)&gt;0,IF(COUNTIF(M1022:M1024,"&lt;0")&gt;0,EUconst_Negative,IF(COUNT(M1021,M1023:M1024)&lt;3,EUconst_Incomplete,"")),"")</f>
        <v/>
      </c>
      <c r="N1028" s="661"/>
      <c r="O1028" s="25"/>
      <c r="P1028" s="955"/>
      <c r="R1028" s="955"/>
    </row>
    <row r="1029" spans="2:24" ht="5.0999999999999996" customHeight="1" x14ac:dyDescent="0.2">
      <c r="B1029" s="224"/>
      <c r="C1029" s="977"/>
      <c r="D1029" s="978"/>
      <c r="E1029" s="978"/>
      <c r="F1029" s="978"/>
      <c r="G1029" s="978"/>
      <c r="H1029" s="978"/>
      <c r="I1029" s="978"/>
      <c r="J1029" s="978"/>
      <c r="K1029" s="978"/>
      <c r="L1029" s="978"/>
      <c r="M1029" s="980"/>
      <c r="N1029" s="661"/>
      <c r="O1029" s="25"/>
      <c r="P1029" s="955"/>
      <c r="R1029" s="955"/>
    </row>
    <row r="1030" spans="2:24" ht="12.75" customHeight="1" thickBot="1" x14ac:dyDescent="0.25">
      <c r="B1030" s="224"/>
      <c r="C1030" s="977"/>
      <c r="D1030" s="474" t="s">
        <v>211</v>
      </c>
      <c r="E1030" s="1654" t="str">
        <f>Translations!$B$753</f>
        <v>To SEG daudzums, kas importētas vai eksportētas kā ievadmateriāli</v>
      </c>
      <c r="F1030" s="1655"/>
      <c r="G1030" s="1655"/>
      <c r="H1030" s="1655"/>
      <c r="I1030" s="1655"/>
      <c r="J1030" s="1655"/>
      <c r="K1030" s="1655"/>
      <c r="L1030" s="1655"/>
      <c r="M1030" s="1655"/>
      <c r="N1030" s="1656"/>
      <c r="O1030" s="25"/>
      <c r="P1030" s="955"/>
      <c r="R1030" s="955"/>
    </row>
    <row r="1031" spans="2:24" ht="12.75" customHeight="1" x14ac:dyDescent="0.2">
      <c r="B1031" s="224"/>
      <c r="C1031" s="977"/>
      <c r="D1031" s="474"/>
      <c r="E1031" s="1653"/>
      <c r="F1031" s="1657"/>
      <c r="G1031" s="1657"/>
      <c r="H1031" s="462" t="str">
        <f>EUconst_Unit</f>
        <v>Vienība</v>
      </c>
      <c r="I1031" s="463">
        <f>I$1820</f>
        <v>2019</v>
      </c>
      <c r="J1031" s="463">
        <f>J$1820</f>
        <v>2020</v>
      </c>
      <c r="K1031" s="463">
        <f>K$1820</f>
        <v>2021</v>
      </c>
      <c r="L1031" s="463">
        <f>L$1820</f>
        <v>2022</v>
      </c>
      <c r="M1031" s="463">
        <f>M$1820</f>
        <v>2023</v>
      </c>
      <c r="N1031" s="661"/>
      <c r="O1031" s="25"/>
      <c r="P1031" s="955"/>
      <c r="R1031" s="970"/>
      <c r="S1031" s="809">
        <f>I1031</f>
        <v>2019</v>
      </c>
      <c r="T1031" s="809">
        <f>J1031</f>
        <v>2020</v>
      </c>
      <c r="U1031" s="809">
        <f>K1031</f>
        <v>2021</v>
      </c>
      <c r="V1031" s="809">
        <f>L1031</f>
        <v>2022</v>
      </c>
      <c r="W1031" s="810">
        <f>M1031</f>
        <v>2023</v>
      </c>
    </row>
    <row r="1032" spans="2:24" ht="12.75" customHeight="1" thickBot="1" x14ac:dyDescent="0.25">
      <c r="B1032" s="224"/>
      <c r="C1032" s="977"/>
      <c r="D1032" s="695"/>
      <c r="E1032" s="1651" t="str">
        <f>Translations!$B$756</f>
        <v>Importētās vai eksportētās SEG</v>
      </c>
      <c r="F1032" s="1652"/>
      <c r="G1032" s="1652"/>
      <c r="H1032" s="465" t="str">
        <f>EUconst_tCO2epa</f>
        <v>t CO2e/gads</v>
      </c>
      <c r="I1032" s="483"/>
      <c r="J1032" s="483"/>
      <c r="K1032" s="483"/>
      <c r="L1032" s="483"/>
      <c r="M1032" s="483"/>
      <c r="N1032" s="1205"/>
      <c r="O1032" s="25"/>
      <c r="P1032" s="979" t="str">
        <f>EUconst_CNTR_CO2Feedstock &amp; I942</f>
        <v>EmCO2Feedstock_</v>
      </c>
      <c r="R1032" s="971" t="str">
        <f>EUconst_CNTR_AttributedEmissions &amp; I942</f>
        <v>AttrEmissions_</v>
      </c>
      <c r="S1032" s="137" t="str">
        <f>IF(S942,SUM(I1032),"")</f>
        <v/>
      </c>
      <c r="T1032" s="137" t="str">
        <f>IF(T942,SUM(J1032),"")</f>
        <v/>
      </c>
      <c r="U1032" s="137" t="str">
        <f>IF(U942,SUM(K1032),"")</f>
        <v/>
      </c>
      <c r="V1032" s="137" t="str">
        <f>IF(V942,SUM(L1032),"")</f>
        <v/>
      </c>
      <c r="W1032" s="138" t="str">
        <f>IF(W942,SUM(M1032),"")</f>
        <v/>
      </c>
    </row>
    <row r="1033" spans="2:24" ht="5.0999999999999996" customHeight="1" x14ac:dyDescent="0.2">
      <c r="B1033" s="224"/>
      <c r="C1033" s="977"/>
      <c r="D1033" s="978"/>
      <c r="E1033" s="978"/>
      <c r="F1033" s="978"/>
      <c r="G1033" s="978"/>
      <c r="H1033" s="978"/>
      <c r="I1033" s="978"/>
      <c r="J1033" s="978"/>
      <c r="K1033" s="978"/>
      <c r="L1033" s="978"/>
      <c r="M1033" s="980"/>
      <c r="N1033" s="661"/>
      <c r="O1033" s="25"/>
      <c r="P1033" s="955"/>
      <c r="R1033" s="955"/>
    </row>
    <row r="1034" spans="2:24" ht="12.75" customHeight="1" x14ac:dyDescent="0.2">
      <c r="B1034" s="224"/>
      <c r="C1034" s="977"/>
      <c r="D1034" s="474" t="s">
        <v>212</v>
      </c>
      <c r="E1034" s="1654" t="str">
        <f>Translations!$B$757</f>
        <v>Šajā apakšiekārtā importētais un no tās eksportētais izmērāmais siltums</v>
      </c>
      <c r="F1034" s="1655"/>
      <c r="G1034" s="1655"/>
      <c r="H1034" s="1655"/>
      <c r="I1034" s="1655"/>
      <c r="J1034" s="1655"/>
      <c r="K1034" s="1655"/>
      <c r="L1034" s="1655"/>
      <c r="M1034" s="1655"/>
      <c r="N1034" s="1656"/>
      <c r="O1034" s="25"/>
      <c r="P1034" s="955"/>
      <c r="R1034" s="955"/>
    </row>
    <row r="1035" spans="2:24" ht="12.75" customHeight="1" thickBot="1" x14ac:dyDescent="0.25">
      <c r="B1035" s="224"/>
      <c r="C1035" s="977"/>
      <c r="D1035" s="978"/>
      <c r="E1035" s="1628" t="str">
        <f>Translations!$B$762</f>
        <v>Lai uz siltuma ražošanu attiecinātu emisijas no koģenerācijas, jāizmanto koģenerācijas rīks šīs veidnes D. lapas III .sadaļā.</v>
      </c>
      <c r="F1035" s="1628"/>
      <c r="G1035" s="1628"/>
      <c r="H1035" s="1628"/>
      <c r="I1035" s="1628"/>
      <c r="J1035" s="1628"/>
      <c r="K1035" s="1628"/>
      <c r="L1035" s="1628"/>
      <c r="M1035" s="1628"/>
      <c r="N1035" s="1205"/>
      <c r="O1035" s="25"/>
      <c r="P1035" s="955"/>
    </row>
    <row r="1036" spans="2:24" ht="12.75" customHeight="1" x14ac:dyDescent="0.2">
      <c r="B1036" s="224"/>
      <c r="C1036" s="977"/>
      <c r="D1036" s="978"/>
      <c r="E1036" s="1653" t="str">
        <f>Translations!$B$763</f>
        <v>Kopējais importētais siltums</v>
      </c>
      <c r="F1036" s="1657"/>
      <c r="G1036" s="1657"/>
      <c r="H1036" s="462" t="str">
        <f>EUconst_Unit</f>
        <v>Vienība</v>
      </c>
      <c r="I1036" s="463">
        <f>I$1820</f>
        <v>2019</v>
      </c>
      <c r="J1036" s="463">
        <f>J$1820</f>
        <v>2020</v>
      </c>
      <c r="K1036" s="463">
        <f>K$1820</f>
        <v>2021</v>
      </c>
      <c r="L1036" s="463">
        <f>L$1820</f>
        <v>2022</v>
      </c>
      <c r="M1036" s="463">
        <f>M$1820</f>
        <v>2023</v>
      </c>
      <c r="N1036" s="1205"/>
      <c r="O1036" s="25"/>
      <c r="P1036" s="955"/>
      <c r="R1036" s="970"/>
      <c r="S1036" s="809">
        <f>I1036</f>
        <v>2019</v>
      </c>
      <c r="T1036" s="809">
        <f>J1036</f>
        <v>2020</v>
      </c>
      <c r="U1036" s="809">
        <f>K1036</f>
        <v>2021</v>
      </c>
      <c r="V1036" s="809">
        <f>L1036</f>
        <v>2022</v>
      </c>
      <c r="W1036" s="810">
        <f>M1036</f>
        <v>2023</v>
      </c>
    </row>
    <row r="1037" spans="2:24" ht="12.75" customHeight="1" x14ac:dyDescent="0.2">
      <c r="B1037" s="224"/>
      <c r="C1037" s="977"/>
      <c r="D1037" s="695" t="s">
        <v>2</v>
      </c>
      <c r="E1037" s="1651" t="str">
        <f>Translations!$B$764</f>
        <v>Neto importētais siltums</v>
      </c>
      <c r="F1037" s="1652"/>
      <c r="G1037" s="1652"/>
      <c r="H1037" s="465" t="str">
        <f>EUconst_TJpa</f>
        <v>TJ / gads</v>
      </c>
      <c r="I1037" s="483"/>
      <c r="J1037" s="483"/>
      <c r="K1037" s="483"/>
      <c r="L1037" s="483"/>
      <c r="M1037" s="483"/>
      <c r="N1037" s="698"/>
      <c r="O1037" s="25"/>
      <c r="P1037" s="979" t="str">
        <f>EUconst_CNTR_HeatImport &amp; I942</f>
        <v>HeatIm_</v>
      </c>
      <c r="R1037" s="981" t="str">
        <f>EUconst_ERR_AttrEmBMapplied &amp; I942</f>
        <v>ERR_AttrEmBM_ </v>
      </c>
      <c r="S1037" s="134">
        <f>IF(AND(I1037&lt;&gt;0,I1038="",EUconst_StatusOfDataCollection=""),1,0)</f>
        <v>0</v>
      </c>
      <c r="T1037" s="134">
        <f>IF(AND(J1037&lt;&gt;0,J1038="",EUconst_StatusOfDataCollection=""),1,0)</f>
        <v>0</v>
      </c>
      <c r="U1037" s="134">
        <f>IF(AND(K1037&lt;&gt;0,K1038="",EUconst_StatusOfDataCollection=""),1,0)</f>
        <v>0</v>
      </c>
      <c r="V1037" s="134">
        <f>IF(AND(L1037&lt;&gt;0,L1038="",EUconst_StatusOfDataCollection=""),1,0)</f>
        <v>0</v>
      </c>
      <c r="W1037" s="135">
        <f>IF(AND(M1037&lt;&gt;0,M1038="",EUconst_StatusOfDataCollection=""),1,0)</f>
        <v>0</v>
      </c>
      <c r="X1037" s="63"/>
    </row>
    <row r="1038" spans="2:24" ht="12.75" customHeight="1" thickBot="1" x14ac:dyDescent="0.25">
      <c r="B1038" s="224"/>
      <c r="C1038" s="977"/>
      <c r="D1038" s="695" t="s">
        <v>3</v>
      </c>
      <c r="E1038" s="1651" t="str">
        <f>Translations!$B$765</f>
        <v>Īpatnējais EF (importētais siltums)</v>
      </c>
      <c r="F1038" s="1652"/>
      <c r="G1038" s="1652"/>
      <c r="H1038" s="465" t="str">
        <f>EUconst_tCO2pTJ</f>
        <v>t CO2 / TJ</v>
      </c>
      <c r="I1038" s="760"/>
      <c r="J1038" s="760"/>
      <c r="K1038" s="760"/>
      <c r="L1038" s="760"/>
      <c r="M1038" s="760"/>
      <c r="N1038" s="661"/>
      <c r="O1038" s="25"/>
      <c r="P1038" s="979" t="str">
        <f>EUconst_CNTR_HeatImportEF &amp; I942</f>
        <v>HeatImEF_</v>
      </c>
      <c r="R1038" s="971" t="str">
        <f>EUconst_CNTR_AttributedEmissions &amp; I942</f>
        <v>AttrEmissions_</v>
      </c>
      <c r="S1038" s="137" t="str">
        <f>IF(S942,SUM(I1037)*IF(ISNUMBER(I1038),I1038,EUconst_HeatBMvalueForBM),"")</f>
        <v/>
      </c>
      <c r="T1038" s="137" t="str">
        <f>IF(T942,SUM(J1037)*IF(ISNUMBER(J1038),J1038,EUconst_HeatBMvalueForBM),"")</f>
        <v/>
      </c>
      <c r="U1038" s="137" t="str">
        <f>IF(U942,SUM(K1037)*IF(ISNUMBER(K1038),K1038,EUconst_HeatBMvalueForBM),"")</f>
        <v/>
      </c>
      <c r="V1038" s="137" t="str">
        <f>IF(V942,SUM(L1037)*IF(ISNUMBER(L1038),L1038,EUconst_HeatBMvalueForBM),"")</f>
        <v/>
      </c>
      <c r="W1038" s="138" t="str">
        <f>IF(W942,SUM(M1037)*IF(ISNUMBER(M1038),M1038,EUconst_HeatBMvalueForBM),"")</f>
        <v/>
      </c>
    </row>
    <row r="1039" spans="2:24" ht="5.0999999999999996" customHeight="1" x14ac:dyDescent="0.2">
      <c r="B1039" s="224"/>
      <c r="C1039" s="977"/>
      <c r="D1039" s="978"/>
      <c r="E1039" s="978"/>
      <c r="F1039" s="978"/>
      <c r="G1039" s="978"/>
      <c r="H1039" s="978"/>
      <c r="I1039" s="978"/>
      <c r="J1039" s="978"/>
      <c r="K1039" s="978"/>
      <c r="L1039" s="978"/>
      <c r="M1039" s="980"/>
      <c r="N1039" s="661"/>
      <c r="O1039" s="25"/>
      <c r="P1039" s="955"/>
      <c r="R1039" s="955"/>
      <c r="S1039" s="955"/>
    </row>
    <row r="1040" spans="2:24" ht="12.75" customHeight="1" x14ac:dyDescent="0.2">
      <c r="B1040" s="224"/>
      <c r="C1040" s="977"/>
      <c r="D1040" s="978"/>
      <c r="E1040" s="1653" t="str">
        <f>Translations!$B$766</f>
        <v>Īpašs importētais siltums</v>
      </c>
      <c r="F1040" s="1653"/>
      <c r="G1040" s="1653"/>
      <c r="H1040" s="462" t="str">
        <f>EUconst_Unit</f>
        <v>Vienība</v>
      </c>
      <c r="I1040" s="463">
        <f>I$1820</f>
        <v>2019</v>
      </c>
      <c r="J1040" s="463">
        <f>J$1820</f>
        <v>2020</v>
      </c>
      <c r="K1040" s="463">
        <f>K$1820</f>
        <v>2021</v>
      </c>
      <c r="L1040" s="463">
        <f>L$1820</f>
        <v>2022</v>
      </c>
      <c r="M1040" s="463">
        <f>M$1820</f>
        <v>2023</v>
      </c>
      <c r="N1040" s="1205"/>
      <c r="O1040" s="25"/>
      <c r="P1040" s="955"/>
      <c r="R1040" s="955"/>
      <c r="S1040" s="955"/>
    </row>
    <row r="1041" spans="2:27" ht="12.75" customHeight="1" x14ac:dyDescent="0.2">
      <c r="B1041" s="224"/>
      <c r="C1041" s="977"/>
      <c r="D1041" s="695" t="s">
        <v>4</v>
      </c>
      <c r="E1041" s="1651" t="str">
        <f>Translations!$B$767</f>
        <v>No pulpas apakšiekārtām importētais neto siltums</v>
      </c>
      <c r="F1041" s="1652"/>
      <c r="G1041" s="1652"/>
      <c r="H1041" s="465" t="str">
        <f>EUconst_TJpa</f>
        <v>TJ / gads</v>
      </c>
      <c r="I1041" s="550"/>
      <c r="J1041" s="550"/>
      <c r="K1041" s="550"/>
      <c r="L1041" s="550"/>
      <c r="M1041" s="550"/>
      <c r="N1041" s="698"/>
      <c r="O1041" s="25"/>
      <c r="P1041" s="979" t="str">
        <f>EUconst_CNTR_HeatImportPulp &amp; I942</f>
        <v>HeatImPulp_</v>
      </c>
      <c r="R1041" s="955"/>
      <c r="S1041" s="955"/>
    </row>
    <row r="1042" spans="2:27" ht="25.5" customHeight="1" x14ac:dyDescent="0.2">
      <c r="B1042" s="224"/>
      <c r="C1042" s="977"/>
      <c r="D1042" s="695" t="s">
        <v>6</v>
      </c>
      <c r="E1042" s="1651" t="str">
        <f>Translations!$B$768</f>
        <v>No slāpekļskābes apakšiekārtas importētais neto siltums</v>
      </c>
      <c r="F1042" s="1652"/>
      <c r="G1042" s="1652"/>
      <c r="H1042" s="465" t="str">
        <f>EUconst_TJpa</f>
        <v>TJ / gads</v>
      </c>
      <c r="I1042" s="483"/>
      <c r="J1042" s="483"/>
      <c r="K1042" s="483"/>
      <c r="L1042" s="483"/>
      <c r="M1042" s="483"/>
      <c r="N1042" s="698"/>
      <c r="O1042" s="25"/>
      <c r="P1042" s="979" t="str">
        <f>EUconst_CNTR_HeatImportNitric &amp; I942</f>
        <v>HeatImNitric_</v>
      </c>
      <c r="R1042" s="955"/>
      <c r="S1042" s="955"/>
    </row>
    <row r="1043" spans="2:27" ht="5.0999999999999996" customHeight="1" thickBot="1" x14ac:dyDescent="0.25">
      <c r="B1043" s="224"/>
      <c r="C1043" s="977"/>
      <c r="D1043" s="978"/>
      <c r="E1043" s="978"/>
      <c r="F1043" s="978"/>
      <c r="G1043" s="978"/>
      <c r="H1043" s="978"/>
      <c r="I1043" s="978"/>
      <c r="J1043" s="978"/>
      <c r="K1043" s="978"/>
      <c r="L1043" s="978"/>
      <c r="M1043" s="980"/>
      <c r="N1043" s="661"/>
      <c r="O1043" s="25"/>
      <c r="P1043" s="955"/>
      <c r="R1043" s="955"/>
      <c r="S1043" s="955"/>
    </row>
    <row r="1044" spans="2:27" ht="12.75" customHeight="1" x14ac:dyDescent="0.2">
      <c r="B1044" s="224"/>
      <c r="C1044" s="977"/>
      <c r="D1044" s="978"/>
      <c r="E1044" s="1653" t="str">
        <f>Translations!$B$769</f>
        <v>Kopējais eksportētais siltums</v>
      </c>
      <c r="F1044" s="1653"/>
      <c r="G1044" s="1653"/>
      <c r="H1044" s="462" t="str">
        <f>EUconst_Unit</f>
        <v>Vienība</v>
      </c>
      <c r="I1044" s="463">
        <f>I$1820</f>
        <v>2019</v>
      </c>
      <c r="J1044" s="463">
        <f>J$1820</f>
        <v>2020</v>
      </c>
      <c r="K1044" s="463">
        <f>K$1820</f>
        <v>2021</v>
      </c>
      <c r="L1044" s="463">
        <f>L$1820</f>
        <v>2022</v>
      </c>
      <c r="M1044" s="463">
        <f>M$1820</f>
        <v>2023</v>
      </c>
      <c r="N1044" s="1205"/>
      <c r="O1044" s="25"/>
      <c r="P1044" s="955"/>
      <c r="R1044" s="970"/>
      <c r="S1044" s="809">
        <f>I1044</f>
        <v>2019</v>
      </c>
      <c r="T1044" s="809">
        <f>J1044</f>
        <v>2020</v>
      </c>
      <c r="U1044" s="809">
        <f>K1044</f>
        <v>2021</v>
      </c>
      <c r="V1044" s="809">
        <f>L1044</f>
        <v>2022</v>
      </c>
      <c r="W1044" s="810">
        <f>M1044</f>
        <v>2023</v>
      </c>
    </row>
    <row r="1045" spans="2:27" ht="12.75" customHeight="1" x14ac:dyDescent="0.2">
      <c r="B1045" s="224"/>
      <c r="C1045" s="977"/>
      <c r="D1045" s="695" t="s">
        <v>303</v>
      </c>
      <c r="E1045" s="1651" t="str">
        <f>Translations!$B$770</f>
        <v>Neto eksportētais siltums</v>
      </c>
      <c r="F1045" s="1652"/>
      <c r="G1045" s="1652"/>
      <c r="H1045" s="465" t="str">
        <f>EUconst_TJpa</f>
        <v>TJ / gads</v>
      </c>
      <c r="I1045" s="483"/>
      <c r="J1045" s="483"/>
      <c r="K1045" s="483"/>
      <c r="L1045" s="483"/>
      <c r="M1045" s="483"/>
      <c r="N1045" s="698"/>
      <c r="O1045" s="25"/>
      <c r="P1045" s="979" t="str">
        <f>EUconst_CNTR_HeatExport &amp; I942</f>
        <v>HeatEx_</v>
      </c>
      <c r="R1045" s="981" t="str">
        <f>EUconst_ERR_AttrEmBMapplied &amp; I942</f>
        <v>ERR_AttrEmBM_ </v>
      </c>
      <c r="S1045" s="134">
        <f>IF(AND(I1045&lt;&gt;0,I1046="",EUconst_StatusOfDataCollection=""),1,0)</f>
        <v>0</v>
      </c>
      <c r="T1045" s="134">
        <f>IF(AND(J1045&lt;&gt;0,J1046="",EUconst_StatusOfDataCollection=""),1,0)</f>
        <v>0</v>
      </c>
      <c r="U1045" s="134">
        <f>IF(AND(K1045&lt;&gt;0,K1046="",EUconst_StatusOfDataCollection=""),1,0)</f>
        <v>0</v>
      </c>
      <c r="V1045" s="134">
        <f>IF(AND(L1045&lt;&gt;0,L1046="",EUconst_StatusOfDataCollection=""),1,0)</f>
        <v>0</v>
      </c>
      <c r="W1045" s="135">
        <f>IF(AND(M1045&lt;&gt;0,M1046="",EUconst_StatusOfDataCollection=""),1,0)</f>
        <v>0</v>
      </c>
    </row>
    <row r="1046" spans="2:27" ht="12.75" customHeight="1" thickBot="1" x14ac:dyDescent="0.25">
      <c r="B1046" s="224"/>
      <c r="C1046" s="977"/>
      <c r="D1046" s="695" t="s">
        <v>304</v>
      </c>
      <c r="E1046" s="1651" t="str">
        <f>Translations!$B$771</f>
        <v>Īpatnējais EF (eksportētais siltums)</v>
      </c>
      <c r="F1046" s="1652"/>
      <c r="G1046" s="1652"/>
      <c r="H1046" s="465" t="str">
        <f>EUconst_tCO2pTJ</f>
        <v>t CO2 / TJ</v>
      </c>
      <c r="I1046" s="760"/>
      <c r="J1046" s="760"/>
      <c r="K1046" s="760"/>
      <c r="L1046" s="760"/>
      <c r="M1046" s="760"/>
      <c r="N1046" s="661"/>
      <c r="O1046" s="25"/>
      <c r="P1046" s="979" t="str">
        <f>EUconst_CNTR_HeatExportEF &amp; I942</f>
        <v>HeatExEF_</v>
      </c>
      <c r="R1046" s="971" t="str">
        <f>EUconst_CNTR_AttributedEmissions &amp; I942</f>
        <v>AttrEmissions_</v>
      </c>
      <c r="S1046" s="137" t="str">
        <f>IF(S942,-SUM(I1045)*IF(INDEX(EUconst_BMlistMainNumberOfBM,MATCH($I942,EUconst_BMlistNames,0))=39,0,IF(ISNUMBER(I1046),I1046,EUconst_HeatBMvalueForBM)),"")</f>
        <v/>
      </c>
      <c r="T1046" s="137" t="str">
        <f>IF(T942,-SUM(J1045)*IF(INDEX(EUconst_BMlistMainNumberOfBM,MATCH($I942,EUconst_BMlistNames,0))=39,0,IF(ISNUMBER(J1046),J1046,EUconst_HeatBMvalueForBM)),"")</f>
        <v/>
      </c>
      <c r="U1046" s="137" t="str">
        <f>IF(U942,-SUM(K1045)*IF(INDEX(EUconst_BMlistMainNumberOfBM,MATCH($I942,EUconst_BMlistNames,0))=39,0,IF(ISNUMBER(K1046),K1046,EUconst_HeatBMvalueForBM)),"")</f>
        <v/>
      </c>
      <c r="V1046" s="137" t="str">
        <f>IF(V942,-SUM(L1045)*IF(INDEX(EUconst_BMlistMainNumberOfBM,MATCH($I942,EUconst_BMlistNames,0))=39,0,IF(ISNUMBER(L1046),L1046,EUconst_HeatBMvalueForBM)),"")</f>
        <v/>
      </c>
      <c r="W1046" s="138" t="str">
        <f>IF(W942,-SUM(M1045)*IF(INDEX(EUconst_BMlistMainNumberOfBM,MATCH($I942,EUconst_BMlistNames,0))=39,0,IF(ISNUMBER(M1046),M1046,EUconst_HeatBMvalueForBM)),"")</f>
        <v/>
      </c>
    </row>
    <row r="1047" spans="2:27" ht="5.0999999999999996" customHeight="1" x14ac:dyDescent="0.2">
      <c r="B1047" s="224"/>
      <c r="C1047" s="977"/>
      <c r="D1047" s="978"/>
      <c r="E1047" s="978"/>
      <c r="F1047" s="978"/>
      <c r="G1047" s="978"/>
      <c r="H1047" s="978"/>
      <c r="I1047" s="978"/>
      <c r="J1047" s="978"/>
      <c r="K1047" s="978"/>
      <c r="L1047" s="978"/>
      <c r="M1047" s="980"/>
      <c r="N1047" s="661"/>
      <c r="O1047" s="25"/>
      <c r="P1047" s="955"/>
      <c r="R1047" s="955"/>
      <c r="S1047" s="955"/>
    </row>
    <row r="1048" spans="2:27" ht="12.75" customHeight="1" x14ac:dyDescent="0.2">
      <c r="B1048" s="224"/>
      <c r="C1048" s="977"/>
      <c r="D1048" s="474" t="s">
        <v>213</v>
      </c>
      <c r="E1048" s="1654" t="str">
        <f>Translations!$B$772</f>
        <v>Šīs apakšiekārtas atlikumgāzu bilance</v>
      </c>
      <c r="F1048" s="1655"/>
      <c r="G1048" s="1655"/>
      <c r="H1048" s="1655"/>
      <c r="I1048" s="1655"/>
      <c r="J1048" s="1655"/>
      <c r="K1048" s="1655"/>
      <c r="L1048" s="1655"/>
      <c r="M1048" s="1655"/>
      <c r="N1048" s="1656"/>
      <c r="O1048" s="25"/>
      <c r="P1048" s="955"/>
      <c r="R1048" s="955"/>
      <c r="S1048" s="955"/>
    </row>
    <row r="1049" spans="2:27" ht="5.0999999999999996" customHeight="1" thickBot="1" x14ac:dyDescent="0.25">
      <c r="B1049" s="224"/>
      <c r="C1049" s="977"/>
      <c r="D1049" s="978"/>
      <c r="E1049" s="1727"/>
      <c r="F1049" s="1727"/>
      <c r="G1049" s="1727"/>
      <c r="H1049" s="1727"/>
      <c r="I1049" s="1727"/>
      <c r="J1049" s="1727"/>
      <c r="K1049" s="1727"/>
      <c r="L1049" s="1727"/>
      <c r="M1049" s="1727"/>
      <c r="N1049" s="1734"/>
      <c r="O1049" s="25"/>
      <c r="P1049" s="955"/>
      <c r="R1049" s="955"/>
      <c r="S1049" s="955"/>
    </row>
    <row r="1050" spans="2:27" ht="12.75" customHeight="1" thickBot="1" x14ac:dyDescent="0.25">
      <c r="B1050" s="224"/>
      <c r="C1050" s="977"/>
      <c r="D1050" s="695" t="s">
        <v>2</v>
      </c>
      <c r="E1050" s="1735" t="str">
        <f>Translations!$B$773</f>
        <v>Vai atlikumgāzes ir šai apakšiekārtai relevantas?</v>
      </c>
      <c r="F1050" s="1735"/>
      <c r="G1050" s="1735"/>
      <c r="H1050" s="1735"/>
      <c r="I1050" s="1735"/>
      <c r="J1050" s="1735"/>
      <c r="K1050" s="1736"/>
      <c r="L1050" s="527"/>
      <c r="M1050" s="1202"/>
      <c r="N1050" s="1203"/>
      <c r="O1050" s="25"/>
      <c r="P1050" s="955"/>
      <c r="R1050" s="955"/>
      <c r="W1050" s="966" t="s">
        <v>398</v>
      </c>
      <c r="X1050" s="964" t="b">
        <f>IF(AND(I942&lt;&gt;"",ISBLANK(L1050)),EUconst_Error&amp;"BM"&amp;C942,FALSE)</f>
        <v>0</v>
      </c>
    </row>
    <row r="1051" spans="2:27" ht="5.0999999999999996" customHeight="1" thickBot="1" x14ac:dyDescent="0.25">
      <c r="B1051" s="224"/>
      <c r="C1051" s="977"/>
      <c r="D1051" s="978"/>
      <c r="E1051" s="978"/>
      <c r="F1051" s="978"/>
      <c r="G1051" s="978"/>
      <c r="H1051" s="978"/>
      <c r="I1051" s="978"/>
      <c r="J1051" s="978"/>
      <c r="K1051" s="978"/>
      <c r="L1051" s="978"/>
      <c r="M1051" s="980"/>
      <c r="N1051" s="661"/>
      <c r="O1051" s="25"/>
      <c r="P1051" s="955"/>
      <c r="R1051" s="955"/>
    </row>
    <row r="1052" spans="2:27" ht="12.75" customHeight="1" x14ac:dyDescent="0.2">
      <c r="B1052" s="224"/>
      <c r="C1052" s="977"/>
      <c r="D1052" s="695" t="s">
        <v>3</v>
      </c>
      <c r="E1052" s="1663" t="str">
        <f>Translations!$B$775</f>
        <v>Radušos atlikumgāzu veidi:</v>
      </c>
      <c r="F1052" s="1663"/>
      <c r="G1052" s="1663"/>
      <c r="H1052" s="1663"/>
      <c r="I1052" s="1664"/>
      <c r="J1052" s="1665"/>
      <c r="K1052" s="1665"/>
      <c r="L1052" s="1665"/>
      <c r="M1052" s="1666"/>
      <c r="N1052" s="1203"/>
      <c r="O1052" s="25"/>
      <c r="P1052" s="955"/>
      <c r="R1052" s="955"/>
      <c r="AA1052" s="643" t="b">
        <f>IF(I942&lt;&gt;"",AND(L1050&lt;&gt;"",L1050=FALSE),FALSE)</f>
        <v>0</v>
      </c>
    </row>
    <row r="1053" spans="2:27" ht="5.0999999999999996" customHeight="1" x14ac:dyDescent="0.2">
      <c r="B1053" s="224"/>
      <c r="C1053" s="977"/>
      <c r="D1053" s="978"/>
      <c r="E1053" s="978"/>
      <c r="F1053" s="978"/>
      <c r="G1053" s="978"/>
      <c r="H1053" s="978"/>
      <c r="I1053" s="978"/>
      <c r="J1053" s="978"/>
      <c r="K1053" s="978"/>
      <c r="L1053" s="978"/>
      <c r="M1053" s="980"/>
      <c r="N1053" s="661"/>
      <c r="O1053" s="25"/>
      <c r="P1053" s="955"/>
      <c r="R1053" s="955"/>
    </row>
    <row r="1054" spans="2:27" ht="12.75" customHeight="1" x14ac:dyDescent="0.2">
      <c r="B1054" s="224"/>
      <c r="C1054" s="977"/>
      <c r="D1054" s="978"/>
      <c r="E1054" s="1653"/>
      <c r="F1054" s="1657"/>
      <c r="G1054" s="1657"/>
      <c r="H1054" s="462" t="str">
        <f>EUconst_Unit</f>
        <v>Vienība</v>
      </c>
      <c r="I1054" s="463">
        <f>I$1820</f>
        <v>2019</v>
      </c>
      <c r="J1054" s="463">
        <f>J$1820</f>
        <v>2020</v>
      </c>
      <c r="K1054" s="463">
        <f>K$1820</f>
        <v>2021</v>
      </c>
      <c r="L1054" s="463">
        <f>L$1820</f>
        <v>2022</v>
      </c>
      <c r="M1054" s="463">
        <f>M$1820</f>
        <v>2023</v>
      </c>
      <c r="N1054" s="1205"/>
      <c r="O1054" s="25"/>
      <c r="P1054" s="955"/>
      <c r="R1054" s="955"/>
      <c r="S1054" s="955"/>
      <c r="AA1054" s="607"/>
    </row>
    <row r="1055" spans="2:27" ht="12.75" customHeight="1" x14ac:dyDescent="0.2">
      <c r="B1055" s="224"/>
      <c r="C1055" s="977"/>
      <c r="D1055" s="695" t="s">
        <v>4</v>
      </c>
      <c r="E1055" s="1667" t="str">
        <f>Translations!$B$777</f>
        <v>Radušies daudzumi</v>
      </c>
      <c r="F1055" s="1660"/>
      <c r="G1055" s="1660"/>
      <c r="H1055" s="245" t="s">
        <v>249</v>
      </c>
      <c r="I1055" s="484"/>
      <c r="J1055" s="484"/>
      <c r="K1055" s="484"/>
      <c r="L1055" s="484"/>
      <c r="M1055" s="484"/>
      <c r="N1055" s="1205"/>
      <c r="O1055" s="25"/>
      <c r="P1055" s="955"/>
      <c r="R1055" s="955"/>
      <c r="S1055" s="955"/>
      <c r="AA1055" s="361" t="b">
        <f>AA1052</f>
        <v>0</v>
      </c>
    </row>
    <row r="1056" spans="2:27" ht="12.75" customHeight="1" x14ac:dyDescent="0.2">
      <c r="B1056" s="224"/>
      <c r="C1056" s="977"/>
      <c r="D1056" s="695" t="s">
        <v>6</v>
      </c>
      <c r="E1056" s="1737" t="str">
        <f>Translations!$B$470</f>
        <v>Zemākā siltumspēja</v>
      </c>
      <c r="F1056" s="1659"/>
      <c r="G1056" s="1659"/>
      <c r="H1056" s="74" t="e">
        <f>IF(ISBLANK(H1055),EUconst_GJperUnit,INDEX(EUconst_GJperTorKNm3,MATCH(H1055,EUconst_TonnesOrkNm3pa,0)))</f>
        <v>#N/A</v>
      </c>
      <c r="I1056" s="458"/>
      <c r="J1056" s="458"/>
      <c r="K1056" s="458"/>
      <c r="L1056" s="458"/>
      <c r="M1056" s="458"/>
      <c r="N1056" s="1205"/>
      <c r="O1056" s="25"/>
      <c r="R1056" s="955"/>
      <c r="S1056" s="955"/>
      <c r="T1056" s="955"/>
      <c r="U1056" s="955"/>
      <c r="V1056" s="955"/>
      <c r="W1056" s="955"/>
      <c r="AA1056" s="361" t="b">
        <f>AA1055</f>
        <v>0</v>
      </c>
    </row>
    <row r="1057" spans="2:27" ht="12.75" customHeight="1" x14ac:dyDescent="0.2">
      <c r="B1057" s="224"/>
      <c r="C1057" s="977"/>
      <c r="D1057" s="695" t="s">
        <v>303</v>
      </c>
      <c r="E1057" s="1651" t="str">
        <f>Translations!$B$778</f>
        <v>Radusies atlikumgāze</v>
      </c>
      <c r="F1057" s="1652"/>
      <c r="G1057" s="1652"/>
      <c r="H1057" s="465" t="str">
        <f>EUconst_TJpa</f>
        <v>TJ / gads</v>
      </c>
      <c r="I1057" s="523" t="str">
        <f>IF(COUNT(I1055:I1056)=2,I1055*I1056/1000,"")</f>
        <v/>
      </c>
      <c r="J1057" s="523" t="str">
        <f>IF(COUNT(J1055:J1056)=2,J1055*J1056/1000,"")</f>
        <v/>
      </c>
      <c r="K1057" s="523" t="str">
        <f>IF(COUNT(K1055:K1056)=2,K1055*K1056/1000,"")</f>
        <v/>
      </c>
      <c r="L1057" s="523" t="str">
        <f>IF(COUNT(L1055:L1056)=2,L1055*L1056/1000,"")</f>
        <v/>
      </c>
      <c r="M1057" s="523" t="str">
        <f>IF(COUNT(M1055:M1056)=2,M1055*M1056/1000,"")</f>
        <v/>
      </c>
      <c r="N1057" s="1205"/>
      <c r="O1057" s="25"/>
      <c r="P1057" s="979" t="str">
        <f>EUconst_CNTR_WGProduced &amp; I942</f>
        <v>WasteGasProd_</v>
      </c>
      <c r="R1057" s="955"/>
      <c r="S1057" s="955"/>
      <c r="T1057" s="955"/>
      <c r="U1057" s="955"/>
      <c r="V1057" s="955"/>
      <c r="W1057" s="955"/>
      <c r="AA1057" s="607"/>
    </row>
    <row r="1058" spans="2:27" ht="12.75" customHeight="1" x14ac:dyDescent="0.2">
      <c r="B1058" s="224"/>
      <c r="C1058" s="977"/>
      <c r="D1058" s="695" t="s">
        <v>304</v>
      </c>
      <c r="E1058" s="1651" t="str">
        <f>Translations!$B$779</f>
        <v>Īpatnējais EF (radusies atlikumgāze)</v>
      </c>
      <c r="F1058" s="1652"/>
      <c r="G1058" s="1652"/>
      <c r="H1058" s="465" t="str">
        <f>EUconst_tCO2pTJ</f>
        <v>t CO2 / TJ</v>
      </c>
      <c r="I1058" s="483"/>
      <c r="J1058" s="483"/>
      <c r="K1058" s="483"/>
      <c r="L1058" s="483"/>
      <c r="M1058" s="483"/>
      <c r="N1058" s="661"/>
      <c r="O1058" s="25"/>
      <c r="P1058" s="979" t="str">
        <f>EUconst_CNTR_WGProducedEF &amp; I942</f>
        <v>WasteGasProdEF_</v>
      </c>
      <c r="R1058" s="955"/>
      <c r="S1058" s="955"/>
      <c r="T1058" s="955"/>
      <c r="U1058" s="955"/>
      <c r="V1058" s="955"/>
      <c r="W1058" s="955"/>
      <c r="AA1058" s="361" t="b">
        <f>AA1056</f>
        <v>0</v>
      </c>
    </row>
    <row r="1059" spans="2:27" ht="5.0999999999999996" customHeight="1" x14ac:dyDescent="0.2">
      <c r="B1059" s="224"/>
      <c r="C1059" s="977"/>
      <c r="D1059" s="978"/>
      <c r="E1059" s="978"/>
      <c r="F1059" s="978"/>
      <c r="G1059" s="978"/>
      <c r="H1059" s="978"/>
      <c r="I1059" s="978"/>
      <c r="J1059" s="978"/>
      <c r="K1059" s="978"/>
      <c r="L1059" s="978"/>
      <c r="M1059" s="980"/>
      <c r="N1059" s="661"/>
      <c r="O1059" s="25"/>
      <c r="P1059" s="955"/>
      <c r="R1059" s="955"/>
      <c r="S1059" s="955"/>
      <c r="T1059" s="955"/>
      <c r="U1059" s="955"/>
      <c r="V1059" s="955"/>
      <c r="W1059" s="955"/>
      <c r="AA1059" s="607"/>
    </row>
    <row r="1060" spans="2:27" ht="12.75" customHeight="1" x14ac:dyDescent="0.2">
      <c r="B1060" s="224"/>
      <c r="C1060" s="977"/>
      <c r="D1060" s="695" t="s">
        <v>305</v>
      </c>
      <c r="E1060" s="1663" t="str">
        <f>Translations!$B$780</f>
        <v>Patērēto atlikumgāzu veidi:</v>
      </c>
      <c r="F1060" s="1663"/>
      <c r="G1060" s="1663"/>
      <c r="H1060" s="1663"/>
      <c r="I1060" s="1664"/>
      <c r="J1060" s="1665"/>
      <c r="K1060" s="1665"/>
      <c r="L1060" s="1665"/>
      <c r="M1060" s="1666"/>
      <c r="N1060" s="1203"/>
      <c r="O1060" s="25"/>
      <c r="P1060" s="955"/>
      <c r="R1060" s="955"/>
      <c r="S1060" s="955"/>
      <c r="T1060" s="955"/>
      <c r="U1060" s="955"/>
      <c r="V1060" s="955"/>
      <c r="W1060" s="955"/>
      <c r="AA1060" s="361" t="b">
        <f>AA1058</f>
        <v>0</v>
      </c>
    </row>
    <row r="1061" spans="2:27" ht="5.0999999999999996" customHeight="1" x14ac:dyDescent="0.2">
      <c r="B1061" s="224"/>
      <c r="C1061" s="977"/>
      <c r="D1061" s="978"/>
      <c r="E1061" s="978"/>
      <c r="F1061" s="978"/>
      <c r="G1061" s="978"/>
      <c r="H1061" s="978"/>
      <c r="I1061" s="978"/>
      <c r="J1061" s="978"/>
      <c r="K1061" s="978"/>
      <c r="L1061" s="978"/>
      <c r="M1061" s="980"/>
      <c r="N1061" s="661"/>
      <c r="O1061" s="25"/>
      <c r="P1061" s="955"/>
      <c r="R1061" s="955"/>
    </row>
    <row r="1062" spans="2:27" ht="12.75" customHeight="1" x14ac:dyDescent="0.2">
      <c r="B1062" s="224"/>
      <c r="C1062" s="977"/>
      <c r="D1062" s="978"/>
      <c r="E1062" s="1653"/>
      <c r="F1062" s="1657"/>
      <c r="G1062" s="1657"/>
      <c r="H1062" s="462" t="str">
        <f>EUconst_Unit</f>
        <v>Vienība</v>
      </c>
      <c r="I1062" s="463">
        <f>I$1820</f>
        <v>2019</v>
      </c>
      <c r="J1062" s="463">
        <f>J$1820</f>
        <v>2020</v>
      </c>
      <c r="K1062" s="463">
        <f>K$1820</f>
        <v>2021</v>
      </c>
      <c r="L1062" s="463">
        <f>L$1820</f>
        <v>2022</v>
      </c>
      <c r="M1062" s="463">
        <f>M$1820</f>
        <v>2023</v>
      </c>
      <c r="N1062" s="1205"/>
      <c r="O1062" s="25"/>
      <c r="P1062" s="955"/>
      <c r="R1062" s="955"/>
      <c r="S1062" s="955"/>
      <c r="T1062" s="955"/>
      <c r="U1062" s="955"/>
      <c r="V1062" s="955"/>
      <c r="W1062" s="955"/>
      <c r="AA1062" s="607"/>
    </row>
    <row r="1063" spans="2:27" ht="12.75" customHeight="1" x14ac:dyDescent="0.2">
      <c r="B1063" s="224"/>
      <c r="C1063" s="977"/>
      <c r="D1063" s="695" t="s">
        <v>306</v>
      </c>
      <c r="E1063" s="1667" t="str">
        <f>Translations!$B$782</f>
        <v>Patērētie daudzumi</v>
      </c>
      <c r="F1063" s="1660"/>
      <c r="G1063" s="1660"/>
      <c r="H1063" s="245" t="s">
        <v>249</v>
      </c>
      <c r="I1063" s="484"/>
      <c r="J1063" s="484"/>
      <c r="K1063" s="484"/>
      <c r="L1063" s="484"/>
      <c r="M1063" s="484"/>
      <c r="N1063" s="1205"/>
      <c r="O1063" s="25"/>
      <c r="P1063" s="955"/>
      <c r="R1063" s="955"/>
      <c r="S1063" s="955"/>
      <c r="T1063" s="955"/>
      <c r="U1063" s="955"/>
      <c r="V1063" s="955"/>
      <c r="W1063" s="955"/>
      <c r="AA1063" s="361" t="b">
        <f>AA1060</f>
        <v>0</v>
      </c>
    </row>
    <row r="1064" spans="2:27" ht="12.75" customHeight="1" x14ac:dyDescent="0.2">
      <c r="B1064" s="224"/>
      <c r="C1064" s="977"/>
      <c r="D1064" s="695" t="s">
        <v>307</v>
      </c>
      <c r="E1064" s="1737" t="str">
        <f>Translations!$B$470</f>
        <v>Zemākā siltumspēja</v>
      </c>
      <c r="F1064" s="1659"/>
      <c r="G1064" s="1659"/>
      <c r="H1064" s="74" t="e">
        <f>IF(ISBLANK(H1063),EUconst_GJperUnit,INDEX(EUconst_GJperTorKNm3,MATCH(H1063,EUconst_TonnesOrkNm3pa,0)))</f>
        <v>#N/A</v>
      </c>
      <c r="I1064" s="458"/>
      <c r="J1064" s="458"/>
      <c r="K1064" s="458"/>
      <c r="L1064" s="458"/>
      <c r="M1064" s="458"/>
      <c r="N1064" s="1205"/>
      <c r="O1064" s="25"/>
      <c r="R1064" s="955"/>
      <c r="S1064" s="955"/>
      <c r="T1064" s="955"/>
      <c r="U1064" s="955"/>
      <c r="V1064" s="955"/>
      <c r="W1064" s="955"/>
      <c r="AA1064" s="361" t="b">
        <f>AA1063</f>
        <v>0</v>
      </c>
    </row>
    <row r="1065" spans="2:27" ht="12.75" customHeight="1" x14ac:dyDescent="0.2">
      <c r="B1065" s="224"/>
      <c r="C1065" s="977"/>
      <c r="D1065" s="695" t="s">
        <v>15</v>
      </c>
      <c r="E1065" s="1651" t="str">
        <f>Translations!$B$783</f>
        <v>Patērētā atlikumgāze</v>
      </c>
      <c r="F1065" s="1652"/>
      <c r="G1065" s="1652"/>
      <c r="H1065" s="465" t="str">
        <f>EUconst_TJpa</f>
        <v>TJ / gads</v>
      </c>
      <c r="I1065" s="523" t="str">
        <f>IF(COUNT(I1063:I1064)=2,I1063*I1064/1000,"")</f>
        <v/>
      </c>
      <c r="J1065" s="523" t="str">
        <f>IF(COUNT(J1063:J1064)=2,J1063*J1064/1000,"")</f>
        <v/>
      </c>
      <c r="K1065" s="523" t="str">
        <f>IF(COUNT(K1063:K1064)=2,K1063*K1064/1000,"")</f>
        <v/>
      </c>
      <c r="L1065" s="523" t="str">
        <f>IF(COUNT(L1063:L1064)=2,L1063*L1064/1000,"")</f>
        <v/>
      </c>
      <c r="M1065" s="523" t="str">
        <f>IF(COUNT(M1063:M1064)=2,M1063*M1064/1000,"")</f>
        <v/>
      </c>
      <c r="N1065" s="1205"/>
      <c r="O1065" s="25"/>
      <c r="P1065" s="979" t="str">
        <f>EUconst_CNTR_WGConsumed &amp; I942</f>
        <v>WasteGasCons_</v>
      </c>
      <c r="R1065" s="955"/>
      <c r="S1065" s="955"/>
      <c r="T1065" s="955"/>
      <c r="U1065" s="955"/>
      <c r="V1065" s="955"/>
      <c r="W1065" s="955"/>
      <c r="AA1065" s="607"/>
    </row>
    <row r="1066" spans="2:27" ht="12.75" customHeight="1" x14ac:dyDescent="0.2">
      <c r="B1066" s="224"/>
      <c r="C1066" s="977"/>
      <c r="D1066" s="695" t="s">
        <v>16</v>
      </c>
      <c r="E1066" s="1651" t="str">
        <f>Translations!$B$784</f>
        <v>Īpatnējais EF (patērētā atlikumgāze)</v>
      </c>
      <c r="F1066" s="1652"/>
      <c r="G1066" s="1652"/>
      <c r="H1066" s="465" t="str">
        <f>EUconst_tCO2pTJ</f>
        <v>t CO2 / TJ</v>
      </c>
      <c r="I1066" s="483"/>
      <c r="J1066" s="483"/>
      <c r="K1066" s="483"/>
      <c r="L1066" s="483"/>
      <c r="M1066" s="483"/>
      <c r="N1066" s="661"/>
      <c r="O1066" s="25"/>
      <c r="P1066" s="979" t="str">
        <f>EUconst_CNTR_WGConsumedEF &amp; I942</f>
        <v>WasteGasConsEF_</v>
      </c>
      <c r="R1066" s="955"/>
      <c r="S1066" s="955"/>
      <c r="T1066" s="955"/>
      <c r="U1066" s="955"/>
      <c r="V1066" s="955"/>
      <c r="W1066" s="955"/>
      <c r="AA1066" s="361" t="b">
        <f>AA1064</f>
        <v>0</v>
      </c>
    </row>
    <row r="1067" spans="2:27" ht="5.0999999999999996" customHeight="1" x14ac:dyDescent="0.2">
      <c r="B1067" s="224"/>
      <c r="C1067" s="977"/>
      <c r="D1067" s="978"/>
      <c r="E1067" s="978"/>
      <c r="F1067" s="978"/>
      <c r="G1067" s="978"/>
      <c r="H1067" s="978"/>
      <c r="I1067" s="978"/>
      <c r="J1067" s="978"/>
      <c r="K1067" s="978"/>
      <c r="L1067" s="978"/>
      <c r="M1067" s="980"/>
      <c r="N1067" s="661"/>
      <c r="O1067" s="25"/>
      <c r="P1067" s="955"/>
      <c r="R1067" s="955"/>
      <c r="S1067" s="955"/>
      <c r="AA1067" s="607"/>
    </row>
    <row r="1068" spans="2:27" ht="12.75" customHeight="1" x14ac:dyDescent="0.2">
      <c r="B1068" s="224"/>
      <c r="C1068" s="977"/>
      <c r="D1068" s="695" t="s">
        <v>17</v>
      </c>
      <c r="E1068" s="1663" t="str">
        <f>Translations!$B$785</f>
        <v>Lāpā sadedzināto atlikumgāzu veidi:</v>
      </c>
      <c r="F1068" s="1663"/>
      <c r="G1068" s="1663"/>
      <c r="H1068" s="1663"/>
      <c r="I1068" s="1664"/>
      <c r="J1068" s="1665"/>
      <c r="K1068" s="1665"/>
      <c r="L1068" s="1665"/>
      <c r="M1068" s="1666"/>
      <c r="N1068" s="1203"/>
      <c r="O1068" s="25"/>
      <c r="P1068" s="955"/>
      <c r="R1068" s="955"/>
      <c r="AA1068" s="361" t="b">
        <f>AA1058</f>
        <v>0</v>
      </c>
    </row>
    <row r="1069" spans="2:27" ht="5.0999999999999996" customHeight="1" x14ac:dyDescent="0.2">
      <c r="B1069" s="224"/>
      <c r="C1069" s="977"/>
      <c r="D1069" s="978"/>
      <c r="E1069" s="978"/>
      <c r="F1069" s="978"/>
      <c r="G1069" s="978"/>
      <c r="H1069" s="978"/>
      <c r="I1069" s="978"/>
      <c r="J1069" s="978"/>
      <c r="K1069" s="978"/>
      <c r="L1069" s="978"/>
      <c r="M1069" s="980"/>
      <c r="N1069" s="661"/>
      <c r="O1069" s="25"/>
      <c r="P1069" s="955"/>
      <c r="R1069" s="955"/>
    </row>
    <row r="1070" spans="2:27" ht="12.75" customHeight="1" x14ac:dyDescent="0.2">
      <c r="B1070" s="224"/>
      <c r="C1070" s="977"/>
      <c r="D1070" s="978"/>
      <c r="E1070" s="1653"/>
      <c r="F1070" s="1657"/>
      <c r="G1070" s="1657"/>
      <c r="H1070" s="462" t="str">
        <f>EUconst_Unit</f>
        <v>Vienība</v>
      </c>
      <c r="I1070" s="463">
        <f>I$1820</f>
        <v>2019</v>
      </c>
      <c r="J1070" s="463">
        <f>J$1820</f>
        <v>2020</v>
      </c>
      <c r="K1070" s="463">
        <f>K$1820</f>
        <v>2021</v>
      </c>
      <c r="L1070" s="463">
        <f>L$1820</f>
        <v>2022</v>
      </c>
      <c r="M1070" s="463">
        <f>M$1820</f>
        <v>2023</v>
      </c>
      <c r="N1070" s="1205"/>
      <c r="O1070" s="25"/>
      <c r="P1070" s="955"/>
      <c r="AA1070" s="607"/>
    </row>
    <row r="1071" spans="2:27" ht="12.75" customHeight="1" thickBot="1" x14ac:dyDescent="0.25">
      <c r="B1071" s="224"/>
      <c r="C1071" s="977"/>
      <c r="D1071" s="695" t="s">
        <v>438</v>
      </c>
      <c r="E1071" s="1667" t="str">
        <f>Translations!$B$789</f>
        <v>Lāpā sadedzinātie daudzumi</v>
      </c>
      <c r="F1071" s="1660"/>
      <c r="G1071" s="1660"/>
      <c r="H1071" s="245" t="s">
        <v>249</v>
      </c>
      <c r="I1071" s="484"/>
      <c r="J1071" s="484"/>
      <c r="K1071" s="484"/>
      <c r="L1071" s="484"/>
      <c r="M1071" s="484"/>
      <c r="N1071" s="1205"/>
      <c r="O1071" s="25"/>
      <c r="P1071" s="955"/>
      <c r="R1071" s="955" t="s">
        <v>525</v>
      </c>
      <c r="AA1071" s="361" t="b">
        <f>AA1068</f>
        <v>0</v>
      </c>
    </row>
    <row r="1072" spans="2:27" ht="12.75" customHeight="1" thickBot="1" x14ac:dyDescent="0.25">
      <c r="B1072" s="224"/>
      <c r="C1072" s="977"/>
      <c r="D1072" s="695" t="s">
        <v>439</v>
      </c>
      <c r="E1072" s="1737" t="str">
        <f>Translations!$B$470</f>
        <v>Zemākā siltumspēja</v>
      </c>
      <c r="F1072" s="1659"/>
      <c r="G1072" s="1659"/>
      <c r="H1072" s="74" t="e">
        <f>IF(ISBLANK(H1071),EUconst_GJperUnit,INDEX(EUconst_GJperTorKNm3,MATCH(H1071,EUconst_TonnesOrkNm3pa,0)))</f>
        <v>#N/A</v>
      </c>
      <c r="I1072" s="458"/>
      <c r="J1072" s="458"/>
      <c r="K1072" s="458"/>
      <c r="L1072" s="458"/>
      <c r="M1072" s="458"/>
      <c r="N1072" s="1205"/>
      <c r="O1072" s="25"/>
      <c r="R1072" s="708" t="s">
        <v>421</v>
      </c>
      <c r="S1072" s="705">
        <f>I1070</f>
        <v>2019</v>
      </c>
      <c r="T1072" s="706">
        <f>J1070</f>
        <v>2020</v>
      </c>
      <c r="U1072" s="706">
        <f>K1070</f>
        <v>2021</v>
      </c>
      <c r="V1072" s="706">
        <f>L1070</f>
        <v>2022</v>
      </c>
      <c r="W1072" s="707">
        <f>M1070</f>
        <v>2023</v>
      </c>
      <c r="AA1072" s="361" t="b">
        <f>AA1071</f>
        <v>0</v>
      </c>
    </row>
    <row r="1073" spans="1:27" ht="12.75" customHeight="1" thickBot="1" x14ac:dyDescent="0.25">
      <c r="B1073" s="224"/>
      <c r="C1073" s="977"/>
      <c r="D1073" s="695" t="s">
        <v>440</v>
      </c>
      <c r="E1073" s="1651" t="str">
        <f>Translations!$B$790</f>
        <v>Lāpā sadedzinātā atlikumgāze</v>
      </c>
      <c r="F1073" s="1652"/>
      <c r="G1073" s="1652"/>
      <c r="H1073" s="465" t="str">
        <f>EUconst_TJpa</f>
        <v>TJ / gads</v>
      </c>
      <c r="I1073" s="523" t="str">
        <f>IF(COUNT(I1071:I1072)=2,I1071*I1072/1000,"")</f>
        <v/>
      </c>
      <c r="J1073" s="523" t="str">
        <f>IF(COUNT(J1071:J1072)=2,J1071*J1072/1000,"")</f>
        <v/>
      </c>
      <c r="K1073" s="523" t="str">
        <f>IF(COUNT(K1071:K1072)=2,K1071*K1072/1000,"")</f>
        <v/>
      </c>
      <c r="L1073" s="523" t="str">
        <f>IF(COUNT(L1071:L1072)=2,L1071*L1072/1000,"")</f>
        <v/>
      </c>
      <c r="M1073" s="523" t="str">
        <f>IF(COUNT(M1071:M1072)=2,M1071*M1072/1000,"")</f>
        <v/>
      </c>
      <c r="N1073" s="1205"/>
      <c r="O1073" s="25"/>
      <c r="P1073" s="979" t="str">
        <f>EUconst_CNTR_WGFlared &amp; I942</f>
        <v>WasteGasFlare_</v>
      </c>
      <c r="R1073" s="363" t="str">
        <f>IF(COUNT(S1073:W1073)&gt;0,AVERAGE(S1073:W1073),"")</f>
        <v/>
      </c>
      <c r="S1073" s="454" t="str">
        <f>IF(S942,IF(ISNUMBER(I1073),I1073,0),"")</f>
        <v/>
      </c>
      <c r="T1073" s="455" t="str">
        <f>IF(T942,IF(ISNUMBER(J1073),J1073,0),"")</f>
        <v/>
      </c>
      <c r="U1073" s="455" t="str">
        <f>IF(U942,IF(ISNUMBER(K1073),K1073,0),"")</f>
        <v/>
      </c>
      <c r="V1073" s="455" t="str">
        <f>IF(V942,IF(ISNUMBER(L1073),L1073,0),"")</f>
        <v/>
      </c>
      <c r="W1073" s="456" t="str">
        <f>IF(W942,IF(ISNUMBER(M1073),M1073,0),"")</f>
        <v/>
      </c>
      <c r="AA1073" s="607"/>
    </row>
    <row r="1074" spans="1:27" ht="12.75" customHeight="1" thickBot="1" x14ac:dyDescent="0.25">
      <c r="B1074" s="224"/>
      <c r="C1074" s="977"/>
      <c r="D1074" s="695" t="s">
        <v>441</v>
      </c>
      <c r="E1074" s="1651" t="str">
        <f>Translations!$B$791</f>
        <v>Īpatnējais EF (lāpā sadedzinātā atlikumgāze)</v>
      </c>
      <c r="F1074" s="1652"/>
      <c r="G1074" s="1652"/>
      <c r="H1074" s="465" t="str">
        <f>EUconst_tCO2pTJ</f>
        <v>t CO2 / TJ</v>
      </c>
      <c r="I1074" s="483"/>
      <c r="J1074" s="483"/>
      <c r="K1074" s="483"/>
      <c r="L1074" s="483"/>
      <c r="M1074" s="483"/>
      <c r="N1074" s="661"/>
      <c r="O1074" s="25"/>
      <c r="P1074" s="979" t="str">
        <f>EUconst_CNTR_WGFlaredEF &amp; I942</f>
        <v>WasteGasFlareEF_</v>
      </c>
      <c r="R1074" s="843" t="str">
        <f>IF(COUNT(S1074:W1074)&gt;0,AVERAGE(S1074:W1074),"")</f>
        <v/>
      </c>
      <c r="S1074" s="454" t="str">
        <f>IF(S942,SUM(I1073)*SUM(I1074),"")</f>
        <v/>
      </c>
      <c r="T1074" s="455" t="str">
        <f>IF(T942,SUM(J1073)*SUM(J1074),"")</f>
        <v/>
      </c>
      <c r="U1074" s="455" t="str">
        <f>IF(U942,SUM(K1073)*SUM(K1074),"")</f>
        <v/>
      </c>
      <c r="V1074" s="455" t="str">
        <f>IF(V942,SUM(L1073)*SUM(L1074),"")</f>
        <v/>
      </c>
      <c r="W1074" s="456" t="str">
        <f>IF(W942,SUM(M1073)*SUM(M1074),"")</f>
        <v/>
      </c>
      <c r="AA1074" s="361" t="b">
        <f>AA1072</f>
        <v>0</v>
      </c>
    </row>
    <row r="1075" spans="1:27" ht="5.0999999999999996" customHeight="1" x14ac:dyDescent="0.2">
      <c r="B1075" s="224"/>
      <c r="C1075" s="977"/>
      <c r="D1075" s="978"/>
      <c r="E1075" s="978"/>
      <c r="F1075" s="978"/>
      <c r="G1075" s="978"/>
      <c r="H1075" s="978"/>
      <c r="I1075" s="978"/>
      <c r="J1075" s="978"/>
      <c r="K1075" s="978"/>
      <c r="L1075" s="978"/>
      <c r="M1075" s="980"/>
      <c r="N1075" s="661"/>
      <c r="O1075" s="25"/>
      <c r="P1075" s="955"/>
      <c r="R1075" s="955"/>
      <c r="S1075" s="955"/>
      <c r="AA1075" s="607"/>
    </row>
    <row r="1076" spans="1:27" ht="12.75" customHeight="1" x14ac:dyDescent="0.2">
      <c r="B1076" s="224"/>
      <c r="C1076" s="977"/>
      <c r="D1076" s="695" t="s">
        <v>442</v>
      </c>
      <c r="E1076" s="1663" t="str">
        <f>Translations!$B$792</f>
        <v>Importēto atlikumgāzu veidi:</v>
      </c>
      <c r="F1076" s="1663"/>
      <c r="G1076" s="1663"/>
      <c r="H1076" s="1663"/>
      <c r="I1076" s="1664"/>
      <c r="J1076" s="1665"/>
      <c r="K1076" s="1665"/>
      <c r="L1076" s="1665"/>
      <c r="M1076" s="1666"/>
      <c r="N1076" s="661"/>
      <c r="O1076" s="25"/>
      <c r="P1076" s="955"/>
      <c r="R1076" s="955"/>
      <c r="AA1076" s="361" t="b">
        <f>AA1056</f>
        <v>0</v>
      </c>
    </row>
    <row r="1077" spans="1:27" ht="5.0999999999999996" customHeight="1" x14ac:dyDescent="0.2">
      <c r="B1077" s="224"/>
      <c r="C1077" s="977"/>
      <c r="D1077" s="978"/>
      <c r="E1077" s="978"/>
      <c r="F1077" s="978"/>
      <c r="G1077" s="978"/>
      <c r="H1077" s="978"/>
      <c r="I1077" s="978"/>
      <c r="J1077" s="978"/>
      <c r="K1077" s="978"/>
      <c r="L1077" s="978"/>
      <c r="M1077" s="980"/>
      <c r="N1077" s="661"/>
      <c r="O1077" s="25"/>
      <c r="P1077" s="955"/>
      <c r="R1077" s="955"/>
    </row>
    <row r="1078" spans="1:27" ht="12.75" customHeight="1" x14ac:dyDescent="0.2">
      <c r="B1078" s="224"/>
      <c r="C1078" s="977"/>
      <c r="D1078" s="978"/>
      <c r="E1078" s="1653"/>
      <c r="F1078" s="1657"/>
      <c r="G1078" s="1657"/>
      <c r="H1078" s="462" t="str">
        <f>EUconst_Unit</f>
        <v>Vienība</v>
      </c>
      <c r="I1078" s="463">
        <f>I$1820</f>
        <v>2019</v>
      </c>
      <c r="J1078" s="463">
        <f>J$1820</f>
        <v>2020</v>
      </c>
      <c r="K1078" s="463">
        <f>K$1820</f>
        <v>2021</v>
      </c>
      <c r="L1078" s="463">
        <f>L$1820</f>
        <v>2022</v>
      </c>
      <c r="M1078" s="463">
        <f>M$1820</f>
        <v>2023</v>
      </c>
      <c r="N1078" s="1205"/>
      <c r="O1078" s="25"/>
      <c r="P1078" s="955"/>
      <c r="R1078" s="955"/>
      <c r="S1078" s="955"/>
      <c r="AA1078" s="607"/>
    </row>
    <row r="1079" spans="1:27" ht="12.75" customHeight="1" thickBot="1" x14ac:dyDescent="0.25">
      <c r="B1079" s="224"/>
      <c r="C1079" s="977"/>
      <c r="D1079" s="695" t="s">
        <v>443</v>
      </c>
      <c r="E1079" s="1667" t="str">
        <f>Translations!$B$795</f>
        <v>Importētie daudzumi</v>
      </c>
      <c r="F1079" s="1660"/>
      <c r="G1079" s="1660"/>
      <c r="H1079" s="245" t="s">
        <v>249</v>
      </c>
      <c r="I1079" s="484"/>
      <c r="J1079" s="484"/>
      <c r="K1079" s="484"/>
      <c r="L1079" s="484"/>
      <c r="M1079" s="484"/>
      <c r="N1079" s="1205"/>
      <c r="O1079" s="25"/>
      <c r="P1079" s="955"/>
      <c r="R1079" s="955"/>
      <c r="S1079" s="955"/>
      <c r="AA1079" s="361" t="b">
        <f>AA1076</f>
        <v>0</v>
      </c>
    </row>
    <row r="1080" spans="1:27" ht="12.75" customHeight="1" x14ac:dyDescent="0.2">
      <c r="B1080" s="224"/>
      <c r="C1080" s="977"/>
      <c r="D1080" s="695" t="s">
        <v>444</v>
      </c>
      <c r="E1080" s="1737" t="str">
        <f>Translations!$B$470</f>
        <v>Zemākā siltumspēja</v>
      </c>
      <c r="F1080" s="1659"/>
      <c r="G1080" s="1659"/>
      <c r="H1080" s="74" t="e">
        <f>IF(ISBLANK(H1079),EUconst_GJperUnit,INDEX(EUconst_GJperTorKNm3,MATCH(H1079,EUconst_TonnesOrkNm3pa,0)))</f>
        <v>#N/A</v>
      </c>
      <c r="I1080" s="458"/>
      <c r="J1080" s="458"/>
      <c r="K1080" s="458"/>
      <c r="L1080" s="458"/>
      <c r="M1080" s="458"/>
      <c r="N1080" s="1205"/>
      <c r="O1080" s="25"/>
      <c r="P1080" s="982"/>
      <c r="R1080" s="970"/>
      <c r="S1080" s="809">
        <f>I1078</f>
        <v>2019</v>
      </c>
      <c r="T1080" s="809">
        <f>J1078</f>
        <v>2020</v>
      </c>
      <c r="U1080" s="809">
        <f>K1078</f>
        <v>2021</v>
      </c>
      <c r="V1080" s="809">
        <f>L1078</f>
        <v>2022</v>
      </c>
      <c r="W1080" s="810">
        <f>M1078</f>
        <v>2023</v>
      </c>
      <c r="AA1080" s="361" t="b">
        <f>AA1079</f>
        <v>0</v>
      </c>
    </row>
    <row r="1081" spans="1:27" ht="12.75" customHeight="1" x14ac:dyDescent="0.2">
      <c r="B1081" s="224"/>
      <c r="C1081" s="977"/>
      <c r="D1081" s="695" t="s">
        <v>445</v>
      </c>
      <c r="E1081" s="1651" t="str">
        <f>Translations!$B$796</f>
        <v>Importētā atlikumgāze</v>
      </c>
      <c r="F1081" s="1652"/>
      <c r="G1081" s="1652"/>
      <c r="H1081" s="465" t="str">
        <f>EUconst_TJpa</f>
        <v>TJ / gads</v>
      </c>
      <c r="I1081" s="448" t="str">
        <f>IF(COUNT(I1079:I1080)=2,I1079*I1080/1000,"")</f>
        <v/>
      </c>
      <c r="J1081" s="448" t="str">
        <f>IF(COUNT(J1079:J1080)=2,J1079*J1080/1000,"")</f>
        <v/>
      </c>
      <c r="K1081" s="448" t="str">
        <f>IF(COUNT(K1079:K1080)=2,K1079*K1080/1000,"")</f>
        <v/>
      </c>
      <c r="L1081" s="448" t="str">
        <f>IF(COUNT(L1079:L1080)=2,L1079*L1080/1000,"")</f>
        <v/>
      </c>
      <c r="M1081" s="448" t="str">
        <f>IF(COUNT(M1079:M1080)=2,M1079*M1080/1000,"")</f>
        <v/>
      </c>
      <c r="N1081" s="1205"/>
      <c r="O1081" s="25"/>
      <c r="P1081" s="979" t="str">
        <f>EUconst_CNTR_WGImport &amp; I942</f>
        <v>WasteGasIm_</v>
      </c>
      <c r="R1081" s="981" t="str">
        <f>EUconst_ERR_AttrEmBMapplied &amp; I942</f>
        <v>ERR_AttrEmBM_ </v>
      </c>
      <c r="S1081" s="134">
        <f>IF(AND(I1081&lt;&gt;"",EUconst_StatusOfDataCollection=""),1,0)</f>
        <v>0</v>
      </c>
      <c r="T1081" s="134">
        <f>IF(AND(J1081&lt;&gt;"",EUconst_StatusOfDataCollection=""),1,0)</f>
        <v>0</v>
      </c>
      <c r="U1081" s="134">
        <f>IF(AND(K1081&lt;&gt;"",EUconst_StatusOfDataCollection=""),1,0)</f>
        <v>0</v>
      </c>
      <c r="V1081" s="134">
        <f>IF(AND(L1081&lt;&gt;"",EUconst_StatusOfDataCollection=""),1,0)</f>
        <v>0</v>
      </c>
      <c r="W1081" s="135">
        <f>IF(AND(M1081&lt;&gt;"",EUconst_StatusOfDataCollection=""),1,0)</f>
        <v>0</v>
      </c>
      <c r="AA1081" s="607"/>
    </row>
    <row r="1082" spans="1:27" s="697" customFormat="1" ht="12.75" customHeight="1" thickBot="1" x14ac:dyDescent="0.25">
      <c r="A1082" s="437"/>
      <c r="B1082" s="224"/>
      <c r="C1082" s="977"/>
      <c r="D1082" s="695" t="s">
        <v>446</v>
      </c>
      <c r="E1082" s="1651" t="str">
        <f>Translations!$B$797</f>
        <v>Īpatnējais EF (importētā atlikumgāze)</v>
      </c>
      <c r="F1082" s="1651"/>
      <c r="G1082" s="1651"/>
      <c r="H1082" s="464" t="str">
        <f>EUconst_tCO2pTJ</f>
        <v>t CO2 / TJ</v>
      </c>
      <c r="I1082" s="761"/>
      <c r="J1082" s="761"/>
      <c r="K1082" s="761"/>
      <c r="L1082" s="761"/>
      <c r="M1082" s="761"/>
      <c r="N1082" s="661"/>
      <c r="O1082" s="25"/>
      <c r="P1082" s="979" t="str">
        <f>EUconst_CNTR_WGImportEF &amp; I942</f>
        <v>WasteGasImEF_</v>
      </c>
      <c r="Q1082" s="437"/>
      <c r="R1082" s="971" t="str">
        <f>EUconst_CNTR_AttributedEmissions &amp; I942</f>
        <v>AttrEmissions_</v>
      </c>
      <c r="S1082" s="137" t="str">
        <f>IF(S942,SUM(I1081)*EUconst_FuelBMvalueForBM,"")</f>
        <v/>
      </c>
      <c r="T1082" s="137" t="str">
        <f>IF(T942,SUM(J1081)*EUconst_FuelBMvalueForBM,"")</f>
        <v/>
      </c>
      <c r="U1082" s="137" t="str">
        <f>IF(U942,SUM(K1081)*EUconst_FuelBMvalueForBM,"")</f>
        <v/>
      </c>
      <c r="V1082" s="137" t="str">
        <f>IF(V942,SUM(L1081)*EUconst_FuelBMvalueForBM,"")</f>
        <v/>
      </c>
      <c r="W1082" s="138" t="str">
        <f>IF(W942,SUM(M1081)*EUconst_FuelBMvalueForBM,"")</f>
        <v/>
      </c>
      <c r="X1082" s="437"/>
      <c r="Y1082" s="437"/>
      <c r="Z1082" s="437"/>
      <c r="AA1082" s="361" t="b">
        <f>AA1080</f>
        <v>0</v>
      </c>
    </row>
    <row r="1083" spans="1:27" ht="5.0999999999999996" customHeight="1" x14ac:dyDescent="0.2">
      <c r="B1083" s="224"/>
      <c r="C1083" s="977"/>
      <c r="D1083" s="978"/>
      <c r="E1083" s="978"/>
      <c r="F1083" s="978"/>
      <c r="G1083" s="978"/>
      <c r="H1083" s="978"/>
      <c r="I1083" s="978"/>
      <c r="J1083" s="978"/>
      <c r="K1083" s="978"/>
      <c r="L1083" s="978"/>
      <c r="M1083" s="980"/>
      <c r="N1083" s="661"/>
      <c r="O1083" s="25"/>
      <c r="P1083" s="955"/>
      <c r="R1083" s="955"/>
      <c r="S1083" s="955"/>
      <c r="AA1083" s="607"/>
    </row>
    <row r="1084" spans="1:27" ht="12.75" customHeight="1" x14ac:dyDescent="0.2">
      <c r="B1084" s="224"/>
      <c r="C1084" s="977"/>
      <c r="D1084" s="695" t="s">
        <v>447</v>
      </c>
      <c r="E1084" s="1663" t="str">
        <f>Translations!$B$798</f>
        <v>Eksportēto atlikumgāzu veidi:</v>
      </c>
      <c r="F1084" s="1663"/>
      <c r="G1084" s="1663"/>
      <c r="H1084" s="1663"/>
      <c r="I1084" s="1664"/>
      <c r="J1084" s="1665"/>
      <c r="K1084" s="1665"/>
      <c r="L1084" s="1665"/>
      <c r="M1084" s="1666"/>
      <c r="N1084" s="1203"/>
      <c r="O1084" s="25"/>
      <c r="P1084" s="955"/>
      <c r="R1084" s="955"/>
      <c r="AA1084" s="361" t="b">
        <f>AA1079</f>
        <v>0</v>
      </c>
    </row>
    <row r="1085" spans="1:27" ht="5.0999999999999996" customHeight="1" x14ac:dyDescent="0.2">
      <c r="B1085" s="224"/>
      <c r="C1085" s="977"/>
      <c r="D1085" s="978"/>
      <c r="E1085" s="978"/>
      <c r="F1085" s="978"/>
      <c r="G1085" s="978"/>
      <c r="H1085" s="978"/>
      <c r="I1085" s="978"/>
      <c r="J1085" s="978"/>
      <c r="K1085" s="978"/>
      <c r="L1085" s="978"/>
      <c r="M1085" s="980"/>
      <c r="N1085" s="661"/>
      <c r="O1085" s="25"/>
      <c r="P1085" s="955"/>
      <c r="R1085" s="955"/>
    </row>
    <row r="1086" spans="1:27" ht="12.75" customHeight="1" x14ac:dyDescent="0.2">
      <c r="B1086" s="224"/>
      <c r="C1086" s="977"/>
      <c r="D1086" s="978"/>
      <c r="E1086" s="1653"/>
      <c r="F1086" s="1657"/>
      <c r="G1086" s="1657"/>
      <c r="H1086" s="462" t="str">
        <f>EUconst_Unit</f>
        <v>Vienība</v>
      </c>
      <c r="I1086" s="463">
        <f>I$1820</f>
        <v>2019</v>
      </c>
      <c r="J1086" s="463">
        <f>J$1820</f>
        <v>2020</v>
      </c>
      <c r="K1086" s="463">
        <f>K$1820</f>
        <v>2021</v>
      </c>
      <c r="L1086" s="463">
        <f>L$1820</f>
        <v>2022</v>
      </c>
      <c r="M1086" s="463">
        <f>M$1820</f>
        <v>2023</v>
      </c>
      <c r="N1086" s="1205"/>
      <c r="O1086" s="25"/>
      <c r="P1086" s="955"/>
      <c r="R1086" s="955"/>
      <c r="S1086" s="955"/>
      <c r="AA1086" s="607"/>
    </row>
    <row r="1087" spans="1:27" ht="12.75" customHeight="1" x14ac:dyDescent="0.2">
      <c r="B1087" s="224"/>
      <c r="C1087" s="977"/>
      <c r="D1087" s="695" t="s">
        <v>448</v>
      </c>
      <c r="E1087" s="1667" t="str">
        <f>Translations!$B$800</f>
        <v>Eksportētie daudzumi</v>
      </c>
      <c r="F1087" s="1660"/>
      <c r="G1087" s="1660"/>
      <c r="H1087" s="245" t="s">
        <v>249</v>
      </c>
      <c r="I1087" s="484"/>
      <c r="J1087" s="484"/>
      <c r="K1087" s="484"/>
      <c r="L1087" s="484"/>
      <c r="M1087" s="484"/>
      <c r="N1087" s="1205"/>
      <c r="O1087" s="25"/>
      <c r="P1087" s="955"/>
      <c r="R1087" s="955"/>
      <c r="S1087" s="955"/>
      <c r="AA1087" s="361" t="b">
        <f>AA1084</f>
        <v>0</v>
      </c>
    </row>
    <row r="1088" spans="1:27" ht="12.75" customHeight="1" thickBot="1" x14ac:dyDescent="0.25">
      <c r="B1088" s="224"/>
      <c r="C1088" s="977"/>
      <c r="D1088" s="695" t="s">
        <v>612</v>
      </c>
      <c r="E1088" s="1737" t="str">
        <f>Translations!$B$470</f>
        <v>Zemākā siltumspēja</v>
      </c>
      <c r="F1088" s="1659"/>
      <c r="G1088" s="1659"/>
      <c r="H1088" s="74" t="e">
        <f>IF(ISBLANK(H1087),EUconst_GJperUnit,INDEX(EUconst_GJperTorKNm3,MATCH(H1087,EUconst_TonnesOrkNm3pa,0)))</f>
        <v>#N/A</v>
      </c>
      <c r="I1088" s="458"/>
      <c r="J1088" s="458"/>
      <c r="K1088" s="458"/>
      <c r="L1088" s="458"/>
      <c r="M1088" s="458"/>
      <c r="N1088" s="1205"/>
      <c r="O1088" s="25"/>
      <c r="P1088" s="982"/>
      <c r="R1088" s="955"/>
      <c r="S1088" s="955"/>
      <c r="AA1088" s="361" t="b">
        <f>AA1087</f>
        <v>0</v>
      </c>
    </row>
    <row r="1089" spans="1:27" ht="12.75" customHeight="1" x14ac:dyDescent="0.2">
      <c r="B1089" s="224"/>
      <c r="C1089" s="977"/>
      <c r="D1089" s="695" t="s">
        <v>613</v>
      </c>
      <c r="E1089" s="1651" t="str">
        <f>Translations!$B$801</f>
        <v>Eksportētā atlikumgāze</v>
      </c>
      <c r="F1089" s="1652"/>
      <c r="G1089" s="1652"/>
      <c r="H1089" s="465" t="str">
        <f>EUconst_TJpa</f>
        <v>TJ / gads</v>
      </c>
      <c r="I1089" s="448" t="str">
        <f>IF(COUNT(I1087:I1088)=2,I1087*I1088/1000,"")</f>
        <v/>
      </c>
      <c r="J1089" s="448" t="str">
        <f>IF(COUNT(J1087:J1088)=2,J1087*J1088/1000,"")</f>
        <v/>
      </c>
      <c r="K1089" s="448" t="str">
        <f>IF(COUNT(K1087:K1088)=2,K1087*K1088/1000,"")</f>
        <v/>
      </c>
      <c r="L1089" s="448" t="str">
        <f>IF(COUNT(L1087:L1088)=2,L1087*L1088/1000,"")</f>
        <v/>
      </c>
      <c r="M1089" s="448" t="str">
        <f>IF(COUNT(M1087:M1088)=2,M1087*M1088/1000,"")</f>
        <v/>
      </c>
      <c r="N1089" s="698"/>
      <c r="O1089" s="25"/>
      <c r="P1089" s="979" t="str">
        <f>EUconst_CNTR_WGExport &amp; I942</f>
        <v>WasteGasEx_</v>
      </c>
      <c r="R1089" s="970"/>
      <c r="S1089" s="809">
        <f>I1086</f>
        <v>2019</v>
      </c>
      <c r="T1089" s="809">
        <f>J1086</f>
        <v>2020</v>
      </c>
      <c r="U1089" s="809">
        <f>K1086</f>
        <v>2021</v>
      </c>
      <c r="V1089" s="809">
        <f>L1086</f>
        <v>2022</v>
      </c>
      <c r="W1089" s="810">
        <f>M1086</f>
        <v>2023</v>
      </c>
      <c r="AA1089" s="607"/>
    </row>
    <row r="1090" spans="1:27" s="697" customFormat="1" ht="12.75" customHeight="1" thickBot="1" x14ac:dyDescent="0.25">
      <c r="A1090" s="20"/>
      <c r="B1090" s="224"/>
      <c r="C1090" s="977"/>
      <c r="D1090" s="695" t="s">
        <v>614</v>
      </c>
      <c r="E1090" s="1651" t="str">
        <f>Translations!$B$802</f>
        <v>Īpatnējais EF (eksportētā atlikumgāze)</v>
      </c>
      <c r="F1090" s="1651"/>
      <c r="G1090" s="1651"/>
      <c r="H1090" s="464" t="str">
        <f>EUconst_tCO2pTJ</f>
        <v>t CO2 / TJ</v>
      </c>
      <c r="I1090" s="761"/>
      <c r="J1090" s="761"/>
      <c r="K1090" s="761"/>
      <c r="L1090" s="761"/>
      <c r="M1090" s="761"/>
      <c r="N1090" s="661"/>
      <c r="O1090" s="25"/>
      <c r="P1090" s="979" t="str">
        <f>EUconst_CNTR_WGExportEF &amp; I942</f>
        <v>WasteGasExEF_</v>
      </c>
      <c r="Q1090" s="437"/>
      <c r="R1090" s="971" t="str">
        <f>EUconst_CNTR_AttributedEmissions &amp; I942</f>
        <v>AttrEmissions_</v>
      </c>
      <c r="S1090" s="137" t="str">
        <f>IF(S942,-SUM(I1089)*EUconst_NGEFvalue*EUconst_WasteGasCorrFactor,"")</f>
        <v/>
      </c>
      <c r="T1090" s="137" t="str">
        <f>IF(T942,-SUM(J1089)*EUconst_NGEFvalue*EUconst_WasteGasCorrFactor,"")</f>
        <v/>
      </c>
      <c r="U1090" s="137" t="str">
        <f>IF(U942,-SUM(K1089)*EUconst_NGEFvalue*EUconst_WasteGasCorrFactor,"")</f>
        <v/>
      </c>
      <c r="V1090" s="137" t="str">
        <f>IF(V942,-SUM(L1089)*EUconst_NGEFvalue*EUconst_WasteGasCorrFactor,"")</f>
        <v/>
      </c>
      <c r="W1090" s="138" t="str">
        <f>IF(W942,-SUM(M1089)*EUconst_NGEFvalue*EUconst_WasteGasCorrFactor,"")</f>
        <v/>
      </c>
      <c r="X1090" s="437"/>
      <c r="Y1090" s="437"/>
      <c r="Z1090" s="437"/>
      <c r="AA1090" s="186" t="b">
        <f>AA1088</f>
        <v>0</v>
      </c>
    </row>
    <row r="1091" spans="1:27" ht="5.0999999999999996" customHeight="1" x14ac:dyDescent="0.2">
      <c r="B1091" s="224"/>
      <c r="C1091" s="977"/>
      <c r="D1091" s="978"/>
      <c r="E1091" s="978"/>
      <c r="F1091" s="978"/>
      <c r="G1091" s="978"/>
      <c r="H1091" s="978"/>
      <c r="I1091" s="978"/>
      <c r="J1091" s="978"/>
      <c r="K1091" s="978"/>
      <c r="L1091" s="978"/>
      <c r="M1091" s="980"/>
      <c r="N1091" s="661"/>
      <c r="O1091" s="25"/>
      <c r="P1091" s="955"/>
      <c r="R1091" s="955"/>
    </row>
    <row r="1092" spans="1:27" ht="12.75" customHeight="1" thickBot="1" x14ac:dyDescent="0.25">
      <c r="B1092" s="224"/>
      <c r="C1092" s="977"/>
      <c r="D1092" s="474" t="s">
        <v>214</v>
      </c>
      <c r="E1092" s="1654" t="str">
        <f>Translations!$B$420</f>
        <v>Elektroenerģijas ražošana</v>
      </c>
      <c r="F1092" s="1655"/>
      <c r="G1092" s="1655"/>
      <c r="H1092" s="1655"/>
      <c r="I1092" s="1655"/>
      <c r="J1092" s="1655"/>
      <c r="K1092" s="1655"/>
      <c r="L1092" s="1655"/>
      <c r="M1092" s="1655"/>
      <c r="N1092" s="1656"/>
      <c r="O1092" s="25"/>
      <c r="P1092" s="955"/>
      <c r="R1092" s="955"/>
    </row>
    <row r="1093" spans="1:27" ht="12.75" customHeight="1" x14ac:dyDescent="0.2">
      <c r="B1093" s="224"/>
      <c r="C1093" s="977"/>
      <c r="D1093" s="474"/>
      <c r="E1093" s="1653"/>
      <c r="F1093" s="1657"/>
      <c r="G1093" s="1657"/>
      <c r="H1093" s="462" t="str">
        <f>EUconst_Unit</f>
        <v>Vienība</v>
      </c>
      <c r="I1093" s="463">
        <f>I$1820</f>
        <v>2019</v>
      </c>
      <c r="J1093" s="463">
        <f>J$1820</f>
        <v>2020</v>
      </c>
      <c r="K1093" s="463">
        <f>K$1820</f>
        <v>2021</v>
      </c>
      <c r="L1093" s="463">
        <f>L$1820</f>
        <v>2022</v>
      </c>
      <c r="M1093" s="463">
        <f>M$1820</f>
        <v>2023</v>
      </c>
      <c r="N1093" s="661"/>
      <c r="O1093" s="25"/>
      <c r="P1093" s="955"/>
      <c r="R1093" s="970"/>
      <c r="S1093" s="809">
        <f>I1093</f>
        <v>2019</v>
      </c>
      <c r="T1093" s="809">
        <f>J1093</f>
        <v>2020</v>
      </c>
      <c r="U1093" s="809">
        <f>K1093</f>
        <v>2021</v>
      </c>
      <c r="V1093" s="809">
        <f>L1093</f>
        <v>2022</v>
      </c>
      <c r="W1093" s="810">
        <f>M1093</f>
        <v>2023</v>
      </c>
    </row>
    <row r="1094" spans="1:27" ht="12.75" customHeight="1" thickBot="1" x14ac:dyDescent="0.25">
      <c r="B1094" s="224"/>
      <c r="C1094" s="977"/>
      <c r="D1094" s="695"/>
      <c r="E1094" s="1651" t="str">
        <f>Translations!$B$805</f>
        <v>Saražotā elektroenerģija</v>
      </c>
      <c r="F1094" s="1652"/>
      <c r="G1094" s="1652"/>
      <c r="H1094" s="465" t="str">
        <f>EUconst_MWhpa</f>
        <v>MWh / gads</v>
      </c>
      <c r="I1094" s="483"/>
      <c r="J1094" s="483"/>
      <c r="K1094" s="483"/>
      <c r="L1094" s="483"/>
      <c r="M1094" s="483"/>
      <c r="N1094" s="1205"/>
      <c r="O1094" s="25"/>
      <c r="P1094" s="979" t="str">
        <f>EUconst_CNTR_ElectricityExported &amp; I942</f>
        <v>ElecEx_</v>
      </c>
      <c r="R1094" s="971" t="str">
        <f>EUconst_CNTR_AttributedEmissions &amp; I942</f>
        <v>AttrEmissions_</v>
      </c>
      <c r="S1094" s="137" t="str">
        <f>IF(S942,-SUM(I1094)*EUconst_ElBM,"")</f>
        <v/>
      </c>
      <c r="T1094" s="137" t="str">
        <f>IF(T942,-SUM(J1094)*EUconst_ElBM,"")</f>
        <v/>
      </c>
      <c r="U1094" s="137" t="str">
        <f>IF(U942,-SUM(K1094)*EUconst_ElBM,"")</f>
        <v/>
      </c>
      <c r="V1094" s="137" t="str">
        <f>IF(V942,-SUM(L1094)*EUconst_ElBM,"")</f>
        <v/>
      </c>
      <c r="W1094" s="138" t="str">
        <f>IF(W942,-SUM(M1094)*EUconst_ElBM,"")</f>
        <v/>
      </c>
    </row>
    <row r="1095" spans="1:27" ht="5.0999999999999996" customHeight="1" x14ac:dyDescent="0.2">
      <c r="B1095" s="224"/>
      <c r="C1095" s="977"/>
      <c r="D1095" s="978"/>
      <c r="E1095" s="978"/>
      <c r="F1095" s="978"/>
      <c r="G1095" s="978"/>
      <c r="H1095" s="978"/>
      <c r="I1095" s="978"/>
      <c r="J1095" s="978"/>
      <c r="K1095" s="978"/>
      <c r="L1095" s="978"/>
      <c r="M1095" s="980"/>
      <c r="N1095" s="661"/>
      <c r="O1095" s="25"/>
      <c r="P1095" s="955"/>
      <c r="R1095" s="955"/>
      <c r="S1095" s="955"/>
    </row>
    <row r="1096" spans="1:27" ht="12.75" customHeight="1" thickBot="1" x14ac:dyDescent="0.25">
      <c r="B1096" s="224"/>
      <c r="C1096" s="977"/>
      <c r="D1096" s="474" t="s">
        <v>77</v>
      </c>
      <c r="E1096" s="1663" t="str">
        <f>Translations!$B$806</f>
        <v>Kopējais saražotās pulpas daudzums</v>
      </c>
      <c r="F1096" s="1663"/>
      <c r="G1096" s="1663"/>
      <c r="H1096" s="1663"/>
      <c r="I1096" s="1663"/>
      <c r="J1096" s="1663"/>
      <c r="K1096" s="1663"/>
      <c r="L1096" s="1663"/>
      <c r="M1096" s="1663"/>
      <c r="N1096" s="1690"/>
      <c r="O1096" s="25"/>
      <c r="S1096" s="955"/>
    </row>
    <row r="1097" spans="1:27" ht="12.75" customHeight="1" thickBot="1" x14ac:dyDescent="0.25">
      <c r="B1097" s="224"/>
      <c r="C1097" s="977"/>
      <c r="D1097" s="695"/>
      <c r="E1097" s="1689" t="str">
        <f>IF(I942="","",IF(INDEX(EUconst_BMlistPulp,MATCH(I942,EUconst_BMlistNames,0)),I942,""))</f>
        <v/>
      </c>
      <c r="F1097" s="1689"/>
      <c r="G1097" s="1689"/>
      <c r="H1097" s="465" t="str">
        <f>EUconst_Tons</f>
        <v>tonnas</v>
      </c>
      <c r="I1097" s="483"/>
      <c r="J1097" s="483"/>
      <c r="K1097" s="483"/>
      <c r="L1097" s="483"/>
      <c r="M1097" s="483"/>
      <c r="N1097" s="1205"/>
      <c r="O1097" s="25"/>
      <c r="P1097" s="979" t="str">
        <f>EUconst_CNTR_HALPulpTotal &amp; I942</f>
        <v>HALPulpTotal_</v>
      </c>
      <c r="R1097" s="955"/>
      <c r="AA1097" s="734" t="b">
        <f>IF(I942&lt;&gt;"",IF(INDEX(EUconst_BMlistPulp,MATCH(I942,EUconst_BMlistNames,0))=TRUE,FALSE,TRUE),FALSE)</f>
        <v>0</v>
      </c>
    </row>
    <row r="1098" spans="1:27" ht="5.0999999999999996" customHeight="1" x14ac:dyDescent="0.2">
      <c r="B1098" s="224"/>
      <c r="C1098" s="977"/>
      <c r="D1098" s="695"/>
      <c r="E1098" s="695"/>
      <c r="F1098" s="695"/>
      <c r="G1098" s="695"/>
      <c r="H1098" s="695"/>
      <c r="I1098" s="695"/>
      <c r="J1098" s="695"/>
      <c r="K1098" s="695"/>
      <c r="L1098" s="695"/>
      <c r="M1098" s="695"/>
      <c r="N1098" s="1205"/>
      <c r="O1098" s="25"/>
      <c r="P1098" s="982"/>
      <c r="R1098" s="955"/>
      <c r="S1098" s="955"/>
    </row>
    <row r="1099" spans="1:27" ht="12.75" customHeight="1" thickBot="1" x14ac:dyDescent="0.25">
      <c r="B1099" s="224"/>
      <c r="C1099" s="977"/>
      <c r="D1099" s="474" t="s">
        <v>322</v>
      </c>
      <c r="E1099" s="1654" t="str">
        <f>Translations!$B$810</f>
        <v>Produktu līmeņatzīmju aptverto starpproduktu imports vai eksports</v>
      </c>
      <c r="F1099" s="1655"/>
      <c r="G1099" s="1655"/>
      <c r="H1099" s="1655"/>
      <c r="I1099" s="1655"/>
      <c r="J1099" s="1655"/>
      <c r="K1099" s="1655"/>
      <c r="L1099" s="1655"/>
      <c r="M1099" s="1655"/>
      <c r="N1099" s="1656"/>
      <c r="O1099" s="25"/>
      <c r="P1099" s="955"/>
      <c r="R1099" s="955"/>
      <c r="S1099" s="955"/>
    </row>
    <row r="1100" spans="1:27" ht="12.75" customHeight="1" thickBot="1" x14ac:dyDescent="0.25">
      <c r="B1100" s="38"/>
      <c r="C1100" s="977"/>
      <c r="D1100" s="695" t="s">
        <v>2</v>
      </c>
      <c r="E1100" s="1732" t="str">
        <f>Translations!$B$813</f>
        <v>Vai notiek produktu līmeņatzīmju aptverto starpproduktu imports vai eksports?</v>
      </c>
      <c r="F1100" s="1732"/>
      <c r="G1100" s="1732"/>
      <c r="H1100" s="1732"/>
      <c r="I1100" s="1732"/>
      <c r="J1100" s="1732"/>
      <c r="K1100" s="1733"/>
      <c r="L1100" s="527"/>
      <c r="M1100" s="461"/>
      <c r="N1100" s="698"/>
      <c r="O1100" s="25"/>
      <c r="W1100" s="966" t="s">
        <v>398</v>
      </c>
      <c r="X1100" s="964" t="b">
        <f>IF(AND(I942&lt;&gt;"",ISBLANK(L1100)),EUconst_Error&amp;"BM"&amp;C942,FALSE)</f>
        <v>0</v>
      </c>
    </row>
    <row r="1101" spans="1:27" ht="5.0999999999999996" customHeight="1" x14ac:dyDescent="0.2">
      <c r="B1101" s="224"/>
      <c r="C1101" s="977"/>
      <c r="D1101" s="695"/>
      <c r="E1101" s="695"/>
      <c r="F1101" s="695"/>
      <c r="G1101" s="695"/>
      <c r="H1101" s="695"/>
      <c r="I1101" s="695"/>
      <c r="J1101" s="695"/>
      <c r="K1101" s="695"/>
      <c r="L1101" s="695"/>
      <c r="M1101" s="695"/>
      <c r="N1101" s="1205"/>
      <c r="O1101" s="25"/>
      <c r="P1101" s="982"/>
      <c r="R1101" s="955"/>
      <c r="S1101" s="955"/>
    </row>
    <row r="1102" spans="1:27" ht="12.75" customHeight="1" thickBot="1" x14ac:dyDescent="0.25">
      <c r="B1102" s="224"/>
      <c r="C1102" s="977"/>
      <c r="D1102" s="524"/>
      <c r="E1102" s="1653" t="str">
        <f>Translations!$B$814</f>
        <v>Importētie daudzumi:</v>
      </c>
      <c r="F1102" s="1657"/>
      <c r="G1102" s="1657"/>
      <c r="H1102" s="525" t="str">
        <f>EUconst_Unit</f>
        <v>Vienība</v>
      </c>
      <c r="I1102" s="463">
        <f>I$1820</f>
        <v>2019</v>
      </c>
      <c r="J1102" s="463">
        <f>J$1820</f>
        <v>2020</v>
      </c>
      <c r="K1102" s="463">
        <f>K$1820</f>
        <v>2021</v>
      </c>
      <c r="L1102" s="463">
        <f>L$1820</f>
        <v>2022</v>
      </c>
      <c r="M1102" s="463">
        <f>M$1820</f>
        <v>2023</v>
      </c>
      <c r="N1102" s="1205"/>
      <c r="O1102" s="25"/>
      <c r="P1102" s="982"/>
      <c r="R1102" s="955"/>
      <c r="S1102" s="955"/>
      <c r="AA1102" s="437" t="s">
        <v>262</v>
      </c>
    </row>
    <row r="1103" spans="1:27" ht="12.75" customHeight="1" x14ac:dyDescent="0.2">
      <c r="B1103" s="224"/>
      <c r="C1103" s="977"/>
      <c r="D1103" s="526" t="s">
        <v>3</v>
      </c>
      <c r="E1103" s="1745"/>
      <c r="F1103" s="1745"/>
      <c r="G1103" s="1745"/>
      <c r="H1103" s="82" t="str">
        <f>IF(E1103&lt;&gt;"",INDEX(EUconst_BMlistUnits,MATCH(E1103,EUconst_BMlistNames,0)),EUconst_Tons)</f>
        <v>tonnas</v>
      </c>
      <c r="I1103" s="334"/>
      <c r="J1103" s="334"/>
      <c r="K1103" s="334"/>
      <c r="L1103" s="334"/>
      <c r="M1103" s="334"/>
      <c r="N1103" s="1205"/>
      <c r="O1103" s="25"/>
      <c r="P1103" s="979" t="str">
        <f>EUconst_CNTR_IntermediateImport &amp; R1103 &amp; "_" &amp; I942</f>
        <v>IntImp_1_</v>
      </c>
      <c r="R1103" s="979">
        <v>1</v>
      </c>
      <c r="S1103" s="955"/>
      <c r="AA1103" s="643" t="b">
        <f>AND(NOT(ISBLANK(L1100)),L1100=FALSE)</f>
        <v>0</v>
      </c>
    </row>
    <row r="1104" spans="1:27" ht="12.75" customHeight="1" x14ac:dyDescent="0.2">
      <c r="B1104" s="224"/>
      <c r="C1104" s="977"/>
      <c r="D1104" s="526" t="s">
        <v>4</v>
      </c>
      <c r="E1104" s="1746"/>
      <c r="F1104" s="1746"/>
      <c r="G1104" s="1746"/>
      <c r="H1104" s="74" t="str">
        <f>IF(E1104&lt;&gt;"",INDEX(EUconst_BMlistUnits,MATCH(E1104,EUconst_BMlistNames,0)),EUconst_Tons)</f>
        <v>tonnas</v>
      </c>
      <c r="I1104" s="333"/>
      <c r="J1104" s="333"/>
      <c r="K1104" s="333"/>
      <c r="L1104" s="333"/>
      <c r="M1104" s="333"/>
      <c r="N1104" s="1205"/>
      <c r="O1104" s="25"/>
      <c r="P1104" s="979" t="str">
        <f>EUconst_CNTR_IntermediateImport &amp; R1104 &amp; "_" &amp; I942</f>
        <v>IntImp_2_</v>
      </c>
      <c r="R1104" s="979">
        <v>2</v>
      </c>
      <c r="S1104" s="955"/>
      <c r="AA1104" s="361" t="b">
        <f>AA1103</f>
        <v>0</v>
      </c>
    </row>
    <row r="1105" spans="2:27" ht="5.0999999999999996" customHeight="1" x14ac:dyDescent="0.2">
      <c r="B1105" s="224"/>
      <c r="C1105" s="977"/>
      <c r="D1105" s="695"/>
      <c r="E1105" s="695"/>
      <c r="F1105" s="695"/>
      <c r="G1105" s="695"/>
      <c r="H1105" s="695"/>
      <c r="I1105" s="695"/>
      <c r="J1105" s="695"/>
      <c r="K1105" s="695"/>
      <c r="L1105" s="695"/>
      <c r="M1105" s="695"/>
      <c r="N1105" s="1205"/>
      <c r="O1105" s="25"/>
      <c r="P1105" s="982"/>
      <c r="R1105" s="955"/>
      <c r="S1105" s="955"/>
      <c r="AA1105" s="607"/>
    </row>
    <row r="1106" spans="2:27" ht="12.75" customHeight="1" x14ac:dyDescent="0.2">
      <c r="B1106" s="224"/>
      <c r="C1106" s="977"/>
      <c r="D1106" s="524"/>
      <c r="E1106" s="1653" t="str">
        <f>Translations!$B$815</f>
        <v>Eksportētie daudzumi:</v>
      </c>
      <c r="F1106" s="1657"/>
      <c r="G1106" s="1657"/>
      <c r="H1106" s="525" t="str">
        <f>EUconst_Unit</f>
        <v>Vienība</v>
      </c>
      <c r="I1106" s="463">
        <f>I$1820</f>
        <v>2019</v>
      </c>
      <c r="J1106" s="463">
        <f>J$1820</f>
        <v>2020</v>
      </c>
      <c r="K1106" s="463">
        <f>K$1820</f>
        <v>2021</v>
      </c>
      <c r="L1106" s="463">
        <f>L$1820</f>
        <v>2022</v>
      </c>
      <c r="M1106" s="463">
        <f>M$1820</f>
        <v>2023</v>
      </c>
      <c r="N1106" s="1205"/>
      <c r="O1106" s="25"/>
      <c r="P1106" s="982"/>
      <c r="R1106" s="955"/>
      <c r="S1106" s="955"/>
      <c r="AA1106" s="607"/>
    </row>
    <row r="1107" spans="2:27" ht="12.75" customHeight="1" x14ac:dyDescent="0.2">
      <c r="B1107" s="224"/>
      <c r="C1107" s="977"/>
      <c r="D1107" s="526" t="s">
        <v>6</v>
      </c>
      <c r="E1107" s="1745"/>
      <c r="F1107" s="1745"/>
      <c r="G1107" s="1745"/>
      <c r="H1107" s="82" t="str">
        <f>IF(E1107&lt;&gt;"",INDEX(EUconst_BMlistUnits,MATCH(E1107,EUconst_BMlistNames,0)),EUconst_Tons)</f>
        <v>tonnas</v>
      </c>
      <c r="I1107" s="334"/>
      <c r="J1107" s="334"/>
      <c r="K1107" s="334"/>
      <c r="L1107" s="334"/>
      <c r="M1107" s="334"/>
      <c r="N1107" s="1205"/>
      <c r="O1107" s="25"/>
      <c r="P1107" s="979" t="str">
        <f>EUconst_CNTR_IntermediateExport &amp; R1103 &amp; "_" &amp; I942</f>
        <v>IntExp_1_</v>
      </c>
      <c r="R1107" s="979">
        <v>1</v>
      </c>
      <c r="S1107" s="955"/>
      <c r="U1107" s="522"/>
      <c r="V1107" s="522"/>
      <c r="AA1107" s="361" t="b">
        <f>AA1103</f>
        <v>0</v>
      </c>
    </row>
    <row r="1108" spans="2:27" ht="12.75" customHeight="1" x14ac:dyDescent="0.2">
      <c r="B1108" s="224"/>
      <c r="C1108" s="977"/>
      <c r="D1108" s="526" t="s">
        <v>303</v>
      </c>
      <c r="E1108" s="1746"/>
      <c r="F1108" s="1746"/>
      <c r="G1108" s="1746"/>
      <c r="H1108" s="74" t="str">
        <f>IF(E1108&lt;&gt;"",INDEX(EUconst_BMlistUnits,MATCH(E1108,EUconst_BMlistNames,0)),EUconst_Tons)</f>
        <v>tonnas</v>
      </c>
      <c r="I1108" s="333"/>
      <c r="J1108" s="333"/>
      <c r="K1108" s="333"/>
      <c r="L1108" s="333"/>
      <c r="M1108" s="333"/>
      <c r="N1108" s="1205"/>
      <c r="O1108" s="25"/>
      <c r="P1108" s="979" t="str">
        <f>EUconst_CNTR_IntermediateExport &amp; R1108 &amp; "_" &amp; I942</f>
        <v>IntExp_2_</v>
      </c>
      <c r="R1108" s="979">
        <v>2</v>
      </c>
      <c r="S1108" s="955"/>
      <c r="U1108" s="522"/>
      <c r="V1108" s="522"/>
      <c r="AA1108" s="361" t="b">
        <f>AA1103</f>
        <v>0</v>
      </c>
    </row>
    <row r="1109" spans="2:27" ht="5.0999999999999996" customHeight="1" x14ac:dyDescent="0.2">
      <c r="B1109" s="224"/>
      <c r="C1109" s="977"/>
      <c r="D1109" s="695"/>
      <c r="E1109" s="695"/>
      <c r="F1109" s="695"/>
      <c r="G1109" s="695"/>
      <c r="H1109" s="695"/>
      <c r="I1109" s="695"/>
      <c r="J1109" s="695"/>
      <c r="K1109" s="695"/>
      <c r="L1109" s="695"/>
      <c r="M1109" s="695"/>
      <c r="N1109" s="1205"/>
      <c r="O1109" s="25"/>
      <c r="P1109" s="982"/>
      <c r="R1109" s="955"/>
      <c r="S1109" s="955"/>
      <c r="U1109" s="522"/>
      <c r="V1109" s="522"/>
      <c r="AA1109" s="607"/>
    </row>
    <row r="1110" spans="2:27" ht="12.75" customHeight="1" x14ac:dyDescent="0.2">
      <c r="B1110" s="224"/>
      <c r="C1110" s="977"/>
      <c r="D1110" s="526" t="s">
        <v>304</v>
      </c>
      <c r="E1110" s="1738" t="str">
        <f>Translations!$B$816</f>
        <v>Importēto vai eksportēto starpproduktu apraksts</v>
      </c>
      <c r="F1110" s="1738"/>
      <c r="G1110" s="1738"/>
      <c r="H1110" s="1738"/>
      <c r="I1110" s="1738"/>
      <c r="J1110" s="1738"/>
      <c r="K1110" s="1738"/>
      <c r="L1110" s="1738"/>
      <c r="M1110" s="1738"/>
      <c r="N1110" s="1205"/>
      <c r="O1110" s="25"/>
      <c r="P1110" s="982"/>
      <c r="R1110" s="955"/>
      <c r="S1110" s="955"/>
      <c r="U1110" s="522"/>
      <c r="V1110" s="522"/>
      <c r="AA1110" s="607"/>
    </row>
    <row r="1111" spans="2:27" ht="12.75" customHeight="1" x14ac:dyDescent="0.2">
      <c r="B1111" s="224"/>
      <c r="C1111" s="977"/>
      <c r="D1111" s="695"/>
      <c r="E1111" s="1739"/>
      <c r="F1111" s="1740"/>
      <c r="G1111" s="1740"/>
      <c r="H1111" s="1740"/>
      <c r="I1111" s="1740"/>
      <c r="J1111" s="1740"/>
      <c r="K1111" s="1740"/>
      <c r="L1111" s="1740"/>
      <c r="M1111" s="1741"/>
      <c r="N1111" s="1205"/>
      <c r="O1111" s="25"/>
      <c r="P1111" s="982"/>
      <c r="R1111" s="955"/>
      <c r="S1111" s="955"/>
      <c r="U1111" s="522"/>
      <c r="V1111" s="522"/>
      <c r="AA1111" s="361" t="b">
        <f>AA1103</f>
        <v>0</v>
      </c>
    </row>
    <row r="1112" spans="2:27" ht="12.75" customHeight="1" thickBot="1" x14ac:dyDescent="0.25">
      <c r="B1112" s="224"/>
      <c r="C1112" s="977"/>
      <c r="D1112" s="695"/>
      <c r="E1112" s="1742"/>
      <c r="F1112" s="1743"/>
      <c r="G1112" s="1743"/>
      <c r="H1112" s="1743"/>
      <c r="I1112" s="1743"/>
      <c r="J1112" s="1743"/>
      <c r="K1112" s="1743"/>
      <c r="L1112" s="1743"/>
      <c r="M1112" s="1744"/>
      <c r="N1112" s="1205"/>
      <c r="O1112" s="25"/>
      <c r="P1112" s="982"/>
      <c r="R1112" s="955"/>
      <c r="S1112" s="955"/>
      <c r="U1112" s="522"/>
      <c r="V1112" s="522"/>
      <c r="AA1112" s="186" t="b">
        <f>AA1103</f>
        <v>0</v>
      </c>
    </row>
    <row r="1113" spans="2:27" ht="12.75" customHeight="1" thickBot="1" x14ac:dyDescent="0.25">
      <c r="B1113" s="224"/>
      <c r="C1113" s="983"/>
      <c r="D1113" s="984"/>
      <c r="E1113" s="984"/>
      <c r="F1113" s="984"/>
      <c r="G1113" s="984"/>
      <c r="H1113" s="984"/>
      <c r="I1113" s="984"/>
      <c r="J1113" s="984"/>
      <c r="K1113" s="984"/>
      <c r="L1113" s="984"/>
      <c r="M1113" s="985"/>
      <c r="N1113" s="986"/>
      <c r="O1113" s="25"/>
      <c r="P1113" s="955"/>
      <c r="R1113" s="955"/>
      <c r="S1113" s="955"/>
    </row>
    <row r="1114" spans="2:27" ht="13.5" thickBot="1" x14ac:dyDescent="0.25">
      <c r="B1114" s="38"/>
      <c r="C1114" s="38"/>
      <c r="D1114" s="38"/>
      <c r="E1114" s="38"/>
      <c r="F1114" s="38"/>
      <c r="G1114" s="38"/>
      <c r="H1114" s="38"/>
      <c r="I1114" s="38"/>
      <c r="J1114" s="38"/>
      <c r="K1114" s="38"/>
      <c r="L1114" s="38"/>
      <c r="M1114" s="38"/>
      <c r="N1114" s="38"/>
      <c r="O1114" s="25"/>
      <c r="P1114" s="362" t="str">
        <f>IF(OR(AND(CNTR_ExistProductSubEntries=FALSE,P942=1),AND(I942&lt;&gt;"",COUNTIF(P1115:$P$1814,"PRINT")=0)),"PRINT","")</f>
        <v/>
      </c>
      <c r="Q1114" s="437" t="s">
        <v>481</v>
      </c>
      <c r="R1114" s="955"/>
      <c r="S1114" s="955"/>
    </row>
    <row r="1115" spans="2:27" ht="5.0999999999999996" customHeight="1" thickBot="1" x14ac:dyDescent="0.25">
      <c r="B1115" s="38"/>
      <c r="C1115" s="987"/>
      <c r="D1115" s="987"/>
      <c r="E1115" s="987"/>
      <c r="F1115" s="987"/>
      <c r="G1115" s="987"/>
      <c r="H1115" s="987"/>
      <c r="I1115" s="987"/>
      <c r="J1115" s="987"/>
      <c r="K1115" s="987"/>
      <c r="L1115" s="987"/>
      <c r="M1115" s="987"/>
      <c r="N1115" s="987"/>
      <c r="O1115" s="25"/>
      <c r="R1115" s="955"/>
      <c r="S1115" s="955"/>
    </row>
    <row r="1116" spans="2:27" ht="15.75" thickBot="1" x14ac:dyDescent="0.25">
      <c r="B1116" s="224"/>
      <c r="C1116" s="965">
        <f>C942+1</f>
        <v>7</v>
      </c>
      <c r="D1116" s="1318" t="str">
        <f>EUconst_BMSubinst &amp; ":"</f>
        <v>Apakšiekārta ar produkta līmeņatzīmi:</v>
      </c>
      <c r="E1116" s="1251"/>
      <c r="F1116" s="1251"/>
      <c r="G1116" s="1251"/>
      <c r="H1116" s="1328"/>
      <c r="I1116" s="1701" t="str">
        <f>IF(INDEX(CNTR_SubInstListIsProdBM,$C1116),INDEX(CNTR_SubInstListNames,$C1116),"")</f>
        <v/>
      </c>
      <c r="J1116" s="1457"/>
      <c r="K1116" s="1457"/>
      <c r="L1116" s="1457"/>
      <c r="M1116" s="1457"/>
      <c r="N1116" s="1259"/>
      <c r="O1116" s="25"/>
      <c r="P1116" s="362">
        <f>C1116</f>
        <v>7</v>
      </c>
      <c r="Q1116" s="966" t="s">
        <v>225</v>
      </c>
      <c r="R1116" s="967" t="str">
        <f>IF(I1116="","",INDEX(CNTR_SubInstStartDate,MATCH($I1116,CNTR_SubInstListNames,0)))</f>
        <v/>
      </c>
      <c r="S1116" s="968" t="b">
        <f>IF($I1116="",FALSE,AND(I$1823,YEAR($R1116)&lt;I$1820))</f>
        <v>0</v>
      </c>
      <c r="T1116" s="968" t="b">
        <f>IF($I1116="",FALSE,AND(J$1823,YEAR($R1116)&lt;J$1820))</f>
        <v>0</v>
      </c>
      <c r="U1116" s="968" t="b">
        <f>IF($I1116="",FALSE,AND(K$1823,YEAR($R1116)&lt;K$1820))</f>
        <v>0</v>
      </c>
      <c r="V1116" s="968" t="b">
        <f>IF($I1116="",FALSE,AND(L$1823,YEAR($R1116)&lt;L$1820))</f>
        <v>0</v>
      </c>
      <c r="W1116" s="968" t="b">
        <f>IF($I1116="",FALSE,AND(M$1823,YEAR($R1116)&lt;M$1820))</f>
        <v>0</v>
      </c>
      <c r="Z1116" s="732" t="s">
        <v>529</v>
      </c>
      <c r="AA1116" s="734" t="b">
        <f>AND(CNTR_ExistSubInstEntries,I1116="")</f>
        <v>0</v>
      </c>
    </row>
    <row r="1117" spans="2:27" ht="5.0999999999999996" customHeight="1" x14ac:dyDescent="0.2">
      <c r="B1117" s="224"/>
      <c r="C1117" s="224"/>
      <c r="D1117" s="224"/>
      <c r="E1117" s="224"/>
      <c r="F1117" s="224"/>
      <c r="G1117" s="224"/>
      <c r="H1117" s="224"/>
      <c r="I1117" s="224"/>
      <c r="J1117" s="224"/>
      <c r="K1117" s="224"/>
      <c r="L1117" s="224"/>
      <c r="M1117" s="34"/>
      <c r="N1117" s="34"/>
      <c r="O1117" s="25"/>
      <c r="P1117" s="955"/>
      <c r="R1117" s="955"/>
      <c r="S1117" s="955"/>
    </row>
    <row r="1118" spans="2:27" ht="13.5" thickBot="1" x14ac:dyDescent="0.25">
      <c r="B1118" s="224"/>
      <c r="C1118" s="224"/>
      <c r="D1118" s="32" t="s">
        <v>165</v>
      </c>
      <c r="E1118" s="1250" t="str">
        <f>Translations!$B$670</f>
        <v>Vēsturiskie darbības līmeņi</v>
      </c>
      <c r="F1118" s="1251"/>
      <c r="G1118" s="1251"/>
      <c r="H1118" s="1251"/>
      <c r="I1118" s="1251"/>
      <c r="J1118" s="1251"/>
      <c r="K1118" s="1251"/>
      <c r="L1118" s="1251"/>
      <c r="M1118" s="1251"/>
      <c r="N1118" s="1251"/>
      <c r="O1118" s="25"/>
      <c r="P1118" s="955"/>
      <c r="R1118" s="955"/>
      <c r="S1118" s="955"/>
    </row>
    <row r="1119" spans="2:27" ht="13.5" customHeight="1" thickBot="1" x14ac:dyDescent="0.25">
      <c r="B1119" s="38"/>
      <c r="C1119" s="38"/>
      <c r="D1119" s="32"/>
      <c r="E1119" s="1320" t="str">
        <f>Translations!$B$676</f>
        <v>Gada darbības līmeņi:</v>
      </c>
      <c r="F1119" s="1320"/>
      <c r="G1119" s="1320"/>
      <c r="H1119" s="52" t="str">
        <f>EUconst_Unit</f>
        <v>Vienība</v>
      </c>
      <c r="I1119" s="412">
        <f>I$1820</f>
        <v>2019</v>
      </c>
      <c r="J1119" s="412">
        <f>J$1820</f>
        <v>2020</v>
      </c>
      <c r="K1119" s="412">
        <f>K$1820</f>
        <v>2021</v>
      </c>
      <c r="L1119" s="412">
        <f>L$1820</f>
        <v>2022</v>
      </c>
      <c r="M1119" s="412">
        <f>M$1820</f>
        <v>2023</v>
      </c>
      <c r="N1119" s="34"/>
      <c r="O1119" s="25"/>
      <c r="P1119" s="955"/>
      <c r="Q1119" s="439" t="s">
        <v>416</v>
      </c>
      <c r="R1119" s="289"/>
      <c r="S1119" s="289"/>
      <c r="T1119" s="289"/>
      <c r="U1119" s="289"/>
      <c r="V1119" s="289"/>
      <c r="W1119" s="290"/>
      <c r="AA1119" s="437" t="s">
        <v>262</v>
      </c>
    </row>
    <row r="1120" spans="2:27" ht="13.5" thickBot="1" x14ac:dyDescent="0.25">
      <c r="B1120" s="38"/>
      <c r="C1120" s="38"/>
      <c r="D1120" s="212" t="s">
        <v>2</v>
      </c>
      <c r="E1120" s="1716" t="str">
        <f>I1116</f>
        <v/>
      </c>
      <c r="F1120" s="1716"/>
      <c r="G1120" s="1716"/>
      <c r="H1120" s="116" t="str">
        <f>IF(INDEX(CNTR_SubInstListIsProdBM,$C1116),INDEX(CNTR_SubInstListHALUnit,$C1116),EUconst_Tons)</f>
        <v>tonnas</v>
      </c>
      <c r="I1120" s="595"/>
      <c r="J1120" s="595"/>
      <c r="K1120" s="595"/>
      <c r="L1120" s="595"/>
      <c r="M1120" s="595"/>
      <c r="N1120" s="34"/>
      <c r="O1120" s="25"/>
      <c r="P1120" s="182" t="s">
        <v>228</v>
      </c>
      <c r="Q1120" s="1023" t="s">
        <v>618</v>
      </c>
      <c r="R1120" s="204" t="s">
        <v>629</v>
      </c>
      <c r="S1120" s="454">
        <f>I1119</f>
        <v>2019</v>
      </c>
      <c r="T1120" s="455">
        <f>J1119</f>
        <v>2020</v>
      </c>
      <c r="U1120" s="455">
        <f>K1119</f>
        <v>2021</v>
      </c>
      <c r="V1120" s="455">
        <f>L1119</f>
        <v>2022</v>
      </c>
      <c r="W1120" s="456">
        <f>M1119</f>
        <v>2023</v>
      </c>
      <c r="Z1120" s="437"/>
      <c r="AA1120" s="643" t="b">
        <f>IF(CNTR_ExistSubInstEntries,AND(I1116&lt;&gt;"",Q1124),FALSE)</f>
        <v>0</v>
      </c>
    </row>
    <row r="1121" spans="1:27" ht="13.5" thickBot="1" x14ac:dyDescent="0.25">
      <c r="B1121" s="38"/>
      <c r="C1121" s="38"/>
      <c r="D1121" s="212" t="s">
        <v>3</v>
      </c>
      <c r="E1121" s="1716" t="str">
        <f>Translations!$B$677</f>
        <v>No lapas “H_SpecialBM”:</v>
      </c>
      <c r="F1121" s="1716"/>
      <c r="G1121" s="1716"/>
      <c r="H1121" s="116" t="str">
        <f>H1120</f>
        <v>tonnas</v>
      </c>
      <c r="I1121" s="336" t="str">
        <f>IF($I1116="","",IF($Q1124,SUMIF(H_SpecialBM!$P$9:$P$401,$P1121,H_SpecialBM!I$9:I$401),""))</f>
        <v/>
      </c>
      <c r="J1121" s="336" t="str">
        <f>IF($I1116="","",IF($Q1124,SUMIF(H_SpecialBM!$P$9:$P$401,$P1121,H_SpecialBM!J$9:J$401),""))</f>
        <v/>
      </c>
      <c r="K1121" s="336" t="str">
        <f>IF($I1116="","",IF($Q1124,SUMIF(H_SpecialBM!$P$9:$P$401,$P1121,H_SpecialBM!K$9:K$401),""))</f>
        <v/>
      </c>
      <c r="L1121" s="336" t="str">
        <f>IF($I1116="","",IF($Q1124,SUMIF(H_SpecialBM!$P$9:$P$401,$P1121,H_SpecialBM!L$9:L$401),""))</f>
        <v/>
      </c>
      <c r="M1121" s="336" t="str">
        <f>IF($I1116="","",IF($Q1124,SUMIF(H_SpecialBM!$P$9:$P$401,$P1121,H_SpecialBM!M$9:M$401),""))</f>
        <v/>
      </c>
      <c r="N1121" s="34"/>
      <c r="O1121" s="25"/>
      <c r="P1121" s="969" t="str">
        <f>EUconst_CNTR_HALspecial&amp;I1116</f>
        <v>HALspecial_</v>
      </c>
      <c r="Q1121" s="1093" t="str">
        <f>IF(COUNT($U1121:$V1121)&gt;0,SUM($U1121:$V1121),"")</f>
        <v/>
      </c>
      <c r="R1121" s="1094" t="str">
        <f>IF(COUNT(S1121:W1121)&gt;0,MEDIAN(S1121:W1121),"")</f>
        <v/>
      </c>
      <c r="S1121" s="1095" t="str">
        <f>IF(S1116,IF(ISNUMBER(I1121),I1121,""),"")</f>
        <v/>
      </c>
      <c r="T1121" s="1096" t="str">
        <f>IF(T1116,IF(ISNUMBER(J1121),J1121,""),"")</f>
        <v/>
      </c>
      <c r="U1121" s="1096" t="str">
        <f>IF(U1116,IF(ISNUMBER(K1121),K1121,""),"")</f>
        <v/>
      </c>
      <c r="V1121" s="1096" t="str">
        <f>IF(V1116,IF(ISNUMBER(L1121),L1121,""),"")</f>
        <v/>
      </c>
      <c r="W1121" s="1094" t="str">
        <f>IF(W1116,IF(ISNUMBER(M1121),M1121,""),"")</f>
        <v/>
      </c>
      <c r="AA1121" s="719" t="b">
        <f>Q1124=FALSE</f>
        <v>0</v>
      </c>
    </row>
    <row r="1122" spans="1:27" ht="13.5" thickBot="1" x14ac:dyDescent="0.25">
      <c r="B1122" s="38"/>
      <c r="C1122" s="38"/>
      <c r="D1122" s="212" t="s">
        <v>4</v>
      </c>
      <c r="E1122" s="1716" t="str">
        <f>Translations!$B$678</f>
        <v>Aprēķinā izmantotās vērtības:</v>
      </c>
      <c r="F1122" s="1716"/>
      <c r="G1122" s="1716"/>
      <c r="H1122" s="116" t="str">
        <f>H1121</f>
        <v>tonnas</v>
      </c>
      <c r="I1122" s="336" t="str">
        <f>IF($I1116="","",IF($Q1124=TRUE,IF(ISNUMBER(I1121),I1121,0),IF(ISNUMBER(I1120),I1120,0)))</f>
        <v/>
      </c>
      <c r="J1122" s="336" t="str">
        <f>IF($I1116="","",IF($Q1124=TRUE,IF(ISNUMBER(J1121),J1121,0),IF(ISNUMBER(J1120),J1120,0)))</f>
        <v/>
      </c>
      <c r="K1122" s="336" t="str">
        <f>IF($I1116="","",IF($Q1124=TRUE,IF(ISNUMBER(K1121),K1121,0),IF(ISNUMBER(K1120),K1120,0)))</f>
        <v/>
      </c>
      <c r="L1122" s="336" t="str">
        <f>IF($I1116="","",IF($Q1124=TRUE,IF(ISNUMBER(L1121),L1121,0),IF(ISNUMBER(L1120),L1120,0)))</f>
        <v/>
      </c>
      <c r="M1122" s="336" t="str">
        <f>IF($I1116="","",IF($Q1124=TRUE,IF(ISNUMBER(M1121),M1121,0),IF(ISNUMBER(M1120),M1120,0)))</f>
        <v/>
      </c>
      <c r="N1122" s="34"/>
      <c r="O1122" s="25"/>
      <c r="P1122" s="969" t="str">
        <f>EUconst_CNTR_HAL&amp;I1116</f>
        <v>HAL_</v>
      </c>
      <c r="Q1122" s="1097" t="str">
        <f>IF(COUNT($U1122:$V1122)&gt;0,SUM($U1122:$V1122),"")</f>
        <v/>
      </c>
      <c r="R1122" s="1098" t="str">
        <f>IF(COUNT(S1122:W1122)&gt;0,MEDIAN(S1122:W1122),"")</f>
        <v/>
      </c>
      <c r="S1122" s="1099" t="str">
        <f>IF(S1116,IF(ISNUMBER(I1122),I1122,""),"")</f>
        <v/>
      </c>
      <c r="T1122" s="1100" t="str">
        <f>IF(T1116,IF(ISNUMBER(J1122),J1122,""),"")</f>
        <v/>
      </c>
      <c r="U1122" s="1100" t="str">
        <f>IF(U1116,IF(ISNUMBER(K1122),K1122,""),"")</f>
        <v/>
      </c>
      <c r="V1122" s="1100" t="str">
        <f>IF(V1116,IF(ISNUMBER(L1122),L1122,""),"")</f>
        <v/>
      </c>
      <c r="W1122" s="1098" t="str">
        <f>IF(W1116,IF(ISNUMBER(M1122),M1122,""),"")</f>
        <v/>
      </c>
    </row>
    <row r="1123" spans="1:27" ht="5.0999999999999996" customHeight="1" x14ac:dyDescent="0.2">
      <c r="B1123" s="224"/>
      <c r="C1123" s="224"/>
      <c r="D1123" s="224"/>
      <c r="E1123" s="224"/>
      <c r="F1123" s="224"/>
      <c r="G1123" s="224"/>
      <c r="H1123" s="224"/>
      <c r="I1123" s="224"/>
      <c r="J1123" s="224"/>
      <c r="K1123" s="224"/>
      <c r="L1123" s="224"/>
      <c r="M1123" s="34"/>
      <c r="N1123" s="34"/>
      <c r="O1123" s="25"/>
      <c r="P1123" s="955"/>
      <c r="R1123" s="955"/>
      <c r="S1123" s="955"/>
    </row>
    <row r="1124" spans="1:27" x14ac:dyDescent="0.2">
      <c r="B1124" s="224"/>
      <c r="C1124" s="224"/>
      <c r="D1124" s="32" t="s">
        <v>339</v>
      </c>
      <c r="E1124" s="1250" t="str">
        <f>Translations!$B$679</f>
        <v>Īpašas ziņošanas prasības:</v>
      </c>
      <c r="F1124" s="1250"/>
      <c r="G1124" s="1524"/>
      <c r="H1124" s="1713" t="str">
        <f>IF(I1116="","",HYPERLINK(INDEX(EUconst_BMlistSpecialJumpTable,MATCH(I1116,EUconst_BMlistNames,0)),INDEX(EUconst_BMlistSpecialReporting,MATCH(I1116,EUconst_BMlistNames,0))))</f>
        <v/>
      </c>
      <c r="I1124" s="1718"/>
      <c r="J1124" s="1718"/>
      <c r="K1124" s="1718"/>
      <c r="L1124" s="1718"/>
      <c r="M1124" s="1718"/>
      <c r="N1124" s="1719"/>
      <c r="O1124" s="25"/>
      <c r="P1124" s="966" t="s">
        <v>37</v>
      </c>
      <c r="Q1124" s="134" t="str">
        <f>IF(I1116="","",IF(AND(INDEX(EUconst_BMlistSpecialJumpTable,MATCH(I1116,EUconst_BMlistNames,0))&lt;&gt;"",INDEX(EUconst_BMlistMainNumberOfBM,MATCH(I1116,EUconst_BMlistNames,0))&lt;&gt;47),TRUE,FALSE))</f>
        <v/>
      </c>
      <c r="R1124" s="966" t="s">
        <v>574</v>
      </c>
      <c r="S1124" s="134" t="b">
        <f>IF(I1116="",FALSE,INDEX(CNTR_SubInstLess1Year,MATCH(I1116,CNTR_SubInstListNames,0)))</f>
        <v>0</v>
      </c>
    </row>
    <row r="1125" spans="1:27" ht="5.0999999999999996" customHeight="1" x14ac:dyDescent="0.2">
      <c r="B1125" s="224"/>
      <c r="C1125" s="224"/>
      <c r="D1125" s="224"/>
      <c r="E1125" s="224"/>
      <c r="F1125" s="224"/>
      <c r="G1125" s="224"/>
      <c r="H1125" s="224"/>
      <c r="I1125" s="224"/>
      <c r="J1125" s="224"/>
      <c r="K1125" s="224"/>
      <c r="L1125" s="224"/>
      <c r="M1125" s="224"/>
      <c r="N1125" s="224"/>
      <c r="O1125" s="25"/>
      <c r="P1125" s="955"/>
      <c r="R1125" s="955"/>
      <c r="S1125" s="955"/>
    </row>
    <row r="1126" spans="1:27" ht="12.75" customHeight="1" x14ac:dyDescent="0.2">
      <c r="B1126" s="38"/>
      <c r="C1126" s="38"/>
      <c r="D1126" s="32" t="s">
        <v>11</v>
      </c>
      <c r="E1126" s="1717" t="str">
        <f>Translations!$B$1663</f>
        <v>Elektroenerģijas patēriņš</v>
      </c>
      <c r="F1126" s="1717"/>
      <c r="G1126" s="1717"/>
      <c r="H1126" s="1717"/>
      <c r="I1126" s="1717"/>
      <c r="J1126" s="1717"/>
      <c r="K1126" s="1717"/>
      <c r="L1126" s="1717"/>
      <c r="M1126" s="1717"/>
      <c r="N1126" s="1717"/>
      <c r="O1126" s="25"/>
      <c r="P1126" s="20" t="s">
        <v>192</v>
      </c>
      <c r="Q1126" s="362" t="str">
        <f>"#"&amp;ADDRESS(ROW(D1130),COLUMN(D1130))</f>
        <v>#$D$1130</v>
      </c>
      <c r="R1126" s="955"/>
      <c r="S1126" s="955"/>
      <c r="AA1126" s="955"/>
    </row>
    <row r="1127" spans="1:27" s="697" customFormat="1" ht="13.5" thickBot="1" x14ac:dyDescent="0.25">
      <c r="A1127" s="437"/>
      <c r="B1127" s="414"/>
      <c r="C1127" s="414"/>
      <c r="D1127" s="32"/>
      <c r="E1127" s="1320" t="str">
        <f>Translations!$B$686</f>
        <v>Parametrs</v>
      </c>
      <c r="F1127" s="1275"/>
      <c r="G1127" s="1275"/>
      <c r="H1127" s="52" t="str">
        <f>EUconst_Unit</f>
        <v>Vienība</v>
      </c>
      <c r="I1127" s="412">
        <f>I1119</f>
        <v>2019</v>
      </c>
      <c r="J1127" s="412">
        <f>J1119</f>
        <v>2020</v>
      </c>
      <c r="K1127" s="412">
        <f>K1119</f>
        <v>2021</v>
      </c>
      <c r="L1127" s="412">
        <f>L1119</f>
        <v>2022</v>
      </c>
      <c r="M1127" s="412">
        <f>M1119</f>
        <v>2023</v>
      </c>
      <c r="N1127" s="34"/>
      <c r="O1127" s="25"/>
      <c r="P1127" s="437"/>
      <c r="Q1127" s="437"/>
      <c r="R1127" s="955"/>
      <c r="S1127" s="955"/>
      <c r="T1127" s="955"/>
      <c r="U1127" s="955"/>
      <c r="V1127" s="955"/>
      <c r="W1127" s="955"/>
      <c r="X1127" s="20"/>
      <c r="Y1127" s="20"/>
      <c r="Z1127" s="437"/>
      <c r="AA1127" s="955" t="s">
        <v>633</v>
      </c>
    </row>
    <row r="1128" spans="1:27" s="697" customFormat="1" ht="12.75" customHeight="1" thickBot="1" x14ac:dyDescent="0.25">
      <c r="A1128" s="437"/>
      <c r="B1128" s="414"/>
      <c r="C1128" s="414"/>
      <c r="D1128" s="440"/>
      <c r="E1128" s="1711" t="str">
        <f>Translations!$B$689</f>
        <v>Relevantais elektroenerģijas patēriņš</v>
      </c>
      <c r="F1128" s="1712"/>
      <c r="G1128" s="1712"/>
      <c r="H1128" s="610" t="str">
        <f>EUconst_MWhpa</f>
        <v>MWh / gads</v>
      </c>
      <c r="I1128" s="1102"/>
      <c r="J1128" s="1102"/>
      <c r="K1128" s="1102"/>
      <c r="L1128" s="1102"/>
      <c r="M1128" s="1102"/>
      <c r="N1128" s="34"/>
      <c r="O1128" s="25"/>
      <c r="P1128" s="202" t="str">
        <f>EUconst_CNTR_HAL&amp;EUconst_CNTR_ELEXCH</f>
        <v>HAL_ELEXCH_</v>
      </c>
      <c r="Q1128" s="202" t="str">
        <f>EUconst_CNTR_HAL&amp;EUconst_CNTR_ELEXCH &amp; I1116</f>
        <v>HAL_ELEXCH_</v>
      </c>
      <c r="R1128" s="955"/>
      <c r="S1128" s="955"/>
      <c r="T1128" s="955"/>
      <c r="U1128" s="955"/>
      <c r="V1128" s="955"/>
      <c r="W1128" s="955"/>
      <c r="X1128" s="20"/>
      <c r="Y1128" s="20"/>
      <c r="Z1128" s="437"/>
      <c r="AA1128" s="885" t="b">
        <f>IF(CNTR_ExistSubInstEntries,IF(I1116&lt;&gt;"",IF(INDEX(EUconst_BMlistElExchangability,MATCH(I1116,EUconst_BMlistNames,0)),FALSE,TRUE),TRUE),FALSE)</f>
        <v>0</v>
      </c>
    </row>
    <row r="1129" spans="1:27" ht="5.0999999999999996" customHeight="1" x14ac:dyDescent="0.2">
      <c r="B1129" s="224"/>
      <c r="C1129" s="224"/>
      <c r="D1129" s="224"/>
      <c r="E1129" s="224"/>
      <c r="F1129" s="224"/>
      <c r="G1129" s="224"/>
      <c r="H1129" s="224"/>
      <c r="I1129" s="224"/>
      <c r="J1129" s="224"/>
      <c r="K1129" s="224"/>
      <c r="L1129" s="224"/>
      <c r="M1129" s="34"/>
      <c r="N1129" s="34"/>
      <c r="O1129" s="25"/>
      <c r="P1129" s="955"/>
    </row>
    <row r="1130" spans="1:27" x14ac:dyDescent="0.2">
      <c r="B1130" s="224"/>
      <c r="C1130" s="224"/>
      <c r="D1130" s="32" t="s">
        <v>342</v>
      </c>
      <c r="E1130" s="1250" t="str">
        <f>Translations!$B$692</f>
        <v>No ETS neaptvertām iekārtām vai vienībām importētais siltums:</v>
      </c>
      <c r="F1130" s="1250"/>
      <c r="G1130" s="1250"/>
      <c r="H1130" s="1250"/>
      <c r="I1130" s="1524"/>
      <c r="J1130" s="1713" t="str">
        <f>IF(I1116="","",HYPERLINK(Q1130,EUconst_MsgGoOnIfNotRelevant))</f>
        <v/>
      </c>
      <c r="K1130" s="1714"/>
      <c r="L1130" s="1714"/>
      <c r="M1130" s="1714"/>
      <c r="N1130" s="1715"/>
      <c r="O1130" s="25"/>
      <c r="P1130" s="20" t="s">
        <v>192</v>
      </c>
      <c r="Q1130" s="362" t="str">
        <f>"#"&amp;ADDRESS(ROW(D1137),COLUMN(D1137))</f>
        <v>#$D$1137</v>
      </c>
    </row>
    <row r="1131" spans="1:27" ht="5.0999999999999996" customHeight="1" x14ac:dyDescent="0.2">
      <c r="B1131" s="224"/>
      <c r="C1131" s="224"/>
      <c r="D1131" s="34"/>
      <c r="E1131" s="1319"/>
      <c r="F1131" s="1319"/>
      <c r="G1131" s="1319"/>
      <c r="H1131" s="1319"/>
      <c r="I1131" s="1319"/>
      <c r="J1131" s="1319"/>
      <c r="K1131" s="1319"/>
      <c r="L1131" s="1319"/>
      <c r="M1131" s="1319"/>
      <c r="N1131" s="1319"/>
      <c r="O1131" s="25"/>
      <c r="P1131" s="955"/>
      <c r="R1131" s="955"/>
      <c r="S1131" s="955"/>
    </row>
    <row r="1132" spans="1:27" ht="13.5" thickBot="1" x14ac:dyDescent="0.25">
      <c r="B1132" s="38"/>
      <c r="C1132" s="38"/>
      <c r="D1132" s="32"/>
      <c r="E1132" s="1320" t="str">
        <f>Translations!$B$686</f>
        <v>Parametrs</v>
      </c>
      <c r="F1132" s="1275"/>
      <c r="G1132" s="1275"/>
      <c r="H1132" s="52" t="str">
        <f>EUconst_Unit</f>
        <v>Vienība</v>
      </c>
      <c r="I1132" s="412">
        <f>I1119</f>
        <v>2019</v>
      </c>
      <c r="J1132" s="412">
        <f>J1119</f>
        <v>2020</v>
      </c>
      <c r="K1132" s="412">
        <f>K1119</f>
        <v>2021</v>
      </c>
      <c r="L1132" s="412">
        <f>L1119</f>
        <v>2022</v>
      </c>
      <c r="M1132" s="412">
        <f>M1119</f>
        <v>2023</v>
      </c>
      <c r="N1132" s="34"/>
      <c r="O1132" s="25"/>
      <c r="Q1132" s="63"/>
      <c r="R1132" s="955"/>
      <c r="S1132" s="63">
        <f>I1132</f>
        <v>2019</v>
      </c>
      <c r="T1132" s="63">
        <f>J1132</f>
        <v>2020</v>
      </c>
      <c r="U1132" s="63">
        <f>K1132</f>
        <v>2021</v>
      </c>
      <c r="V1132" s="63">
        <f>L1132</f>
        <v>2022</v>
      </c>
      <c r="W1132" s="63">
        <f>M1132</f>
        <v>2023</v>
      </c>
      <c r="Z1132" s="63"/>
      <c r="AA1132" s="437" t="s">
        <v>262</v>
      </c>
    </row>
    <row r="1133" spans="1:27" ht="13.5" thickBot="1" x14ac:dyDescent="0.25">
      <c r="B1133" s="38"/>
      <c r="C1133" s="38"/>
      <c r="D1133" s="212" t="s">
        <v>2</v>
      </c>
      <c r="E1133" s="1517" t="str">
        <f>Translations!$B$697</f>
        <v>No ETS neaptvertām iekārtām/vienībām importēts izmērāmais siltums</v>
      </c>
      <c r="F1133" s="1517"/>
      <c r="G1133" s="1517"/>
      <c r="H1133" s="66" t="str">
        <f>EUconst_TJpa</f>
        <v>TJ / gads</v>
      </c>
      <c r="I1133" s="330"/>
      <c r="J1133" s="330"/>
      <c r="K1133" s="330"/>
      <c r="L1133" s="330"/>
      <c r="M1133" s="330"/>
      <c r="N1133" s="34"/>
      <c r="O1133" s="25"/>
      <c r="P1133" s="134" t="str">
        <f>EUconst_CNTR_HAL&amp;EUconst_CNTR_nonETSMeasHeat</f>
        <v>HAL_ETS neaptverts izmērāmais siltums</v>
      </c>
      <c r="R1133" s="955"/>
      <c r="S1133" s="454" t="str">
        <f>IF(S1116,IF(ISNUMBER(I1133),I1133,0),"")</f>
        <v/>
      </c>
      <c r="T1133" s="455" t="str">
        <f>IF(T1116,IF(ISNUMBER(J1133),J1133,0),"")</f>
        <v/>
      </c>
      <c r="U1133" s="455" t="str">
        <f>IF(U1116,IF(ISNUMBER(K1133),K1133,0),"")</f>
        <v/>
      </c>
      <c r="V1133" s="455" t="str">
        <f>IF(V1116,IF(ISNUMBER(L1133),L1133,0),"")</f>
        <v/>
      </c>
      <c r="W1133" s="456" t="str">
        <f>IF(W1116,IF(ISNUMBER(M1133),M1133,0),"")</f>
        <v/>
      </c>
      <c r="AA1133" s="643" t="b">
        <f>AND(CNTR_ExistSubInstEntries,I1116="")</f>
        <v>0</v>
      </c>
    </row>
    <row r="1134" spans="1:27" ht="25.5" customHeight="1" thickBot="1" x14ac:dyDescent="0.25">
      <c r="B1134" s="38"/>
      <c r="C1134" s="38"/>
      <c r="D1134" s="212" t="s">
        <v>3</v>
      </c>
      <c r="E1134" s="1541" t="str">
        <f>Translations!$B$698</f>
        <v>Konsekvences pārbaude — saskanība ar lapu “E_Energy flows”:</v>
      </c>
      <c r="F1134" s="1541"/>
      <c r="G1134" s="1541"/>
      <c r="H1134" s="45" t="s">
        <v>393</v>
      </c>
      <c r="I1134" s="317" t="str">
        <f>IF(AND(ISNUMBER(I1133),ISNUMBER(E_EnergyFlows!I$120)), I1133/E_EnergyFlows!I$120*100,"")</f>
        <v/>
      </c>
      <c r="J1134" s="317" t="str">
        <f>IF(AND(ISNUMBER(J1133),ISNUMBER(E_EnergyFlows!J$120)), J1133/E_EnergyFlows!J$120*100,"")</f>
        <v/>
      </c>
      <c r="K1134" s="317" t="str">
        <f>IF(AND(ISNUMBER(K1133),ISNUMBER(E_EnergyFlows!K$120)), K1133/E_EnergyFlows!K$120*100,"")</f>
        <v/>
      </c>
      <c r="L1134" s="317" t="str">
        <f>IF(AND(ISNUMBER(L1133),ISNUMBER(E_EnergyFlows!L$120)), L1133/E_EnergyFlows!L$120*100,"")</f>
        <v/>
      </c>
      <c r="M1134" s="317" t="str">
        <f>IF(AND(ISNUMBER(M1133),ISNUMBER(E_EnergyFlows!M$120)), M1133/E_EnergyFlows!M$120*100,"")</f>
        <v/>
      </c>
      <c r="N1134" s="38"/>
      <c r="O1134" s="25"/>
      <c r="P1134" s="182" t="str">
        <f>EUconst_CNTR_HEAT &amp; I1116</f>
        <v>HEAT_</v>
      </c>
      <c r="Q1134" s="315" t="str">
        <f>IF(COUNT(S1133:X1133)&gt;0,AVERAGE(S1133:X1133)*EUconst_HeatBMvalue,EUconst_NA)</f>
        <v>NA</v>
      </c>
      <c r="R1134" s="955"/>
      <c r="S1134" s="955"/>
      <c r="AA1134" s="607"/>
    </row>
    <row r="1135" spans="1:27" x14ac:dyDescent="0.2">
      <c r="B1135" s="38"/>
      <c r="C1135" s="38"/>
      <c r="D1135" s="212" t="s">
        <v>4</v>
      </c>
      <c r="E1135" s="1373" t="str">
        <f>Translations!$B$699</f>
        <v>Konsekvences pārbaude — saskanība ar k) punkta i. apakšpunktu.</v>
      </c>
      <c r="F1135" s="1550"/>
      <c r="G1135" s="1550"/>
      <c r="H1135" s="48" t="s">
        <v>393</v>
      </c>
      <c r="I1135" s="316" t="str">
        <f>IF(AND(I1211&gt;0,ISNUMBER(I1133)), I1133/I1211*100,"")</f>
        <v/>
      </c>
      <c r="J1135" s="316" t="str">
        <f>IF(AND(J1211&gt;0,ISNUMBER(J1133)), J1133/J1211*100,"")</f>
        <v/>
      </c>
      <c r="K1135" s="316" t="str">
        <f>IF(AND(K1211&gt;0,ISNUMBER(K1133)), K1133/K1211*100,"")</f>
        <v/>
      </c>
      <c r="L1135" s="316" t="str">
        <f>IF(AND(L1211&gt;0,ISNUMBER(L1133)), L1133/L1211*100,"")</f>
        <v/>
      </c>
      <c r="M1135" s="316" t="str">
        <f>IF(AND(M1211&gt;0,ISNUMBER(M1133)), M1133/M1211*100,"")</f>
        <v/>
      </c>
      <c r="N1135" s="38"/>
      <c r="O1135" s="25"/>
      <c r="R1135" s="955"/>
      <c r="S1135" s="955"/>
      <c r="AA1135" s="607"/>
    </row>
    <row r="1136" spans="1:27" ht="12.75" customHeight="1" x14ac:dyDescent="0.2">
      <c r="B1136" s="38"/>
      <c r="C1136" s="38"/>
      <c r="D1136" s="38"/>
      <c r="E1136" s="38"/>
      <c r="F1136" s="38"/>
      <c r="G1136" s="38"/>
      <c r="H1136" s="38"/>
      <c r="I1136" s="125"/>
      <c r="J1136" s="38"/>
      <c r="K1136" s="38"/>
      <c r="L1136" s="38"/>
      <c r="M1136" s="38"/>
      <c r="N1136" s="38"/>
      <c r="O1136" s="25"/>
      <c r="P1136" s="157"/>
      <c r="R1136" s="955"/>
      <c r="S1136" s="955"/>
      <c r="AA1136" s="607"/>
    </row>
    <row r="1137" spans="2:27" ht="15" x14ac:dyDescent="0.2">
      <c r="B1137" s="38"/>
      <c r="C1137" s="972"/>
      <c r="D1137" s="1318" t="str">
        <f>Translations!$B$700</f>
        <v>Ražošanas dati</v>
      </c>
      <c r="E1137" s="1251"/>
      <c r="F1137" s="1251"/>
      <c r="G1137" s="1251"/>
      <c r="H1137" s="1251"/>
      <c r="I1137" s="1251"/>
      <c r="J1137" s="1251"/>
      <c r="K1137" s="1251"/>
      <c r="L1137" s="1251"/>
      <c r="M1137" s="1251"/>
      <c r="N1137" s="1251"/>
      <c r="O1137" s="25"/>
      <c r="R1137" s="955"/>
      <c r="S1137" s="955"/>
      <c r="AA1137" s="607"/>
    </row>
    <row r="1138" spans="2:27" ht="5.0999999999999996" customHeight="1" x14ac:dyDescent="0.2">
      <c r="B1138" s="224"/>
      <c r="C1138" s="224"/>
      <c r="D1138" s="224"/>
      <c r="E1138" s="224"/>
      <c r="F1138" s="224"/>
      <c r="G1138" s="224"/>
      <c r="H1138" s="224"/>
      <c r="I1138" s="224"/>
      <c r="J1138" s="224"/>
      <c r="K1138" s="224"/>
      <c r="L1138" s="224"/>
      <c r="M1138" s="224"/>
      <c r="N1138" s="224"/>
      <c r="O1138" s="25"/>
      <c r="P1138" s="955"/>
      <c r="Q1138" s="955"/>
      <c r="R1138" s="955"/>
      <c r="S1138" s="955"/>
      <c r="AA1138" s="607"/>
    </row>
    <row r="1139" spans="2:27" x14ac:dyDescent="0.2">
      <c r="B1139" s="224"/>
      <c r="C1139" s="32"/>
      <c r="D1139" s="32" t="s">
        <v>12</v>
      </c>
      <c r="E1139" s="1250" t="str">
        <f>Translations!$B$701</f>
        <v>Šajā produkta līmeņatzīmes apakšiekārtā ietverto produktu identificēšana</v>
      </c>
      <c r="F1139" s="1251"/>
      <c r="G1139" s="1251"/>
      <c r="H1139" s="1251"/>
      <c r="I1139" s="1251"/>
      <c r="J1139" s="1251"/>
      <c r="K1139" s="1251"/>
      <c r="L1139" s="1251"/>
      <c r="M1139" s="1251"/>
      <c r="N1139" s="1251"/>
      <c r="O1139" s="25"/>
      <c r="P1139" s="955"/>
      <c r="R1139" s="955"/>
      <c r="S1139" s="955"/>
      <c r="AA1139" s="607"/>
    </row>
    <row r="1140" spans="2:27" ht="5.0999999999999996" customHeight="1" x14ac:dyDescent="0.2">
      <c r="B1140" s="224"/>
      <c r="C1140" s="224"/>
      <c r="D1140" s="224"/>
      <c r="E1140" s="224"/>
      <c r="F1140" s="224"/>
      <c r="G1140" s="224"/>
      <c r="H1140" s="224"/>
      <c r="I1140" s="224"/>
      <c r="J1140" s="224"/>
      <c r="K1140" s="224"/>
      <c r="L1140" s="224"/>
      <c r="M1140" s="224"/>
      <c r="N1140" s="224"/>
      <c r="O1140" s="25"/>
      <c r="P1140" s="955"/>
      <c r="Q1140" s="955"/>
      <c r="R1140" s="955"/>
      <c r="S1140" s="955"/>
      <c r="AA1140" s="607"/>
    </row>
    <row r="1141" spans="2:27" x14ac:dyDescent="0.2">
      <c r="B1141" s="224"/>
      <c r="C1141" s="32"/>
      <c r="D1141" s="32" t="s">
        <v>13</v>
      </c>
      <c r="E1141" s="1250" t="str">
        <f>Translations!$B$706</f>
        <v>Šajā produkta līmeņatzīmes apakšiekārtā ietverto produktu atsevišķie ražošanas līmeņi</v>
      </c>
      <c r="F1141" s="1251"/>
      <c r="G1141" s="1251"/>
      <c r="H1141" s="1251"/>
      <c r="I1141" s="1251"/>
      <c r="J1141" s="1251"/>
      <c r="K1141" s="1251"/>
      <c r="L1141" s="1251"/>
      <c r="M1141" s="1251"/>
      <c r="N1141" s="1251"/>
      <c r="O1141" s="25"/>
      <c r="P1141" s="955"/>
      <c r="R1141" s="955"/>
      <c r="S1141" s="955"/>
      <c r="AA1141" s="607"/>
    </row>
    <row r="1142" spans="2:27" ht="5.0999999999999996" customHeight="1" x14ac:dyDescent="0.2">
      <c r="B1142" s="224"/>
      <c r="C1142" s="224"/>
      <c r="D1142" s="34"/>
      <c r="E1142" s="35"/>
      <c r="F1142" s="35"/>
      <c r="G1142" s="35"/>
      <c r="H1142" s="35"/>
      <c r="I1142" s="35"/>
      <c r="J1142" s="39"/>
      <c r="K1142" s="39"/>
      <c r="L1142" s="39"/>
      <c r="M1142" s="34"/>
      <c r="N1142" s="34"/>
      <c r="O1142" s="25"/>
      <c r="P1142" s="955"/>
      <c r="R1142" s="955"/>
      <c r="S1142" s="955"/>
      <c r="AA1142" s="607"/>
    </row>
    <row r="1143" spans="2:27" ht="25.5" customHeight="1" x14ac:dyDescent="0.2">
      <c r="B1143" s="38"/>
      <c r="C1143" s="38"/>
      <c r="D1143" s="360"/>
      <c r="E1143" s="1121" t="str">
        <f>Translations!$B$1668</f>
        <v>PRODCOM 2010</v>
      </c>
      <c r="F1143" s="1703" t="str">
        <f>Translations!$B$707</f>
        <v>Produkta vai produktu grupas nosaukums</v>
      </c>
      <c r="G1143" s="1704"/>
      <c r="H1143" s="1129" t="str">
        <f>EUconst_Unit</f>
        <v>Vienība</v>
      </c>
      <c r="I1143" s="1130">
        <f>I$1820</f>
        <v>2019</v>
      </c>
      <c r="J1143" s="1130">
        <f>J$1820</f>
        <v>2020</v>
      </c>
      <c r="K1143" s="1130">
        <f>K$1820</f>
        <v>2021</v>
      </c>
      <c r="L1143" s="1130">
        <f>L$1820</f>
        <v>2022</v>
      </c>
      <c r="M1143" s="1130">
        <f>M$1820</f>
        <v>2023</v>
      </c>
      <c r="N1143" s="1131" t="str">
        <f>Translations!$B$1669</f>
        <v>KN kodi</v>
      </c>
      <c r="O1143" s="25"/>
      <c r="R1143" s="955"/>
      <c r="S1143" s="955"/>
      <c r="AA1143" s="607"/>
    </row>
    <row r="1144" spans="2:27" x14ac:dyDescent="0.2">
      <c r="B1144" s="38"/>
      <c r="C1144" s="38"/>
      <c r="D1144" s="55">
        <v>1</v>
      </c>
      <c r="E1144" s="1199"/>
      <c r="F1144" s="1705"/>
      <c r="G1144" s="1706"/>
      <c r="H1144" s="800"/>
      <c r="I1144" s="484"/>
      <c r="J1144" s="484"/>
      <c r="K1144" s="484"/>
      <c r="L1144" s="484"/>
      <c r="M1144" s="484"/>
      <c r="N1144" s="1145"/>
      <c r="O1144" s="25"/>
      <c r="R1144" s="955"/>
      <c r="S1144" s="955"/>
      <c r="AA1144" s="361" t="b">
        <f>AA1133</f>
        <v>0</v>
      </c>
    </row>
    <row r="1145" spans="2:27" x14ac:dyDescent="0.2">
      <c r="B1145" s="38"/>
      <c r="C1145" s="38"/>
      <c r="D1145" s="56">
        <f>D1144+1</f>
        <v>2</v>
      </c>
      <c r="E1145" s="1200"/>
      <c r="F1145" s="1707"/>
      <c r="G1145" s="1708"/>
      <c r="H1145" s="573"/>
      <c r="I1145" s="557"/>
      <c r="J1145" s="557"/>
      <c r="K1145" s="557"/>
      <c r="L1145" s="557"/>
      <c r="M1145" s="557"/>
      <c r="N1145" s="1146"/>
      <c r="O1145" s="25"/>
      <c r="R1145" s="955"/>
      <c r="S1145" s="955"/>
      <c r="AA1145" s="361" t="b">
        <f>AA1144</f>
        <v>0</v>
      </c>
    </row>
    <row r="1146" spans="2:27" x14ac:dyDescent="0.2">
      <c r="B1146" s="38"/>
      <c r="C1146" s="38"/>
      <c r="D1146" s="56">
        <f t="shared" ref="D1146:D1153" si="12">D1145+1</f>
        <v>3</v>
      </c>
      <c r="E1146" s="1200"/>
      <c r="F1146" s="1691"/>
      <c r="G1146" s="1692"/>
      <c r="H1146" s="573"/>
      <c r="I1146" s="557"/>
      <c r="J1146" s="557"/>
      <c r="K1146" s="557"/>
      <c r="L1146" s="557"/>
      <c r="M1146" s="557"/>
      <c r="N1146" s="1147"/>
      <c r="O1146" s="25"/>
      <c r="R1146" s="955"/>
      <c r="S1146" s="955"/>
      <c r="AA1146" s="361" t="b">
        <f t="shared" ref="AA1146:AA1154" si="13">AA1145</f>
        <v>0</v>
      </c>
    </row>
    <row r="1147" spans="2:27" x14ac:dyDescent="0.2">
      <c r="B1147" s="38"/>
      <c r="C1147" s="38"/>
      <c r="D1147" s="56">
        <f t="shared" si="12"/>
        <v>4</v>
      </c>
      <c r="E1147" s="1200"/>
      <c r="F1147" s="1691"/>
      <c r="G1147" s="1692"/>
      <c r="H1147" s="573"/>
      <c r="I1147" s="557"/>
      <c r="J1147" s="557"/>
      <c r="K1147" s="557"/>
      <c r="L1147" s="557"/>
      <c r="M1147" s="557"/>
      <c r="N1147" s="1147"/>
      <c r="O1147" s="25"/>
      <c r="R1147" s="955"/>
      <c r="S1147" s="955"/>
      <c r="AA1147" s="361" t="b">
        <f t="shared" si="13"/>
        <v>0</v>
      </c>
    </row>
    <row r="1148" spans="2:27" x14ac:dyDescent="0.2">
      <c r="B1148" s="38"/>
      <c r="C1148" s="38"/>
      <c r="D1148" s="56">
        <f t="shared" si="12"/>
        <v>5</v>
      </c>
      <c r="E1148" s="1200"/>
      <c r="F1148" s="1691"/>
      <c r="G1148" s="1692"/>
      <c r="H1148" s="573"/>
      <c r="I1148" s="557"/>
      <c r="J1148" s="557"/>
      <c r="K1148" s="557"/>
      <c r="L1148" s="557"/>
      <c r="M1148" s="557"/>
      <c r="N1148" s="1147"/>
      <c r="O1148" s="25"/>
      <c r="R1148" s="955"/>
      <c r="S1148" s="955"/>
      <c r="AA1148" s="361" t="b">
        <f t="shared" si="13"/>
        <v>0</v>
      </c>
    </row>
    <row r="1149" spans="2:27" x14ac:dyDescent="0.2">
      <c r="B1149" s="38"/>
      <c r="C1149" s="38"/>
      <c r="D1149" s="56">
        <f t="shared" si="12"/>
        <v>6</v>
      </c>
      <c r="E1149" s="1200"/>
      <c r="F1149" s="1691"/>
      <c r="G1149" s="1692"/>
      <c r="H1149" s="573"/>
      <c r="I1149" s="557"/>
      <c r="J1149" s="557"/>
      <c r="K1149" s="557"/>
      <c r="L1149" s="557"/>
      <c r="M1149" s="557"/>
      <c r="N1149" s="1146"/>
      <c r="O1149" s="25"/>
      <c r="R1149" s="955"/>
      <c r="S1149" s="955"/>
      <c r="AA1149" s="361" t="b">
        <f t="shared" si="13"/>
        <v>0</v>
      </c>
    </row>
    <row r="1150" spans="2:27" x14ac:dyDescent="0.2">
      <c r="B1150" s="38"/>
      <c r="C1150" s="38"/>
      <c r="D1150" s="56">
        <f t="shared" si="12"/>
        <v>7</v>
      </c>
      <c r="E1150" s="1200"/>
      <c r="F1150" s="1691"/>
      <c r="G1150" s="1692"/>
      <c r="H1150" s="573"/>
      <c r="I1150" s="557"/>
      <c r="J1150" s="557"/>
      <c r="K1150" s="557"/>
      <c r="L1150" s="557"/>
      <c r="M1150" s="557"/>
      <c r="N1150" s="1147"/>
      <c r="O1150" s="25"/>
      <c r="R1150" s="955"/>
      <c r="S1150" s="955"/>
      <c r="AA1150" s="361" t="b">
        <f t="shared" si="13"/>
        <v>0</v>
      </c>
    </row>
    <row r="1151" spans="2:27" x14ac:dyDescent="0.2">
      <c r="B1151" s="38"/>
      <c r="C1151" s="38"/>
      <c r="D1151" s="56">
        <f t="shared" si="12"/>
        <v>8</v>
      </c>
      <c r="E1151" s="1200"/>
      <c r="F1151" s="1691"/>
      <c r="G1151" s="1692"/>
      <c r="H1151" s="573"/>
      <c r="I1151" s="557"/>
      <c r="J1151" s="557"/>
      <c r="K1151" s="557"/>
      <c r="L1151" s="557"/>
      <c r="M1151" s="557"/>
      <c r="N1151" s="1147"/>
      <c r="O1151" s="25"/>
      <c r="R1151" s="955"/>
      <c r="S1151" s="955"/>
      <c r="AA1151" s="361" t="b">
        <f t="shared" si="13"/>
        <v>0</v>
      </c>
    </row>
    <row r="1152" spans="2:27" x14ac:dyDescent="0.2">
      <c r="B1152" s="38"/>
      <c r="C1152" s="38"/>
      <c r="D1152" s="56">
        <f t="shared" si="12"/>
        <v>9</v>
      </c>
      <c r="E1152" s="1200"/>
      <c r="F1152" s="1691"/>
      <c r="G1152" s="1692"/>
      <c r="H1152" s="573"/>
      <c r="I1152" s="557"/>
      <c r="J1152" s="557"/>
      <c r="K1152" s="557"/>
      <c r="L1152" s="557"/>
      <c r="M1152" s="557"/>
      <c r="N1152" s="1147"/>
      <c r="O1152" s="25"/>
      <c r="R1152" s="955"/>
      <c r="S1152" s="955"/>
      <c r="AA1152" s="361" t="b">
        <f t="shared" si="13"/>
        <v>0</v>
      </c>
    </row>
    <row r="1153" spans="2:27" x14ac:dyDescent="0.2">
      <c r="B1153" s="38"/>
      <c r="C1153" s="38"/>
      <c r="D1153" s="59">
        <f t="shared" si="12"/>
        <v>10</v>
      </c>
      <c r="E1153" s="1201"/>
      <c r="F1153" s="1694"/>
      <c r="G1153" s="1695"/>
      <c r="H1153" s="574"/>
      <c r="I1153" s="458"/>
      <c r="J1153" s="458"/>
      <c r="K1153" s="458"/>
      <c r="L1153" s="458"/>
      <c r="M1153" s="458"/>
      <c r="N1153" s="1148"/>
      <c r="O1153" s="25"/>
      <c r="R1153" s="955"/>
      <c r="S1153" s="955"/>
      <c r="AA1153" s="361" t="b">
        <f t="shared" si="13"/>
        <v>0</v>
      </c>
    </row>
    <row r="1154" spans="2:27" ht="12.75" customHeight="1" thickBot="1" x14ac:dyDescent="0.25">
      <c r="B1154" s="38"/>
      <c r="C1154" s="38"/>
      <c r="D1154" s="115"/>
      <c r="E1154" s="1696" t="str">
        <f>Translations!$B$708</f>
        <v>Ražošanas līmeņu summa</v>
      </c>
      <c r="F1154" s="1696"/>
      <c r="G1154" s="1696"/>
      <c r="H1154" s="733"/>
      <c r="I1154" s="343" t="str">
        <f>IF(COUNT(I1144:I1153)&gt;0,SUM(I1144:I1153),"")</f>
        <v/>
      </c>
      <c r="J1154" s="343" t="str">
        <f>IF(COUNT(J1144:J1153)&gt;0,SUM(J1144:J1153),"")</f>
        <v/>
      </c>
      <c r="K1154" s="343" t="str">
        <f>IF(COUNT(K1144:K1153)&gt;0,SUM(K1144:K1153),"")</f>
        <v/>
      </c>
      <c r="L1154" s="343" t="str">
        <f>IF(COUNT(L1144:L1153)&gt;0,SUM(L1144:L1153),"")</f>
        <v/>
      </c>
      <c r="M1154" s="343" t="str">
        <f>IF(COUNT(M1144:M1153)&gt;0,SUM(M1144:M1153),"")</f>
        <v/>
      </c>
      <c r="N1154" s="34"/>
      <c r="O1154" s="25"/>
      <c r="R1154" s="955"/>
      <c r="S1154" s="955"/>
      <c r="AA1154" s="186" t="b">
        <f t="shared" si="13"/>
        <v>0</v>
      </c>
    </row>
    <row r="1155" spans="2:27" ht="12.75" customHeight="1" thickBot="1" x14ac:dyDescent="0.25">
      <c r="B1155" s="224"/>
      <c r="C1155" s="224"/>
      <c r="D1155" s="224"/>
      <c r="E1155" s="224"/>
      <c r="F1155" s="224"/>
      <c r="G1155" s="224"/>
      <c r="H1155" s="224"/>
      <c r="I1155" s="224"/>
      <c r="J1155" s="224"/>
      <c r="K1155" s="224"/>
      <c r="L1155" s="224"/>
      <c r="M1155" s="34"/>
      <c r="N1155" s="34"/>
      <c r="O1155" s="25"/>
      <c r="P1155" s="955"/>
      <c r="R1155" s="955"/>
      <c r="S1155" s="955"/>
    </row>
    <row r="1156" spans="2:27" ht="5.0999999999999996" customHeight="1" x14ac:dyDescent="0.2">
      <c r="B1156" s="224"/>
      <c r="C1156" s="973"/>
      <c r="D1156" s="974"/>
      <c r="E1156" s="974"/>
      <c r="F1156" s="974"/>
      <c r="G1156" s="974"/>
      <c r="H1156" s="974"/>
      <c r="I1156" s="974"/>
      <c r="J1156" s="974"/>
      <c r="K1156" s="974"/>
      <c r="L1156" s="974"/>
      <c r="M1156" s="975"/>
      <c r="N1156" s="976"/>
      <c r="O1156" s="25"/>
      <c r="P1156" s="955"/>
      <c r="R1156" s="955"/>
      <c r="S1156" s="955"/>
    </row>
    <row r="1157" spans="2:27" ht="15" customHeight="1" x14ac:dyDescent="0.2">
      <c r="B1157" s="38"/>
      <c r="C1157" s="977"/>
      <c r="D1157" s="1697" t="str">
        <f>Translations!$B$709</f>
        <v>Dati, kas vajadzīgi, lai noteiktu līmeņatzīmju uzlabošanas rādītāju saskaņā ar ES ETS direktīvas 10.a panta 2. punktu.</v>
      </c>
      <c r="E1157" s="1655"/>
      <c r="F1157" s="1655"/>
      <c r="G1157" s="1655"/>
      <c r="H1157" s="1655"/>
      <c r="I1157" s="1655"/>
      <c r="J1157" s="1655"/>
      <c r="K1157" s="1655"/>
      <c r="L1157" s="1655"/>
      <c r="M1157" s="1655"/>
      <c r="N1157" s="1656"/>
      <c r="O1157" s="25"/>
      <c r="R1157" s="955"/>
      <c r="S1157" s="955"/>
    </row>
    <row r="1158" spans="2:27" ht="5.0999999999999996" customHeight="1" x14ac:dyDescent="0.2">
      <c r="B1158" s="38"/>
      <c r="C1158" s="472"/>
      <c r="D1158" s="461"/>
      <c r="E1158" s="461"/>
      <c r="F1158" s="461"/>
      <c r="G1158" s="461"/>
      <c r="H1158" s="461"/>
      <c r="I1158" s="461"/>
      <c r="J1158" s="461"/>
      <c r="K1158" s="461"/>
      <c r="L1158" s="461"/>
      <c r="M1158" s="461"/>
      <c r="N1158" s="473"/>
      <c r="O1158" s="25"/>
      <c r="R1158" s="955"/>
      <c r="S1158" s="955"/>
    </row>
    <row r="1159" spans="2:27" ht="15" customHeight="1" x14ac:dyDescent="0.2">
      <c r="B1159" s="38"/>
      <c r="C1159" s="472"/>
      <c r="D1159" s="1698" t="str">
        <f>EUconst_BMSubinst &amp; ":"</f>
        <v>Apakšiekārta ar produkta līmeņatzīmi:</v>
      </c>
      <c r="E1159" s="1699"/>
      <c r="F1159" s="1699"/>
      <c r="G1159" s="1699"/>
      <c r="H1159" s="1700"/>
      <c r="I1159" s="1701" t="str">
        <f>I1116</f>
        <v/>
      </c>
      <c r="J1159" s="1457"/>
      <c r="K1159" s="1457"/>
      <c r="L1159" s="1457"/>
      <c r="M1159" s="1457"/>
      <c r="N1159" s="1702"/>
      <c r="O1159" s="25"/>
      <c r="R1159" s="955"/>
      <c r="S1159" s="955"/>
    </row>
    <row r="1160" spans="2:27" ht="5.0999999999999996" customHeight="1" x14ac:dyDescent="0.2">
      <c r="B1160" s="38"/>
      <c r="C1160" s="472"/>
      <c r="D1160" s="461"/>
      <c r="E1160" s="461"/>
      <c r="F1160" s="461"/>
      <c r="G1160" s="461"/>
      <c r="H1160" s="461"/>
      <c r="I1160" s="461"/>
      <c r="J1160" s="461"/>
      <c r="K1160" s="461"/>
      <c r="L1160" s="461"/>
      <c r="M1160" s="461"/>
      <c r="N1160" s="473"/>
      <c r="O1160" s="25"/>
      <c r="R1160" s="955"/>
      <c r="S1160" s="955"/>
    </row>
    <row r="1161" spans="2:27" ht="30" customHeight="1" x14ac:dyDescent="0.2">
      <c r="B1161" s="224"/>
      <c r="C1161" s="977"/>
      <c r="D1161" s="978"/>
      <c r="E1161" s="1670" t="str">
        <f>Translations!$B$710</f>
        <v>Šī apakšsadaļa attiecas uz tādu emisiju attiecināšanu, kas saistītas ar avota plūsmām, emisiju avotiem, izmērāma siltuma un atlikumgāzu importu un eksportu, arī siltuma zudumiem saskaņā ar FAR VII pielikuma 10. iedaļu.</v>
      </c>
      <c r="F1161" s="1670"/>
      <c r="G1161" s="1670"/>
      <c r="H1161" s="1670"/>
      <c r="I1161" s="1670"/>
      <c r="J1161" s="1670"/>
      <c r="K1161" s="1670"/>
      <c r="L1161" s="1670"/>
      <c r="M1161" s="1670"/>
      <c r="N1161" s="698"/>
      <c r="O1161" s="25"/>
      <c r="P1161" s="955"/>
    </row>
    <row r="1162" spans="2:27" ht="30" customHeight="1" x14ac:dyDescent="0.2">
      <c r="B1162" s="224"/>
      <c r="C1162" s="977"/>
      <c r="D1162" s="978"/>
      <c r="E1162" s="1670" t="str">
        <f>Translations!$B$711</f>
        <v xml:space="preserve">Ņemiet vērā, ka, lai gan ir sniegti daži norādījumi par katru no nākamajiem punktiem, papildu informācija būtu jāmeklē Norādījumu dokumentā Nr. 5 (“Monitoring and Reporting in relation to the FAR” — “Ar FAR saistītais monitorings un ziņošana”), kurā ietverti arī piemēri. </v>
      </c>
      <c r="F1162" s="1670"/>
      <c r="G1162" s="1670"/>
      <c r="H1162" s="1670"/>
      <c r="I1162" s="1670"/>
      <c r="J1162" s="1670"/>
      <c r="K1162" s="1670"/>
      <c r="L1162" s="1670"/>
      <c r="M1162" s="1670"/>
      <c r="N1162" s="698"/>
      <c r="O1162" s="25"/>
      <c r="P1162" s="955"/>
    </row>
    <row r="1163" spans="2:27" ht="12.75" customHeight="1" x14ac:dyDescent="0.2">
      <c r="B1163" s="224"/>
      <c r="C1163" s="977"/>
      <c r="D1163" s="978"/>
      <c r="E1163" s="1670" t="str">
        <f>Translations!$B$712</f>
        <v xml:space="preserve">Šos norādījumus var lejupielādēt šeit: </v>
      </c>
      <c r="F1163" s="1268"/>
      <c r="G1163" s="1268"/>
      <c r="H1163" s="1268"/>
      <c r="I1163" s="1268"/>
      <c r="J1163" s="1268"/>
      <c r="K1163" s="1268"/>
      <c r="L1163" s="1268"/>
      <c r="M1163" s="1268"/>
      <c r="N1163" s="698"/>
      <c r="O1163" s="25"/>
      <c r="P1163" s="955"/>
    </row>
    <row r="1164" spans="2:27" ht="15" customHeight="1" x14ac:dyDescent="0.2">
      <c r="B1164" s="224"/>
      <c r="C1164" s="977"/>
      <c r="D1164" s="978"/>
      <c r="E1164" s="1549" t="str">
        <f>Translations!$B$713</f>
        <v>https://ec.europa.eu/clima/policies/ets/allowances_en#tab-0-1</v>
      </c>
      <c r="F1164" s="1549"/>
      <c r="G1164" s="1549"/>
      <c r="H1164" s="1549"/>
      <c r="I1164" s="1549"/>
      <c r="J1164" s="1549"/>
      <c r="K1164" s="1549"/>
      <c r="L1164" s="1549"/>
      <c r="M1164" s="1549"/>
      <c r="N1164" s="698"/>
      <c r="O1164" s="25"/>
      <c r="P1164" s="955"/>
    </row>
    <row r="1165" spans="2:27" ht="5.0999999999999996" customHeight="1" x14ac:dyDescent="0.2">
      <c r="B1165" s="38"/>
      <c r="C1165" s="472"/>
      <c r="D1165" s="461"/>
      <c r="E1165" s="461"/>
      <c r="F1165" s="461"/>
      <c r="G1165" s="461"/>
      <c r="H1165" s="461"/>
      <c r="I1165" s="461"/>
      <c r="J1165" s="461"/>
      <c r="K1165" s="461"/>
      <c r="L1165" s="461"/>
      <c r="M1165" s="461"/>
      <c r="N1165" s="473"/>
      <c r="O1165" s="25"/>
      <c r="R1165" s="955"/>
      <c r="S1165" s="955"/>
    </row>
    <row r="1166" spans="2:27" ht="15" customHeight="1" x14ac:dyDescent="0.2">
      <c r="B1166" s="224"/>
      <c r="C1166" s="977"/>
      <c r="D1166" s="978"/>
      <c r="E1166" s="1693" t="str">
        <f>Translations!$B$714</f>
        <v>Balstoties uz tālāk izdarītajiem ierakstiem, attiecināmās emisijas tiek aprēķinātas kopsavilkuma lapas K III sadaļas 2. punktā.</v>
      </c>
      <c r="F1166" s="1693"/>
      <c r="G1166" s="1693"/>
      <c r="H1166" s="1693"/>
      <c r="I1166" s="1693"/>
      <c r="J1166" s="1693"/>
      <c r="K1166" s="1693"/>
      <c r="L1166" s="1693"/>
      <c r="M1166" s="1693"/>
      <c r="N1166" s="698"/>
      <c r="O1166" s="25"/>
      <c r="P1166" s="955"/>
    </row>
    <row r="1167" spans="2:27" ht="5.0999999999999996" customHeight="1" x14ac:dyDescent="0.2">
      <c r="B1167" s="38"/>
      <c r="C1167" s="472"/>
      <c r="D1167" s="461"/>
      <c r="E1167" s="461"/>
      <c r="F1167" s="461"/>
      <c r="G1167" s="461"/>
      <c r="H1167" s="461"/>
      <c r="I1167" s="461"/>
      <c r="J1167" s="461"/>
      <c r="K1167" s="461"/>
      <c r="L1167" s="461"/>
      <c r="M1167" s="461"/>
      <c r="N1167" s="473"/>
      <c r="O1167" s="25"/>
      <c r="R1167" s="955"/>
      <c r="S1167" s="955"/>
    </row>
    <row r="1168" spans="2:27" ht="12.75" customHeight="1" thickBot="1" x14ac:dyDescent="0.25">
      <c r="B1168" s="224"/>
      <c r="C1168" s="977"/>
      <c r="D1168" s="474" t="s">
        <v>81</v>
      </c>
      <c r="E1168" s="1654" t="str">
        <f>Translations!$B$715</f>
        <v>Uz šo apakšiekārtu tieši attiecināmas emisijas (DirEm* (MP avota plūsmas))</v>
      </c>
      <c r="F1168" s="1655"/>
      <c r="G1168" s="1655"/>
      <c r="H1168" s="1655"/>
      <c r="I1168" s="1655"/>
      <c r="J1168" s="1655"/>
      <c r="K1168" s="1655"/>
      <c r="L1168" s="1655"/>
      <c r="M1168" s="1655"/>
      <c r="N1168" s="1656"/>
      <c r="O1168" s="25"/>
      <c r="P1168" s="955"/>
      <c r="R1168" s="955"/>
      <c r="S1168" s="955"/>
    </row>
    <row r="1169" spans="2:27" ht="12.75" customHeight="1" x14ac:dyDescent="0.2">
      <c r="B1169" s="224"/>
      <c r="C1169" s="977"/>
      <c r="D1169" s="474"/>
      <c r="E1169" s="1653" t="str">
        <f>Translations!$B$725</f>
        <v>Tieši attiecināmās emisijas (DirEm*)</v>
      </c>
      <c r="F1169" s="1657"/>
      <c r="G1169" s="1657"/>
      <c r="H1169" s="462" t="str">
        <f>EUconst_Unit</f>
        <v>Vienība</v>
      </c>
      <c r="I1169" s="463">
        <f>I$1820</f>
        <v>2019</v>
      </c>
      <c r="J1169" s="463">
        <f>J$1820</f>
        <v>2020</v>
      </c>
      <c r="K1169" s="463">
        <f>K$1820</f>
        <v>2021</v>
      </c>
      <c r="L1169" s="463">
        <f>L$1820</f>
        <v>2022</v>
      </c>
      <c r="M1169" s="463">
        <f>M$1820</f>
        <v>2023</v>
      </c>
      <c r="N1169" s="661"/>
      <c r="O1169" s="25"/>
      <c r="P1169" s="955"/>
      <c r="R1169" s="970"/>
      <c r="S1169" s="809">
        <f>I1169</f>
        <v>2019</v>
      </c>
      <c r="T1169" s="809">
        <f>J1169</f>
        <v>2020</v>
      </c>
      <c r="U1169" s="809">
        <f>K1169</f>
        <v>2021</v>
      </c>
      <c r="V1169" s="809">
        <f>L1169</f>
        <v>2022</v>
      </c>
      <c r="W1169" s="810">
        <f>M1169</f>
        <v>2023</v>
      </c>
    </row>
    <row r="1170" spans="2:27" ht="12.75" customHeight="1" thickBot="1" x14ac:dyDescent="0.25">
      <c r="B1170" s="224"/>
      <c r="C1170" s="977"/>
      <c r="D1170" s="978"/>
      <c r="E1170" s="1689" t="str">
        <f>I1116</f>
        <v/>
      </c>
      <c r="F1170" s="1689"/>
      <c r="G1170" s="1689"/>
      <c r="H1170" s="464" t="str">
        <f>EUconst_tCO2epa</f>
        <v>t CO2e/gads</v>
      </c>
      <c r="I1170" s="330"/>
      <c r="J1170" s="330"/>
      <c r="K1170" s="330"/>
      <c r="L1170" s="330"/>
      <c r="M1170" s="330"/>
      <c r="N1170" s="661"/>
      <c r="O1170" s="25"/>
      <c r="P1170" s="979" t="str">
        <f>EUconst_CNTR_Emissions &amp; I1116</f>
        <v>DirEmissions_</v>
      </c>
      <c r="R1170" s="971" t="str">
        <f>EUconst_CNTR_AttributedEmissions &amp; I1116</f>
        <v>AttrEmissions_</v>
      </c>
      <c r="S1170" s="137" t="str">
        <f>IF(S1116,SUM(I1170),"")</f>
        <v/>
      </c>
      <c r="T1170" s="137" t="str">
        <f>IF(T1116,SUM(J1170),"")</f>
        <v/>
      </c>
      <c r="U1170" s="137" t="str">
        <f>IF(U1116,SUM(K1170),"")</f>
        <v/>
      </c>
      <c r="V1170" s="137" t="str">
        <f>IF(V1116,SUM(L1170),"")</f>
        <v/>
      </c>
      <c r="W1170" s="138" t="str">
        <f>IF(W1116,SUM(M1170),"")</f>
        <v/>
      </c>
    </row>
    <row r="1171" spans="2:27" ht="12.75" customHeight="1" x14ac:dyDescent="0.2">
      <c r="B1171" s="224"/>
      <c r="C1171" s="977"/>
      <c r="D1171" s="978"/>
      <c r="E1171" s="978"/>
      <c r="F1171" s="978"/>
      <c r="G1171" s="978"/>
      <c r="H1171" s="978"/>
      <c r="I1171" s="978"/>
      <c r="J1171" s="978"/>
      <c r="K1171" s="978"/>
      <c r="L1171" s="978"/>
      <c r="M1171" s="980"/>
      <c r="N1171" s="661"/>
      <c r="O1171" s="25"/>
      <c r="P1171" s="955"/>
      <c r="R1171" s="955"/>
    </row>
    <row r="1172" spans="2:27" ht="12.75" customHeight="1" x14ac:dyDescent="0.2">
      <c r="B1172" s="224"/>
      <c r="C1172" s="977"/>
      <c r="D1172" s="474" t="s">
        <v>82</v>
      </c>
      <c r="E1172" s="1663" t="str">
        <f>Translations!$B$1670</f>
        <v>Enerģijas ielaide šajā apakšiekārtā un relevantais emisijas faktors</v>
      </c>
      <c r="F1172" s="1663"/>
      <c r="G1172" s="1663"/>
      <c r="H1172" s="1663"/>
      <c r="I1172" s="1663"/>
      <c r="J1172" s="1663"/>
      <c r="K1172" s="1663"/>
      <c r="L1172" s="1663"/>
      <c r="M1172" s="1663"/>
      <c r="N1172" s="1690"/>
      <c r="O1172" s="25"/>
      <c r="P1172" s="955"/>
      <c r="Q1172" s="955"/>
      <c r="R1172" s="955"/>
    </row>
    <row r="1173" spans="2:27" ht="12.75" customHeight="1" x14ac:dyDescent="0.2">
      <c r="B1173" s="224"/>
      <c r="C1173" s="977"/>
      <c r="D1173" s="474"/>
      <c r="E1173" s="1653"/>
      <c r="F1173" s="1657"/>
      <c r="G1173" s="1657"/>
      <c r="H1173" s="462" t="str">
        <f>EUconst_Unit</f>
        <v>Vienība</v>
      </c>
      <c r="I1173" s="463">
        <f>I$1820</f>
        <v>2019</v>
      </c>
      <c r="J1173" s="463">
        <f>J$1820</f>
        <v>2020</v>
      </c>
      <c r="K1173" s="463">
        <f>K$1820</f>
        <v>2021</v>
      </c>
      <c r="L1173" s="463">
        <f>L$1820</f>
        <v>2022</v>
      </c>
      <c r="M1173" s="463">
        <f>M$1820</f>
        <v>2023</v>
      </c>
      <c r="N1173" s="661"/>
      <c r="O1173" s="25"/>
      <c r="P1173" s="955"/>
      <c r="R1173" s="955"/>
    </row>
    <row r="1174" spans="2:27" ht="12.75" customHeight="1" x14ac:dyDescent="0.2">
      <c r="B1174" s="224"/>
      <c r="C1174" s="977"/>
      <c r="D1174" s="695" t="s">
        <v>2</v>
      </c>
      <c r="E1174" s="1651" t="str">
        <f>Translations!$B$1672</f>
        <v>Enerģijas ielaide</v>
      </c>
      <c r="F1174" s="1652"/>
      <c r="G1174" s="1652"/>
      <c r="H1174" s="465" t="str">
        <f>EUconst_TJpa</f>
        <v>TJ / gads</v>
      </c>
      <c r="I1174" s="330"/>
      <c r="J1174" s="330"/>
      <c r="K1174" s="330"/>
      <c r="L1174" s="330"/>
      <c r="M1174" s="330"/>
      <c r="N1174" s="698"/>
      <c r="O1174" s="25"/>
      <c r="P1174" s="979" t="str">
        <f>EUconst_CNTR_FuelInput &amp; I1116</f>
        <v>FuelInput_</v>
      </c>
      <c r="R1174" s="955"/>
    </row>
    <row r="1175" spans="2:27" ht="12.75" customHeight="1" x14ac:dyDescent="0.2">
      <c r="B1175" s="224"/>
      <c r="C1175" s="977"/>
      <c r="D1175" s="695" t="s">
        <v>3</v>
      </c>
      <c r="E1175" s="1709" t="str">
        <f>Translations!$B$732</f>
        <v>Svērtais emisijas faktors</v>
      </c>
      <c r="F1175" s="1710"/>
      <c r="G1175" s="1710"/>
      <c r="H1175" s="577" t="str">
        <f>EUconst_tCO2pTJ</f>
        <v>t CO2 / TJ</v>
      </c>
      <c r="I1175" s="338"/>
      <c r="J1175" s="338"/>
      <c r="K1175" s="338"/>
      <c r="L1175" s="338"/>
      <c r="M1175" s="338"/>
      <c r="N1175" s="661"/>
      <c r="O1175" s="25"/>
      <c r="P1175" s="979" t="str">
        <f>EUconst_CNTR_FuelEF &amp; I1116</f>
        <v>FuelEF_</v>
      </c>
      <c r="R1175" s="955"/>
    </row>
    <row r="1176" spans="2:27" ht="12.75" customHeight="1" x14ac:dyDescent="0.2">
      <c r="B1176" s="224"/>
      <c r="C1176" s="977"/>
      <c r="D1176" s="978"/>
      <c r="E1176" s="978"/>
      <c r="F1176" s="978"/>
      <c r="G1176" s="978"/>
      <c r="H1176" s="978"/>
      <c r="I1176" s="978"/>
      <c r="J1176" s="978"/>
      <c r="K1176" s="978"/>
      <c r="L1176" s="978"/>
      <c r="M1176" s="980"/>
      <c r="N1176" s="661"/>
      <c r="O1176" s="25"/>
      <c r="P1176" s="955"/>
      <c r="R1176" s="955"/>
    </row>
    <row r="1177" spans="2:27" ht="12.75" customHeight="1" thickBot="1" x14ac:dyDescent="0.25">
      <c r="B1177" s="224"/>
      <c r="C1177" s="977"/>
      <c r="D1177" s="474" t="s">
        <v>83</v>
      </c>
      <c r="E1177" s="1663" t="str">
        <f>Translations!$B$733</f>
        <v>Citas iekšējās avota plūsmas, kas importētas uz šo apakšiekārtu vai eksportētas no tās</v>
      </c>
      <c r="F1177" s="1663"/>
      <c r="G1177" s="1663"/>
      <c r="H1177" s="1663"/>
      <c r="I1177" s="1663"/>
      <c r="J1177" s="1663"/>
      <c r="K1177" s="1663"/>
      <c r="L1177" s="1663"/>
      <c r="M1177" s="1663"/>
      <c r="N1177" s="1690"/>
      <c r="O1177" s="25"/>
      <c r="P1177" s="955"/>
      <c r="Q1177" s="955"/>
      <c r="R1177" s="955"/>
    </row>
    <row r="1178" spans="2:27" ht="12.75" customHeight="1" thickBot="1" x14ac:dyDescent="0.25">
      <c r="B1178" s="224"/>
      <c r="C1178" s="977"/>
      <c r="D1178" s="695" t="s">
        <v>2</v>
      </c>
      <c r="E1178" s="1732" t="str">
        <f>Translations!$B$739</f>
        <v>Vai šai apakšiekārtai ir relevantas vēl citas importētas vai eksportētas iekšējās avota plūsmas?</v>
      </c>
      <c r="F1178" s="1732"/>
      <c r="G1178" s="1732"/>
      <c r="H1178" s="1732"/>
      <c r="I1178" s="1732"/>
      <c r="J1178" s="1732"/>
      <c r="K1178" s="1733"/>
      <c r="L1178" s="527"/>
      <c r="M1178" s="1202"/>
      <c r="N1178" s="1203"/>
      <c r="O1178" s="25"/>
      <c r="P1178" s="955"/>
      <c r="R1178" s="955"/>
      <c r="W1178" s="966" t="s">
        <v>398</v>
      </c>
      <c r="X1178" s="964" t="b">
        <f>IF(AND(I1116&lt;&gt;"",ISBLANK(L1178)),EUconst_Error&amp;"BM"&amp;C1116,FALSE)</f>
        <v>0</v>
      </c>
    </row>
    <row r="1179" spans="2:27" ht="5.0999999999999996" customHeight="1" thickBot="1" x14ac:dyDescent="0.25">
      <c r="B1179" s="224"/>
      <c r="C1179" s="977"/>
      <c r="D1179" s="978"/>
      <c r="E1179" s="978"/>
      <c r="F1179" s="978"/>
      <c r="G1179" s="978"/>
      <c r="H1179" s="978"/>
      <c r="I1179" s="978"/>
      <c r="J1179" s="978"/>
      <c r="K1179" s="978"/>
      <c r="L1179" s="978"/>
      <c r="M1179" s="980"/>
      <c r="N1179" s="661"/>
      <c r="O1179" s="25"/>
      <c r="P1179" s="955"/>
      <c r="R1179" s="955"/>
    </row>
    <row r="1180" spans="2:27" ht="12.75" customHeight="1" x14ac:dyDescent="0.2">
      <c r="B1180" s="224"/>
      <c r="C1180" s="977"/>
      <c r="D1180" s="695" t="s">
        <v>3</v>
      </c>
      <c r="E1180" s="1663" t="str">
        <f>Translations!$B$741</f>
        <v>Citu avota plūsmu nosaukums, 1:</v>
      </c>
      <c r="F1180" s="1663"/>
      <c r="G1180" s="1663"/>
      <c r="H1180" s="1663"/>
      <c r="I1180" s="1664"/>
      <c r="J1180" s="1665"/>
      <c r="K1180" s="1665"/>
      <c r="L1180" s="1665"/>
      <c r="M1180" s="1666"/>
      <c r="N1180" s="660"/>
      <c r="O1180" s="25"/>
      <c r="P1180" s="955"/>
      <c r="R1180" s="955"/>
      <c r="AA1180" s="643" t="b">
        <f>IF(I1116&lt;&gt;"",AND(L1178&lt;&gt;"",L1178=FALSE),FALSE)</f>
        <v>0</v>
      </c>
    </row>
    <row r="1181" spans="2:27" ht="5.0999999999999996" customHeight="1" x14ac:dyDescent="0.2">
      <c r="B1181" s="224"/>
      <c r="C1181" s="977"/>
      <c r="D1181" s="978"/>
      <c r="E1181" s="1204"/>
      <c r="F1181" s="1202"/>
      <c r="G1181" s="1202"/>
      <c r="H1181" s="1202"/>
      <c r="I1181" s="1202"/>
      <c r="J1181" s="1202"/>
      <c r="K1181" s="1202"/>
      <c r="L1181" s="1202"/>
      <c r="M1181" s="1202"/>
      <c r="N1181" s="1203"/>
      <c r="O1181" s="25"/>
      <c r="P1181" s="955"/>
      <c r="R1181" s="955"/>
      <c r="AA1181" s="607"/>
    </row>
    <row r="1182" spans="2:27" ht="12.75" customHeight="1" x14ac:dyDescent="0.2">
      <c r="B1182" s="224"/>
      <c r="C1182" s="977"/>
      <c r="D1182" s="978"/>
      <c r="E1182" s="1653" t="str">
        <f>Translations!$B$742</f>
        <v>Citas avota plūsmas, 1:</v>
      </c>
      <c r="F1182" s="1657"/>
      <c r="G1182" s="1657"/>
      <c r="H1182" s="462" t="str">
        <f>EUconst_Unit</f>
        <v>Vienība</v>
      </c>
      <c r="I1182" s="463">
        <f>I$1820</f>
        <v>2019</v>
      </c>
      <c r="J1182" s="463">
        <f>J$1820</f>
        <v>2020</v>
      </c>
      <c r="K1182" s="463">
        <f>K$1820</f>
        <v>2021</v>
      </c>
      <c r="L1182" s="463">
        <f>L$1820</f>
        <v>2022</v>
      </c>
      <c r="M1182" s="463">
        <f>M$1820</f>
        <v>2023</v>
      </c>
      <c r="N1182" s="661"/>
      <c r="O1182" s="25"/>
      <c r="P1182" s="955"/>
      <c r="R1182" s="955"/>
      <c r="AA1182" s="607"/>
    </row>
    <row r="1183" spans="2:27" ht="12.75" customHeight="1" x14ac:dyDescent="0.2">
      <c r="B1183" s="224"/>
      <c r="C1183" s="977"/>
      <c r="D1183" s="695" t="s">
        <v>4</v>
      </c>
      <c r="E1183" s="1667" t="str">
        <f>Translations!$B$743</f>
        <v>Importētais vai eksportētais daudzums</v>
      </c>
      <c r="F1183" s="1660"/>
      <c r="G1183" s="1660"/>
      <c r="H1183" s="466" t="str">
        <f>EUconst_tpa</f>
        <v>t / gads</v>
      </c>
      <c r="I1183" s="348"/>
      <c r="J1183" s="348"/>
      <c r="K1183" s="348"/>
      <c r="L1183" s="348"/>
      <c r="M1183" s="348"/>
      <c r="N1183" s="661"/>
      <c r="O1183" s="25"/>
      <c r="P1183" s="955"/>
      <c r="R1183" s="955"/>
      <c r="AA1183" s="361" t="b">
        <f>AA1180</f>
        <v>0</v>
      </c>
    </row>
    <row r="1184" spans="2:27" ht="12.75" customHeight="1" x14ac:dyDescent="0.2">
      <c r="B1184" s="224"/>
      <c r="C1184" s="977"/>
      <c r="D1184" s="695" t="s">
        <v>6</v>
      </c>
      <c r="E1184" s="1658" t="str">
        <f>Translations!$B$744</f>
        <v>Zemākā siltumspēja (attiecīgā gadījumā)</v>
      </c>
      <c r="F1184" s="1658"/>
      <c r="G1184" s="1658"/>
      <c r="H1184" s="551" t="str">
        <f>EUconst_GJpt</f>
        <v>GJ / t</v>
      </c>
      <c r="I1184" s="347"/>
      <c r="J1184" s="347"/>
      <c r="K1184" s="347"/>
      <c r="L1184" s="347"/>
      <c r="M1184" s="347"/>
      <c r="N1184" s="661"/>
      <c r="O1184" s="25"/>
      <c r="P1184" s="955"/>
      <c r="R1184" s="955"/>
      <c r="AA1184" s="361" t="b">
        <f>AA1183</f>
        <v>0</v>
      </c>
    </row>
    <row r="1185" spans="2:27" ht="12.75" customHeight="1" thickBot="1" x14ac:dyDescent="0.25">
      <c r="B1185" s="224"/>
      <c r="C1185" s="977"/>
      <c r="D1185" s="695" t="s">
        <v>303</v>
      </c>
      <c r="E1185" s="1658" t="str">
        <f>Translations!$B$745</f>
        <v>Oglekļa saturs (masas %)</v>
      </c>
      <c r="F1185" s="1658"/>
      <c r="G1185" s="1658"/>
      <c r="H1185" s="552" t="s">
        <v>341</v>
      </c>
      <c r="I1185" s="347"/>
      <c r="J1185" s="347"/>
      <c r="K1185" s="347"/>
      <c r="L1185" s="347"/>
      <c r="M1185" s="347"/>
      <c r="N1185" s="661"/>
      <c r="O1185" s="25"/>
      <c r="P1185" s="955"/>
      <c r="R1185" s="955"/>
      <c r="AA1185" s="361" t="b">
        <f>AA1184</f>
        <v>0</v>
      </c>
    </row>
    <row r="1186" spans="2:27" ht="12.75" customHeight="1" x14ac:dyDescent="0.2">
      <c r="B1186" s="224"/>
      <c r="C1186" s="977"/>
      <c r="D1186" s="695" t="s">
        <v>304</v>
      </c>
      <c r="E1186" s="1659" t="str">
        <f>Translations!$B$746</f>
        <v>Biomasas saturs (kā oglekļa frakcija)</v>
      </c>
      <c r="F1186" s="1659"/>
      <c r="G1186" s="1659"/>
      <c r="H1186" s="485" t="s">
        <v>341</v>
      </c>
      <c r="I1186" s="345"/>
      <c r="J1186" s="345"/>
      <c r="K1186" s="345"/>
      <c r="L1186" s="345"/>
      <c r="M1186" s="345"/>
      <c r="N1186" s="661"/>
      <c r="O1186" s="25"/>
      <c r="P1186" s="955"/>
      <c r="R1186" s="970"/>
      <c r="S1186" s="809">
        <f>I1182</f>
        <v>2019</v>
      </c>
      <c r="T1186" s="809">
        <f>J1182</f>
        <v>2020</v>
      </c>
      <c r="U1186" s="809">
        <f>K1182</f>
        <v>2021</v>
      </c>
      <c r="V1186" s="809">
        <f>L1182</f>
        <v>2022</v>
      </c>
      <c r="W1186" s="810">
        <f>M1182</f>
        <v>2023</v>
      </c>
      <c r="AA1186" s="361" t="b">
        <f>AA1185</f>
        <v>0</v>
      </c>
    </row>
    <row r="1187" spans="2:27" ht="12.75" customHeight="1" thickBot="1" x14ac:dyDescent="0.25">
      <c r="B1187" s="224"/>
      <c r="C1187" s="977"/>
      <c r="D1187" s="695" t="s">
        <v>305</v>
      </c>
      <c r="E1187" s="1660" t="str">
        <f>Translations!$B$747</f>
        <v>Emisijas (no fosilajiem avotiem, aprēķinātās)</v>
      </c>
      <c r="F1187" s="1660"/>
      <c r="G1187" s="1660"/>
      <c r="H1187" s="553" t="str">
        <f>EUconst_tCO2pa</f>
        <v>t CO2 / gads</v>
      </c>
      <c r="I1187" s="341" t="str">
        <f>IF(AND(COUNT(I1183:I1186)&gt;0,I1190=""),3.664*I1183*(I1185/100)*(1-I1186/100),"")</f>
        <v/>
      </c>
      <c r="J1187" s="341" t="str">
        <f>IF(AND(COUNT(J1183:J1186)&gt;0,J1190=""),3.664*J1183*(J1185/100)*(1-J1186/100),"")</f>
        <v/>
      </c>
      <c r="K1187" s="341" t="str">
        <f>IF(AND(COUNT(K1183:K1186)&gt;0,K1190=""),3.664*K1183*(K1185/100)*(1-K1186/100),"")</f>
        <v/>
      </c>
      <c r="L1187" s="341" t="str">
        <f>IF(AND(COUNT(L1183:L1186)&gt;0,L1190=""),3.664*L1183*(L1185/100)*(1-L1186/100),"")</f>
        <v/>
      </c>
      <c r="M1187" s="341" t="str">
        <f>IF(AND(COUNT(M1183:M1186)&gt;0,M1190=""),3.664*M1183*(M1185/100)*(1-M1186/100),"")</f>
        <v/>
      </c>
      <c r="N1187" s="661"/>
      <c r="O1187" s="25"/>
      <c r="P1187" s="979" t="str">
        <f>EUconst_CNTR_EmissionsIntSource1 &amp; I1116</f>
        <v>EmInternalSource1_</v>
      </c>
      <c r="R1187" s="971" t="str">
        <f>EUconst_CNTR_AttributedEmissions &amp; I1116</f>
        <v>AttrEmissions_</v>
      </c>
      <c r="S1187" s="137" t="str">
        <f>IF(S1116,SUM(I1187),"")</f>
        <v/>
      </c>
      <c r="T1187" s="137" t="str">
        <f>IF(T1116,SUM(J1187),"")</f>
        <v/>
      </c>
      <c r="U1187" s="137" t="str">
        <f>IF(U1116,SUM(K1187),"")</f>
        <v/>
      </c>
      <c r="V1187" s="137" t="str">
        <f>IF(V1116,SUM(L1187),"")</f>
        <v/>
      </c>
      <c r="W1187" s="138" t="str">
        <f>IF(W1116,SUM(M1187),"")</f>
        <v/>
      </c>
      <c r="AA1187" s="607"/>
    </row>
    <row r="1188" spans="2:27" ht="12.75" customHeight="1" x14ac:dyDescent="0.2">
      <c r="B1188" s="224"/>
      <c r="C1188" s="977"/>
      <c r="D1188" s="695" t="s">
        <v>306</v>
      </c>
      <c r="E1188" s="1661" t="str">
        <f>Translations!$B$1617</f>
        <v>Nulles faktora biomasas emisijas</v>
      </c>
      <c r="F1188" s="1661"/>
      <c r="G1188" s="1661"/>
      <c r="H1188" s="554" t="str">
        <f>EUconst_tCO2pa</f>
        <v>t CO2 / gads</v>
      </c>
      <c r="I1188" s="340" t="str">
        <f>IF(ISNUMBER(I1187),3.664*I1183*(I1185/100)*(I1186/100),"")</f>
        <v/>
      </c>
      <c r="J1188" s="340" t="str">
        <f>IF(ISNUMBER(J1187),3.664*J1183*(J1185/100)*(J1186/100),"")</f>
        <v/>
      </c>
      <c r="K1188" s="340" t="str">
        <f>IF(ISNUMBER(K1187),3.664*K1183*(K1185/100)*(K1186/100),"")</f>
        <v/>
      </c>
      <c r="L1188" s="340" t="str">
        <f>IF(ISNUMBER(L1187),3.664*L1183*(L1185/100)*(L1186/100),"")</f>
        <v/>
      </c>
      <c r="M1188" s="340" t="str">
        <f>IF(ISNUMBER(M1187),3.664*M1183*(M1185/100)*(M1186/100),"")</f>
        <v/>
      </c>
      <c r="N1188" s="661"/>
      <c r="O1188" s="25"/>
      <c r="P1188" s="955"/>
      <c r="R1188" s="955"/>
      <c r="AA1188" s="607"/>
    </row>
    <row r="1189" spans="2:27" ht="12.75" customHeight="1" x14ac:dyDescent="0.2">
      <c r="B1189" s="224"/>
      <c r="C1189" s="977"/>
      <c r="D1189" s="695" t="s">
        <v>307</v>
      </c>
      <c r="E1189" s="1659" t="str">
        <f>Translations!$B$749</f>
        <v>Enerģētiskais saturs (aprēķinātais)</v>
      </c>
      <c r="F1189" s="1659"/>
      <c r="G1189" s="1659"/>
      <c r="H1189" s="555" t="str">
        <f>EUconst_TJpa</f>
        <v>TJ / gads</v>
      </c>
      <c r="I1189" s="343" t="str">
        <f>IF(COUNT(I1183:I1184)=2,I1183*I1184/1000,"")</f>
        <v/>
      </c>
      <c r="J1189" s="343" t="str">
        <f>IF(COUNT(J1183:J1184)=2,J1183*J1184/1000,"")</f>
        <v/>
      </c>
      <c r="K1189" s="343" t="str">
        <f>IF(COUNT(K1183:K1184)=2,K1183*K1184/1000,"")</f>
        <v/>
      </c>
      <c r="L1189" s="343" t="str">
        <f>IF(COUNT(L1183:L1184)=2,L1183*L1184/1000,"")</f>
        <v/>
      </c>
      <c r="M1189" s="343" t="str">
        <f>IF(COUNT(M1183:M1184)=2,M1183*M1184/1000,"")</f>
        <v/>
      </c>
      <c r="N1189" s="661"/>
      <c r="O1189" s="25"/>
      <c r="P1189" s="955"/>
      <c r="R1189" s="955"/>
      <c r="AA1189" s="607"/>
    </row>
    <row r="1190" spans="2:27" ht="12.75" customHeight="1" x14ac:dyDescent="0.2">
      <c r="B1190" s="224"/>
      <c r="C1190" s="977"/>
      <c r="D1190" s="695" t="s">
        <v>15</v>
      </c>
      <c r="E1190" s="1662" t="str">
        <f>Translations!$B$750</f>
        <v>Kļūdas ziņojumi (emisijas)</v>
      </c>
      <c r="F1190" s="1662"/>
      <c r="G1190" s="1662"/>
      <c r="H1190" s="556"/>
      <c r="I1190" s="662" t="str">
        <f>IF(COUNT(I1183,I1185:I1186)&gt;0,IF(COUNTIF(I1184:I1186,"&lt;0")&gt;0,EUconst_Negative,IF(COUNT(I1183,I1185:I1186)&lt;3,EUconst_Incomplete,"")),"")</f>
        <v/>
      </c>
      <c r="J1190" s="662" t="str">
        <f>IF(COUNT(J1183,J1185:J1186)&gt;0,IF(COUNTIF(J1184:J1186,"&lt;0")&gt;0,EUconst_Negative,IF(COUNT(J1183,J1185:J1186)&lt;3,EUconst_Incomplete,"")),"")</f>
        <v/>
      </c>
      <c r="K1190" s="662" t="str">
        <f>IF(COUNT(K1183,K1185:K1186)&gt;0,IF(COUNTIF(K1184:K1186,"&lt;0")&gt;0,EUconst_Negative,IF(COUNT(K1183,K1185:K1186)&lt;3,EUconst_Incomplete,"")),"")</f>
        <v/>
      </c>
      <c r="L1190" s="662" t="str">
        <f>IF(COUNT(L1183,L1185:L1186)&gt;0,IF(COUNTIF(L1184:L1186,"&lt;0")&gt;0,EUconst_Negative,IF(COUNT(L1183,L1185:L1186)&lt;3,EUconst_Incomplete,"")),"")</f>
        <v/>
      </c>
      <c r="M1190" s="662" t="str">
        <f>IF(COUNT(M1183,M1185:M1186)&gt;0,IF(COUNTIF(M1184:M1186,"&lt;0")&gt;0,EUconst_Negative,IF(COUNT(M1183,M1185:M1186)&lt;3,EUconst_Incomplete,"")),"")</f>
        <v/>
      </c>
      <c r="N1190" s="661"/>
      <c r="O1190" s="25"/>
      <c r="P1190" s="955"/>
      <c r="R1190" s="955"/>
      <c r="AA1190" s="607"/>
    </row>
    <row r="1191" spans="2:27" ht="5.0999999999999996" customHeight="1" x14ac:dyDescent="0.2">
      <c r="B1191" s="224"/>
      <c r="C1191" s="977"/>
      <c r="D1191" s="695"/>
      <c r="E1191" s="978"/>
      <c r="F1191" s="978"/>
      <c r="G1191" s="978"/>
      <c r="H1191" s="978"/>
      <c r="I1191" s="978"/>
      <c r="J1191" s="978"/>
      <c r="K1191" s="978"/>
      <c r="L1191" s="978"/>
      <c r="M1191" s="980"/>
      <c r="N1191" s="661"/>
      <c r="O1191" s="25"/>
      <c r="P1191" s="955"/>
      <c r="R1191" s="955"/>
      <c r="AA1191" s="607"/>
    </row>
    <row r="1192" spans="2:27" ht="12.75" customHeight="1" x14ac:dyDescent="0.2">
      <c r="B1192" s="224"/>
      <c r="C1192" s="977"/>
      <c r="D1192" s="695" t="s">
        <v>16</v>
      </c>
      <c r="E1192" s="1663" t="str">
        <f>Translations!$B$751</f>
        <v>Citu avota plūsmu nosaukums, 2:</v>
      </c>
      <c r="F1192" s="1663"/>
      <c r="G1192" s="1663"/>
      <c r="H1192" s="1663"/>
      <c r="I1192" s="1664"/>
      <c r="J1192" s="1665"/>
      <c r="K1192" s="1665"/>
      <c r="L1192" s="1665"/>
      <c r="M1192" s="1666"/>
      <c r="N1192" s="1203"/>
      <c r="O1192" s="25"/>
      <c r="P1192" s="955"/>
      <c r="R1192" s="955"/>
      <c r="AA1192" s="361" t="b">
        <f>AA1180</f>
        <v>0</v>
      </c>
    </row>
    <row r="1193" spans="2:27" ht="5.0999999999999996" customHeight="1" x14ac:dyDescent="0.2">
      <c r="B1193" s="224"/>
      <c r="C1193" s="977"/>
      <c r="D1193" s="978"/>
      <c r="E1193" s="1204"/>
      <c r="F1193" s="1202"/>
      <c r="G1193" s="1202"/>
      <c r="H1193" s="1202"/>
      <c r="I1193" s="1202"/>
      <c r="J1193" s="1202"/>
      <c r="K1193" s="1202"/>
      <c r="L1193" s="1202"/>
      <c r="M1193" s="1202"/>
      <c r="N1193" s="1203"/>
      <c r="O1193" s="25"/>
      <c r="P1193" s="955"/>
      <c r="R1193" s="955"/>
      <c r="AA1193" s="607"/>
    </row>
    <row r="1194" spans="2:27" ht="12.75" customHeight="1" x14ac:dyDescent="0.2">
      <c r="B1194" s="224"/>
      <c r="C1194" s="977"/>
      <c r="D1194" s="695"/>
      <c r="E1194" s="1653" t="str">
        <f>Translations!$B$752</f>
        <v>Citas avota plūsmas, 2:</v>
      </c>
      <c r="F1194" s="1657"/>
      <c r="G1194" s="1657"/>
      <c r="H1194" s="462" t="str">
        <f>EUconst_Unit</f>
        <v>Vienība</v>
      </c>
      <c r="I1194" s="463">
        <f>I$1820</f>
        <v>2019</v>
      </c>
      <c r="J1194" s="463">
        <f>J$1820</f>
        <v>2020</v>
      </c>
      <c r="K1194" s="463">
        <f>K$1820</f>
        <v>2021</v>
      </c>
      <c r="L1194" s="463">
        <f>L$1820</f>
        <v>2022</v>
      </c>
      <c r="M1194" s="463">
        <f>M$1820</f>
        <v>2023</v>
      </c>
      <c r="N1194" s="661"/>
      <c r="O1194" s="25"/>
      <c r="P1194" s="955"/>
      <c r="R1194" s="955"/>
      <c r="AA1194" s="607"/>
    </row>
    <row r="1195" spans="2:27" ht="12.75" customHeight="1" x14ac:dyDescent="0.2">
      <c r="B1195" s="224"/>
      <c r="C1195" s="977"/>
      <c r="D1195" s="695" t="s">
        <v>17</v>
      </c>
      <c r="E1195" s="1667" t="str">
        <f>Translations!$B$743</f>
        <v>Importētais vai eksportētais daudzums</v>
      </c>
      <c r="F1195" s="1660"/>
      <c r="G1195" s="1660"/>
      <c r="H1195" s="466" t="str">
        <f>EUconst_tpa</f>
        <v>t / gads</v>
      </c>
      <c r="I1195" s="348"/>
      <c r="J1195" s="348"/>
      <c r="K1195" s="348"/>
      <c r="L1195" s="348"/>
      <c r="M1195" s="348"/>
      <c r="N1195" s="661"/>
      <c r="O1195" s="25"/>
      <c r="P1195" s="955"/>
      <c r="R1195" s="955"/>
      <c r="AA1195" s="361" t="b">
        <f>AA1192</f>
        <v>0</v>
      </c>
    </row>
    <row r="1196" spans="2:27" ht="12.75" customHeight="1" x14ac:dyDescent="0.2">
      <c r="B1196" s="224"/>
      <c r="C1196" s="977"/>
      <c r="D1196" s="695" t="s">
        <v>438</v>
      </c>
      <c r="E1196" s="1658" t="str">
        <f>Translations!$B$744</f>
        <v>Zemākā siltumspēja (attiecīgā gadījumā)</v>
      </c>
      <c r="F1196" s="1658"/>
      <c r="G1196" s="1658"/>
      <c r="H1196" s="551" t="str">
        <f>EUconst_GJpt</f>
        <v>GJ / t</v>
      </c>
      <c r="I1196" s="347"/>
      <c r="J1196" s="347"/>
      <c r="K1196" s="347"/>
      <c r="L1196" s="347"/>
      <c r="M1196" s="347"/>
      <c r="N1196" s="661"/>
      <c r="O1196" s="25"/>
      <c r="P1196" s="955"/>
      <c r="R1196" s="955"/>
      <c r="AA1196" s="361" t="b">
        <f>AA1195</f>
        <v>0</v>
      </c>
    </row>
    <row r="1197" spans="2:27" ht="12.75" customHeight="1" thickBot="1" x14ac:dyDescent="0.25">
      <c r="B1197" s="224"/>
      <c r="C1197" s="977"/>
      <c r="D1197" s="695" t="s">
        <v>439</v>
      </c>
      <c r="E1197" s="1658" t="str">
        <f>Translations!$B$745</f>
        <v>Oglekļa saturs (masas %)</v>
      </c>
      <c r="F1197" s="1658"/>
      <c r="G1197" s="1658"/>
      <c r="H1197" s="552" t="s">
        <v>341</v>
      </c>
      <c r="I1197" s="347"/>
      <c r="J1197" s="347"/>
      <c r="K1197" s="347"/>
      <c r="L1197" s="347"/>
      <c r="M1197" s="347"/>
      <c r="N1197" s="661"/>
      <c r="O1197" s="25"/>
      <c r="P1197" s="955"/>
      <c r="R1197" s="955"/>
      <c r="AA1197" s="361" t="b">
        <f>AA1196</f>
        <v>0</v>
      </c>
    </row>
    <row r="1198" spans="2:27" ht="12.75" customHeight="1" thickBot="1" x14ac:dyDescent="0.25">
      <c r="B1198" s="224"/>
      <c r="C1198" s="977"/>
      <c r="D1198" s="695" t="s">
        <v>440</v>
      </c>
      <c r="E1198" s="1659" t="str">
        <f>Translations!$B$746</f>
        <v>Biomasas saturs (kā oglekļa frakcija)</v>
      </c>
      <c r="F1198" s="1659"/>
      <c r="G1198" s="1659"/>
      <c r="H1198" s="485" t="s">
        <v>341</v>
      </c>
      <c r="I1198" s="345"/>
      <c r="J1198" s="345"/>
      <c r="K1198" s="345"/>
      <c r="L1198" s="345"/>
      <c r="M1198" s="345"/>
      <c r="N1198" s="661"/>
      <c r="O1198" s="25"/>
      <c r="P1198" s="955"/>
      <c r="R1198" s="970"/>
      <c r="S1198" s="809">
        <f>I1194</f>
        <v>2019</v>
      </c>
      <c r="T1198" s="809">
        <f>J1194</f>
        <v>2020</v>
      </c>
      <c r="U1198" s="809">
        <f>K1194</f>
        <v>2021</v>
      </c>
      <c r="V1198" s="809">
        <f>L1194</f>
        <v>2022</v>
      </c>
      <c r="W1198" s="810">
        <f>M1194</f>
        <v>2023</v>
      </c>
      <c r="AA1198" s="186" t="b">
        <f>AA1197</f>
        <v>0</v>
      </c>
    </row>
    <row r="1199" spans="2:27" ht="12.75" customHeight="1" thickBot="1" x14ac:dyDescent="0.25">
      <c r="B1199" s="224"/>
      <c r="C1199" s="977"/>
      <c r="D1199" s="695" t="s">
        <v>441</v>
      </c>
      <c r="E1199" s="1660" t="str">
        <f>Translations!$B$747</f>
        <v>Emisijas (no fosilajiem avotiem, aprēķinātās)</v>
      </c>
      <c r="F1199" s="1660"/>
      <c r="G1199" s="1660"/>
      <c r="H1199" s="553" t="str">
        <f>EUconst_tCO2pa</f>
        <v>t CO2 / gads</v>
      </c>
      <c r="I1199" s="341" t="str">
        <f>IF(AND(COUNT(I1195:I1198)&gt;0,I1202=""),3.664*I1195*(I1197/100)*(1-I1198/100),"")</f>
        <v/>
      </c>
      <c r="J1199" s="341" t="str">
        <f>IF(AND(COUNT(J1195:J1198)&gt;0,J1202=""),3.664*J1195*(J1197/100)*(1-J1198/100),"")</f>
        <v/>
      </c>
      <c r="K1199" s="341" t="str">
        <f>IF(AND(COUNT(K1195:K1198)&gt;0,K1202=""),3.664*K1195*(K1197/100)*(1-K1198/100),"")</f>
        <v/>
      </c>
      <c r="L1199" s="341" t="str">
        <f>IF(AND(COUNT(L1195:L1198)&gt;0,L1202=""),3.664*L1195*(L1197/100)*(1-L1198/100),"")</f>
        <v/>
      </c>
      <c r="M1199" s="341" t="str">
        <f>IF(AND(COUNT(M1195:M1198)&gt;0,M1202=""),3.664*M1195*(M1197/100)*(1-M1198/100),"")</f>
        <v/>
      </c>
      <c r="N1199" s="661"/>
      <c r="O1199" s="25"/>
      <c r="P1199" s="979" t="str">
        <f>EUconst_CNTR_EmissionsIntSource2 &amp; I1116</f>
        <v>EmInternalSource2_</v>
      </c>
      <c r="R1199" s="971" t="str">
        <f>EUconst_CNTR_AttributedEmissions &amp; I1116</f>
        <v>AttrEmissions_</v>
      </c>
      <c r="S1199" s="137" t="str">
        <f>IF(S1116,SUM(I1199),"")</f>
        <v/>
      </c>
      <c r="T1199" s="137" t="str">
        <f>IF(T1116,SUM(J1199),"")</f>
        <v/>
      </c>
      <c r="U1199" s="137" t="str">
        <f>IF(U1116,SUM(K1199),"")</f>
        <v/>
      </c>
      <c r="V1199" s="137" t="str">
        <f>IF(V1116,SUM(L1199),"")</f>
        <v/>
      </c>
      <c r="W1199" s="138" t="str">
        <f>IF(W1116,SUM(M1199),"")</f>
        <v/>
      </c>
    </row>
    <row r="1200" spans="2:27" ht="12.75" customHeight="1" x14ac:dyDescent="0.2">
      <c r="B1200" s="224"/>
      <c r="C1200" s="977"/>
      <c r="D1200" s="695" t="s">
        <v>442</v>
      </c>
      <c r="E1200" s="1661" t="str">
        <f>Translations!$B$1617</f>
        <v>Nulles faktora biomasas emisijas</v>
      </c>
      <c r="F1200" s="1661"/>
      <c r="G1200" s="1661"/>
      <c r="H1200" s="554" t="str">
        <f>EUconst_tCO2pa</f>
        <v>t CO2 / gads</v>
      </c>
      <c r="I1200" s="340" t="str">
        <f>IF(ISNUMBER(I1199),3.664*I1195*(I1197/100)*(I1198/100),"")</f>
        <v/>
      </c>
      <c r="J1200" s="340" t="str">
        <f>IF(ISNUMBER(J1199),3.664*J1195*(J1197/100)*(J1198/100),"")</f>
        <v/>
      </c>
      <c r="K1200" s="340" t="str">
        <f>IF(ISNUMBER(K1199),3.664*K1195*(K1197/100)*(K1198/100),"")</f>
        <v/>
      </c>
      <c r="L1200" s="340" t="str">
        <f>IF(ISNUMBER(L1199),3.664*L1195*(L1197/100)*(L1198/100),"")</f>
        <v/>
      </c>
      <c r="M1200" s="340" t="str">
        <f>IF(ISNUMBER(M1199),3.664*M1195*(M1197/100)*(M1198/100),"")</f>
        <v/>
      </c>
      <c r="N1200" s="661"/>
      <c r="O1200" s="25"/>
      <c r="P1200" s="955"/>
      <c r="R1200" s="955"/>
    </row>
    <row r="1201" spans="2:24" ht="12.75" customHeight="1" x14ac:dyDescent="0.2">
      <c r="B1201" s="224"/>
      <c r="C1201" s="977"/>
      <c r="D1201" s="695" t="s">
        <v>443</v>
      </c>
      <c r="E1201" s="1659" t="str">
        <f>Translations!$B$749</f>
        <v>Enerģētiskais saturs (aprēķinātais)</v>
      </c>
      <c r="F1201" s="1659"/>
      <c r="G1201" s="1659"/>
      <c r="H1201" s="555" t="str">
        <f>EUconst_TJpa</f>
        <v>TJ / gads</v>
      </c>
      <c r="I1201" s="343" t="str">
        <f>IF(COUNT(I1195:I1196)=2,I1195*I1196/1000,"")</f>
        <v/>
      </c>
      <c r="J1201" s="343" t="str">
        <f>IF(COUNT(J1195:J1196)=2,J1195*J1196/1000,"")</f>
        <v/>
      </c>
      <c r="K1201" s="343" t="str">
        <f>IF(COUNT(K1195:K1196)=2,K1195*K1196/1000,"")</f>
        <v/>
      </c>
      <c r="L1201" s="343" t="str">
        <f>IF(COUNT(L1195:L1196)=2,L1195*L1196/1000,"")</f>
        <v/>
      </c>
      <c r="M1201" s="343" t="str">
        <f>IF(COUNT(M1195:M1196)=2,M1195*M1196/1000,"")</f>
        <v/>
      </c>
      <c r="N1201" s="661"/>
      <c r="O1201" s="25"/>
      <c r="P1201" s="955"/>
      <c r="R1201" s="955"/>
    </row>
    <row r="1202" spans="2:24" ht="12.75" customHeight="1" x14ac:dyDescent="0.2">
      <c r="B1202" s="224"/>
      <c r="C1202" s="977"/>
      <c r="D1202" s="695" t="s">
        <v>439</v>
      </c>
      <c r="E1202" s="1662" t="str">
        <f>Translations!$B$750</f>
        <v>Kļūdas ziņojumi (emisijas)</v>
      </c>
      <c r="F1202" s="1662"/>
      <c r="G1202" s="1662"/>
      <c r="H1202" s="556"/>
      <c r="I1202" s="662" t="str">
        <f>IF(COUNT(I1195,I1197:I1198)&gt;0,IF(COUNTIF(I1196:I1198,"&lt;0")&gt;0,EUconst_Negative,IF(COUNT(I1195,I1197:I1198)&lt;3,EUconst_Incomplete,"")),"")</f>
        <v/>
      </c>
      <c r="J1202" s="662" t="str">
        <f>IF(COUNT(J1195,J1197:J1198)&gt;0,IF(COUNTIF(J1196:J1198,"&lt;0")&gt;0,EUconst_Negative,IF(COUNT(J1195,J1197:J1198)&lt;3,EUconst_Incomplete,"")),"")</f>
        <v/>
      </c>
      <c r="K1202" s="662" t="str">
        <f>IF(COUNT(K1195,K1197:K1198)&gt;0,IF(COUNTIF(K1196:K1198,"&lt;0")&gt;0,EUconst_Negative,IF(COUNT(K1195,K1197:K1198)&lt;3,EUconst_Incomplete,"")),"")</f>
        <v/>
      </c>
      <c r="L1202" s="662" t="str">
        <f>IF(COUNT(L1195,L1197:L1198)&gt;0,IF(COUNTIF(L1196:L1198,"&lt;0")&gt;0,EUconst_Negative,IF(COUNT(L1195,L1197:L1198)&lt;3,EUconst_Incomplete,"")),"")</f>
        <v/>
      </c>
      <c r="M1202" s="662" t="str">
        <f>IF(COUNT(M1195,M1197:M1198)&gt;0,IF(COUNTIF(M1196:M1198,"&lt;0")&gt;0,EUconst_Negative,IF(COUNT(M1195,M1197:M1198)&lt;3,EUconst_Incomplete,"")),"")</f>
        <v/>
      </c>
      <c r="N1202" s="661"/>
      <c r="O1202" s="25"/>
      <c r="P1202" s="955"/>
      <c r="R1202" s="955"/>
    </row>
    <row r="1203" spans="2:24" ht="5.0999999999999996" customHeight="1" x14ac:dyDescent="0.2">
      <c r="B1203" s="224"/>
      <c r="C1203" s="977"/>
      <c r="D1203" s="978"/>
      <c r="E1203" s="978"/>
      <c r="F1203" s="978"/>
      <c r="G1203" s="978"/>
      <c r="H1203" s="978"/>
      <c r="I1203" s="978"/>
      <c r="J1203" s="978"/>
      <c r="K1203" s="978"/>
      <c r="L1203" s="978"/>
      <c r="M1203" s="980"/>
      <c r="N1203" s="661"/>
      <c r="O1203" s="25"/>
      <c r="P1203" s="955"/>
      <c r="R1203" s="955"/>
    </row>
    <row r="1204" spans="2:24" ht="12.75" customHeight="1" thickBot="1" x14ac:dyDescent="0.25">
      <c r="B1204" s="224"/>
      <c r="C1204" s="977"/>
      <c r="D1204" s="474" t="s">
        <v>211</v>
      </c>
      <c r="E1204" s="1654" t="str">
        <f>Translations!$B$753</f>
        <v>To SEG daudzums, kas importētas vai eksportētas kā ievadmateriāli</v>
      </c>
      <c r="F1204" s="1655"/>
      <c r="G1204" s="1655"/>
      <c r="H1204" s="1655"/>
      <c r="I1204" s="1655"/>
      <c r="J1204" s="1655"/>
      <c r="K1204" s="1655"/>
      <c r="L1204" s="1655"/>
      <c r="M1204" s="1655"/>
      <c r="N1204" s="1656"/>
      <c r="O1204" s="25"/>
      <c r="P1204" s="955"/>
      <c r="R1204" s="955"/>
    </row>
    <row r="1205" spans="2:24" ht="12.75" customHeight="1" x14ac:dyDescent="0.2">
      <c r="B1205" s="224"/>
      <c r="C1205" s="977"/>
      <c r="D1205" s="474"/>
      <c r="E1205" s="1653"/>
      <c r="F1205" s="1657"/>
      <c r="G1205" s="1657"/>
      <c r="H1205" s="462" t="str">
        <f>EUconst_Unit</f>
        <v>Vienība</v>
      </c>
      <c r="I1205" s="463">
        <f>I$1820</f>
        <v>2019</v>
      </c>
      <c r="J1205" s="463">
        <f>J$1820</f>
        <v>2020</v>
      </c>
      <c r="K1205" s="463">
        <f>K$1820</f>
        <v>2021</v>
      </c>
      <c r="L1205" s="463">
        <f>L$1820</f>
        <v>2022</v>
      </c>
      <c r="M1205" s="463">
        <f>M$1820</f>
        <v>2023</v>
      </c>
      <c r="N1205" s="661"/>
      <c r="O1205" s="25"/>
      <c r="P1205" s="955"/>
      <c r="R1205" s="970"/>
      <c r="S1205" s="809">
        <f>I1205</f>
        <v>2019</v>
      </c>
      <c r="T1205" s="809">
        <f>J1205</f>
        <v>2020</v>
      </c>
      <c r="U1205" s="809">
        <f>K1205</f>
        <v>2021</v>
      </c>
      <c r="V1205" s="809">
        <f>L1205</f>
        <v>2022</v>
      </c>
      <c r="W1205" s="810">
        <f>M1205</f>
        <v>2023</v>
      </c>
    </row>
    <row r="1206" spans="2:24" ht="12.75" customHeight="1" thickBot="1" x14ac:dyDescent="0.25">
      <c r="B1206" s="224"/>
      <c r="C1206" s="977"/>
      <c r="D1206" s="695"/>
      <c r="E1206" s="1651" t="str">
        <f>Translations!$B$756</f>
        <v>Importētās vai eksportētās SEG</v>
      </c>
      <c r="F1206" s="1652"/>
      <c r="G1206" s="1652"/>
      <c r="H1206" s="465" t="str">
        <f>EUconst_tCO2epa</f>
        <v>t CO2e/gads</v>
      </c>
      <c r="I1206" s="483"/>
      <c r="J1206" s="483"/>
      <c r="K1206" s="483"/>
      <c r="L1206" s="483"/>
      <c r="M1206" s="483"/>
      <c r="N1206" s="1205"/>
      <c r="O1206" s="25"/>
      <c r="P1206" s="979" t="str">
        <f>EUconst_CNTR_CO2Feedstock &amp; I1116</f>
        <v>EmCO2Feedstock_</v>
      </c>
      <c r="R1206" s="971" t="str">
        <f>EUconst_CNTR_AttributedEmissions &amp; I1116</f>
        <v>AttrEmissions_</v>
      </c>
      <c r="S1206" s="137" t="str">
        <f>IF(S1116,SUM(I1206),"")</f>
        <v/>
      </c>
      <c r="T1206" s="137" t="str">
        <f>IF(T1116,SUM(J1206),"")</f>
        <v/>
      </c>
      <c r="U1206" s="137" t="str">
        <f>IF(U1116,SUM(K1206),"")</f>
        <v/>
      </c>
      <c r="V1206" s="137" t="str">
        <f>IF(V1116,SUM(L1206),"")</f>
        <v/>
      </c>
      <c r="W1206" s="138" t="str">
        <f>IF(W1116,SUM(M1206),"")</f>
        <v/>
      </c>
    </row>
    <row r="1207" spans="2:24" ht="5.0999999999999996" customHeight="1" x14ac:dyDescent="0.2">
      <c r="B1207" s="224"/>
      <c r="C1207" s="977"/>
      <c r="D1207" s="978"/>
      <c r="E1207" s="978"/>
      <c r="F1207" s="978"/>
      <c r="G1207" s="978"/>
      <c r="H1207" s="978"/>
      <c r="I1207" s="978"/>
      <c r="J1207" s="978"/>
      <c r="K1207" s="978"/>
      <c r="L1207" s="978"/>
      <c r="M1207" s="980"/>
      <c r="N1207" s="661"/>
      <c r="O1207" s="25"/>
      <c r="P1207" s="955"/>
      <c r="R1207" s="955"/>
    </row>
    <row r="1208" spans="2:24" ht="12.75" customHeight="1" x14ac:dyDescent="0.2">
      <c r="B1208" s="224"/>
      <c r="C1208" s="977"/>
      <c r="D1208" s="474" t="s">
        <v>212</v>
      </c>
      <c r="E1208" s="1654" t="str">
        <f>Translations!$B$757</f>
        <v>Šajā apakšiekārtā importētais un no tās eksportētais izmērāmais siltums</v>
      </c>
      <c r="F1208" s="1655"/>
      <c r="G1208" s="1655"/>
      <c r="H1208" s="1655"/>
      <c r="I1208" s="1655"/>
      <c r="J1208" s="1655"/>
      <c r="K1208" s="1655"/>
      <c r="L1208" s="1655"/>
      <c r="M1208" s="1655"/>
      <c r="N1208" s="1656"/>
      <c r="O1208" s="25"/>
      <c r="P1208" s="955"/>
      <c r="R1208" s="955"/>
    </row>
    <row r="1209" spans="2:24" ht="12.75" customHeight="1" thickBot="1" x14ac:dyDescent="0.25">
      <c r="B1209" s="224"/>
      <c r="C1209" s="977"/>
      <c r="D1209" s="978"/>
      <c r="E1209" s="1628" t="str">
        <f>Translations!$B$762</f>
        <v>Lai uz siltuma ražošanu attiecinātu emisijas no koģenerācijas, jāizmanto koģenerācijas rīks šīs veidnes D. lapas III .sadaļā.</v>
      </c>
      <c r="F1209" s="1628"/>
      <c r="G1209" s="1628"/>
      <c r="H1209" s="1628"/>
      <c r="I1209" s="1628"/>
      <c r="J1209" s="1628"/>
      <c r="K1209" s="1628"/>
      <c r="L1209" s="1628"/>
      <c r="M1209" s="1628"/>
      <c r="N1209" s="1205"/>
      <c r="O1209" s="25"/>
      <c r="P1209" s="955"/>
    </row>
    <row r="1210" spans="2:24" ht="12.75" customHeight="1" x14ac:dyDescent="0.2">
      <c r="B1210" s="224"/>
      <c r="C1210" s="977"/>
      <c r="D1210" s="978"/>
      <c r="E1210" s="1653" t="str">
        <f>Translations!$B$763</f>
        <v>Kopējais importētais siltums</v>
      </c>
      <c r="F1210" s="1657"/>
      <c r="G1210" s="1657"/>
      <c r="H1210" s="462" t="str">
        <f>EUconst_Unit</f>
        <v>Vienība</v>
      </c>
      <c r="I1210" s="463">
        <f>I$1820</f>
        <v>2019</v>
      </c>
      <c r="J1210" s="463">
        <f>J$1820</f>
        <v>2020</v>
      </c>
      <c r="K1210" s="463">
        <f>K$1820</f>
        <v>2021</v>
      </c>
      <c r="L1210" s="463">
        <f>L$1820</f>
        <v>2022</v>
      </c>
      <c r="M1210" s="463">
        <f>M$1820</f>
        <v>2023</v>
      </c>
      <c r="N1210" s="1205"/>
      <c r="O1210" s="25"/>
      <c r="P1210" s="955"/>
      <c r="R1210" s="970"/>
      <c r="S1210" s="809">
        <f>I1210</f>
        <v>2019</v>
      </c>
      <c r="T1210" s="809">
        <f>J1210</f>
        <v>2020</v>
      </c>
      <c r="U1210" s="809">
        <f>K1210</f>
        <v>2021</v>
      </c>
      <c r="V1210" s="809">
        <f>L1210</f>
        <v>2022</v>
      </c>
      <c r="W1210" s="810">
        <f>M1210</f>
        <v>2023</v>
      </c>
    </row>
    <row r="1211" spans="2:24" ht="12.75" customHeight="1" x14ac:dyDescent="0.2">
      <c r="B1211" s="224"/>
      <c r="C1211" s="977"/>
      <c r="D1211" s="695" t="s">
        <v>2</v>
      </c>
      <c r="E1211" s="1651" t="str">
        <f>Translations!$B$764</f>
        <v>Neto importētais siltums</v>
      </c>
      <c r="F1211" s="1652"/>
      <c r="G1211" s="1652"/>
      <c r="H1211" s="465" t="str">
        <f>EUconst_TJpa</f>
        <v>TJ / gads</v>
      </c>
      <c r="I1211" s="483"/>
      <c r="J1211" s="483"/>
      <c r="K1211" s="483"/>
      <c r="L1211" s="483"/>
      <c r="M1211" s="483"/>
      <c r="N1211" s="698"/>
      <c r="O1211" s="25"/>
      <c r="P1211" s="979" t="str">
        <f>EUconst_CNTR_HeatImport &amp; I1116</f>
        <v>HeatIm_</v>
      </c>
      <c r="R1211" s="981" t="str">
        <f>EUconst_ERR_AttrEmBMapplied &amp; I1116</f>
        <v>ERR_AttrEmBM_ </v>
      </c>
      <c r="S1211" s="134">
        <f>IF(AND(I1211&lt;&gt;0,I1212="",EUconst_StatusOfDataCollection=""),1,0)</f>
        <v>0</v>
      </c>
      <c r="T1211" s="134">
        <f>IF(AND(J1211&lt;&gt;0,J1212="",EUconst_StatusOfDataCollection=""),1,0)</f>
        <v>0</v>
      </c>
      <c r="U1211" s="134">
        <f>IF(AND(K1211&lt;&gt;0,K1212="",EUconst_StatusOfDataCollection=""),1,0)</f>
        <v>0</v>
      </c>
      <c r="V1211" s="134">
        <f>IF(AND(L1211&lt;&gt;0,L1212="",EUconst_StatusOfDataCollection=""),1,0)</f>
        <v>0</v>
      </c>
      <c r="W1211" s="135">
        <f>IF(AND(M1211&lt;&gt;0,M1212="",EUconst_StatusOfDataCollection=""),1,0)</f>
        <v>0</v>
      </c>
      <c r="X1211" s="63"/>
    </row>
    <row r="1212" spans="2:24" ht="12.75" customHeight="1" thickBot="1" x14ac:dyDescent="0.25">
      <c r="B1212" s="224"/>
      <c r="C1212" s="977"/>
      <c r="D1212" s="695" t="s">
        <v>3</v>
      </c>
      <c r="E1212" s="1651" t="str">
        <f>Translations!$B$765</f>
        <v>Īpatnējais EF (importētais siltums)</v>
      </c>
      <c r="F1212" s="1652"/>
      <c r="G1212" s="1652"/>
      <c r="H1212" s="465" t="str">
        <f>EUconst_tCO2pTJ</f>
        <v>t CO2 / TJ</v>
      </c>
      <c r="I1212" s="760"/>
      <c r="J1212" s="760"/>
      <c r="K1212" s="760"/>
      <c r="L1212" s="760"/>
      <c r="M1212" s="760"/>
      <c r="N1212" s="661"/>
      <c r="O1212" s="25"/>
      <c r="P1212" s="979" t="str">
        <f>EUconst_CNTR_HeatImportEF &amp; I1116</f>
        <v>HeatImEF_</v>
      </c>
      <c r="R1212" s="971" t="str">
        <f>EUconst_CNTR_AttributedEmissions &amp; I1116</f>
        <v>AttrEmissions_</v>
      </c>
      <c r="S1212" s="137" t="str">
        <f>IF(S1116,SUM(I1211)*IF(ISNUMBER(I1212),I1212,EUconst_HeatBMvalueForBM),"")</f>
        <v/>
      </c>
      <c r="T1212" s="137" t="str">
        <f>IF(T1116,SUM(J1211)*IF(ISNUMBER(J1212),J1212,EUconst_HeatBMvalueForBM),"")</f>
        <v/>
      </c>
      <c r="U1212" s="137" t="str">
        <f>IF(U1116,SUM(K1211)*IF(ISNUMBER(K1212),K1212,EUconst_HeatBMvalueForBM),"")</f>
        <v/>
      </c>
      <c r="V1212" s="137" t="str">
        <f>IF(V1116,SUM(L1211)*IF(ISNUMBER(L1212),L1212,EUconst_HeatBMvalueForBM),"")</f>
        <v/>
      </c>
      <c r="W1212" s="138" t="str">
        <f>IF(W1116,SUM(M1211)*IF(ISNUMBER(M1212),M1212,EUconst_HeatBMvalueForBM),"")</f>
        <v/>
      </c>
    </row>
    <row r="1213" spans="2:24" ht="5.0999999999999996" customHeight="1" x14ac:dyDescent="0.2">
      <c r="B1213" s="224"/>
      <c r="C1213" s="977"/>
      <c r="D1213" s="978"/>
      <c r="E1213" s="978"/>
      <c r="F1213" s="978"/>
      <c r="G1213" s="978"/>
      <c r="H1213" s="978"/>
      <c r="I1213" s="978"/>
      <c r="J1213" s="978"/>
      <c r="K1213" s="978"/>
      <c r="L1213" s="978"/>
      <c r="M1213" s="980"/>
      <c r="N1213" s="661"/>
      <c r="O1213" s="25"/>
      <c r="P1213" s="955"/>
      <c r="R1213" s="955"/>
      <c r="S1213" s="955"/>
    </row>
    <row r="1214" spans="2:24" ht="12.75" customHeight="1" x14ac:dyDescent="0.2">
      <c r="B1214" s="224"/>
      <c r="C1214" s="977"/>
      <c r="D1214" s="978"/>
      <c r="E1214" s="1653" t="str">
        <f>Translations!$B$766</f>
        <v>Īpašs importētais siltums</v>
      </c>
      <c r="F1214" s="1653"/>
      <c r="G1214" s="1653"/>
      <c r="H1214" s="462" t="str">
        <f>EUconst_Unit</f>
        <v>Vienība</v>
      </c>
      <c r="I1214" s="463">
        <f>I$1820</f>
        <v>2019</v>
      </c>
      <c r="J1214" s="463">
        <f>J$1820</f>
        <v>2020</v>
      </c>
      <c r="K1214" s="463">
        <f>K$1820</f>
        <v>2021</v>
      </c>
      <c r="L1214" s="463">
        <f>L$1820</f>
        <v>2022</v>
      </c>
      <c r="M1214" s="463">
        <f>M$1820</f>
        <v>2023</v>
      </c>
      <c r="N1214" s="1205"/>
      <c r="O1214" s="25"/>
      <c r="P1214" s="955"/>
      <c r="R1214" s="955"/>
      <c r="S1214" s="955"/>
    </row>
    <row r="1215" spans="2:24" ht="12.75" customHeight="1" x14ac:dyDescent="0.2">
      <c r="B1215" s="224"/>
      <c r="C1215" s="977"/>
      <c r="D1215" s="695" t="s">
        <v>4</v>
      </c>
      <c r="E1215" s="1651" t="str">
        <f>Translations!$B$767</f>
        <v>No pulpas apakšiekārtām importētais neto siltums</v>
      </c>
      <c r="F1215" s="1652"/>
      <c r="G1215" s="1652"/>
      <c r="H1215" s="465" t="str">
        <f>EUconst_TJpa</f>
        <v>TJ / gads</v>
      </c>
      <c r="I1215" s="550"/>
      <c r="J1215" s="550"/>
      <c r="K1215" s="550"/>
      <c r="L1215" s="550"/>
      <c r="M1215" s="550"/>
      <c r="N1215" s="698"/>
      <c r="O1215" s="25"/>
      <c r="P1215" s="979" t="str">
        <f>EUconst_CNTR_HeatImportPulp &amp; I1116</f>
        <v>HeatImPulp_</v>
      </c>
      <c r="R1215" s="955"/>
      <c r="S1215" s="955"/>
    </row>
    <row r="1216" spans="2:24" ht="25.5" customHeight="1" x14ac:dyDescent="0.2">
      <c r="B1216" s="224"/>
      <c r="C1216" s="977"/>
      <c r="D1216" s="695" t="s">
        <v>6</v>
      </c>
      <c r="E1216" s="1651" t="str">
        <f>Translations!$B$768</f>
        <v>No slāpekļskābes apakšiekārtas importētais neto siltums</v>
      </c>
      <c r="F1216" s="1652"/>
      <c r="G1216" s="1652"/>
      <c r="H1216" s="465" t="str">
        <f>EUconst_TJpa</f>
        <v>TJ / gads</v>
      </c>
      <c r="I1216" s="483"/>
      <c r="J1216" s="483"/>
      <c r="K1216" s="483"/>
      <c r="L1216" s="483"/>
      <c r="M1216" s="483"/>
      <c r="N1216" s="698"/>
      <c r="O1216" s="25"/>
      <c r="P1216" s="979" t="str">
        <f>EUconst_CNTR_HeatImportNitric &amp; I1116</f>
        <v>HeatImNitric_</v>
      </c>
      <c r="R1216" s="955"/>
      <c r="S1216" s="955"/>
    </row>
    <row r="1217" spans="2:27" ht="5.0999999999999996" customHeight="1" thickBot="1" x14ac:dyDescent="0.25">
      <c r="B1217" s="224"/>
      <c r="C1217" s="977"/>
      <c r="D1217" s="978"/>
      <c r="E1217" s="978"/>
      <c r="F1217" s="978"/>
      <c r="G1217" s="978"/>
      <c r="H1217" s="978"/>
      <c r="I1217" s="978"/>
      <c r="J1217" s="978"/>
      <c r="K1217" s="978"/>
      <c r="L1217" s="978"/>
      <c r="M1217" s="980"/>
      <c r="N1217" s="661"/>
      <c r="O1217" s="25"/>
      <c r="P1217" s="955"/>
      <c r="R1217" s="955"/>
      <c r="S1217" s="955"/>
    </row>
    <row r="1218" spans="2:27" ht="12.75" customHeight="1" x14ac:dyDescent="0.2">
      <c r="B1218" s="224"/>
      <c r="C1218" s="977"/>
      <c r="D1218" s="978"/>
      <c r="E1218" s="1653" t="str">
        <f>Translations!$B$769</f>
        <v>Kopējais eksportētais siltums</v>
      </c>
      <c r="F1218" s="1653"/>
      <c r="G1218" s="1653"/>
      <c r="H1218" s="462" t="str">
        <f>EUconst_Unit</f>
        <v>Vienība</v>
      </c>
      <c r="I1218" s="463">
        <f>I$1820</f>
        <v>2019</v>
      </c>
      <c r="J1218" s="463">
        <f>J$1820</f>
        <v>2020</v>
      </c>
      <c r="K1218" s="463">
        <f>K$1820</f>
        <v>2021</v>
      </c>
      <c r="L1218" s="463">
        <f>L$1820</f>
        <v>2022</v>
      </c>
      <c r="M1218" s="463">
        <f>M$1820</f>
        <v>2023</v>
      </c>
      <c r="N1218" s="1205"/>
      <c r="O1218" s="25"/>
      <c r="P1218" s="955"/>
      <c r="R1218" s="970"/>
      <c r="S1218" s="809">
        <f>I1218</f>
        <v>2019</v>
      </c>
      <c r="T1218" s="809">
        <f>J1218</f>
        <v>2020</v>
      </c>
      <c r="U1218" s="809">
        <f>K1218</f>
        <v>2021</v>
      </c>
      <c r="V1218" s="809">
        <f>L1218</f>
        <v>2022</v>
      </c>
      <c r="W1218" s="810">
        <f>M1218</f>
        <v>2023</v>
      </c>
    </row>
    <row r="1219" spans="2:27" ht="12.75" customHeight="1" x14ac:dyDescent="0.2">
      <c r="B1219" s="224"/>
      <c r="C1219" s="977"/>
      <c r="D1219" s="695" t="s">
        <v>303</v>
      </c>
      <c r="E1219" s="1651" t="str">
        <f>Translations!$B$770</f>
        <v>Neto eksportētais siltums</v>
      </c>
      <c r="F1219" s="1652"/>
      <c r="G1219" s="1652"/>
      <c r="H1219" s="465" t="str">
        <f>EUconst_TJpa</f>
        <v>TJ / gads</v>
      </c>
      <c r="I1219" s="483"/>
      <c r="J1219" s="483"/>
      <c r="K1219" s="483"/>
      <c r="L1219" s="483"/>
      <c r="M1219" s="483"/>
      <c r="N1219" s="698"/>
      <c r="O1219" s="25"/>
      <c r="P1219" s="979" t="str">
        <f>EUconst_CNTR_HeatExport &amp; I1116</f>
        <v>HeatEx_</v>
      </c>
      <c r="R1219" s="981" t="str">
        <f>EUconst_ERR_AttrEmBMapplied &amp; I1116</f>
        <v>ERR_AttrEmBM_ </v>
      </c>
      <c r="S1219" s="134">
        <f>IF(AND(I1219&lt;&gt;0,I1220="",EUconst_StatusOfDataCollection=""),1,0)</f>
        <v>0</v>
      </c>
      <c r="T1219" s="134">
        <f>IF(AND(J1219&lt;&gt;0,J1220="",EUconst_StatusOfDataCollection=""),1,0)</f>
        <v>0</v>
      </c>
      <c r="U1219" s="134">
        <f>IF(AND(K1219&lt;&gt;0,K1220="",EUconst_StatusOfDataCollection=""),1,0)</f>
        <v>0</v>
      </c>
      <c r="V1219" s="134">
        <f>IF(AND(L1219&lt;&gt;0,L1220="",EUconst_StatusOfDataCollection=""),1,0)</f>
        <v>0</v>
      </c>
      <c r="W1219" s="135">
        <f>IF(AND(M1219&lt;&gt;0,M1220="",EUconst_StatusOfDataCollection=""),1,0)</f>
        <v>0</v>
      </c>
    </row>
    <row r="1220" spans="2:27" ht="12.75" customHeight="1" thickBot="1" x14ac:dyDescent="0.25">
      <c r="B1220" s="224"/>
      <c r="C1220" s="977"/>
      <c r="D1220" s="695" t="s">
        <v>304</v>
      </c>
      <c r="E1220" s="1651" t="str">
        <f>Translations!$B$771</f>
        <v>Īpatnējais EF (eksportētais siltums)</v>
      </c>
      <c r="F1220" s="1652"/>
      <c r="G1220" s="1652"/>
      <c r="H1220" s="465" t="str">
        <f>EUconst_tCO2pTJ</f>
        <v>t CO2 / TJ</v>
      </c>
      <c r="I1220" s="760"/>
      <c r="J1220" s="760"/>
      <c r="K1220" s="760"/>
      <c r="L1220" s="760"/>
      <c r="M1220" s="760"/>
      <c r="N1220" s="661"/>
      <c r="O1220" s="25"/>
      <c r="P1220" s="979" t="str">
        <f>EUconst_CNTR_HeatExportEF &amp; I1116</f>
        <v>HeatExEF_</v>
      </c>
      <c r="R1220" s="971" t="str">
        <f>EUconst_CNTR_AttributedEmissions &amp; I1116</f>
        <v>AttrEmissions_</v>
      </c>
      <c r="S1220" s="137" t="str">
        <f>IF(S1116,-SUM(I1219)*IF(INDEX(EUconst_BMlistMainNumberOfBM,MATCH($I1116,EUconst_BMlistNames,0))=39,0,IF(ISNUMBER(I1220),I1220,EUconst_HeatBMvalueForBM)),"")</f>
        <v/>
      </c>
      <c r="T1220" s="137" t="str">
        <f>IF(T1116,-SUM(J1219)*IF(INDEX(EUconst_BMlistMainNumberOfBM,MATCH($I1116,EUconst_BMlistNames,0))=39,0,IF(ISNUMBER(J1220),J1220,EUconst_HeatBMvalueForBM)),"")</f>
        <v/>
      </c>
      <c r="U1220" s="137" t="str">
        <f>IF(U1116,-SUM(K1219)*IF(INDEX(EUconst_BMlistMainNumberOfBM,MATCH($I1116,EUconst_BMlistNames,0))=39,0,IF(ISNUMBER(K1220),K1220,EUconst_HeatBMvalueForBM)),"")</f>
        <v/>
      </c>
      <c r="V1220" s="137" t="str">
        <f>IF(V1116,-SUM(L1219)*IF(INDEX(EUconst_BMlistMainNumberOfBM,MATCH($I1116,EUconst_BMlistNames,0))=39,0,IF(ISNUMBER(L1220),L1220,EUconst_HeatBMvalueForBM)),"")</f>
        <v/>
      </c>
      <c r="W1220" s="138" t="str">
        <f>IF(W1116,-SUM(M1219)*IF(INDEX(EUconst_BMlistMainNumberOfBM,MATCH($I1116,EUconst_BMlistNames,0))=39,0,IF(ISNUMBER(M1220),M1220,EUconst_HeatBMvalueForBM)),"")</f>
        <v/>
      </c>
    </row>
    <row r="1221" spans="2:27" ht="5.0999999999999996" customHeight="1" x14ac:dyDescent="0.2">
      <c r="B1221" s="224"/>
      <c r="C1221" s="977"/>
      <c r="D1221" s="978"/>
      <c r="E1221" s="978"/>
      <c r="F1221" s="978"/>
      <c r="G1221" s="978"/>
      <c r="H1221" s="978"/>
      <c r="I1221" s="978"/>
      <c r="J1221" s="978"/>
      <c r="K1221" s="978"/>
      <c r="L1221" s="978"/>
      <c r="M1221" s="980"/>
      <c r="N1221" s="661"/>
      <c r="O1221" s="25"/>
      <c r="P1221" s="955"/>
      <c r="R1221" s="955"/>
      <c r="S1221" s="955"/>
    </row>
    <row r="1222" spans="2:27" ht="12.75" customHeight="1" x14ac:dyDescent="0.2">
      <c r="B1222" s="224"/>
      <c r="C1222" s="977"/>
      <c r="D1222" s="474" t="s">
        <v>213</v>
      </c>
      <c r="E1222" s="1654" t="str">
        <f>Translations!$B$772</f>
        <v>Šīs apakšiekārtas atlikumgāzu bilance</v>
      </c>
      <c r="F1222" s="1655"/>
      <c r="G1222" s="1655"/>
      <c r="H1222" s="1655"/>
      <c r="I1222" s="1655"/>
      <c r="J1222" s="1655"/>
      <c r="K1222" s="1655"/>
      <c r="L1222" s="1655"/>
      <c r="M1222" s="1655"/>
      <c r="N1222" s="1656"/>
      <c r="O1222" s="25"/>
      <c r="P1222" s="955"/>
      <c r="R1222" s="955"/>
      <c r="S1222" s="955"/>
    </row>
    <row r="1223" spans="2:27" ht="5.0999999999999996" customHeight="1" thickBot="1" x14ac:dyDescent="0.25">
      <c r="B1223" s="224"/>
      <c r="C1223" s="977"/>
      <c r="D1223" s="978"/>
      <c r="E1223" s="1727"/>
      <c r="F1223" s="1727"/>
      <c r="G1223" s="1727"/>
      <c r="H1223" s="1727"/>
      <c r="I1223" s="1727"/>
      <c r="J1223" s="1727"/>
      <c r="K1223" s="1727"/>
      <c r="L1223" s="1727"/>
      <c r="M1223" s="1727"/>
      <c r="N1223" s="1734"/>
      <c r="O1223" s="25"/>
      <c r="P1223" s="955"/>
      <c r="R1223" s="955"/>
      <c r="S1223" s="955"/>
    </row>
    <row r="1224" spans="2:27" ht="12.75" customHeight="1" thickBot="1" x14ac:dyDescent="0.25">
      <c r="B1224" s="224"/>
      <c r="C1224" s="977"/>
      <c r="D1224" s="695" t="s">
        <v>2</v>
      </c>
      <c r="E1224" s="1735" t="str">
        <f>Translations!$B$773</f>
        <v>Vai atlikumgāzes ir šai apakšiekārtai relevantas?</v>
      </c>
      <c r="F1224" s="1735"/>
      <c r="G1224" s="1735"/>
      <c r="H1224" s="1735"/>
      <c r="I1224" s="1735"/>
      <c r="J1224" s="1735"/>
      <c r="K1224" s="1736"/>
      <c r="L1224" s="527"/>
      <c r="M1224" s="1202"/>
      <c r="N1224" s="1203"/>
      <c r="O1224" s="25"/>
      <c r="P1224" s="955"/>
      <c r="R1224" s="955"/>
      <c r="W1224" s="966" t="s">
        <v>398</v>
      </c>
      <c r="X1224" s="964" t="b">
        <f>IF(AND(I1116&lt;&gt;"",ISBLANK(L1224)),EUconst_Error&amp;"BM"&amp;C1116,FALSE)</f>
        <v>0</v>
      </c>
    </row>
    <row r="1225" spans="2:27" ht="5.0999999999999996" customHeight="1" thickBot="1" x14ac:dyDescent="0.25">
      <c r="B1225" s="224"/>
      <c r="C1225" s="977"/>
      <c r="D1225" s="978"/>
      <c r="E1225" s="978"/>
      <c r="F1225" s="978"/>
      <c r="G1225" s="978"/>
      <c r="H1225" s="978"/>
      <c r="I1225" s="978"/>
      <c r="J1225" s="978"/>
      <c r="K1225" s="978"/>
      <c r="L1225" s="978"/>
      <c r="M1225" s="980"/>
      <c r="N1225" s="661"/>
      <c r="O1225" s="25"/>
      <c r="P1225" s="955"/>
      <c r="R1225" s="955"/>
    </row>
    <row r="1226" spans="2:27" ht="12.75" customHeight="1" x14ac:dyDescent="0.2">
      <c r="B1226" s="224"/>
      <c r="C1226" s="977"/>
      <c r="D1226" s="695" t="s">
        <v>3</v>
      </c>
      <c r="E1226" s="1663" t="str">
        <f>Translations!$B$775</f>
        <v>Radušos atlikumgāzu veidi:</v>
      </c>
      <c r="F1226" s="1663"/>
      <c r="G1226" s="1663"/>
      <c r="H1226" s="1663"/>
      <c r="I1226" s="1664"/>
      <c r="J1226" s="1665"/>
      <c r="K1226" s="1665"/>
      <c r="L1226" s="1665"/>
      <c r="M1226" s="1666"/>
      <c r="N1226" s="1203"/>
      <c r="O1226" s="25"/>
      <c r="P1226" s="955"/>
      <c r="R1226" s="955"/>
      <c r="AA1226" s="643" t="b">
        <f>IF(I1116&lt;&gt;"",AND(L1224&lt;&gt;"",L1224=FALSE),FALSE)</f>
        <v>0</v>
      </c>
    </row>
    <row r="1227" spans="2:27" ht="5.0999999999999996" customHeight="1" x14ac:dyDescent="0.2">
      <c r="B1227" s="224"/>
      <c r="C1227" s="977"/>
      <c r="D1227" s="978"/>
      <c r="E1227" s="978"/>
      <c r="F1227" s="978"/>
      <c r="G1227" s="978"/>
      <c r="H1227" s="978"/>
      <c r="I1227" s="978"/>
      <c r="J1227" s="978"/>
      <c r="K1227" s="978"/>
      <c r="L1227" s="978"/>
      <c r="M1227" s="980"/>
      <c r="N1227" s="661"/>
      <c r="O1227" s="25"/>
      <c r="P1227" s="955"/>
      <c r="R1227" s="955"/>
    </row>
    <row r="1228" spans="2:27" ht="12.75" customHeight="1" x14ac:dyDescent="0.2">
      <c r="B1228" s="224"/>
      <c r="C1228" s="977"/>
      <c r="D1228" s="978"/>
      <c r="E1228" s="1653"/>
      <c r="F1228" s="1657"/>
      <c r="G1228" s="1657"/>
      <c r="H1228" s="462" t="str">
        <f>EUconst_Unit</f>
        <v>Vienība</v>
      </c>
      <c r="I1228" s="463">
        <f>I$1820</f>
        <v>2019</v>
      </c>
      <c r="J1228" s="463">
        <f>J$1820</f>
        <v>2020</v>
      </c>
      <c r="K1228" s="463">
        <f>K$1820</f>
        <v>2021</v>
      </c>
      <c r="L1228" s="463">
        <f>L$1820</f>
        <v>2022</v>
      </c>
      <c r="M1228" s="463">
        <f>M$1820</f>
        <v>2023</v>
      </c>
      <c r="N1228" s="1205"/>
      <c r="O1228" s="25"/>
      <c r="P1228" s="955"/>
      <c r="R1228" s="955"/>
      <c r="S1228" s="955"/>
      <c r="AA1228" s="607"/>
    </row>
    <row r="1229" spans="2:27" ht="12.75" customHeight="1" x14ac:dyDescent="0.2">
      <c r="B1229" s="224"/>
      <c r="C1229" s="977"/>
      <c r="D1229" s="695" t="s">
        <v>4</v>
      </c>
      <c r="E1229" s="1667" t="str">
        <f>Translations!$B$777</f>
        <v>Radušies daudzumi</v>
      </c>
      <c r="F1229" s="1660"/>
      <c r="G1229" s="1660"/>
      <c r="H1229" s="245" t="s">
        <v>249</v>
      </c>
      <c r="I1229" s="484"/>
      <c r="J1229" s="484"/>
      <c r="K1229" s="484"/>
      <c r="L1229" s="484"/>
      <c r="M1229" s="484"/>
      <c r="N1229" s="1205"/>
      <c r="O1229" s="25"/>
      <c r="P1229" s="955"/>
      <c r="R1229" s="955"/>
      <c r="S1229" s="955"/>
      <c r="AA1229" s="361" t="b">
        <f>AA1226</f>
        <v>0</v>
      </c>
    </row>
    <row r="1230" spans="2:27" ht="12.75" customHeight="1" x14ac:dyDescent="0.2">
      <c r="B1230" s="224"/>
      <c r="C1230" s="977"/>
      <c r="D1230" s="695" t="s">
        <v>6</v>
      </c>
      <c r="E1230" s="1737" t="str">
        <f>Translations!$B$470</f>
        <v>Zemākā siltumspēja</v>
      </c>
      <c r="F1230" s="1659"/>
      <c r="G1230" s="1659"/>
      <c r="H1230" s="74" t="e">
        <f>IF(ISBLANK(H1229),EUconst_GJperUnit,INDEX(EUconst_GJperTorKNm3,MATCH(H1229,EUconst_TonnesOrkNm3pa,0)))</f>
        <v>#N/A</v>
      </c>
      <c r="I1230" s="458"/>
      <c r="J1230" s="458"/>
      <c r="K1230" s="458"/>
      <c r="L1230" s="458"/>
      <c r="M1230" s="458"/>
      <c r="N1230" s="1205"/>
      <c r="O1230" s="25"/>
      <c r="R1230" s="955"/>
      <c r="S1230" s="955"/>
      <c r="T1230" s="955"/>
      <c r="U1230" s="955"/>
      <c r="V1230" s="955"/>
      <c r="W1230" s="955"/>
      <c r="AA1230" s="361" t="b">
        <f>AA1229</f>
        <v>0</v>
      </c>
    </row>
    <row r="1231" spans="2:27" ht="12.75" customHeight="1" x14ac:dyDescent="0.2">
      <c r="B1231" s="224"/>
      <c r="C1231" s="977"/>
      <c r="D1231" s="695" t="s">
        <v>303</v>
      </c>
      <c r="E1231" s="1651" t="str">
        <f>Translations!$B$778</f>
        <v>Radusies atlikumgāze</v>
      </c>
      <c r="F1231" s="1652"/>
      <c r="G1231" s="1652"/>
      <c r="H1231" s="465" t="str">
        <f>EUconst_TJpa</f>
        <v>TJ / gads</v>
      </c>
      <c r="I1231" s="523" t="str">
        <f>IF(COUNT(I1229:I1230)=2,I1229*I1230/1000,"")</f>
        <v/>
      </c>
      <c r="J1231" s="523" t="str">
        <f>IF(COUNT(J1229:J1230)=2,J1229*J1230/1000,"")</f>
        <v/>
      </c>
      <c r="K1231" s="523" t="str">
        <f>IF(COUNT(K1229:K1230)=2,K1229*K1230/1000,"")</f>
        <v/>
      </c>
      <c r="L1231" s="523" t="str">
        <f>IF(COUNT(L1229:L1230)=2,L1229*L1230/1000,"")</f>
        <v/>
      </c>
      <c r="M1231" s="523" t="str">
        <f>IF(COUNT(M1229:M1230)=2,M1229*M1230/1000,"")</f>
        <v/>
      </c>
      <c r="N1231" s="1205"/>
      <c r="O1231" s="25"/>
      <c r="P1231" s="979" t="str">
        <f>EUconst_CNTR_WGProduced &amp; I1116</f>
        <v>WasteGasProd_</v>
      </c>
      <c r="R1231" s="955"/>
      <c r="S1231" s="955"/>
      <c r="T1231" s="955"/>
      <c r="U1231" s="955"/>
      <c r="V1231" s="955"/>
      <c r="W1231" s="955"/>
      <c r="AA1231" s="607"/>
    </row>
    <row r="1232" spans="2:27" ht="12.75" customHeight="1" x14ac:dyDescent="0.2">
      <c r="B1232" s="224"/>
      <c r="C1232" s="977"/>
      <c r="D1232" s="695" t="s">
        <v>304</v>
      </c>
      <c r="E1232" s="1651" t="str">
        <f>Translations!$B$779</f>
        <v>Īpatnējais EF (radusies atlikumgāze)</v>
      </c>
      <c r="F1232" s="1652"/>
      <c r="G1232" s="1652"/>
      <c r="H1232" s="465" t="str">
        <f>EUconst_tCO2pTJ</f>
        <v>t CO2 / TJ</v>
      </c>
      <c r="I1232" s="483"/>
      <c r="J1232" s="483"/>
      <c r="K1232" s="483"/>
      <c r="L1232" s="483"/>
      <c r="M1232" s="483"/>
      <c r="N1232" s="661"/>
      <c r="O1232" s="25"/>
      <c r="P1232" s="979" t="str">
        <f>EUconst_CNTR_WGProducedEF &amp; I1116</f>
        <v>WasteGasProdEF_</v>
      </c>
      <c r="R1232" s="955"/>
      <c r="S1232" s="955"/>
      <c r="T1232" s="955"/>
      <c r="U1232" s="955"/>
      <c r="V1232" s="955"/>
      <c r="W1232" s="955"/>
      <c r="AA1232" s="361" t="b">
        <f>AA1230</f>
        <v>0</v>
      </c>
    </row>
    <row r="1233" spans="2:27" ht="5.0999999999999996" customHeight="1" x14ac:dyDescent="0.2">
      <c r="B1233" s="224"/>
      <c r="C1233" s="977"/>
      <c r="D1233" s="978"/>
      <c r="E1233" s="978"/>
      <c r="F1233" s="978"/>
      <c r="G1233" s="978"/>
      <c r="H1233" s="978"/>
      <c r="I1233" s="978"/>
      <c r="J1233" s="978"/>
      <c r="K1233" s="978"/>
      <c r="L1233" s="978"/>
      <c r="M1233" s="980"/>
      <c r="N1233" s="661"/>
      <c r="O1233" s="25"/>
      <c r="P1233" s="955"/>
      <c r="R1233" s="955"/>
      <c r="S1233" s="955"/>
      <c r="T1233" s="955"/>
      <c r="U1233" s="955"/>
      <c r="V1233" s="955"/>
      <c r="W1233" s="955"/>
      <c r="AA1233" s="607"/>
    </row>
    <row r="1234" spans="2:27" ht="12.75" customHeight="1" x14ac:dyDescent="0.2">
      <c r="B1234" s="224"/>
      <c r="C1234" s="977"/>
      <c r="D1234" s="695" t="s">
        <v>305</v>
      </c>
      <c r="E1234" s="1663" t="str">
        <f>Translations!$B$780</f>
        <v>Patērēto atlikumgāzu veidi:</v>
      </c>
      <c r="F1234" s="1663"/>
      <c r="G1234" s="1663"/>
      <c r="H1234" s="1663"/>
      <c r="I1234" s="1664"/>
      <c r="J1234" s="1665"/>
      <c r="K1234" s="1665"/>
      <c r="L1234" s="1665"/>
      <c r="M1234" s="1666"/>
      <c r="N1234" s="1203"/>
      <c r="O1234" s="25"/>
      <c r="P1234" s="955"/>
      <c r="R1234" s="955"/>
      <c r="S1234" s="955"/>
      <c r="T1234" s="955"/>
      <c r="U1234" s="955"/>
      <c r="V1234" s="955"/>
      <c r="W1234" s="955"/>
      <c r="AA1234" s="361" t="b">
        <f>AA1232</f>
        <v>0</v>
      </c>
    </row>
    <row r="1235" spans="2:27" ht="5.0999999999999996" customHeight="1" x14ac:dyDescent="0.2">
      <c r="B1235" s="224"/>
      <c r="C1235" s="977"/>
      <c r="D1235" s="978"/>
      <c r="E1235" s="978"/>
      <c r="F1235" s="978"/>
      <c r="G1235" s="978"/>
      <c r="H1235" s="978"/>
      <c r="I1235" s="978"/>
      <c r="J1235" s="978"/>
      <c r="K1235" s="978"/>
      <c r="L1235" s="978"/>
      <c r="M1235" s="980"/>
      <c r="N1235" s="661"/>
      <c r="O1235" s="25"/>
      <c r="P1235" s="955"/>
      <c r="R1235" s="955"/>
    </row>
    <row r="1236" spans="2:27" ht="12.75" customHeight="1" x14ac:dyDescent="0.2">
      <c r="B1236" s="224"/>
      <c r="C1236" s="977"/>
      <c r="D1236" s="978"/>
      <c r="E1236" s="1653"/>
      <c r="F1236" s="1657"/>
      <c r="G1236" s="1657"/>
      <c r="H1236" s="462" t="str">
        <f>EUconst_Unit</f>
        <v>Vienība</v>
      </c>
      <c r="I1236" s="463">
        <f>I$1820</f>
        <v>2019</v>
      </c>
      <c r="J1236" s="463">
        <f>J$1820</f>
        <v>2020</v>
      </c>
      <c r="K1236" s="463">
        <f>K$1820</f>
        <v>2021</v>
      </c>
      <c r="L1236" s="463">
        <f>L$1820</f>
        <v>2022</v>
      </c>
      <c r="M1236" s="463">
        <f>M$1820</f>
        <v>2023</v>
      </c>
      <c r="N1236" s="1205"/>
      <c r="O1236" s="25"/>
      <c r="P1236" s="955"/>
      <c r="R1236" s="955"/>
      <c r="S1236" s="955"/>
      <c r="T1236" s="955"/>
      <c r="U1236" s="955"/>
      <c r="V1236" s="955"/>
      <c r="W1236" s="955"/>
      <c r="AA1236" s="607"/>
    </row>
    <row r="1237" spans="2:27" ht="12.75" customHeight="1" x14ac:dyDescent="0.2">
      <c r="B1237" s="224"/>
      <c r="C1237" s="977"/>
      <c r="D1237" s="695" t="s">
        <v>306</v>
      </c>
      <c r="E1237" s="1667" t="str">
        <f>Translations!$B$782</f>
        <v>Patērētie daudzumi</v>
      </c>
      <c r="F1237" s="1660"/>
      <c r="G1237" s="1660"/>
      <c r="H1237" s="245" t="s">
        <v>249</v>
      </c>
      <c r="I1237" s="484"/>
      <c r="J1237" s="484"/>
      <c r="K1237" s="484"/>
      <c r="L1237" s="484"/>
      <c r="M1237" s="484"/>
      <c r="N1237" s="1205"/>
      <c r="O1237" s="25"/>
      <c r="P1237" s="955"/>
      <c r="R1237" s="955"/>
      <c r="S1237" s="955"/>
      <c r="T1237" s="955"/>
      <c r="U1237" s="955"/>
      <c r="V1237" s="955"/>
      <c r="W1237" s="955"/>
      <c r="AA1237" s="361" t="b">
        <f>AA1234</f>
        <v>0</v>
      </c>
    </row>
    <row r="1238" spans="2:27" ht="12.75" customHeight="1" x14ac:dyDescent="0.2">
      <c r="B1238" s="224"/>
      <c r="C1238" s="977"/>
      <c r="D1238" s="695" t="s">
        <v>307</v>
      </c>
      <c r="E1238" s="1737" t="str">
        <f>Translations!$B$470</f>
        <v>Zemākā siltumspēja</v>
      </c>
      <c r="F1238" s="1659"/>
      <c r="G1238" s="1659"/>
      <c r="H1238" s="74" t="e">
        <f>IF(ISBLANK(H1237),EUconst_GJperUnit,INDEX(EUconst_GJperTorKNm3,MATCH(H1237,EUconst_TonnesOrkNm3pa,0)))</f>
        <v>#N/A</v>
      </c>
      <c r="I1238" s="458"/>
      <c r="J1238" s="458"/>
      <c r="K1238" s="458"/>
      <c r="L1238" s="458"/>
      <c r="M1238" s="458"/>
      <c r="N1238" s="1205"/>
      <c r="O1238" s="25"/>
      <c r="R1238" s="955"/>
      <c r="S1238" s="955"/>
      <c r="T1238" s="955"/>
      <c r="U1238" s="955"/>
      <c r="V1238" s="955"/>
      <c r="W1238" s="955"/>
      <c r="AA1238" s="361" t="b">
        <f>AA1237</f>
        <v>0</v>
      </c>
    </row>
    <row r="1239" spans="2:27" ht="12.75" customHeight="1" x14ac:dyDescent="0.2">
      <c r="B1239" s="224"/>
      <c r="C1239" s="977"/>
      <c r="D1239" s="695" t="s">
        <v>15</v>
      </c>
      <c r="E1239" s="1651" t="str">
        <f>Translations!$B$783</f>
        <v>Patērētā atlikumgāze</v>
      </c>
      <c r="F1239" s="1652"/>
      <c r="G1239" s="1652"/>
      <c r="H1239" s="465" t="str">
        <f>EUconst_TJpa</f>
        <v>TJ / gads</v>
      </c>
      <c r="I1239" s="523" t="str">
        <f>IF(COUNT(I1237:I1238)=2,I1237*I1238/1000,"")</f>
        <v/>
      </c>
      <c r="J1239" s="523" t="str">
        <f>IF(COUNT(J1237:J1238)=2,J1237*J1238/1000,"")</f>
        <v/>
      </c>
      <c r="K1239" s="523" t="str">
        <f>IF(COUNT(K1237:K1238)=2,K1237*K1238/1000,"")</f>
        <v/>
      </c>
      <c r="L1239" s="523" t="str">
        <f>IF(COUNT(L1237:L1238)=2,L1237*L1238/1000,"")</f>
        <v/>
      </c>
      <c r="M1239" s="523" t="str">
        <f>IF(COUNT(M1237:M1238)=2,M1237*M1238/1000,"")</f>
        <v/>
      </c>
      <c r="N1239" s="1205"/>
      <c r="O1239" s="25"/>
      <c r="P1239" s="979" t="str">
        <f>EUconst_CNTR_WGConsumed &amp; I1116</f>
        <v>WasteGasCons_</v>
      </c>
      <c r="R1239" s="955"/>
      <c r="S1239" s="955"/>
      <c r="T1239" s="955"/>
      <c r="U1239" s="955"/>
      <c r="V1239" s="955"/>
      <c r="W1239" s="955"/>
      <c r="AA1239" s="607"/>
    </row>
    <row r="1240" spans="2:27" ht="12.75" customHeight="1" x14ac:dyDescent="0.2">
      <c r="B1240" s="224"/>
      <c r="C1240" s="977"/>
      <c r="D1240" s="695" t="s">
        <v>16</v>
      </c>
      <c r="E1240" s="1651" t="str">
        <f>Translations!$B$784</f>
        <v>Īpatnējais EF (patērētā atlikumgāze)</v>
      </c>
      <c r="F1240" s="1652"/>
      <c r="G1240" s="1652"/>
      <c r="H1240" s="465" t="str">
        <f>EUconst_tCO2pTJ</f>
        <v>t CO2 / TJ</v>
      </c>
      <c r="I1240" s="483"/>
      <c r="J1240" s="483"/>
      <c r="K1240" s="483"/>
      <c r="L1240" s="483"/>
      <c r="M1240" s="483"/>
      <c r="N1240" s="661"/>
      <c r="O1240" s="25"/>
      <c r="P1240" s="979" t="str">
        <f>EUconst_CNTR_WGConsumedEF &amp; I1116</f>
        <v>WasteGasConsEF_</v>
      </c>
      <c r="R1240" s="955"/>
      <c r="S1240" s="955"/>
      <c r="T1240" s="955"/>
      <c r="U1240" s="955"/>
      <c r="V1240" s="955"/>
      <c r="W1240" s="955"/>
      <c r="AA1240" s="361" t="b">
        <f>AA1238</f>
        <v>0</v>
      </c>
    </row>
    <row r="1241" spans="2:27" ht="5.0999999999999996" customHeight="1" x14ac:dyDescent="0.2">
      <c r="B1241" s="224"/>
      <c r="C1241" s="977"/>
      <c r="D1241" s="978"/>
      <c r="E1241" s="978"/>
      <c r="F1241" s="978"/>
      <c r="G1241" s="978"/>
      <c r="H1241" s="978"/>
      <c r="I1241" s="978"/>
      <c r="J1241" s="978"/>
      <c r="K1241" s="978"/>
      <c r="L1241" s="978"/>
      <c r="M1241" s="980"/>
      <c r="N1241" s="661"/>
      <c r="O1241" s="25"/>
      <c r="P1241" s="955"/>
      <c r="R1241" s="955"/>
      <c r="S1241" s="955"/>
      <c r="AA1241" s="607"/>
    </row>
    <row r="1242" spans="2:27" ht="12.75" customHeight="1" x14ac:dyDescent="0.2">
      <c r="B1242" s="224"/>
      <c r="C1242" s="977"/>
      <c r="D1242" s="695" t="s">
        <v>17</v>
      </c>
      <c r="E1242" s="1663" t="str">
        <f>Translations!$B$785</f>
        <v>Lāpā sadedzināto atlikumgāzu veidi:</v>
      </c>
      <c r="F1242" s="1663"/>
      <c r="G1242" s="1663"/>
      <c r="H1242" s="1663"/>
      <c r="I1242" s="1664"/>
      <c r="J1242" s="1665"/>
      <c r="K1242" s="1665"/>
      <c r="L1242" s="1665"/>
      <c r="M1242" s="1666"/>
      <c r="N1242" s="1203"/>
      <c r="O1242" s="25"/>
      <c r="P1242" s="955"/>
      <c r="R1242" s="955"/>
      <c r="AA1242" s="361" t="b">
        <f>AA1232</f>
        <v>0</v>
      </c>
    </row>
    <row r="1243" spans="2:27" ht="5.0999999999999996" customHeight="1" x14ac:dyDescent="0.2">
      <c r="B1243" s="224"/>
      <c r="C1243" s="977"/>
      <c r="D1243" s="978"/>
      <c r="E1243" s="978"/>
      <c r="F1243" s="978"/>
      <c r="G1243" s="978"/>
      <c r="H1243" s="978"/>
      <c r="I1243" s="978"/>
      <c r="J1243" s="978"/>
      <c r="K1243" s="978"/>
      <c r="L1243" s="978"/>
      <c r="M1243" s="980"/>
      <c r="N1243" s="661"/>
      <c r="O1243" s="25"/>
      <c r="P1243" s="955"/>
      <c r="R1243" s="955"/>
    </row>
    <row r="1244" spans="2:27" ht="12.75" customHeight="1" x14ac:dyDescent="0.2">
      <c r="B1244" s="224"/>
      <c r="C1244" s="977"/>
      <c r="D1244" s="978"/>
      <c r="E1244" s="1653"/>
      <c r="F1244" s="1657"/>
      <c r="G1244" s="1657"/>
      <c r="H1244" s="462" t="str">
        <f>EUconst_Unit</f>
        <v>Vienība</v>
      </c>
      <c r="I1244" s="463">
        <f>I$1820</f>
        <v>2019</v>
      </c>
      <c r="J1244" s="463">
        <f>J$1820</f>
        <v>2020</v>
      </c>
      <c r="K1244" s="463">
        <f>K$1820</f>
        <v>2021</v>
      </c>
      <c r="L1244" s="463">
        <f>L$1820</f>
        <v>2022</v>
      </c>
      <c r="M1244" s="463">
        <f>M$1820</f>
        <v>2023</v>
      </c>
      <c r="N1244" s="1205"/>
      <c r="O1244" s="25"/>
      <c r="P1244" s="955"/>
      <c r="AA1244" s="607"/>
    </row>
    <row r="1245" spans="2:27" ht="12.75" customHeight="1" thickBot="1" x14ac:dyDescent="0.25">
      <c r="B1245" s="224"/>
      <c r="C1245" s="977"/>
      <c r="D1245" s="695" t="s">
        <v>438</v>
      </c>
      <c r="E1245" s="1667" t="str">
        <f>Translations!$B$789</f>
        <v>Lāpā sadedzinātie daudzumi</v>
      </c>
      <c r="F1245" s="1660"/>
      <c r="G1245" s="1660"/>
      <c r="H1245" s="245" t="s">
        <v>249</v>
      </c>
      <c r="I1245" s="484"/>
      <c r="J1245" s="484"/>
      <c r="K1245" s="484"/>
      <c r="L1245" s="484"/>
      <c r="M1245" s="484"/>
      <c r="N1245" s="1205"/>
      <c r="O1245" s="25"/>
      <c r="P1245" s="955"/>
      <c r="R1245" s="955" t="s">
        <v>525</v>
      </c>
      <c r="AA1245" s="361" t="b">
        <f>AA1242</f>
        <v>0</v>
      </c>
    </row>
    <row r="1246" spans="2:27" ht="12.75" customHeight="1" thickBot="1" x14ac:dyDescent="0.25">
      <c r="B1246" s="224"/>
      <c r="C1246" s="977"/>
      <c r="D1246" s="695" t="s">
        <v>439</v>
      </c>
      <c r="E1246" s="1737" t="str">
        <f>Translations!$B$470</f>
        <v>Zemākā siltumspēja</v>
      </c>
      <c r="F1246" s="1659"/>
      <c r="G1246" s="1659"/>
      <c r="H1246" s="74" t="e">
        <f>IF(ISBLANK(H1245),EUconst_GJperUnit,INDEX(EUconst_GJperTorKNm3,MATCH(H1245,EUconst_TonnesOrkNm3pa,0)))</f>
        <v>#N/A</v>
      </c>
      <c r="I1246" s="458"/>
      <c r="J1246" s="458"/>
      <c r="K1246" s="458"/>
      <c r="L1246" s="458"/>
      <c r="M1246" s="458"/>
      <c r="N1246" s="1205"/>
      <c r="O1246" s="25"/>
      <c r="R1246" s="708" t="s">
        <v>421</v>
      </c>
      <c r="S1246" s="705">
        <f>I1244</f>
        <v>2019</v>
      </c>
      <c r="T1246" s="706">
        <f>J1244</f>
        <v>2020</v>
      </c>
      <c r="U1246" s="706">
        <f>K1244</f>
        <v>2021</v>
      </c>
      <c r="V1246" s="706">
        <f>L1244</f>
        <v>2022</v>
      </c>
      <c r="W1246" s="707">
        <f>M1244</f>
        <v>2023</v>
      </c>
      <c r="AA1246" s="361" t="b">
        <f>AA1245</f>
        <v>0</v>
      </c>
    </row>
    <row r="1247" spans="2:27" ht="12.75" customHeight="1" thickBot="1" x14ac:dyDescent="0.25">
      <c r="B1247" s="224"/>
      <c r="C1247" s="977"/>
      <c r="D1247" s="695" t="s">
        <v>440</v>
      </c>
      <c r="E1247" s="1651" t="str">
        <f>Translations!$B$790</f>
        <v>Lāpā sadedzinātā atlikumgāze</v>
      </c>
      <c r="F1247" s="1652"/>
      <c r="G1247" s="1652"/>
      <c r="H1247" s="465" t="str">
        <f>EUconst_TJpa</f>
        <v>TJ / gads</v>
      </c>
      <c r="I1247" s="523" t="str">
        <f>IF(COUNT(I1245:I1246)=2,I1245*I1246/1000,"")</f>
        <v/>
      </c>
      <c r="J1247" s="523" t="str">
        <f>IF(COUNT(J1245:J1246)=2,J1245*J1246/1000,"")</f>
        <v/>
      </c>
      <c r="K1247" s="523" t="str">
        <f>IF(COUNT(K1245:K1246)=2,K1245*K1246/1000,"")</f>
        <v/>
      </c>
      <c r="L1247" s="523" t="str">
        <f>IF(COUNT(L1245:L1246)=2,L1245*L1246/1000,"")</f>
        <v/>
      </c>
      <c r="M1247" s="523" t="str">
        <f>IF(COUNT(M1245:M1246)=2,M1245*M1246/1000,"")</f>
        <v/>
      </c>
      <c r="N1247" s="1205"/>
      <c r="O1247" s="25"/>
      <c r="P1247" s="979" t="str">
        <f>EUconst_CNTR_WGFlared &amp; I1116</f>
        <v>WasteGasFlare_</v>
      </c>
      <c r="R1247" s="363" t="str">
        <f>IF(COUNT(S1247:W1247)&gt;0,AVERAGE(S1247:W1247),"")</f>
        <v/>
      </c>
      <c r="S1247" s="454" t="str">
        <f>IF(S1116,IF(ISNUMBER(I1247),I1247,0),"")</f>
        <v/>
      </c>
      <c r="T1247" s="455" t="str">
        <f>IF(T1116,IF(ISNUMBER(J1247),J1247,0),"")</f>
        <v/>
      </c>
      <c r="U1247" s="455" t="str">
        <f>IF(U1116,IF(ISNUMBER(K1247),K1247,0),"")</f>
        <v/>
      </c>
      <c r="V1247" s="455" t="str">
        <f>IF(V1116,IF(ISNUMBER(L1247),L1247,0),"")</f>
        <v/>
      </c>
      <c r="W1247" s="456" t="str">
        <f>IF(W1116,IF(ISNUMBER(M1247),M1247,0),"")</f>
        <v/>
      </c>
      <c r="AA1247" s="607"/>
    </row>
    <row r="1248" spans="2:27" ht="12.75" customHeight="1" thickBot="1" x14ac:dyDescent="0.25">
      <c r="B1248" s="224"/>
      <c r="C1248" s="977"/>
      <c r="D1248" s="695" t="s">
        <v>441</v>
      </c>
      <c r="E1248" s="1651" t="str">
        <f>Translations!$B$791</f>
        <v>Īpatnējais EF (lāpā sadedzinātā atlikumgāze)</v>
      </c>
      <c r="F1248" s="1652"/>
      <c r="G1248" s="1652"/>
      <c r="H1248" s="465" t="str">
        <f>EUconst_tCO2pTJ</f>
        <v>t CO2 / TJ</v>
      </c>
      <c r="I1248" s="483"/>
      <c r="J1248" s="483"/>
      <c r="K1248" s="483"/>
      <c r="L1248" s="483"/>
      <c r="M1248" s="483"/>
      <c r="N1248" s="661"/>
      <c r="O1248" s="25"/>
      <c r="P1248" s="979" t="str">
        <f>EUconst_CNTR_WGFlaredEF &amp; I1116</f>
        <v>WasteGasFlareEF_</v>
      </c>
      <c r="R1248" s="843" t="str">
        <f>IF(COUNT(S1248:W1248)&gt;0,AVERAGE(S1248:W1248),"")</f>
        <v/>
      </c>
      <c r="S1248" s="454" t="str">
        <f>IF(S1116,SUM(I1247)*SUM(I1248),"")</f>
        <v/>
      </c>
      <c r="T1248" s="455" t="str">
        <f>IF(T1116,SUM(J1247)*SUM(J1248),"")</f>
        <v/>
      </c>
      <c r="U1248" s="455" t="str">
        <f>IF(U1116,SUM(K1247)*SUM(K1248),"")</f>
        <v/>
      </c>
      <c r="V1248" s="455" t="str">
        <f>IF(V1116,SUM(L1247)*SUM(L1248),"")</f>
        <v/>
      </c>
      <c r="W1248" s="456" t="str">
        <f>IF(W1116,SUM(M1247)*SUM(M1248),"")</f>
        <v/>
      </c>
      <c r="AA1248" s="361" t="b">
        <f>AA1246</f>
        <v>0</v>
      </c>
    </row>
    <row r="1249" spans="1:27" ht="5.0999999999999996" customHeight="1" x14ac:dyDescent="0.2">
      <c r="B1249" s="224"/>
      <c r="C1249" s="977"/>
      <c r="D1249" s="978"/>
      <c r="E1249" s="978"/>
      <c r="F1249" s="978"/>
      <c r="G1249" s="978"/>
      <c r="H1249" s="978"/>
      <c r="I1249" s="978"/>
      <c r="J1249" s="978"/>
      <c r="K1249" s="978"/>
      <c r="L1249" s="978"/>
      <c r="M1249" s="980"/>
      <c r="N1249" s="661"/>
      <c r="O1249" s="25"/>
      <c r="P1249" s="955"/>
      <c r="R1249" s="955"/>
      <c r="S1249" s="955"/>
      <c r="AA1249" s="607"/>
    </row>
    <row r="1250" spans="1:27" ht="12.75" customHeight="1" x14ac:dyDescent="0.2">
      <c r="B1250" s="224"/>
      <c r="C1250" s="977"/>
      <c r="D1250" s="695" t="s">
        <v>442</v>
      </c>
      <c r="E1250" s="1663" t="str">
        <f>Translations!$B$792</f>
        <v>Importēto atlikumgāzu veidi:</v>
      </c>
      <c r="F1250" s="1663"/>
      <c r="G1250" s="1663"/>
      <c r="H1250" s="1663"/>
      <c r="I1250" s="1664"/>
      <c r="J1250" s="1665"/>
      <c r="K1250" s="1665"/>
      <c r="L1250" s="1665"/>
      <c r="M1250" s="1666"/>
      <c r="N1250" s="661"/>
      <c r="O1250" s="25"/>
      <c r="P1250" s="955"/>
      <c r="R1250" s="955"/>
      <c r="AA1250" s="361" t="b">
        <f>AA1230</f>
        <v>0</v>
      </c>
    </row>
    <row r="1251" spans="1:27" ht="5.0999999999999996" customHeight="1" x14ac:dyDescent="0.2">
      <c r="B1251" s="224"/>
      <c r="C1251" s="977"/>
      <c r="D1251" s="978"/>
      <c r="E1251" s="978"/>
      <c r="F1251" s="978"/>
      <c r="G1251" s="978"/>
      <c r="H1251" s="978"/>
      <c r="I1251" s="978"/>
      <c r="J1251" s="978"/>
      <c r="K1251" s="978"/>
      <c r="L1251" s="978"/>
      <c r="M1251" s="980"/>
      <c r="N1251" s="661"/>
      <c r="O1251" s="25"/>
      <c r="P1251" s="955"/>
      <c r="R1251" s="955"/>
    </row>
    <row r="1252" spans="1:27" ht="12.75" customHeight="1" x14ac:dyDescent="0.2">
      <c r="B1252" s="224"/>
      <c r="C1252" s="977"/>
      <c r="D1252" s="978"/>
      <c r="E1252" s="1653"/>
      <c r="F1252" s="1657"/>
      <c r="G1252" s="1657"/>
      <c r="H1252" s="462" t="str">
        <f>EUconst_Unit</f>
        <v>Vienība</v>
      </c>
      <c r="I1252" s="463">
        <f>I$1820</f>
        <v>2019</v>
      </c>
      <c r="J1252" s="463">
        <f>J$1820</f>
        <v>2020</v>
      </c>
      <c r="K1252" s="463">
        <f>K$1820</f>
        <v>2021</v>
      </c>
      <c r="L1252" s="463">
        <f>L$1820</f>
        <v>2022</v>
      </c>
      <c r="M1252" s="463">
        <f>M$1820</f>
        <v>2023</v>
      </c>
      <c r="N1252" s="1205"/>
      <c r="O1252" s="25"/>
      <c r="P1252" s="955"/>
      <c r="R1252" s="955"/>
      <c r="S1252" s="955"/>
      <c r="AA1252" s="607"/>
    </row>
    <row r="1253" spans="1:27" ht="12.75" customHeight="1" thickBot="1" x14ac:dyDescent="0.25">
      <c r="B1253" s="224"/>
      <c r="C1253" s="977"/>
      <c r="D1253" s="695" t="s">
        <v>443</v>
      </c>
      <c r="E1253" s="1667" t="str">
        <f>Translations!$B$795</f>
        <v>Importētie daudzumi</v>
      </c>
      <c r="F1253" s="1660"/>
      <c r="G1253" s="1660"/>
      <c r="H1253" s="245" t="s">
        <v>249</v>
      </c>
      <c r="I1253" s="484"/>
      <c r="J1253" s="484"/>
      <c r="K1253" s="484"/>
      <c r="L1253" s="484"/>
      <c r="M1253" s="484"/>
      <c r="N1253" s="1205"/>
      <c r="O1253" s="25"/>
      <c r="P1253" s="955"/>
      <c r="R1253" s="955"/>
      <c r="S1253" s="955"/>
      <c r="AA1253" s="361" t="b">
        <f>AA1250</f>
        <v>0</v>
      </c>
    </row>
    <row r="1254" spans="1:27" ht="12.75" customHeight="1" x14ac:dyDescent="0.2">
      <c r="B1254" s="224"/>
      <c r="C1254" s="977"/>
      <c r="D1254" s="695" t="s">
        <v>444</v>
      </c>
      <c r="E1254" s="1737" t="str">
        <f>Translations!$B$470</f>
        <v>Zemākā siltumspēja</v>
      </c>
      <c r="F1254" s="1659"/>
      <c r="G1254" s="1659"/>
      <c r="H1254" s="74" t="e">
        <f>IF(ISBLANK(H1253),EUconst_GJperUnit,INDEX(EUconst_GJperTorKNm3,MATCH(H1253,EUconst_TonnesOrkNm3pa,0)))</f>
        <v>#N/A</v>
      </c>
      <c r="I1254" s="458"/>
      <c r="J1254" s="458"/>
      <c r="K1254" s="458"/>
      <c r="L1254" s="458"/>
      <c r="M1254" s="458"/>
      <c r="N1254" s="1205"/>
      <c r="O1254" s="25"/>
      <c r="P1254" s="982"/>
      <c r="R1254" s="970"/>
      <c r="S1254" s="809">
        <f>I1252</f>
        <v>2019</v>
      </c>
      <c r="T1254" s="809">
        <f>J1252</f>
        <v>2020</v>
      </c>
      <c r="U1254" s="809">
        <f>K1252</f>
        <v>2021</v>
      </c>
      <c r="V1254" s="809">
        <f>L1252</f>
        <v>2022</v>
      </c>
      <c r="W1254" s="810">
        <f>M1252</f>
        <v>2023</v>
      </c>
      <c r="AA1254" s="361" t="b">
        <f>AA1253</f>
        <v>0</v>
      </c>
    </row>
    <row r="1255" spans="1:27" ht="12.75" customHeight="1" x14ac:dyDescent="0.2">
      <c r="B1255" s="224"/>
      <c r="C1255" s="977"/>
      <c r="D1255" s="695" t="s">
        <v>445</v>
      </c>
      <c r="E1255" s="1651" t="str">
        <f>Translations!$B$796</f>
        <v>Importētā atlikumgāze</v>
      </c>
      <c r="F1255" s="1652"/>
      <c r="G1255" s="1652"/>
      <c r="H1255" s="465" t="str">
        <f>EUconst_TJpa</f>
        <v>TJ / gads</v>
      </c>
      <c r="I1255" s="448" t="str">
        <f>IF(COUNT(I1253:I1254)=2,I1253*I1254/1000,"")</f>
        <v/>
      </c>
      <c r="J1255" s="448" t="str">
        <f>IF(COUNT(J1253:J1254)=2,J1253*J1254/1000,"")</f>
        <v/>
      </c>
      <c r="K1255" s="448" t="str">
        <f>IF(COUNT(K1253:K1254)=2,K1253*K1254/1000,"")</f>
        <v/>
      </c>
      <c r="L1255" s="448" t="str">
        <f>IF(COUNT(L1253:L1254)=2,L1253*L1254/1000,"")</f>
        <v/>
      </c>
      <c r="M1255" s="448" t="str">
        <f>IF(COUNT(M1253:M1254)=2,M1253*M1254/1000,"")</f>
        <v/>
      </c>
      <c r="N1255" s="1205"/>
      <c r="O1255" s="25"/>
      <c r="P1255" s="979" t="str">
        <f>EUconst_CNTR_WGImport &amp; I1116</f>
        <v>WasteGasIm_</v>
      </c>
      <c r="R1255" s="981" t="str">
        <f>EUconst_ERR_AttrEmBMapplied &amp; I1116</f>
        <v>ERR_AttrEmBM_ </v>
      </c>
      <c r="S1255" s="134">
        <f>IF(AND(I1255&lt;&gt;"",EUconst_StatusOfDataCollection=""),1,0)</f>
        <v>0</v>
      </c>
      <c r="T1255" s="134">
        <f>IF(AND(J1255&lt;&gt;"",EUconst_StatusOfDataCollection=""),1,0)</f>
        <v>0</v>
      </c>
      <c r="U1255" s="134">
        <f>IF(AND(K1255&lt;&gt;"",EUconst_StatusOfDataCollection=""),1,0)</f>
        <v>0</v>
      </c>
      <c r="V1255" s="134">
        <f>IF(AND(L1255&lt;&gt;"",EUconst_StatusOfDataCollection=""),1,0)</f>
        <v>0</v>
      </c>
      <c r="W1255" s="135">
        <f>IF(AND(M1255&lt;&gt;"",EUconst_StatusOfDataCollection=""),1,0)</f>
        <v>0</v>
      </c>
      <c r="AA1255" s="607"/>
    </row>
    <row r="1256" spans="1:27" s="697" customFormat="1" ht="12.75" customHeight="1" thickBot="1" x14ac:dyDescent="0.25">
      <c r="A1256" s="437"/>
      <c r="B1256" s="224"/>
      <c r="C1256" s="977"/>
      <c r="D1256" s="695" t="s">
        <v>446</v>
      </c>
      <c r="E1256" s="1651" t="str">
        <f>Translations!$B$797</f>
        <v>Īpatnējais EF (importētā atlikumgāze)</v>
      </c>
      <c r="F1256" s="1651"/>
      <c r="G1256" s="1651"/>
      <c r="H1256" s="464" t="str">
        <f>EUconst_tCO2pTJ</f>
        <v>t CO2 / TJ</v>
      </c>
      <c r="I1256" s="761"/>
      <c r="J1256" s="761"/>
      <c r="K1256" s="761"/>
      <c r="L1256" s="761"/>
      <c r="M1256" s="761"/>
      <c r="N1256" s="661"/>
      <c r="O1256" s="25"/>
      <c r="P1256" s="979" t="str">
        <f>EUconst_CNTR_WGImportEF &amp; I1116</f>
        <v>WasteGasImEF_</v>
      </c>
      <c r="Q1256" s="437"/>
      <c r="R1256" s="971" t="str">
        <f>EUconst_CNTR_AttributedEmissions &amp; I1116</f>
        <v>AttrEmissions_</v>
      </c>
      <c r="S1256" s="137" t="str">
        <f>IF(S1116,SUM(I1255)*EUconst_FuelBMvalueForBM,"")</f>
        <v/>
      </c>
      <c r="T1256" s="137" t="str">
        <f>IF(T1116,SUM(J1255)*EUconst_FuelBMvalueForBM,"")</f>
        <v/>
      </c>
      <c r="U1256" s="137" t="str">
        <f>IF(U1116,SUM(K1255)*EUconst_FuelBMvalueForBM,"")</f>
        <v/>
      </c>
      <c r="V1256" s="137" t="str">
        <f>IF(V1116,SUM(L1255)*EUconst_FuelBMvalueForBM,"")</f>
        <v/>
      </c>
      <c r="W1256" s="138" t="str">
        <f>IF(W1116,SUM(M1255)*EUconst_FuelBMvalueForBM,"")</f>
        <v/>
      </c>
      <c r="X1256" s="437"/>
      <c r="Y1256" s="437"/>
      <c r="Z1256" s="437"/>
      <c r="AA1256" s="361" t="b">
        <f>AA1254</f>
        <v>0</v>
      </c>
    </row>
    <row r="1257" spans="1:27" ht="5.0999999999999996" customHeight="1" x14ac:dyDescent="0.2">
      <c r="B1257" s="224"/>
      <c r="C1257" s="977"/>
      <c r="D1257" s="978"/>
      <c r="E1257" s="978"/>
      <c r="F1257" s="978"/>
      <c r="G1257" s="978"/>
      <c r="H1257" s="978"/>
      <c r="I1257" s="978"/>
      <c r="J1257" s="978"/>
      <c r="K1257" s="978"/>
      <c r="L1257" s="978"/>
      <c r="M1257" s="980"/>
      <c r="N1257" s="661"/>
      <c r="O1257" s="25"/>
      <c r="P1257" s="955"/>
      <c r="R1257" s="955"/>
      <c r="S1257" s="955"/>
      <c r="AA1257" s="607"/>
    </row>
    <row r="1258" spans="1:27" ht="12.75" customHeight="1" x14ac:dyDescent="0.2">
      <c r="B1258" s="224"/>
      <c r="C1258" s="977"/>
      <c r="D1258" s="695" t="s">
        <v>447</v>
      </c>
      <c r="E1258" s="1663" t="str">
        <f>Translations!$B$798</f>
        <v>Eksportēto atlikumgāzu veidi:</v>
      </c>
      <c r="F1258" s="1663"/>
      <c r="G1258" s="1663"/>
      <c r="H1258" s="1663"/>
      <c r="I1258" s="1664"/>
      <c r="J1258" s="1665"/>
      <c r="K1258" s="1665"/>
      <c r="L1258" s="1665"/>
      <c r="M1258" s="1666"/>
      <c r="N1258" s="1203"/>
      <c r="O1258" s="25"/>
      <c r="P1258" s="955"/>
      <c r="R1258" s="955"/>
      <c r="AA1258" s="361" t="b">
        <f>AA1253</f>
        <v>0</v>
      </c>
    </row>
    <row r="1259" spans="1:27" ht="5.0999999999999996" customHeight="1" x14ac:dyDescent="0.2">
      <c r="B1259" s="224"/>
      <c r="C1259" s="977"/>
      <c r="D1259" s="978"/>
      <c r="E1259" s="978"/>
      <c r="F1259" s="978"/>
      <c r="G1259" s="978"/>
      <c r="H1259" s="978"/>
      <c r="I1259" s="978"/>
      <c r="J1259" s="978"/>
      <c r="K1259" s="978"/>
      <c r="L1259" s="978"/>
      <c r="M1259" s="980"/>
      <c r="N1259" s="661"/>
      <c r="O1259" s="25"/>
      <c r="P1259" s="955"/>
      <c r="R1259" s="955"/>
    </row>
    <row r="1260" spans="1:27" ht="12.75" customHeight="1" x14ac:dyDescent="0.2">
      <c r="B1260" s="224"/>
      <c r="C1260" s="977"/>
      <c r="D1260" s="978"/>
      <c r="E1260" s="1653"/>
      <c r="F1260" s="1657"/>
      <c r="G1260" s="1657"/>
      <c r="H1260" s="462" t="str">
        <f>EUconst_Unit</f>
        <v>Vienība</v>
      </c>
      <c r="I1260" s="463">
        <f>I$1820</f>
        <v>2019</v>
      </c>
      <c r="J1260" s="463">
        <f>J$1820</f>
        <v>2020</v>
      </c>
      <c r="K1260" s="463">
        <f>K$1820</f>
        <v>2021</v>
      </c>
      <c r="L1260" s="463">
        <f>L$1820</f>
        <v>2022</v>
      </c>
      <c r="M1260" s="463">
        <f>M$1820</f>
        <v>2023</v>
      </c>
      <c r="N1260" s="1205"/>
      <c r="O1260" s="25"/>
      <c r="P1260" s="955"/>
      <c r="R1260" s="955"/>
      <c r="S1260" s="955"/>
      <c r="AA1260" s="607"/>
    </row>
    <row r="1261" spans="1:27" ht="12.75" customHeight="1" x14ac:dyDescent="0.2">
      <c r="B1261" s="224"/>
      <c r="C1261" s="977"/>
      <c r="D1261" s="695" t="s">
        <v>448</v>
      </c>
      <c r="E1261" s="1667" t="str">
        <f>Translations!$B$800</f>
        <v>Eksportētie daudzumi</v>
      </c>
      <c r="F1261" s="1660"/>
      <c r="G1261" s="1660"/>
      <c r="H1261" s="245" t="s">
        <v>249</v>
      </c>
      <c r="I1261" s="484"/>
      <c r="J1261" s="484"/>
      <c r="K1261" s="484"/>
      <c r="L1261" s="484"/>
      <c r="M1261" s="484"/>
      <c r="N1261" s="1205"/>
      <c r="O1261" s="25"/>
      <c r="P1261" s="955"/>
      <c r="R1261" s="955"/>
      <c r="S1261" s="955"/>
      <c r="AA1261" s="361" t="b">
        <f>AA1258</f>
        <v>0</v>
      </c>
    </row>
    <row r="1262" spans="1:27" ht="12.75" customHeight="1" thickBot="1" x14ac:dyDescent="0.25">
      <c r="B1262" s="224"/>
      <c r="C1262" s="977"/>
      <c r="D1262" s="695" t="s">
        <v>612</v>
      </c>
      <c r="E1262" s="1737" t="str">
        <f>Translations!$B$470</f>
        <v>Zemākā siltumspēja</v>
      </c>
      <c r="F1262" s="1659"/>
      <c r="G1262" s="1659"/>
      <c r="H1262" s="74" t="e">
        <f>IF(ISBLANK(H1261),EUconst_GJperUnit,INDEX(EUconst_GJperTorKNm3,MATCH(H1261,EUconst_TonnesOrkNm3pa,0)))</f>
        <v>#N/A</v>
      </c>
      <c r="I1262" s="458"/>
      <c r="J1262" s="458"/>
      <c r="K1262" s="458"/>
      <c r="L1262" s="458"/>
      <c r="M1262" s="458"/>
      <c r="N1262" s="1205"/>
      <c r="O1262" s="25"/>
      <c r="P1262" s="982"/>
      <c r="R1262" s="955"/>
      <c r="S1262" s="955"/>
      <c r="AA1262" s="361" t="b">
        <f>AA1261</f>
        <v>0</v>
      </c>
    </row>
    <row r="1263" spans="1:27" ht="12.75" customHeight="1" x14ac:dyDescent="0.2">
      <c r="B1263" s="224"/>
      <c r="C1263" s="977"/>
      <c r="D1263" s="695" t="s">
        <v>613</v>
      </c>
      <c r="E1263" s="1651" t="str">
        <f>Translations!$B$801</f>
        <v>Eksportētā atlikumgāze</v>
      </c>
      <c r="F1263" s="1652"/>
      <c r="G1263" s="1652"/>
      <c r="H1263" s="465" t="str">
        <f>EUconst_TJpa</f>
        <v>TJ / gads</v>
      </c>
      <c r="I1263" s="448" t="str">
        <f>IF(COUNT(I1261:I1262)=2,I1261*I1262/1000,"")</f>
        <v/>
      </c>
      <c r="J1263" s="448" t="str">
        <f>IF(COUNT(J1261:J1262)=2,J1261*J1262/1000,"")</f>
        <v/>
      </c>
      <c r="K1263" s="448" t="str">
        <f>IF(COUNT(K1261:K1262)=2,K1261*K1262/1000,"")</f>
        <v/>
      </c>
      <c r="L1263" s="448" t="str">
        <f>IF(COUNT(L1261:L1262)=2,L1261*L1262/1000,"")</f>
        <v/>
      </c>
      <c r="M1263" s="448" t="str">
        <f>IF(COUNT(M1261:M1262)=2,M1261*M1262/1000,"")</f>
        <v/>
      </c>
      <c r="N1263" s="698"/>
      <c r="O1263" s="25"/>
      <c r="P1263" s="979" t="str">
        <f>EUconst_CNTR_WGExport &amp; I1116</f>
        <v>WasteGasEx_</v>
      </c>
      <c r="R1263" s="970"/>
      <c r="S1263" s="809">
        <f>I1260</f>
        <v>2019</v>
      </c>
      <c r="T1263" s="809">
        <f>J1260</f>
        <v>2020</v>
      </c>
      <c r="U1263" s="809">
        <f>K1260</f>
        <v>2021</v>
      </c>
      <c r="V1263" s="809">
        <f>L1260</f>
        <v>2022</v>
      </c>
      <c r="W1263" s="810">
        <f>M1260</f>
        <v>2023</v>
      </c>
      <c r="AA1263" s="607"/>
    </row>
    <row r="1264" spans="1:27" s="697" customFormat="1" ht="12.75" customHeight="1" thickBot="1" x14ac:dyDescent="0.25">
      <c r="A1264" s="20"/>
      <c r="B1264" s="224"/>
      <c r="C1264" s="977"/>
      <c r="D1264" s="695" t="s">
        <v>614</v>
      </c>
      <c r="E1264" s="1651" t="str">
        <f>Translations!$B$802</f>
        <v>Īpatnējais EF (eksportētā atlikumgāze)</v>
      </c>
      <c r="F1264" s="1651"/>
      <c r="G1264" s="1651"/>
      <c r="H1264" s="464" t="str">
        <f>EUconst_tCO2pTJ</f>
        <v>t CO2 / TJ</v>
      </c>
      <c r="I1264" s="761"/>
      <c r="J1264" s="761"/>
      <c r="K1264" s="761"/>
      <c r="L1264" s="761"/>
      <c r="M1264" s="761"/>
      <c r="N1264" s="661"/>
      <c r="O1264" s="25"/>
      <c r="P1264" s="979" t="str">
        <f>EUconst_CNTR_WGExportEF &amp; I1116</f>
        <v>WasteGasExEF_</v>
      </c>
      <c r="Q1264" s="437"/>
      <c r="R1264" s="971" t="str">
        <f>EUconst_CNTR_AttributedEmissions &amp; I1116</f>
        <v>AttrEmissions_</v>
      </c>
      <c r="S1264" s="137" t="str">
        <f>IF(S1116,-SUM(I1263)*EUconst_NGEFvalue*EUconst_WasteGasCorrFactor,"")</f>
        <v/>
      </c>
      <c r="T1264" s="137" t="str">
        <f>IF(T1116,-SUM(J1263)*EUconst_NGEFvalue*EUconst_WasteGasCorrFactor,"")</f>
        <v/>
      </c>
      <c r="U1264" s="137" t="str">
        <f>IF(U1116,-SUM(K1263)*EUconst_NGEFvalue*EUconst_WasteGasCorrFactor,"")</f>
        <v/>
      </c>
      <c r="V1264" s="137" t="str">
        <f>IF(V1116,-SUM(L1263)*EUconst_NGEFvalue*EUconst_WasteGasCorrFactor,"")</f>
        <v/>
      </c>
      <c r="W1264" s="138" t="str">
        <f>IF(W1116,-SUM(M1263)*EUconst_NGEFvalue*EUconst_WasteGasCorrFactor,"")</f>
        <v/>
      </c>
      <c r="X1264" s="437"/>
      <c r="Y1264" s="437"/>
      <c r="Z1264" s="437"/>
      <c r="AA1264" s="186" t="b">
        <f>AA1262</f>
        <v>0</v>
      </c>
    </row>
    <row r="1265" spans="2:27" ht="5.0999999999999996" customHeight="1" x14ac:dyDescent="0.2">
      <c r="B1265" s="224"/>
      <c r="C1265" s="977"/>
      <c r="D1265" s="978"/>
      <c r="E1265" s="978"/>
      <c r="F1265" s="978"/>
      <c r="G1265" s="978"/>
      <c r="H1265" s="978"/>
      <c r="I1265" s="978"/>
      <c r="J1265" s="978"/>
      <c r="K1265" s="978"/>
      <c r="L1265" s="978"/>
      <c r="M1265" s="980"/>
      <c r="N1265" s="661"/>
      <c r="O1265" s="25"/>
      <c r="P1265" s="955"/>
      <c r="R1265" s="955"/>
    </row>
    <row r="1266" spans="2:27" ht="12.75" customHeight="1" thickBot="1" x14ac:dyDescent="0.25">
      <c r="B1266" s="224"/>
      <c r="C1266" s="977"/>
      <c r="D1266" s="474" t="s">
        <v>214</v>
      </c>
      <c r="E1266" s="1654" t="str">
        <f>Translations!$B$420</f>
        <v>Elektroenerģijas ražošana</v>
      </c>
      <c r="F1266" s="1655"/>
      <c r="G1266" s="1655"/>
      <c r="H1266" s="1655"/>
      <c r="I1266" s="1655"/>
      <c r="J1266" s="1655"/>
      <c r="K1266" s="1655"/>
      <c r="L1266" s="1655"/>
      <c r="M1266" s="1655"/>
      <c r="N1266" s="1656"/>
      <c r="O1266" s="25"/>
      <c r="P1266" s="955"/>
      <c r="R1266" s="955"/>
    </row>
    <row r="1267" spans="2:27" ht="12.75" customHeight="1" x14ac:dyDescent="0.2">
      <c r="B1267" s="224"/>
      <c r="C1267" s="977"/>
      <c r="D1267" s="474"/>
      <c r="E1267" s="1653"/>
      <c r="F1267" s="1657"/>
      <c r="G1267" s="1657"/>
      <c r="H1267" s="462" t="str">
        <f>EUconst_Unit</f>
        <v>Vienība</v>
      </c>
      <c r="I1267" s="463">
        <f>I$1820</f>
        <v>2019</v>
      </c>
      <c r="J1267" s="463">
        <f>J$1820</f>
        <v>2020</v>
      </c>
      <c r="K1267" s="463">
        <f>K$1820</f>
        <v>2021</v>
      </c>
      <c r="L1267" s="463">
        <f>L$1820</f>
        <v>2022</v>
      </c>
      <c r="M1267" s="463">
        <f>M$1820</f>
        <v>2023</v>
      </c>
      <c r="N1267" s="661"/>
      <c r="O1267" s="25"/>
      <c r="P1267" s="955"/>
      <c r="R1267" s="970"/>
      <c r="S1267" s="809">
        <f>I1267</f>
        <v>2019</v>
      </c>
      <c r="T1267" s="809">
        <f>J1267</f>
        <v>2020</v>
      </c>
      <c r="U1267" s="809">
        <f>K1267</f>
        <v>2021</v>
      </c>
      <c r="V1267" s="809">
        <f>L1267</f>
        <v>2022</v>
      </c>
      <c r="W1267" s="810">
        <f>M1267</f>
        <v>2023</v>
      </c>
    </row>
    <row r="1268" spans="2:27" ht="12.75" customHeight="1" thickBot="1" x14ac:dyDescent="0.25">
      <c r="B1268" s="224"/>
      <c r="C1268" s="977"/>
      <c r="D1268" s="695"/>
      <c r="E1268" s="1651" t="str">
        <f>Translations!$B$805</f>
        <v>Saražotā elektroenerģija</v>
      </c>
      <c r="F1268" s="1652"/>
      <c r="G1268" s="1652"/>
      <c r="H1268" s="465" t="str">
        <f>EUconst_MWhpa</f>
        <v>MWh / gads</v>
      </c>
      <c r="I1268" s="483"/>
      <c r="J1268" s="483"/>
      <c r="K1268" s="483"/>
      <c r="L1268" s="483"/>
      <c r="M1268" s="483"/>
      <c r="N1268" s="1205"/>
      <c r="O1268" s="25"/>
      <c r="P1268" s="979" t="str">
        <f>EUconst_CNTR_ElectricityExported &amp; I1116</f>
        <v>ElecEx_</v>
      </c>
      <c r="R1268" s="971" t="str">
        <f>EUconst_CNTR_AttributedEmissions &amp; I1116</f>
        <v>AttrEmissions_</v>
      </c>
      <c r="S1268" s="137" t="str">
        <f>IF(S1116,-SUM(I1268)*EUconst_ElBM,"")</f>
        <v/>
      </c>
      <c r="T1268" s="137" t="str">
        <f>IF(T1116,-SUM(J1268)*EUconst_ElBM,"")</f>
        <v/>
      </c>
      <c r="U1268" s="137" t="str">
        <f>IF(U1116,-SUM(K1268)*EUconst_ElBM,"")</f>
        <v/>
      </c>
      <c r="V1268" s="137" t="str">
        <f>IF(V1116,-SUM(L1268)*EUconst_ElBM,"")</f>
        <v/>
      </c>
      <c r="W1268" s="138" t="str">
        <f>IF(W1116,-SUM(M1268)*EUconst_ElBM,"")</f>
        <v/>
      </c>
    </row>
    <row r="1269" spans="2:27" ht="5.0999999999999996" customHeight="1" x14ac:dyDescent="0.2">
      <c r="B1269" s="224"/>
      <c r="C1269" s="977"/>
      <c r="D1269" s="978"/>
      <c r="E1269" s="978"/>
      <c r="F1269" s="978"/>
      <c r="G1269" s="978"/>
      <c r="H1269" s="978"/>
      <c r="I1269" s="978"/>
      <c r="J1269" s="978"/>
      <c r="K1269" s="978"/>
      <c r="L1269" s="978"/>
      <c r="M1269" s="980"/>
      <c r="N1269" s="661"/>
      <c r="O1269" s="25"/>
      <c r="P1269" s="955"/>
      <c r="R1269" s="955"/>
      <c r="S1269" s="955"/>
    </row>
    <row r="1270" spans="2:27" ht="12.75" customHeight="1" thickBot="1" x14ac:dyDescent="0.25">
      <c r="B1270" s="224"/>
      <c r="C1270" s="977"/>
      <c r="D1270" s="474" t="s">
        <v>77</v>
      </c>
      <c r="E1270" s="1663" t="str">
        <f>Translations!$B$806</f>
        <v>Kopējais saražotās pulpas daudzums</v>
      </c>
      <c r="F1270" s="1663"/>
      <c r="G1270" s="1663"/>
      <c r="H1270" s="1663"/>
      <c r="I1270" s="1663"/>
      <c r="J1270" s="1663"/>
      <c r="K1270" s="1663"/>
      <c r="L1270" s="1663"/>
      <c r="M1270" s="1663"/>
      <c r="N1270" s="1690"/>
      <c r="O1270" s="25"/>
      <c r="S1270" s="955"/>
    </row>
    <row r="1271" spans="2:27" ht="12.75" customHeight="1" thickBot="1" x14ac:dyDescent="0.25">
      <c r="B1271" s="224"/>
      <c r="C1271" s="977"/>
      <c r="D1271" s="695"/>
      <c r="E1271" s="1689" t="str">
        <f>IF(I1116="","",IF(INDEX(EUconst_BMlistPulp,MATCH(I1116,EUconst_BMlistNames,0)),I1116,""))</f>
        <v/>
      </c>
      <c r="F1271" s="1689"/>
      <c r="G1271" s="1689"/>
      <c r="H1271" s="465" t="str">
        <f>EUconst_Tons</f>
        <v>tonnas</v>
      </c>
      <c r="I1271" s="483"/>
      <c r="J1271" s="483"/>
      <c r="K1271" s="483"/>
      <c r="L1271" s="483"/>
      <c r="M1271" s="483"/>
      <c r="N1271" s="1205"/>
      <c r="O1271" s="25"/>
      <c r="P1271" s="979" t="str">
        <f>EUconst_CNTR_HALPulpTotal &amp; I1116</f>
        <v>HALPulpTotal_</v>
      </c>
      <c r="R1271" s="955"/>
      <c r="AA1271" s="734" t="b">
        <f>IF(I1116&lt;&gt;"",IF(INDEX(EUconst_BMlistPulp,MATCH(I1116,EUconst_BMlistNames,0))=TRUE,FALSE,TRUE),FALSE)</f>
        <v>0</v>
      </c>
    </row>
    <row r="1272" spans="2:27" ht="5.0999999999999996" customHeight="1" x14ac:dyDescent="0.2">
      <c r="B1272" s="224"/>
      <c r="C1272" s="977"/>
      <c r="D1272" s="695"/>
      <c r="E1272" s="695"/>
      <c r="F1272" s="695"/>
      <c r="G1272" s="695"/>
      <c r="H1272" s="695"/>
      <c r="I1272" s="695"/>
      <c r="J1272" s="695"/>
      <c r="K1272" s="695"/>
      <c r="L1272" s="695"/>
      <c r="M1272" s="695"/>
      <c r="N1272" s="1205"/>
      <c r="O1272" s="25"/>
      <c r="P1272" s="982"/>
      <c r="R1272" s="955"/>
      <c r="S1272" s="955"/>
    </row>
    <row r="1273" spans="2:27" ht="12.75" customHeight="1" thickBot="1" x14ac:dyDescent="0.25">
      <c r="B1273" s="224"/>
      <c r="C1273" s="977"/>
      <c r="D1273" s="474" t="s">
        <v>322</v>
      </c>
      <c r="E1273" s="1654" t="str">
        <f>Translations!$B$810</f>
        <v>Produktu līmeņatzīmju aptverto starpproduktu imports vai eksports</v>
      </c>
      <c r="F1273" s="1655"/>
      <c r="G1273" s="1655"/>
      <c r="H1273" s="1655"/>
      <c r="I1273" s="1655"/>
      <c r="J1273" s="1655"/>
      <c r="K1273" s="1655"/>
      <c r="L1273" s="1655"/>
      <c r="M1273" s="1655"/>
      <c r="N1273" s="1656"/>
      <c r="O1273" s="25"/>
      <c r="P1273" s="955"/>
      <c r="R1273" s="955"/>
      <c r="S1273" s="955"/>
    </row>
    <row r="1274" spans="2:27" ht="12.75" customHeight="1" thickBot="1" x14ac:dyDescent="0.25">
      <c r="B1274" s="38"/>
      <c r="C1274" s="977"/>
      <c r="D1274" s="695" t="s">
        <v>2</v>
      </c>
      <c r="E1274" s="1732" t="str">
        <f>Translations!$B$813</f>
        <v>Vai notiek produktu līmeņatzīmju aptverto starpproduktu imports vai eksports?</v>
      </c>
      <c r="F1274" s="1732"/>
      <c r="G1274" s="1732"/>
      <c r="H1274" s="1732"/>
      <c r="I1274" s="1732"/>
      <c r="J1274" s="1732"/>
      <c r="K1274" s="1733"/>
      <c r="L1274" s="527"/>
      <c r="M1274" s="461"/>
      <c r="N1274" s="698"/>
      <c r="O1274" s="25"/>
      <c r="W1274" s="966" t="s">
        <v>398</v>
      </c>
      <c r="X1274" s="964" t="b">
        <f>IF(AND(I1116&lt;&gt;"",ISBLANK(L1274)),EUconst_Error&amp;"BM"&amp;C1116,FALSE)</f>
        <v>0</v>
      </c>
    </row>
    <row r="1275" spans="2:27" ht="5.0999999999999996" customHeight="1" x14ac:dyDescent="0.2">
      <c r="B1275" s="224"/>
      <c r="C1275" s="977"/>
      <c r="D1275" s="695"/>
      <c r="E1275" s="695"/>
      <c r="F1275" s="695"/>
      <c r="G1275" s="695"/>
      <c r="H1275" s="695"/>
      <c r="I1275" s="695"/>
      <c r="J1275" s="695"/>
      <c r="K1275" s="695"/>
      <c r="L1275" s="695"/>
      <c r="M1275" s="695"/>
      <c r="N1275" s="1205"/>
      <c r="O1275" s="25"/>
      <c r="P1275" s="982"/>
      <c r="R1275" s="955"/>
      <c r="S1275" s="955"/>
    </row>
    <row r="1276" spans="2:27" ht="12.75" customHeight="1" thickBot="1" x14ac:dyDescent="0.25">
      <c r="B1276" s="224"/>
      <c r="C1276" s="977"/>
      <c r="D1276" s="524"/>
      <c r="E1276" s="1653" t="str">
        <f>Translations!$B$814</f>
        <v>Importētie daudzumi:</v>
      </c>
      <c r="F1276" s="1657"/>
      <c r="G1276" s="1657"/>
      <c r="H1276" s="525" t="str">
        <f>EUconst_Unit</f>
        <v>Vienība</v>
      </c>
      <c r="I1276" s="463">
        <f>I$1820</f>
        <v>2019</v>
      </c>
      <c r="J1276" s="463">
        <f>J$1820</f>
        <v>2020</v>
      </c>
      <c r="K1276" s="463">
        <f>K$1820</f>
        <v>2021</v>
      </c>
      <c r="L1276" s="463">
        <f>L$1820</f>
        <v>2022</v>
      </c>
      <c r="M1276" s="463">
        <f>M$1820</f>
        <v>2023</v>
      </c>
      <c r="N1276" s="1205"/>
      <c r="O1276" s="25"/>
      <c r="P1276" s="982"/>
      <c r="R1276" s="955"/>
      <c r="S1276" s="955"/>
      <c r="AA1276" s="437" t="s">
        <v>262</v>
      </c>
    </row>
    <row r="1277" spans="2:27" ht="12.75" customHeight="1" x14ac:dyDescent="0.2">
      <c r="B1277" s="224"/>
      <c r="C1277" s="977"/>
      <c r="D1277" s="526" t="s">
        <v>3</v>
      </c>
      <c r="E1277" s="1745"/>
      <c r="F1277" s="1745"/>
      <c r="G1277" s="1745"/>
      <c r="H1277" s="82" t="str">
        <f>IF(E1277&lt;&gt;"",INDEX(EUconst_BMlistUnits,MATCH(E1277,EUconst_BMlistNames,0)),EUconst_Tons)</f>
        <v>tonnas</v>
      </c>
      <c r="I1277" s="334"/>
      <c r="J1277" s="334"/>
      <c r="K1277" s="334"/>
      <c r="L1277" s="334"/>
      <c r="M1277" s="334"/>
      <c r="N1277" s="1205"/>
      <c r="O1277" s="25"/>
      <c r="P1277" s="979" t="str">
        <f>EUconst_CNTR_IntermediateImport &amp; R1277 &amp; "_" &amp; I1116</f>
        <v>IntImp_1_</v>
      </c>
      <c r="R1277" s="979">
        <v>1</v>
      </c>
      <c r="S1277" s="955"/>
      <c r="AA1277" s="643" t="b">
        <f>AND(NOT(ISBLANK(L1274)),L1274=FALSE)</f>
        <v>0</v>
      </c>
    </row>
    <row r="1278" spans="2:27" ht="12.75" customHeight="1" x14ac:dyDescent="0.2">
      <c r="B1278" s="224"/>
      <c r="C1278" s="977"/>
      <c r="D1278" s="526" t="s">
        <v>4</v>
      </c>
      <c r="E1278" s="1746"/>
      <c r="F1278" s="1746"/>
      <c r="G1278" s="1746"/>
      <c r="H1278" s="74" t="str">
        <f>IF(E1278&lt;&gt;"",INDEX(EUconst_BMlistUnits,MATCH(E1278,EUconst_BMlistNames,0)),EUconst_Tons)</f>
        <v>tonnas</v>
      </c>
      <c r="I1278" s="333"/>
      <c r="J1278" s="333"/>
      <c r="K1278" s="333"/>
      <c r="L1278" s="333"/>
      <c r="M1278" s="333"/>
      <c r="N1278" s="1205"/>
      <c r="O1278" s="25"/>
      <c r="P1278" s="979" t="str">
        <f>EUconst_CNTR_IntermediateImport &amp; R1278 &amp; "_" &amp; I1116</f>
        <v>IntImp_2_</v>
      </c>
      <c r="R1278" s="979">
        <v>2</v>
      </c>
      <c r="S1278" s="955"/>
      <c r="AA1278" s="361" t="b">
        <f>AA1277</f>
        <v>0</v>
      </c>
    </row>
    <row r="1279" spans="2:27" ht="5.0999999999999996" customHeight="1" x14ac:dyDescent="0.2">
      <c r="B1279" s="224"/>
      <c r="C1279" s="977"/>
      <c r="D1279" s="695"/>
      <c r="E1279" s="695"/>
      <c r="F1279" s="695"/>
      <c r="G1279" s="695"/>
      <c r="H1279" s="695"/>
      <c r="I1279" s="695"/>
      <c r="J1279" s="695"/>
      <c r="K1279" s="695"/>
      <c r="L1279" s="695"/>
      <c r="M1279" s="695"/>
      <c r="N1279" s="1205"/>
      <c r="O1279" s="25"/>
      <c r="P1279" s="982"/>
      <c r="R1279" s="955"/>
      <c r="S1279" s="955"/>
      <c r="AA1279" s="607"/>
    </row>
    <row r="1280" spans="2:27" ht="12.75" customHeight="1" x14ac:dyDescent="0.2">
      <c r="B1280" s="224"/>
      <c r="C1280" s="977"/>
      <c r="D1280" s="524"/>
      <c r="E1280" s="1653" t="str">
        <f>Translations!$B$815</f>
        <v>Eksportētie daudzumi:</v>
      </c>
      <c r="F1280" s="1657"/>
      <c r="G1280" s="1657"/>
      <c r="H1280" s="525" t="str">
        <f>EUconst_Unit</f>
        <v>Vienība</v>
      </c>
      <c r="I1280" s="463">
        <f>I$1820</f>
        <v>2019</v>
      </c>
      <c r="J1280" s="463">
        <f>J$1820</f>
        <v>2020</v>
      </c>
      <c r="K1280" s="463">
        <f>K$1820</f>
        <v>2021</v>
      </c>
      <c r="L1280" s="463">
        <f>L$1820</f>
        <v>2022</v>
      </c>
      <c r="M1280" s="463">
        <f>M$1820</f>
        <v>2023</v>
      </c>
      <c r="N1280" s="1205"/>
      <c r="O1280" s="25"/>
      <c r="P1280" s="982"/>
      <c r="R1280" s="955"/>
      <c r="S1280" s="955"/>
      <c r="AA1280" s="607"/>
    </row>
    <row r="1281" spans="2:27" ht="12.75" customHeight="1" x14ac:dyDescent="0.2">
      <c r="B1281" s="224"/>
      <c r="C1281" s="977"/>
      <c r="D1281" s="526" t="s">
        <v>6</v>
      </c>
      <c r="E1281" s="1745"/>
      <c r="F1281" s="1745"/>
      <c r="G1281" s="1745"/>
      <c r="H1281" s="82" t="str">
        <f>IF(E1281&lt;&gt;"",INDEX(EUconst_BMlistUnits,MATCH(E1281,EUconst_BMlistNames,0)),EUconst_Tons)</f>
        <v>tonnas</v>
      </c>
      <c r="I1281" s="334"/>
      <c r="J1281" s="334"/>
      <c r="K1281" s="334"/>
      <c r="L1281" s="334"/>
      <c r="M1281" s="334"/>
      <c r="N1281" s="1205"/>
      <c r="O1281" s="25"/>
      <c r="P1281" s="979" t="str">
        <f>EUconst_CNTR_IntermediateExport &amp; R1277 &amp; "_" &amp; I1116</f>
        <v>IntExp_1_</v>
      </c>
      <c r="R1281" s="979">
        <v>1</v>
      </c>
      <c r="S1281" s="955"/>
      <c r="U1281" s="522"/>
      <c r="V1281" s="522"/>
      <c r="AA1281" s="361" t="b">
        <f>AA1277</f>
        <v>0</v>
      </c>
    </row>
    <row r="1282" spans="2:27" ht="12.75" customHeight="1" x14ac:dyDescent="0.2">
      <c r="B1282" s="224"/>
      <c r="C1282" s="977"/>
      <c r="D1282" s="526" t="s">
        <v>303</v>
      </c>
      <c r="E1282" s="1746"/>
      <c r="F1282" s="1746"/>
      <c r="G1282" s="1746"/>
      <c r="H1282" s="74" t="str">
        <f>IF(E1282&lt;&gt;"",INDEX(EUconst_BMlistUnits,MATCH(E1282,EUconst_BMlistNames,0)),EUconst_Tons)</f>
        <v>tonnas</v>
      </c>
      <c r="I1282" s="333"/>
      <c r="J1282" s="333"/>
      <c r="K1282" s="333"/>
      <c r="L1282" s="333"/>
      <c r="M1282" s="333"/>
      <c r="N1282" s="1205"/>
      <c r="O1282" s="25"/>
      <c r="P1282" s="979" t="str">
        <f>EUconst_CNTR_IntermediateExport &amp; R1282 &amp; "_" &amp; I1116</f>
        <v>IntExp_2_</v>
      </c>
      <c r="R1282" s="979">
        <v>2</v>
      </c>
      <c r="S1282" s="955"/>
      <c r="U1282" s="522"/>
      <c r="V1282" s="522"/>
      <c r="AA1282" s="361" t="b">
        <f>AA1277</f>
        <v>0</v>
      </c>
    </row>
    <row r="1283" spans="2:27" ht="5.0999999999999996" customHeight="1" x14ac:dyDescent="0.2">
      <c r="B1283" s="224"/>
      <c r="C1283" s="977"/>
      <c r="D1283" s="695"/>
      <c r="E1283" s="695"/>
      <c r="F1283" s="695"/>
      <c r="G1283" s="695"/>
      <c r="H1283" s="695"/>
      <c r="I1283" s="695"/>
      <c r="J1283" s="695"/>
      <c r="K1283" s="695"/>
      <c r="L1283" s="695"/>
      <c r="M1283" s="695"/>
      <c r="N1283" s="1205"/>
      <c r="O1283" s="25"/>
      <c r="P1283" s="982"/>
      <c r="R1283" s="955"/>
      <c r="S1283" s="955"/>
      <c r="U1283" s="522"/>
      <c r="V1283" s="522"/>
      <c r="AA1283" s="607"/>
    </row>
    <row r="1284" spans="2:27" ht="12.75" customHeight="1" x14ac:dyDescent="0.2">
      <c r="B1284" s="224"/>
      <c r="C1284" s="977"/>
      <c r="D1284" s="526" t="s">
        <v>304</v>
      </c>
      <c r="E1284" s="1738" t="str">
        <f>Translations!$B$816</f>
        <v>Importēto vai eksportēto starpproduktu apraksts</v>
      </c>
      <c r="F1284" s="1738"/>
      <c r="G1284" s="1738"/>
      <c r="H1284" s="1738"/>
      <c r="I1284" s="1738"/>
      <c r="J1284" s="1738"/>
      <c r="K1284" s="1738"/>
      <c r="L1284" s="1738"/>
      <c r="M1284" s="1738"/>
      <c r="N1284" s="1205"/>
      <c r="O1284" s="25"/>
      <c r="P1284" s="982"/>
      <c r="R1284" s="955"/>
      <c r="S1284" s="955"/>
      <c r="U1284" s="522"/>
      <c r="V1284" s="522"/>
      <c r="AA1284" s="607"/>
    </row>
    <row r="1285" spans="2:27" ht="12.75" customHeight="1" x14ac:dyDescent="0.2">
      <c r="B1285" s="224"/>
      <c r="C1285" s="977"/>
      <c r="D1285" s="695"/>
      <c r="E1285" s="1739"/>
      <c r="F1285" s="1740"/>
      <c r="G1285" s="1740"/>
      <c r="H1285" s="1740"/>
      <c r="I1285" s="1740"/>
      <c r="J1285" s="1740"/>
      <c r="K1285" s="1740"/>
      <c r="L1285" s="1740"/>
      <c r="M1285" s="1741"/>
      <c r="N1285" s="1205"/>
      <c r="O1285" s="25"/>
      <c r="P1285" s="982"/>
      <c r="R1285" s="955"/>
      <c r="S1285" s="955"/>
      <c r="U1285" s="522"/>
      <c r="V1285" s="522"/>
      <c r="AA1285" s="361" t="b">
        <f>AA1277</f>
        <v>0</v>
      </c>
    </row>
    <row r="1286" spans="2:27" ht="12.75" customHeight="1" thickBot="1" x14ac:dyDescent="0.25">
      <c r="B1286" s="224"/>
      <c r="C1286" s="977"/>
      <c r="D1286" s="695"/>
      <c r="E1286" s="1742"/>
      <c r="F1286" s="1743"/>
      <c r="G1286" s="1743"/>
      <c r="H1286" s="1743"/>
      <c r="I1286" s="1743"/>
      <c r="J1286" s="1743"/>
      <c r="K1286" s="1743"/>
      <c r="L1286" s="1743"/>
      <c r="M1286" s="1744"/>
      <c r="N1286" s="1205"/>
      <c r="O1286" s="25"/>
      <c r="P1286" s="982"/>
      <c r="R1286" s="955"/>
      <c r="S1286" s="955"/>
      <c r="U1286" s="522"/>
      <c r="V1286" s="522"/>
      <c r="AA1286" s="186" t="b">
        <f>AA1277</f>
        <v>0</v>
      </c>
    </row>
    <row r="1287" spans="2:27" ht="12.75" customHeight="1" thickBot="1" x14ac:dyDescent="0.25">
      <c r="B1287" s="224"/>
      <c r="C1287" s="983"/>
      <c r="D1287" s="984"/>
      <c r="E1287" s="984"/>
      <c r="F1287" s="984"/>
      <c r="G1287" s="984"/>
      <c r="H1287" s="984"/>
      <c r="I1287" s="984"/>
      <c r="J1287" s="984"/>
      <c r="K1287" s="984"/>
      <c r="L1287" s="984"/>
      <c r="M1287" s="985"/>
      <c r="N1287" s="986"/>
      <c r="O1287" s="25"/>
      <c r="P1287" s="955"/>
      <c r="R1287" s="955"/>
      <c r="S1287" s="955"/>
    </row>
    <row r="1288" spans="2:27" ht="13.5" thickBot="1" x14ac:dyDescent="0.25">
      <c r="B1288" s="38"/>
      <c r="C1288" s="38"/>
      <c r="D1288" s="38"/>
      <c r="E1288" s="38"/>
      <c r="F1288" s="38"/>
      <c r="G1288" s="38"/>
      <c r="H1288" s="38"/>
      <c r="I1288" s="38"/>
      <c r="J1288" s="38"/>
      <c r="K1288" s="38"/>
      <c r="L1288" s="38"/>
      <c r="M1288" s="38"/>
      <c r="N1288" s="38"/>
      <c r="O1288" s="25"/>
      <c r="P1288" s="362" t="str">
        <f>IF(OR(AND(CNTR_ExistProductSubEntries=FALSE,P1116=1),AND(I1116&lt;&gt;"",COUNTIF(P1289:$P$1814,"PRINT")=0)),"PRINT","")</f>
        <v/>
      </c>
      <c r="Q1288" s="437" t="s">
        <v>481</v>
      </c>
      <c r="R1288" s="955"/>
      <c r="S1288" s="955"/>
    </row>
    <row r="1289" spans="2:27" ht="5.0999999999999996" customHeight="1" thickBot="1" x14ac:dyDescent="0.25">
      <c r="B1289" s="38"/>
      <c r="C1289" s="987"/>
      <c r="D1289" s="987"/>
      <c r="E1289" s="987"/>
      <c r="F1289" s="987"/>
      <c r="G1289" s="987"/>
      <c r="H1289" s="987"/>
      <c r="I1289" s="987"/>
      <c r="J1289" s="987"/>
      <c r="K1289" s="987"/>
      <c r="L1289" s="987"/>
      <c r="M1289" s="987"/>
      <c r="N1289" s="987"/>
      <c r="O1289" s="25"/>
      <c r="R1289" s="955"/>
      <c r="S1289" s="955"/>
    </row>
    <row r="1290" spans="2:27" ht="15.75" thickBot="1" x14ac:dyDescent="0.25">
      <c r="B1290" s="224"/>
      <c r="C1290" s="965">
        <f>C1116+1</f>
        <v>8</v>
      </c>
      <c r="D1290" s="1318" t="str">
        <f>EUconst_BMSubinst &amp; ":"</f>
        <v>Apakšiekārta ar produkta līmeņatzīmi:</v>
      </c>
      <c r="E1290" s="1251"/>
      <c r="F1290" s="1251"/>
      <c r="G1290" s="1251"/>
      <c r="H1290" s="1328"/>
      <c r="I1290" s="1701" t="str">
        <f>IF(INDEX(CNTR_SubInstListIsProdBM,$C1290),INDEX(CNTR_SubInstListNames,$C1290),"")</f>
        <v/>
      </c>
      <c r="J1290" s="1457"/>
      <c r="K1290" s="1457"/>
      <c r="L1290" s="1457"/>
      <c r="M1290" s="1457"/>
      <c r="N1290" s="1259"/>
      <c r="O1290" s="25"/>
      <c r="P1290" s="362">
        <f>C1290</f>
        <v>8</v>
      </c>
      <c r="Q1290" s="966" t="s">
        <v>225</v>
      </c>
      <c r="R1290" s="967" t="str">
        <f>IF(I1290="","",INDEX(CNTR_SubInstStartDate,MATCH($I1290,CNTR_SubInstListNames,0)))</f>
        <v/>
      </c>
      <c r="S1290" s="968" t="b">
        <f>IF($I1290="",FALSE,AND(I$1823,YEAR($R1290)&lt;I$1820))</f>
        <v>0</v>
      </c>
      <c r="T1290" s="968" t="b">
        <f>IF($I1290="",FALSE,AND(J$1823,YEAR($R1290)&lt;J$1820))</f>
        <v>0</v>
      </c>
      <c r="U1290" s="968" t="b">
        <f>IF($I1290="",FALSE,AND(K$1823,YEAR($R1290)&lt;K$1820))</f>
        <v>0</v>
      </c>
      <c r="V1290" s="968" t="b">
        <f>IF($I1290="",FALSE,AND(L$1823,YEAR($R1290)&lt;L$1820))</f>
        <v>0</v>
      </c>
      <c r="W1290" s="968" t="b">
        <f>IF($I1290="",FALSE,AND(M$1823,YEAR($R1290)&lt;M$1820))</f>
        <v>0</v>
      </c>
      <c r="Z1290" s="732" t="s">
        <v>529</v>
      </c>
      <c r="AA1290" s="734" t="b">
        <f>AND(CNTR_ExistSubInstEntries,I1290="")</f>
        <v>0</v>
      </c>
    </row>
    <row r="1291" spans="2:27" ht="5.0999999999999996" customHeight="1" x14ac:dyDescent="0.2">
      <c r="B1291" s="224"/>
      <c r="C1291" s="224"/>
      <c r="D1291" s="224"/>
      <c r="E1291" s="224"/>
      <c r="F1291" s="224"/>
      <c r="G1291" s="224"/>
      <c r="H1291" s="224"/>
      <c r="I1291" s="224"/>
      <c r="J1291" s="224"/>
      <c r="K1291" s="224"/>
      <c r="L1291" s="224"/>
      <c r="M1291" s="34"/>
      <c r="N1291" s="34"/>
      <c r="O1291" s="25"/>
      <c r="P1291" s="955"/>
      <c r="R1291" s="955"/>
      <c r="S1291" s="955"/>
    </row>
    <row r="1292" spans="2:27" ht="13.5" thickBot="1" x14ac:dyDescent="0.25">
      <c r="B1292" s="224"/>
      <c r="C1292" s="224"/>
      <c r="D1292" s="32" t="s">
        <v>165</v>
      </c>
      <c r="E1292" s="1250" t="str">
        <f>Translations!$B$670</f>
        <v>Vēsturiskie darbības līmeņi</v>
      </c>
      <c r="F1292" s="1251"/>
      <c r="G1292" s="1251"/>
      <c r="H1292" s="1251"/>
      <c r="I1292" s="1251"/>
      <c r="J1292" s="1251"/>
      <c r="K1292" s="1251"/>
      <c r="L1292" s="1251"/>
      <c r="M1292" s="1251"/>
      <c r="N1292" s="1251"/>
      <c r="O1292" s="25"/>
      <c r="P1292" s="955"/>
      <c r="R1292" s="955"/>
      <c r="S1292" s="955"/>
    </row>
    <row r="1293" spans="2:27" ht="13.5" customHeight="1" thickBot="1" x14ac:dyDescent="0.25">
      <c r="B1293" s="38"/>
      <c r="C1293" s="38"/>
      <c r="D1293" s="32"/>
      <c r="E1293" s="1320" t="str">
        <f>Translations!$B$676</f>
        <v>Gada darbības līmeņi:</v>
      </c>
      <c r="F1293" s="1320"/>
      <c r="G1293" s="1320"/>
      <c r="H1293" s="52" t="str">
        <f>EUconst_Unit</f>
        <v>Vienība</v>
      </c>
      <c r="I1293" s="412">
        <f>I$1820</f>
        <v>2019</v>
      </c>
      <c r="J1293" s="412">
        <f>J$1820</f>
        <v>2020</v>
      </c>
      <c r="K1293" s="412">
        <f>K$1820</f>
        <v>2021</v>
      </c>
      <c r="L1293" s="412">
        <f>L$1820</f>
        <v>2022</v>
      </c>
      <c r="M1293" s="412">
        <f>M$1820</f>
        <v>2023</v>
      </c>
      <c r="N1293" s="34"/>
      <c r="O1293" s="25"/>
      <c r="P1293" s="955"/>
      <c r="Q1293" s="439" t="s">
        <v>416</v>
      </c>
      <c r="R1293" s="289"/>
      <c r="S1293" s="289"/>
      <c r="T1293" s="289"/>
      <c r="U1293" s="289"/>
      <c r="V1293" s="289"/>
      <c r="W1293" s="290"/>
      <c r="AA1293" s="437" t="s">
        <v>262</v>
      </c>
    </row>
    <row r="1294" spans="2:27" ht="13.5" thickBot="1" x14ac:dyDescent="0.25">
      <c r="B1294" s="38"/>
      <c r="C1294" s="38"/>
      <c r="D1294" s="212" t="s">
        <v>2</v>
      </c>
      <c r="E1294" s="1716" t="str">
        <f>I1290</f>
        <v/>
      </c>
      <c r="F1294" s="1716"/>
      <c r="G1294" s="1716"/>
      <c r="H1294" s="116" t="str">
        <f>IF(INDEX(CNTR_SubInstListIsProdBM,$C1290),INDEX(CNTR_SubInstListHALUnit,$C1290),EUconst_Tons)</f>
        <v>tonnas</v>
      </c>
      <c r="I1294" s="595"/>
      <c r="J1294" s="595"/>
      <c r="K1294" s="595"/>
      <c r="L1294" s="595"/>
      <c r="M1294" s="595"/>
      <c r="N1294" s="34"/>
      <c r="O1294" s="25"/>
      <c r="P1294" s="182" t="s">
        <v>228</v>
      </c>
      <c r="Q1294" s="1023" t="s">
        <v>618</v>
      </c>
      <c r="R1294" s="204" t="s">
        <v>629</v>
      </c>
      <c r="S1294" s="454">
        <f>I1293</f>
        <v>2019</v>
      </c>
      <c r="T1294" s="455">
        <f>J1293</f>
        <v>2020</v>
      </c>
      <c r="U1294" s="455">
        <f>K1293</f>
        <v>2021</v>
      </c>
      <c r="V1294" s="455">
        <f>L1293</f>
        <v>2022</v>
      </c>
      <c r="W1294" s="456">
        <f>M1293</f>
        <v>2023</v>
      </c>
      <c r="Z1294" s="437"/>
      <c r="AA1294" s="643" t="b">
        <f>IF(CNTR_ExistSubInstEntries,AND(I1290&lt;&gt;"",Q1298),FALSE)</f>
        <v>0</v>
      </c>
    </row>
    <row r="1295" spans="2:27" ht="13.5" thickBot="1" x14ac:dyDescent="0.25">
      <c r="B1295" s="38"/>
      <c r="C1295" s="38"/>
      <c r="D1295" s="212" t="s">
        <v>3</v>
      </c>
      <c r="E1295" s="1716" t="str">
        <f>Translations!$B$677</f>
        <v>No lapas “H_SpecialBM”:</v>
      </c>
      <c r="F1295" s="1716"/>
      <c r="G1295" s="1716"/>
      <c r="H1295" s="116" t="str">
        <f>H1294</f>
        <v>tonnas</v>
      </c>
      <c r="I1295" s="336" t="str">
        <f>IF($I1290="","",IF($Q1298,SUMIF(H_SpecialBM!$P$9:$P$401,$P1295,H_SpecialBM!I$9:I$401),""))</f>
        <v/>
      </c>
      <c r="J1295" s="336" t="str">
        <f>IF($I1290="","",IF($Q1298,SUMIF(H_SpecialBM!$P$9:$P$401,$P1295,H_SpecialBM!J$9:J$401),""))</f>
        <v/>
      </c>
      <c r="K1295" s="336" t="str">
        <f>IF($I1290="","",IF($Q1298,SUMIF(H_SpecialBM!$P$9:$P$401,$P1295,H_SpecialBM!K$9:K$401),""))</f>
        <v/>
      </c>
      <c r="L1295" s="336" t="str">
        <f>IF($I1290="","",IF($Q1298,SUMIF(H_SpecialBM!$P$9:$P$401,$P1295,H_SpecialBM!L$9:L$401),""))</f>
        <v/>
      </c>
      <c r="M1295" s="336" t="str">
        <f>IF($I1290="","",IF($Q1298,SUMIF(H_SpecialBM!$P$9:$P$401,$P1295,H_SpecialBM!M$9:M$401),""))</f>
        <v/>
      </c>
      <c r="N1295" s="34"/>
      <c r="O1295" s="25"/>
      <c r="P1295" s="969" t="str">
        <f>EUconst_CNTR_HALspecial&amp;I1290</f>
        <v>HALspecial_</v>
      </c>
      <c r="Q1295" s="1093" t="str">
        <f>IF(COUNT($U1295:$V1295)&gt;0,SUM($U1295:$V1295),"")</f>
        <v/>
      </c>
      <c r="R1295" s="1094" t="str">
        <f>IF(COUNT(S1295:W1295)&gt;0,MEDIAN(S1295:W1295),"")</f>
        <v/>
      </c>
      <c r="S1295" s="1095" t="str">
        <f>IF(S1290,IF(ISNUMBER(I1295),I1295,""),"")</f>
        <v/>
      </c>
      <c r="T1295" s="1096" t="str">
        <f>IF(T1290,IF(ISNUMBER(J1295),J1295,""),"")</f>
        <v/>
      </c>
      <c r="U1295" s="1096" t="str">
        <f>IF(U1290,IF(ISNUMBER(K1295),K1295,""),"")</f>
        <v/>
      </c>
      <c r="V1295" s="1096" t="str">
        <f>IF(V1290,IF(ISNUMBER(L1295),L1295,""),"")</f>
        <v/>
      </c>
      <c r="W1295" s="1094" t="str">
        <f>IF(W1290,IF(ISNUMBER(M1295),M1295,""),"")</f>
        <v/>
      </c>
      <c r="AA1295" s="719" t="b">
        <f>Q1298=FALSE</f>
        <v>0</v>
      </c>
    </row>
    <row r="1296" spans="2:27" ht="13.5" thickBot="1" x14ac:dyDescent="0.25">
      <c r="B1296" s="38"/>
      <c r="C1296" s="38"/>
      <c r="D1296" s="212" t="s">
        <v>4</v>
      </c>
      <c r="E1296" s="1716" t="str">
        <f>Translations!$B$678</f>
        <v>Aprēķinā izmantotās vērtības:</v>
      </c>
      <c r="F1296" s="1716"/>
      <c r="G1296" s="1716"/>
      <c r="H1296" s="116" t="str">
        <f>H1295</f>
        <v>tonnas</v>
      </c>
      <c r="I1296" s="336" t="str">
        <f>IF($I1290="","",IF($Q1298=TRUE,IF(ISNUMBER(I1295),I1295,0),IF(ISNUMBER(I1294),I1294,0)))</f>
        <v/>
      </c>
      <c r="J1296" s="336" t="str">
        <f>IF($I1290="","",IF($Q1298=TRUE,IF(ISNUMBER(J1295),J1295,0),IF(ISNUMBER(J1294),J1294,0)))</f>
        <v/>
      </c>
      <c r="K1296" s="336" t="str">
        <f>IF($I1290="","",IF($Q1298=TRUE,IF(ISNUMBER(K1295),K1295,0),IF(ISNUMBER(K1294),K1294,0)))</f>
        <v/>
      </c>
      <c r="L1296" s="336" t="str">
        <f>IF($I1290="","",IF($Q1298=TRUE,IF(ISNUMBER(L1295),L1295,0),IF(ISNUMBER(L1294),L1294,0)))</f>
        <v/>
      </c>
      <c r="M1296" s="336" t="str">
        <f>IF($I1290="","",IF($Q1298=TRUE,IF(ISNUMBER(M1295),M1295,0),IF(ISNUMBER(M1294),M1294,0)))</f>
        <v/>
      </c>
      <c r="N1296" s="34"/>
      <c r="O1296" s="25"/>
      <c r="P1296" s="969" t="str">
        <f>EUconst_CNTR_HAL&amp;I1290</f>
        <v>HAL_</v>
      </c>
      <c r="Q1296" s="1097" t="str">
        <f>IF(COUNT($U1296:$V1296)&gt;0,SUM($U1296:$V1296),"")</f>
        <v/>
      </c>
      <c r="R1296" s="1098" t="str">
        <f>IF(COUNT(S1296:W1296)&gt;0,MEDIAN(S1296:W1296),"")</f>
        <v/>
      </c>
      <c r="S1296" s="1099" t="str">
        <f>IF(S1290,IF(ISNUMBER(I1296),I1296,""),"")</f>
        <v/>
      </c>
      <c r="T1296" s="1100" t="str">
        <f>IF(T1290,IF(ISNUMBER(J1296),J1296,""),"")</f>
        <v/>
      </c>
      <c r="U1296" s="1100" t="str">
        <f>IF(U1290,IF(ISNUMBER(K1296),K1296,""),"")</f>
        <v/>
      </c>
      <c r="V1296" s="1100" t="str">
        <f>IF(V1290,IF(ISNUMBER(L1296),L1296,""),"")</f>
        <v/>
      </c>
      <c r="W1296" s="1098" t="str">
        <f>IF(W1290,IF(ISNUMBER(M1296),M1296,""),"")</f>
        <v/>
      </c>
    </row>
    <row r="1297" spans="1:27" ht="5.0999999999999996" customHeight="1" x14ac:dyDescent="0.2">
      <c r="B1297" s="224"/>
      <c r="C1297" s="224"/>
      <c r="D1297" s="224"/>
      <c r="E1297" s="224"/>
      <c r="F1297" s="224"/>
      <c r="G1297" s="224"/>
      <c r="H1297" s="224"/>
      <c r="I1297" s="224"/>
      <c r="J1297" s="224"/>
      <c r="K1297" s="224"/>
      <c r="L1297" s="224"/>
      <c r="M1297" s="34"/>
      <c r="N1297" s="34"/>
      <c r="O1297" s="25"/>
      <c r="P1297" s="955"/>
      <c r="R1297" s="955"/>
      <c r="S1297" s="955"/>
    </row>
    <row r="1298" spans="1:27" x14ac:dyDescent="0.2">
      <c r="B1298" s="224"/>
      <c r="C1298" s="224"/>
      <c r="D1298" s="32" t="s">
        <v>339</v>
      </c>
      <c r="E1298" s="1250" t="str">
        <f>Translations!$B$679</f>
        <v>Īpašas ziņošanas prasības:</v>
      </c>
      <c r="F1298" s="1250"/>
      <c r="G1298" s="1524"/>
      <c r="H1298" s="1713" t="str">
        <f>IF(I1290="","",HYPERLINK(INDEX(EUconst_BMlistSpecialJumpTable,MATCH(I1290,EUconst_BMlistNames,0)),INDEX(EUconst_BMlistSpecialReporting,MATCH(I1290,EUconst_BMlistNames,0))))</f>
        <v/>
      </c>
      <c r="I1298" s="1718"/>
      <c r="J1298" s="1718"/>
      <c r="K1298" s="1718"/>
      <c r="L1298" s="1718"/>
      <c r="M1298" s="1718"/>
      <c r="N1298" s="1719"/>
      <c r="O1298" s="25"/>
      <c r="P1298" s="966" t="s">
        <v>37</v>
      </c>
      <c r="Q1298" s="134" t="str">
        <f>IF(I1290="","",IF(AND(INDEX(EUconst_BMlistSpecialJumpTable,MATCH(I1290,EUconst_BMlistNames,0))&lt;&gt;"",INDEX(EUconst_BMlistMainNumberOfBM,MATCH(I1290,EUconst_BMlistNames,0))&lt;&gt;47),TRUE,FALSE))</f>
        <v/>
      </c>
      <c r="R1298" s="966" t="s">
        <v>574</v>
      </c>
      <c r="S1298" s="134" t="b">
        <f>IF(I1290="",FALSE,INDEX(CNTR_SubInstLess1Year,MATCH(I1290,CNTR_SubInstListNames,0)))</f>
        <v>0</v>
      </c>
    </row>
    <row r="1299" spans="1:27" ht="5.0999999999999996" customHeight="1" x14ac:dyDescent="0.2">
      <c r="B1299" s="224"/>
      <c r="C1299" s="224"/>
      <c r="D1299" s="224"/>
      <c r="E1299" s="224"/>
      <c r="F1299" s="224"/>
      <c r="G1299" s="224"/>
      <c r="H1299" s="224"/>
      <c r="I1299" s="224"/>
      <c r="J1299" s="224"/>
      <c r="K1299" s="224"/>
      <c r="L1299" s="224"/>
      <c r="M1299" s="224"/>
      <c r="N1299" s="224"/>
      <c r="O1299" s="25"/>
      <c r="P1299" s="955"/>
      <c r="R1299" s="955"/>
      <c r="S1299" s="955"/>
    </row>
    <row r="1300" spans="1:27" ht="12.75" customHeight="1" x14ac:dyDescent="0.2">
      <c r="B1300" s="38"/>
      <c r="C1300" s="38"/>
      <c r="D1300" s="32" t="s">
        <v>11</v>
      </c>
      <c r="E1300" s="1717" t="str">
        <f>Translations!$B$1663</f>
        <v>Elektroenerģijas patēriņš</v>
      </c>
      <c r="F1300" s="1717"/>
      <c r="G1300" s="1717"/>
      <c r="H1300" s="1717"/>
      <c r="I1300" s="1717"/>
      <c r="J1300" s="1717"/>
      <c r="K1300" s="1717"/>
      <c r="L1300" s="1717"/>
      <c r="M1300" s="1717"/>
      <c r="N1300" s="1717"/>
      <c r="O1300" s="25"/>
      <c r="P1300" s="20" t="s">
        <v>192</v>
      </c>
      <c r="Q1300" s="362" t="str">
        <f>"#"&amp;ADDRESS(ROW(D1304),COLUMN(D1304))</f>
        <v>#$D$1304</v>
      </c>
      <c r="R1300" s="955"/>
      <c r="S1300" s="955"/>
      <c r="AA1300" s="955"/>
    </row>
    <row r="1301" spans="1:27" s="697" customFormat="1" ht="13.5" thickBot="1" x14ac:dyDescent="0.25">
      <c r="A1301" s="437"/>
      <c r="B1301" s="414"/>
      <c r="C1301" s="414"/>
      <c r="D1301" s="32"/>
      <c r="E1301" s="1320" t="str">
        <f>Translations!$B$686</f>
        <v>Parametrs</v>
      </c>
      <c r="F1301" s="1275"/>
      <c r="G1301" s="1275"/>
      <c r="H1301" s="52" t="str">
        <f>EUconst_Unit</f>
        <v>Vienība</v>
      </c>
      <c r="I1301" s="412">
        <f>I1293</f>
        <v>2019</v>
      </c>
      <c r="J1301" s="412">
        <f>J1293</f>
        <v>2020</v>
      </c>
      <c r="K1301" s="412">
        <f>K1293</f>
        <v>2021</v>
      </c>
      <c r="L1301" s="412">
        <f>L1293</f>
        <v>2022</v>
      </c>
      <c r="M1301" s="412">
        <f>M1293</f>
        <v>2023</v>
      </c>
      <c r="N1301" s="34"/>
      <c r="O1301" s="25"/>
      <c r="P1301" s="437"/>
      <c r="Q1301" s="437"/>
      <c r="R1301" s="955"/>
      <c r="S1301" s="955"/>
      <c r="T1301" s="955"/>
      <c r="U1301" s="955"/>
      <c r="V1301" s="955"/>
      <c r="W1301" s="955"/>
      <c r="X1301" s="20"/>
      <c r="Y1301" s="20"/>
      <c r="Z1301" s="437"/>
      <c r="AA1301" s="955" t="s">
        <v>633</v>
      </c>
    </row>
    <row r="1302" spans="1:27" s="697" customFormat="1" ht="12.75" customHeight="1" thickBot="1" x14ac:dyDescent="0.25">
      <c r="A1302" s="437"/>
      <c r="B1302" s="414"/>
      <c r="C1302" s="414"/>
      <c r="D1302" s="440"/>
      <c r="E1302" s="1711" t="str">
        <f>Translations!$B$689</f>
        <v>Relevantais elektroenerģijas patēriņš</v>
      </c>
      <c r="F1302" s="1712"/>
      <c r="G1302" s="1712"/>
      <c r="H1302" s="610" t="str">
        <f>EUconst_MWhpa</f>
        <v>MWh / gads</v>
      </c>
      <c r="I1302" s="1102"/>
      <c r="J1302" s="1102"/>
      <c r="K1302" s="1102"/>
      <c r="L1302" s="1102"/>
      <c r="M1302" s="1102"/>
      <c r="N1302" s="34"/>
      <c r="O1302" s="25"/>
      <c r="P1302" s="202" t="str">
        <f>EUconst_CNTR_HAL&amp;EUconst_CNTR_ELEXCH</f>
        <v>HAL_ELEXCH_</v>
      </c>
      <c r="Q1302" s="202" t="str">
        <f>EUconst_CNTR_HAL&amp;EUconst_CNTR_ELEXCH &amp; I1290</f>
        <v>HAL_ELEXCH_</v>
      </c>
      <c r="R1302" s="955"/>
      <c r="S1302" s="955"/>
      <c r="T1302" s="955"/>
      <c r="U1302" s="955"/>
      <c r="V1302" s="955"/>
      <c r="W1302" s="955"/>
      <c r="X1302" s="20"/>
      <c r="Y1302" s="20"/>
      <c r="Z1302" s="437"/>
      <c r="AA1302" s="885" t="b">
        <f>IF(CNTR_ExistSubInstEntries,IF(I1290&lt;&gt;"",IF(INDEX(EUconst_BMlistElExchangability,MATCH(I1290,EUconst_BMlistNames,0)),FALSE,TRUE),TRUE),FALSE)</f>
        <v>0</v>
      </c>
    </row>
    <row r="1303" spans="1:27" ht="5.0999999999999996" customHeight="1" x14ac:dyDescent="0.2">
      <c r="B1303" s="224"/>
      <c r="C1303" s="224"/>
      <c r="D1303" s="224"/>
      <c r="E1303" s="224"/>
      <c r="F1303" s="224"/>
      <c r="G1303" s="224"/>
      <c r="H1303" s="224"/>
      <c r="I1303" s="224"/>
      <c r="J1303" s="224"/>
      <c r="K1303" s="224"/>
      <c r="L1303" s="224"/>
      <c r="M1303" s="34"/>
      <c r="N1303" s="34"/>
      <c r="O1303" s="25"/>
      <c r="P1303" s="955"/>
    </row>
    <row r="1304" spans="1:27" x14ac:dyDescent="0.2">
      <c r="B1304" s="224"/>
      <c r="C1304" s="224"/>
      <c r="D1304" s="32" t="s">
        <v>342</v>
      </c>
      <c r="E1304" s="1250" t="str">
        <f>Translations!$B$692</f>
        <v>No ETS neaptvertām iekārtām vai vienībām importētais siltums:</v>
      </c>
      <c r="F1304" s="1250"/>
      <c r="G1304" s="1250"/>
      <c r="H1304" s="1250"/>
      <c r="I1304" s="1524"/>
      <c r="J1304" s="1713" t="str">
        <f>IF(I1290="","",HYPERLINK(Q1304,EUconst_MsgGoOnIfNotRelevant))</f>
        <v/>
      </c>
      <c r="K1304" s="1714"/>
      <c r="L1304" s="1714"/>
      <c r="M1304" s="1714"/>
      <c r="N1304" s="1715"/>
      <c r="O1304" s="25"/>
      <c r="P1304" s="20" t="s">
        <v>192</v>
      </c>
      <c r="Q1304" s="362" t="str">
        <f>"#"&amp;ADDRESS(ROW(D1311),COLUMN(D1311))</f>
        <v>#$D$1311</v>
      </c>
    </row>
    <row r="1305" spans="1:27" ht="5.0999999999999996" customHeight="1" x14ac:dyDescent="0.2">
      <c r="B1305" s="224"/>
      <c r="C1305" s="224"/>
      <c r="D1305" s="34"/>
      <c r="E1305" s="1319"/>
      <c r="F1305" s="1319"/>
      <c r="G1305" s="1319"/>
      <c r="H1305" s="1319"/>
      <c r="I1305" s="1319"/>
      <c r="J1305" s="1319"/>
      <c r="K1305" s="1319"/>
      <c r="L1305" s="1319"/>
      <c r="M1305" s="1319"/>
      <c r="N1305" s="1319"/>
      <c r="O1305" s="25"/>
      <c r="P1305" s="955"/>
      <c r="R1305" s="955"/>
      <c r="S1305" s="955"/>
    </row>
    <row r="1306" spans="1:27" ht="13.5" thickBot="1" x14ac:dyDescent="0.25">
      <c r="B1306" s="38"/>
      <c r="C1306" s="38"/>
      <c r="D1306" s="32"/>
      <c r="E1306" s="1320" t="str">
        <f>Translations!$B$686</f>
        <v>Parametrs</v>
      </c>
      <c r="F1306" s="1275"/>
      <c r="G1306" s="1275"/>
      <c r="H1306" s="52" t="str">
        <f>EUconst_Unit</f>
        <v>Vienība</v>
      </c>
      <c r="I1306" s="412">
        <f>I1293</f>
        <v>2019</v>
      </c>
      <c r="J1306" s="412">
        <f>J1293</f>
        <v>2020</v>
      </c>
      <c r="K1306" s="412">
        <f>K1293</f>
        <v>2021</v>
      </c>
      <c r="L1306" s="412">
        <f>L1293</f>
        <v>2022</v>
      </c>
      <c r="M1306" s="412">
        <f>M1293</f>
        <v>2023</v>
      </c>
      <c r="N1306" s="34"/>
      <c r="O1306" s="25"/>
      <c r="Q1306" s="63"/>
      <c r="R1306" s="955"/>
      <c r="S1306" s="63">
        <f>I1306</f>
        <v>2019</v>
      </c>
      <c r="T1306" s="63">
        <f>J1306</f>
        <v>2020</v>
      </c>
      <c r="U1306" s="63">
        <f>K1306</f>
        <v>2021</v>
      </c>
      <c r="V1306" s="63">
        <f>L1306</f>
        <v>2022</v>
      </c>
      <c r="W1306" s="63">
        <f>M1306</f>
        <v>2023</v>
      </c>
      <c r="Z1306" s="63"/>
      <c r="AA1306" s="437" t="s">
        <v>262</v>
      </c>
    </row>
    <row r="1307" spans="1:27" ht="13.5" thickBot="1" x14ac:dyDescent="0.25">
      <c r="B1307" s="38"/>
      <c r="C1307" s="38"/>
      <c r="D1307" s="212" t="s">
        <v>2</v>
      </c>
      <c r="E1307" s="1517" t="str">
        <f>Translations!$B$697</f>
        <v>No ETS neaptvertām iekārtām/vienībām importēts izmērāmais siltums</v>
      </c>
      <c r="F1307" s="1517"/>
      <c r="G1307" s="1517"/>
      <c r="H1307" s="66" t="str">
        <f>EUconst_TJpa</f>
        <v>TJ / gads</v>
      </c>
      <c r="I1307" s="330"/>
      <c r="J1307" s="330"/>
      <c r="K1307" s="330"/>
      <c r="L1307" s="330"/>
      <c r="M1307" s="330"/>
      <c r="N1307" s="34"/>
      <c r="O1307" s="25"/>
      <c r="P1307" s="134" t="str">
        <f>EUconst_CNTR_HAL&amp;EUconst_CNTR_nonETSMeasHeat</f>
        <v>HAL_ETS neaptverts izmērāmais siltums</v>
      </c>
      <c r="R1307" s="955"/>
      <c r="S1307" s="454" t="str">
        <f>IF(S1290,IF(ISNUMBER(I1307),I1307,0),"")</f>
        <v/>
      </c>
      <c r="T1307" s="455" t="str">
        <f>IF(T1290,IF(ISNUMBER(J1307),J1307,0),"")</f>
        <v/>
      </c>
      <c r="U1307" s="455" t="str">
        <f>IF(U1290,IF(ISNUMBER(K1307),K1307,0),"")</f>
        <v/>
      </c>
      <c r="V1307" s="455" t="str">
        <f>IF(V1290,IF(ISNUMBER(L1307),L1307,0),"")</f>
        <v/>
      </c>
      <c r="W1307" s="456" t="str">
        <f>IF(W1290,IF(ISNUMBER(M1307),M1307,0),"")</f>
        <v/>
      </c>
      <c r="AA1307" s="643" t="b">
        <f>AND(CNTR_ExistSubInstEntries,I1290="")</f>
        <v>0</v>
      </c>
    </row>
    <row r="1308" spans="1:27" ht="25.5" customHeight="1" thickBot="1" x14ac:dyDescent="0.25">
      <c r="B1308" s="38"/>
      <c r="C1308" s="38"/>
      <c r="D1308" s="212" t="s">
        <v>3</v>
      </c>
      <c r="E1308" s="1541" t="str">
        <f>Translations!$B$698</f>
        <v>Konsekvences pārbaude — saskanība ar lapu “E_Energy flows”:</v>
      </c>
      <c r="F1308" s="1541"/>
      <c r="G1308" s="1541"/>
      <c r="H1308" s="45" t="s">
        <v>393</v>
      </c>
      <c r="I1308" s="317" t="str">
        <f>IF(AND(ISNUMBER(I1307),ISNUMBER(E_EnergyFlows!I$120)), I1307/E_EnergyFlows!I$120*100,"")</f>
        <v/>
      </c>
      <c r="J1308" s="317" t="str">
        <f>IF(AND(ISNUMBER(J1307),ISNUMBER(E_EnergyFlows!J$120)), J1307/E_EnergyFlows!J$120*100,"")</f>
        <v/>
      </c>
      <c r="K1308" s="317" t="str">
        <f>IF(AND(ISNUMBER(K1307),ISNUMBER(E_EnergyFlows!K$120)), K1307/E_EnergyFlows!K$120*100,"")</f>
        <v/>
      </c>
      <c r="L1308" s="317" t="str">
        <f>IF(AND(ISNUMBER(L1307),ISNUMBER(E_EnergyFlows!L$120)), L1307/E_EnergyFlows!L$120*100,"")</f>
        <v/>
      </c>
      <c r="M1308" s="317" t="str">
        <f>IF(AND(ISNUMBER(M1307),ISNUMBER(E_EnergyFlows!M$120)), M1307/E_EnergyFlows!M$120*100,"")</f>
        <v/>
      </c>
      <c r="N1308" s="38"/>
      <c r="O1308" s="25"/>
      <c r="P1308" s="182" t="str">
        <f>EUconst_CNTR_HEAT &amp; I1290</f>
        <v>HEAT_</v>
      </c>
      <c r="Q1308" s="315" t="str">
        <f>IF(COUNT(S1307:X1307)&gt;0,AVERAGE(S1307:X1307)*EUconst_HeatBMvalue,EUconst_NA)</f>
        <v>NA</v>
      </c>
      <c r="R1308" s="955"/>
      <c r="S1308" s="955"/>
      <c r="AA1308" s="607"/>
    </row>
    <row r="1309" spans="1:27" x14ac:dyDescent="0.2">
      <c r="B1309" s="38"/>
      <c r="C1309" s="38"/>
      <c r="D1309" s="212" t="s">
        <v>4</v>
      </c>
      <c r="E1309" s="1373" t="str">
        <f>Translations!$B$699</f>
        <v>Konsekvences pārbaude — saskanība ar k) punkta i. apakšpunktu.</v>
      </c>
      <c r="F1309" s="1550"/>
      <c r="G1309" s="1550"/>
      <c r="H1309" s="48" t="s">
        <v>393</v>
      </c>
      <c r="I1309" s="316" t="str">
        <f>IF(AND(I1385&gt;0,ISNUMBER(I1307)), I1307/I1385*100,"")</f>
        <v/>
      </c>
      <c r="J1309" s="316" t="str">
        <f>IF(AND(J1385&gt;0,ISNUMBER(J1307)), J1307/J1385*100,"")</f>
        <v/>
      </c>
      <c r="K1309" s="316" t="str">
        <f>IF(AND(K1385&gt;0,ISNUMBER(K1307)), K1307/K1385*100,"")</f>
        <v/>
      </c>
      <c r="L1309" s="316" t="str">
        <f>IF(AND(L1385&gt;0,ISNUMBER(L1307)), L1307/L1385*100,"")</f>
        <v/>
      </c>
      <c r="M1309" s="316" t="str">
        <f>IF(AND(M1385&gt;0,ISNUMBER(M1307)), M1307/M1385*100,"")</f>
        <v/>
      </c>
      <c r="N1309" s="38"/>
      <c r="O1309" s="25"/>
      <c r="R1309" s="955"/>
      <c r="S1309" s="955"/>
      <c r="AA1309" s="607"/>
    </row>
    <row r="1310" spans="1:27" ht="12.75" customHeight="1" x14ac:dyDescent="0.2">
      <c r="B1310" s="38"/>
      <c r="C1310" s="38"/>
      <c r="D1310" s="38"/>
      <c r="E1310" s="38"/>
      <c r="F1310" s="38"/>
      <c r="G1310" s="38"/>
      <c r="H1310" s="38"/>
      <c r="I1310" s="125"/>
      <c r="J1310" s="38"/>
      <c r="K1310" s="38"/>
      <c r="L1310" s="38"/>
      <c r="M1310" s="38"/>
      <c r="N1310" s="38"/>
      <c r="O1310" s="25"/>
      <c r="P1310" s="157"/>
      <c r="R1310" s="955"/>
      <c r="S1310" s="955"/>
      <c r="AA1310" s="607"/>
    </row>
    <row r="1311" spans="1:27" ht="15" x14ac:dyDescent="0.2">
      <c r="B1311" s="38"/>
      <c r="C1311" s="972"/>
      <c r="D1311" s="1318" t="str">
        <f>Translations!$B$700</f>
        <v>Ražošanas dati</v>
      </c>
      <c r="E1311" s="1251"/>
      <c r="F1311" s="1251"/>
      <c r="G1311" s="1251"/>
      <c r="H1311" s="1251"/>
      <c r="I1311" s="1251"/>
      <c r="J1311" s="1251"/>
      <c r="K1311" s="1251"/>
      <c r="L1311" s="1251"/>
      <c r="M1311" s="1251"/>
      <c r="N1311" s="1251"/>
      <c r="O1311" s="25"/>
      <c r="R1311" s="955"/>
      <c r="S1311" s="955"/>
      <c r="AA1311" s="607"/>
    </row>
    <row r="1312" spans="1:27" ht="5.0999999999999996" customHeight="1" x14ac:dyDescent="0.2">
      <c r="B1312" s="224"/>
      <c r="C1312" s="224"/>
      <c r="D1312" s="224"/>
      <c r="E1312" s="224"/>
      <c r="F1312" s="224"/>
      <c r="G1312" s="224"/>
      <c r="H1312" s="224"/>
      <c r="I1312" s="224"/>
      <c r="J1312" s="224"/>
      <c r="K1312" s="224"/>
      <c r="L1312" s="224"/>
      <c r="M1312" s="224"/>
      <c r="N1312" s="224"/>
      <c r="O1312" s="25"/>
      <c r="P1312" s="955"/>
      <c r="Q1312" s="955"/>
      <c r="R1312" s="955"/>
      <c r="S1312" s="955"/>
      <c r="AA1312" s="607"/>
    </row>
    <row r="1313" spans="2:27" x14ac:dyDescent="0.2">
      <c r="B1313" s="224"/>
      <c r="C1313" s="32"/>
      <c r="D1313" s="32" t="s">
        <v>12</v>
      </c>
      <c r="E1313" s="1250" t="str">
        <f>Translations!$B$701</f>
        <v>Šajā produkta līmeņatzīmes apakšiekārtā ietverto produktu identificēšana</v>
      </c>
      <c r="F1313" s="1251"/>
      <c r="G1313" s="1251"/>
      <c r="H1313" s="1251"/>
      <c r="I1313" s="1251"/>
      <c r="J1313" s="1251"/>
      <c r="K1313" s="1251"/>
      <c r="L1313" s="1251"/>
      <c r="M1313" s="1251"/>
      <c r="N1313" s="1251"/>
      <c r="O1313" s="25"/>
      <c r="P1313" s="955"/>
      <c r="R1313" s="955"/>
      <c r="S1313" s="955"/>
      <c r="AA1313" s="607"/>
    </row>
    <row r="1314" spans="2:27" ht="5.0999999999999996" customHeight="1" x14ac:dyDescent="0.2">
      <c r="B1314" s="224"/>
      <c r="C1314" s="224"/>
      <c r="D1314" s="224"/>
      <c r="E1314" s="224"/>
      <c r="F1314" s="224"/>
      <c r="G1314" s="224"/>
      <c r="H1314" s="224"/>
      <c r="I1314" s="224"/>
      <c r="J1314" s="224"/>
      <c r="K1314" s="224"/>
      <c r="L1314" s="224"/>
      <c r="M1314" s="224"/>
      <c r="N1314" s="224"/>
      <c r="O1314" s="25"/>
      <c r="P1314" s="955"/>
      <c r="Q1314" s="955"/>
      <c r="R1314" s="955"/>
      <c r="S1314" s="955"/>
      <c r="AA1314" s="607"/>
    </row>
    <row r="1315" spans="2:27" x14ac:dyDescent="0.2">
      <c r="B1315" s="224"/>
      <c r="C1315" s="32"/>
      <c r="D1315" s="32" t="s">
        <v>13</v>
      </c>
      <c r="E1315" s="1250" t="str">
        <f>Translations!$B$706</f>
        <v>Šajā produkta līmeņatzīmes apakšiekārtā ietverto produktu atsevišķie ražošanas līmeņi</v>
      </c>
      <c r="F1315" s="1251"/>
      <c r="G1315" s="1251"/>
      <c r="H1315" s="1251"/>
      <c r="I1315" s="1251"/>
      <c r="J1315" s="1251"/>
      <c r="K1315" s="1251"/>
      <c r="L1315" s="1251"/>
      <c r="M1315" s="1251"/>
      <c r="N1315" s="1251"/>
      <c r="O1315" s="25"/>
      <c r="P1315" s="955"/>
      <c r="R1315" s="955"/>
      <c r="S1315" s="955"/>
      <c r="AA1315" s="607"/>
    </row>
    <row r="1316" spans="2:27" ht="5.0999999999999996" customHeight="1" x14ac:dyDescent="0.2">
      <c r="B1316" s="224"/>
      <c r="C1316" s="224"/>
      <c r="D1316" s="34"/>
      <c r="E1316" s="35"/>
      <c r="F1316" s="35"/>
      <c r="G1316" s="35"/>
      <c r="H1316" s="35"/>
      <c r="I1316" s="35"/>
      <c r="J1316" s="39"/>
      <c r="K1316" s="39"/>
      <c r="L1316" s="39"/>
      <c r="M1316" s="34"/>
      <c r="N1316" s="34"/>
      <c r="O1316" s="25"/>
      <c r="P1316" s="955"/>
      <c r="R1316" s="955"/>
      <c r="S1316" s="955"/>
      <c r="AA1316" s="607"/>
    </row>
    <row r="1317" spans="2:27" ht="25.5" customHeight="1" x14ac:dyDescent="0.2">
      <c r="B1317" s="38"/>
      <c r="C1317" s="38"/>
      <c r="D1317" s="360"/>
      <c r="E1317" s="1121" t="str">
        <f>Translations!$B$1668</f>
        <v>PRODCOM 2010</v>
      </c>
      <c r="F1317" s="1703" t="str">
        <f>Translations!$B$707</f>
        <v>Produkta vai produktu grupas nosaukums</v>
      </c>
      <c r="G1317" s="1704"/>
      <c r="H1317" s="1129" t="str">
        <f>EUconst_Unit</f>
        <v>Vienība</v>
      </c>
      <c r="I1317" s="1130">
        <f>I$1820</f>
        <v>2019</v>
      </c>
      <c r="J1317" s="1130">
        <f>J$1820</f>
        <v>2020</v>
      </c>
      <c r="K1317" s="1130">
        <f>K$1820</f>
        <v>2021</v>
      </c>
      <c r="L1317" s="1130">
        <f>L$1820</f>
        <v>2022</v>
      </c>
      <c r="M1317" s="1130">
        <f>M$1820</f>
        <v>2023</v>
      </c>
      <c r="N1317" s="1131" t="str">
        <f>Translations!$B$1669</f>
        <v>KN kodi</v>
      </c>
      <c r="O1317" s="25"/>
      <c r="R1317" s="955"/>
      <c r="S1317" s="955"/>
      <c r="AA1317" s="607"/>
    </row>
    <row r="1318" spans="2:27" x14ac:dyDescent="0.2">
      <c r="B1318" s="38"/>
      <c r="C1318" s="38"/>
      <c r="D1318" s="55">
        <v>1</v>
      </c>
      <c r="E1318" s="1199"/>
      <c r="F1318" s="1705"/>
      <c r="G1318" s="1706"/>
      <c r="H1318" s="800"/>
      <c r="I1318" s="484"/>
      <c r="J1318" s="484"/>
      <c r="K1318" s="484"/>
      <c r="L1318" s="484"/>
      <c r="M1318" s="484"/>
      <c r="N1318" s="1145"/>
      <c r="O1318" s="25"/>
      <c r="R1318" s="955"/>
      <c r="S1318" s="955"/>
      <c r="AA1318" s="361" t="b">
        <f>AA1307</f>
        <v>0</v>
      </c>
    </row>
    <row r="1319" spans="2:27" x14ac:dyDescent="0.2">
      <c r="B1319" s="38"/>
      <c r="C1319" s="38"/>
      <c r="D1319" s="56">
        <f>D1318+1</f>
        <v>2</v>
      </c>
      <c r="E1319" s="1200"/>
      <c r="F1319" s="1707"/>
      <c r="G1319" s="1708"/>
      <c r="H1319" s="573"/>
      <c r="I1319" s="557"/>
      <c r="J1319" s="557"/>
      <c r="K1319" s="557"/>
      <c r="L1319" s="557"/>
      <c r="M1319" s="557"/>
      <c r="N1319" s="1146"/>
      <c r="O1319" s="25"/>
      <c r="R1319" s="955"/>
      <c r="S1319" s="955"/>
      <c r="AA1319" s="361" t="b">
        <f>AA1318</f>
        <v>0</v>
      </c>
    </row>
    <row r="1320" spans="2:27" x14ac:dyDescent="0.2">
      <c r="B1320" s="38"/>
      <c r="C1320" s="38"/>
      <c r="D1320" s="56">
        <f t="shared" ref="D1320:D1327" si="14">D1319+1</f>
        <v>3</v>
      </c>
      <c r="E1320" s="1200"/>
      <c r="F1320" s="1691"/>
      <c r="G1320" s="1692"/>
      <c r="H1320" s="573"/>
      <c r="I1320" s="557"/>
      <c r="J1320" s="557"/>
      <c r="K1320" s="557"/>
      <c r="L1320" s="557"/>
      <c r="M1320" s="557"/>
      <c r="N1320" s="1147"/>
      <c r="O1320" s="25"/>
      <c r="R1320" s="955"/>
      <c r="S1320" s="955"/>
      <c r="AA1320" s="361" t="b">
        <f t="shared" ref="AA1320:AA1328" si="15">AA1319</f>
        <v>0</v>
      </c>
    </row>
    <row r="1321" spans="2:27" x14ac:dyDescent="0.2">
      <c r="B1321" s="38"/>
      <c r="C1321" s="38"/>
      <c r="D1321" s="56">
        <f t="shared" si="14"/>
        <v>4</v>
      </c>
      <c r="E1321" s="1200"/>
      <c r="F1321" s="1691"/>
      <c r="G1321" s="1692"/>
      <c r="H1321" s="573"/>
      <c r="I1321" s="557"/>
      <c r="J1321" s="557"/>
      <c r="K1321" s="557"/>
      <c r="L1321" s="557"/>
      <c r="M1321" s="557"/>
      <c r="N1321" s="1147"/>
      <c r="O1321" s="25"/>
      <c r="R1321" s="955"/>
      <c r="S1321" s="955"/>
      <c r="AA1321" s="361" t="b">
        <f t="shared" si="15"/>
        <v>0</v>
      </c>
    </row>
    <row r="1322" spans="2:27" x14ac:dyDescent="0.2">
      <c r="B1322" s="38"/>
      <c r="C1322" s="38"/>
      <c r="D1322" s="56">
        <f t="shared" si="14"/>
        <v>5</v>
      </c>
      <c r="E1322" s="1200"/>
      <c r="F1322" s="1691"/>
      <c r="G1322" s="1692"/>
      <c r="H1322" s="573"/>
      <c r="I1322" s="557"/>
      <c r="J1322" s="557"/>
      <c r="K1322" s="557"/>
      <c r="L1322" s="557"/>
      <c r="M1322" s="557"/>
      <c r="N1322" s="1147"/>
      <c r="O1322" s="25"/>
      <c r="R1322" s="955"/>
      <c r="S1322" s="955"/>
      <c r="AA1322" s="361" t="b">
        <f t="shared" si="15"/>
        <v>0</v>
      </c>
    </row>
    <row r="1323" spans="2:27" x14ac:dyDescent="0.2">
      <c r="B1323" s="38"/>
      <c r="C1323" s="38"/>
      <c r="D1323" s="56">
        <f t="shared" si="14"/>
        <v>6</v>
      </c>
      <c r="E1323" s="1200"/>
      <c r="F1323" s="1691"/>
      <c r="G1323" s="1692"/>
      <c r="H1323" s="573"/>
      <c r="I1323" s="557"/>
      <c r="J1323" s="557"/>
      <c r="K1323" s="557"/>
      <c r="L1323" s="557"/>
      <c r="M1323" s="557"/>
      <c r="N1323" s="1146"/>
      <c r="O1323" s="25"/>
      <c r="R1323" s="955"/>
      <c r="S1323" s="955"/>
      <c r="AA1323" s="361" t="b">
        <f t="shared" si="15"/>
        <v>0</v>
      </c>
    </row>
    <row r="1324" spans="2:27" x14ac:dyDescent="0.2">
      <c r="B1324" s="38"/>
      <c r="C1324" s="38"/>
      <c r="D1324" s="56">
        <f t="shared" si="14"/>
        <v>7</v>
      </c>
      <c r="E1324" s="1200"/>
      <c r="F1324" s="1691"/>
      <c r="G1324" s="1692"/>
      <c r="H1324" s="573"/>
      <c r="I1324" s="557"/>
      <c r="J1324" s="557"/>
      <c r="K1324" s="557"/>
      <c r="L1324" s="557"/>
      <c r="M1324" s="557"/>
      <c r="N1324" s="1147"/>
      <c r="O1324" s="25"/>
      <c r="R1324" s="955"/>
      <c r="S1324" s="955"/>
      <c r="AA1324" s="361" t="b">
        <f t="shared" si="15"/>
        <v>0</v>
      </c>
    </row>
    <row r="1325" spans="2:27" x14ac:dyDescent="0.2">
      <c r="B1325" s="38"/>
      <c r="C1325" s="38"/>
      <c r="D1325" s="56">
        <f t="shared" si="14"/>
        <v>8</v>
      </c>
      <c r="E1325" s="1200"/>
      <c r="F1325" s="1691"/>
      <c r="G1325" s="1692"/>
      <c r="H1325" s="573"/>
      <c r="I1325" s="557"/>
      <c r="J1325" s="557"/>
      <c r="K1325" s="557"/>
      <c r="L1325" s="557"/>
      <c r="M1325" s="557"/>
      <c r="N1325" s="1147"/>
      <c r="O1325" s="25"/>
      <c r="R1325" s="955"/>
      <c r="S1325" s="955"/>
      <c r="AA1325" s="361" t="b">
        <f t="shared" si="15"/>
        <v>0</v>
      </c>
    </row>
    <row r="1326" spans="2:27" x14ac:dyDescent="0.2">
      <c r="B1326" s="38"/>
      <c r="C1326" s="38"/>
      <c r="D1326" s="56">
        <f t="shared" si="14"/>
        <v>9</v>
      </c>
      <c r="E1326" s="1200"/>
      <c r="F1326" s="1691"/>
      <c r="G1326" s="1692"/>
      <c r="H1326" s="573"/>
      <c r="I1326" s="557"/>
      <c r="J1326" s="557"/>
      <c r="K1326" s="557"/>
      <c r="L1326" s="557"/>
      <c r="M1326" s="557"/>
      <c r="N1326" s="1147"/>
      <c r="O1326" s="25"/>
      <c r="R1326" s="955"/>
      <c r="S1326" s="955"/>
      <c r="AA1326" s="361" t="b">
        <f t="shared" si="15"/>
        <v>0</v>
      </c>
    </row>
    <row r="1327" spans="2:27" x14ac:dyDescent="0.2">
      <c r="B1327" s="38"/>
      <c r="C1327" s="38"/>
      <c r="D1327" s="59">
        <f t="shared" si="14"/>
        <v>10</v>
      </c>
      <c r="E1327" s="1201"/>
      <c r="F1327" s="1694"/>
      <c r="G1327" s="1695"/>
      <c r="H1327" s="574"/>
      <c r="I1327" s="458"/>
      <c r="J1327" s="458"/>
      <c r="K1327" s="458"/>
      <c r="L1327" s="458"/>
      <c r="M1327" s="458"/>
      <c r="N1327" s="1148"/>
      <c r="O1327" s="25"/>
      <c r="R1327" s="955"/>
      <c r="S1327" s="955"/>
      <c r="AA1327" s="361" t="b">
        <f t="shared" si="15"/>
        <v>0</v>
      </c>
    </row>
    <row r="1328" spans="2:27" ht="12.75" customHeight="1" thickBot="1" x14ac:dyDescent="0.25">
      <c r="B1328" s="38"/>
      <c r="C1328" s="38"/>
      <c r="D1328" s="115"/>
      <c r="E1328" s="1696" t="str">
        <f>Translations!$B$708</f>
        <v>Ražošanas līmeņu summa</v>
      </c>
      <c r="F1328" s="1696"/>
      <c r="G1328" s="1696"/>
      <c r="H1328" s="733"/>
      <c r="I1328" s="343" t="str">
        <f>IF(COUNT(I1318:I1327)&gt;0,SUM(I1318:I1327),"")</f>
        <v/>
      </c>
      <c r="J1328" s="343" t="str">
        <f>IF(COUNT(J1318:J1327)&gt;0,SUM(J1318:J1327),"")</f>
        <v/>
      </c>
      <c r="K1328" s="343" t="str">
        <f>IF(COUNT(K1318:K1327)&gt;0,SUM(K1318:K1327),"")</f>
        <v/>
      </c>
      <c r="L1328" s="343" t="str">
        <f>IF(COUNT(L1318:L1327)&gt;0,SUM(L1318:L1327),"")</f>
        <v/>
      </c>
      <c r="M1328" s="343" t="str">
        <f>IF(COUNT(M1318:M1327)&gt;0,SUM(M1318:M1327),"")</f>
        <v/>
      </c>
      <c r="N1328" s="34"/>
      <c r="O1328" s="25"/>
      <c r="R1328" s="955"/>
      <c r="S1328" s="955"/>
      <c r="AA1328" s="186" t="b">
        <f t="shared" si="15"/>
        <v>0</v>
      </c>
    </row>
    <row r="1329" spans="2:23" ht="12.75" customHeight="1" thickBot="1" x14ac:dyDescent="0.25">
      <c r="B1329" s="224"/>
      <c r="C1329" s="224"/>
      <c r="D1329" s="224"/>
      <c r="E1329" s="224"/>
      <c r="F1329" s="224"/>
      <c r="G1329" s="224"/>
      <c r="H1329" s="224"/>
      <c r="I1329" s="224"/>
      <c r="J1329" s="224"/>
      <c r="K1329" s="224"/>
      <c r="L1329" s="224"/>
      <c r="M1329" s="34"/>
      <c r="N1329" s="34"/>
      <c r="O1329" s="25"/>
      <c r="P1329" s="955"/>
      <c r="R1329" s="955"/>
      <c r="S1329" s="955"/>
    </row>
    <row r="1330" spans="2:23" ht="5.0999999999999996" customHeight="1" x14ac:dyDescent="0.2">
      <c r="B1330" s="224"/>
      <c r="C1330" s="973"/>
      <c r="D1330" s="974"/>
      <c r="E1330" s="974"/>
      <c r="F1330" s="974"/>
      <c r="G1330" s="974"/>
      <c r="H1330" s="974"/>
      <c r="I1330" s="974"/>
      <c r="J1330" s="974"/>
      <c r="K1330" s="974"/>
      <c r="L1330" s="974"/>
      <c r="M1330" s="975"/>
      <c r="N1330" s="976"/>
      <c r="O1330" s="25"/>
      <c r="P1330" s="955"/>
      <c r="R1330" s="955"/>
      <c r="S1330" s="955"/>
    </row>
    <row r="1331" spans="2:23" ht="15" customHeight="1" x14ac:dyDescent="0.2">
      <c r="B1331" s="38"/>
      <c r="C1331" s="977"/>
      <c r="D1331" s="1697" t="str">
        <f>Translations!$B$709</f>
        <v>Dati, kas vajadzīgi, lai noteiktu līmeņatzīmju uzlabošanas rādītāju saskaņā ar ES ETS direktīvas 10.a panta 2. punktu.</v>
      </c>
      <c r="E1331" s="1655"/>
      <c r="F1331" s="1655"/>
      <c r="G1331" s="1655"/>
      <c r="H1331" s="1655"/>
      <c r="I1331" s="1655"/>
      <c r="J1331" s="1655"/>
      <c r="K1331" s="1655"/>
      <c r="L1331" s="1655"/>
      <c r="M1331" s="1655"/>
      <c r="N1331" s="1656"/>
      <c r="O1331" s="25"/>
      <c r="R1331" s="955"/>
      <c r="S1331" s="955"/>
    </row>
    <row r="1332" spans="2:23" ht="5.0999999999999996" customHeight="1" x14ac:dyDescent="0.2">
      <c r="B1332" s="38"/>
      <c r="C1332" s="472"/>
      <c r="D1332" s="461"/>
      <c r="E1332" s="461"/>
      <c r="F1332" s="461"/>
      <c r="G1332" s="461"/>
      <c r="H1332" s="461"/>
      <c r="I1332" s="461"/>
      <c r="J1332" s="461"/>
      <c r="K1332" s="461"/>
      <c r="L1332" s="461"/>
      <c r="M1332" s="461"/>
      <c r="N1332" s="473"/>
      <c r="O1332" s="25"/>
      <c r="R1332" s="955"/>
      <c r="S1332" s="955"/>
    </row>
    <row r="1333" spans="2:23" ht="15" customHeight="1" x14ac:dyDescent="0.2">
      <c r="B1333" s="38"/>
      <c r="C1333" s="472"/>
      <c r="D1333" s="1698" t="str">
        <f>EUconst_BMSubinst &amp; ":"</f>
        <v>Apakšiekārta ar produkta līmeņatzīmi:</v>
      </c>
      <c r="E1333" s="1699"/>
      <c r="F1333" s="1699"/>
      <c r="G1333" s="1699"/>
      <c r="H1333" s="1700"/>
      <c r="I1333" s="1701" t="str">
        <f>I1290</f>
        <v/>
      </c>
      <c r="J1333" s="1457"/>
      <c r="K1333" s="1457"/>
      <c r="L1333" s="1457"/>
      <c r="M1333" s="1457"/>
      <c r="N1333" s="1702"/>
      <c r="O1333" s="25"/>
      <c r="R1333" s="955"/>
      <c r="S1333" s="955"/>
    </row>
    <row r="1334" spans="2:23" ht="5.0999999999999996" customHeight="1" x14ac:dyDescent="0.2">
      <c r="B1334" s="38"/>
      <c r="C1334" s="472"/>
      <c r="D1334" s="461"/>
      <c r="E1334" s="461"/>
      <c r="F1334" s="461"/>
      <c r="G1334" s="461"/>
      <c r="H1334" s="461"/>
      <c r="I1334" s="461"/>
      <c r="J1334" s="461"/>
      <c r="K1334" s="461"/>
      <c r="L1334" s="461"/>
      <c r="M1334" s="461"/>
      <c r="N1334" s="473"/>
      <c r="O1334" s="25"/>
      <c r="R1334" s="955"/>
      <c r="S1334" s="955"/>
    </row>
    <row r="1335" spans="2:23" ht="30" customHeight="1" x14ac:dyDescent="0.2">
      <c r="B1335" s="224"/>
      <c r="C1335" s="977"/>
      <c r="D1335" s="978"/>
      <c r="E1335" s="1670" t="str">
        <f>Translations!$B$710</f>
        <v>Šī apakšsadaļa attiecas uz tādu emisiju attiecināšanu, kas saistītas ar avota plūsmām, emisiju avotiem, izmērāma siltuma un atlikumgāzu importu un eksportu, arī siltuma zudumiem saskaņā ar FAR VII pielikuma 10. iedaļu.</v>
      </c>
      <c r="F1335" s="1670"/>
      <c r="G1335" s="1670"/>
      <c r="H1335" s="1670"/>
      <c r="I1335" s="1670"/>
      <c r="J1335" s="1670"/>
      <c r="K1335" s="1670"/>
      <c r="L1335" s="1670"/>
      <c r="M1335" s="1670"/>
      <c r="N1335" s="698"/>
      <c r="O1335" s="25"/>
      <c r="P1335" s="955"/>
    </row>
    <row r="1336" spans="2:23" ht="30" customHeight="1" x14ac:dyDescent="0.2">
      <c r="B1336" s="224"/>
      <c r="C1336" s="977"/>
      <c r="D1336" s="978"/>
      <c r="E1336" s="1670" t="str">
        <f>Translations!$B$711</f>
        <v xml:space="preserve">Ņemiet vērā, ka, lai gan ir sniegti daži norādījumi par katru no nākamajiem punktiem, papildu informācija būtu jāmeklē Norādījumu dokumentā Nr. 5 (“Monitoring and Reporting in relation to the FAR” — “Ar FAR saistītais monitorings un ziņošana”), kurā ietverti arī piemēri. </v>
      </c>
      <c r="F1336" s="1670"/>
      <c r="G1336" s="1670"/>
      <c r="H1336" s="1670"/>
      <c r="I1336" s="1670"/>
      <c r="J1336" s="1670"/>
      <c r="K1336" s="1670"/>
      <c r="L1336" s="1670"/>
      <c r="M1336" s="1670"/>
      <c r="N1336" s="698"/>
      <c r="O1336" s="25"/>
      <c r="P1336" s="955"/>
    </row>
    <row r="1337" spans="2:23" ht="12.75" customHeight="1" x14ac:dyDescent="0.2">
      <c r="B1337" s="224"/>
      <c r="C1337" s="977"/>
      <c r="D1337" s="978"/>
      <c r="E1337" s="1670" t="str">
        <f>Translations!$B$712</f>
        <v xml:space="preserve">Šos norādījumus var lejupielādēt šeit: </v>
      </c>
      <c r="F1337" s="1268"/>
      <c r="G1337" s="1268"/>
      <c r="H1337" s="1268"/>
      <c r="I1337" s="1268"/>
      <c r="J1337" s="1268"/>
      <c r="K1337" s="1268"/>
      <c r="L1337" s="1268"/>
      <c r="M1337" s="1268"/>
      <c r="N1337" s="698"/>
      <c r="O1337" s="25"/>
      <c r="P1337" s="955"/>
    </row>
    <row r="1338" spans="2:23" ht="15" customHeight="1" x14ac:dyDescent="0.2">
      <c r="B1338" s="224"/>
      <c r="C1338" s="977"/>
      <c r="D1338" s="978"/>
      <c r="E1338" s="1549" t="str">
        <f>Translations!$B$713</f>
        <v>https://ec.europa.eu/clima/policies/ets/allowances_en#tab-0-1</v>
      </c>
      <c r="F1338" s="1549"/>
      <c r="G1338" s="1549"/>
      <c r="H1338" s="1549"/>
      <c r="I1338" s="1549"/>
      <c r="J1338" s="1549"/>
      <c r="K1338" s="1549"/>
      <c r="L1338" s="1549"/>
      <c r="M1338" s="1549"/>
      <c r="N1338" s="698"/>
      <c r="O1338" s="25"/>
      <c r="P1338" s="955"/>
    </row>
    <row r="1339" spans="2:23" ht="5.0999999999999996" customHeight="1" x14ac:dyDescent="0.2">
      <c r="B1339" s="38"/>
      <c r="C1339" s="472"/>
      <c r="D1339" s="461"/>
      <c r="E1339" s="461"/>
      <c r="F1339" s="461"/>
      <c r="G1339" s="461"/>
      <c r="H1339" s="461"/>
      <c r="I1339" s="461"/>
      <c r="J1339" s="461"/>
      <c r="K1339" s="461"/>
      <c r="L1339" s="461"/>
      <c r="M1339" s="461"/>
      <c r="N1339" s="473"/>
      <c r="O1339" s="25"/>
      <c r="R1339" s="955"/>
      <c r="S1339" s="955"/>
    </row>
    <row r="1340" spans="2:23" ht="15" customHeight="1" x14ac:dyDescent="0.2">
      <c r="B1340" s="224"/>
      <c r="C1340" s="977"/>
      <c r="D1340" s="978"/>
      <c r="E1340" s="1693" t="str">
        <f>Translations!$B$714</f>
        <v>Balstoties uz tālāk izdarītajiem ierakstiem, attiecināmās emisijas tiek aprēķinātas kopsavilkuma lapas K III sadaļas 2. punktā.</v>
      </c>
      <c r="F1340" s="1693"/>
      <c r="G1340" s="1693"/>
      <c r="H1340" s="1693"/>
      <c r="I1340" s="1693"/>
      <c r="J1340" s="1693"/>
      <c r="K1340" s="1693"/>
      <c r="L1340" s="1693"/>
      <c r="M1340" s="1693"/>
      <c r="N1340" s="698"/>
      <c r="O1340" s="25"/>
      <c r="P1340" s="955"/>
    </row>
    <row r="1341" spans="2:23" ht="5.0999999999999996" customHeight="1" x14ac:dyDescent="0.2">
      <c r="B1341" s="38"/>
      <c r="C1341" s="472"/>
      <c r="D1341" s="461"/>
      <c r="E1341" s="461"/>
      <c r="F1341" s="461"/>
      <c r="G1341" s="461"/>
      <c r="H1341" s="461"/>
      <c r="I1341" s="461"/>
      <c r="J1341" s="461"/>
      <c r="K1341" s="461"/>
      <c r="L1341" s="461"/>
      <c r="M1341" s="461"/>
      <c r="N1341" s="473"/>
      <c r="O1341" s="25"/>
      <c r="R1341" s="955"/>
      <c r="S1341" s="955"/>
    </row>
    <row r="1342" spans="2:23" ht="12.75" customHeight="1" thickBot="1" x14ac:dyDescent="0.25">
      <c r="B1342" s="224"/>
      <c r="C1342" s="977"/>
      <c r="D1342" s="474" t="s">
        <v>81</v>
      </c>
      <c r="E1342" s="1654" t="str">
        <f>Translations!$B$715</f>
        <v>Uz šo apakšiekārtu tieši attiecināmas emisijas (DirEm* (MP avota plūsmas))</v>
      </c>
      <c r="F1342" s="1655"/>
      <c r="G1342" s="1655"/>
      <c r="H1342" s="1655"/>
      <c r="I1342" s="1655"/>
      <c r="J1342" s="1655"/>
      <c r="K1342" s="1655"/>
      <c r="L1342" s="1655"/>
      <c r="M1342" s="1655"/>
      <c r="N1342" s="1656"/>
      <c r="O1342" s="25"/>
      <c r="P1342" s="955"/>
      <c r="R1342" s="955"/>
      <c r="S1342" s="955"/>
    </row>
    <row r="1343" spans="2:23" ht="12.75" customHeight="1" x14ac:dyDescent="0.2">
      <c r="B1343" s="224"/>
      <c r="C1343" s="977"/>
      <c r="D1343" s="474"/>
      <c r="E1343" s="1653" t="str">
        <f>Translations!$B$725</f>
        <v>Tieši attiecināmās emisijas (DirEm*)</v>
      </c>
      <c r="F1343" s="1657"/>
      <c r="G1343" s="1657"/>
      <c r="H1343" s="462" t="str">
        <f>EUconst_Unit</f>
        <v>Vienība</v>
      </c>
      <c r="I1343" s="463">
        <f>I$1820</f>
        <v>2019</v>
      </c>
      <c r="J1343" s="463">
        <f>J$1820</f>
        <v>2020</v>
      </c>
      <c r="K1343" s="463">
        <f>K$1820</f>
        <v>2021</v>
      </c>
      <c r="L1343" s="463">
        <f>L$1820</f>
        <v>2022</v>
      </c>
      <c r="M1343" s="463">
        <f>M$1820</f>
        <v>2023</v>
      </c>
      <c r="N1343" s="661"/>
      <c r="O1343" s="25"/>
      <c r="P1343" s="955"/>
      <c r="R1343" s="970"/>
      <c r="S1343" s="809">
        <f>I1343</f>
        <v>2019</v>
      </c>
      <c r="T1343" s="809">
        <f>J1343</f>
        <v>2020</v>
      </c>
      <c r="U1343" s="809">
        <f>K1343</f>
        <v>2021</v>
      </c>
      <c r="V1343" s="809">
        <f>L1343</f>
        <v>2022</v>
      </c>
      <c r="W1343" s="810">
        <f>M1343</f>
        <v>2023</v>
      </c>
    </row>
    <row r="1344" spans="2:23" ht="12.75" customHeight="1" thickBot="1" x14ac:dyDescent="0.25">
      <c r="B1344" s="224"/>
      <c r="C1344" s="977"/>
      <c r="D1344" s="978"/>
      <c r="E1344" s="1689" t="str">
        <f>I1290</f>
        <v/>
      </c>
      <c r="F1344" s="1689"/>
      <c r="G1344" s="1689"/>
      <c r="H1344" s="464" t="str">
        <f>EUconst_tCO2epa</f>
        <v>t CO2e/gads</v>
      </c>
      <c r="I1344" s="330"/>
      <c r="J1344" s="330"/>
      <c r="K1344" s="330"/>
      <c r="L1344" s="330"/>
      <c r="M1344" s="330"/>
      <c r="N1344" s="661"/>
      <c r="O1344" s="25"/>
      <c r="P1344" s="979" t="str">
        <f>EUconst_CNTR_Emissions &amp; I1290</f>
        <v>DirEmissions_</v>
      </c>
      <c r="R1344" s="971" t="str">
        <f>EUconst_CNTR_AttributedEmissions &amp; I1290</f>
        <v>AttrEmissions_</v>
      </c>
      <c r="S1344" s="137" t="str">
        <f>IF(S1290,SUM(I1344),"")</f>
        <v/>
      </c>
      <c r="T1344" s="137" t="str">
        <f>IF(T1290,SUM(J1344),"")</f>
        <v/>
      </c>
      <c r="U1344" s="137" t="str">
        <f>IF(U1290,SUM(K1344),"")</f>
        <v/>
      </c>
      <c r="V1344" s="137" t="str">
        <f>IF(V1290,SUM(L1344),"")</f>
        <v/>
      </c>
      <c r="W1344" s="138" t="str">
        <f>IF(W1290,SUM(M1344),"")</f>
        <v/>
      </c>
    </row>
    <row r="1345" spans="2:27" ht="12.75" customHeight="1" x14ac:dyDescent="0.2">
      <c r="B1345" s="224"/>
      <c r="C1345" s="977"/>
      <c r="D1345" s="978"/>
      <c r="E1345" s="978"/>
      <c r="F1345" s="978"/>
      <c r="G1345" s="978"/>
      <c r="H1345" s="978"/>
      <c r="I1345" s="978"/>
      <c r="J1345" s="978"/>
      <c r="K1345" s="978"/>
      <c r="L1345" s="978"/>
      <c r="M1345" s="980"/>
      <c r="N1345" s="661"/>
      <c r="O1345" s="25"/>
      <c r="P1345" s="955"/>
      <c r="R1345" s="955"/>
    </row>
    <row r="1346" spans="2:27" ht="12.75" customHeight="1" x14ac:dyDescent="0.2">
      <c r="B1346" s="224"/>
      <c r="C1346" s="977"/>
      <c r="D1346" s="474" t="s">
        <v>82</v>
      </c>
      <c r="E1346" s="1663" t="str">
        <f>Translations!$B$1670</f>
        <v>Enerģijas ielaide šajā apakšiekārtā un relevantais emisijas faktors</v>
      </c>
      <c r="F1346" s="1663"/>
      <c r="G1346" s="1663"/>
      <c r="H1346" s="1663"/>
      <c r="I1346" s="1663"/>
      <c r="J1346" s="1663"/>
      <c r="K1346" s="1663"/>
      <c r="L1346" s="1663"/>
      <c r="M1346" s="1663"/>
      <c r="N1346" s="1690"/>
      <c r="O1346" s="25"/>
      <c r="P1346" s="955"/>
      <c r="Q1346" s="955"/>
      <c r="R1346" s="955"/>
    </row>
    <row r="1347" spans="2:27" ht="12.75" customHeight="1" x14ac:dyDescent="0.2">
      <c r="B1347" s="224"/>
      <c r="C1347" s="977"/>
      <c r="D1347" s="474"/>
      <c r="E1347" s="1653"/>
      <c r="F1347" s="1657"/>
      <c r="G1347" s="1657"/>
      <c r="H1347" s="462" t="str">
        <f>EUconst_Unit</f>
        <v>Vienība</v>
      </c>
      <c r="I1347" s="463">
        <f>I$1820</f>
        <v>2019</v>
      </c>
      <c r="J1347" s="463">
        <f>J$1820</f>
        <v>2020</v>
      </c>
      <c r="K1347" s="463">
        <f>K$1820</f>
        <v>2021</v>
      </c>
      <c r="L1347" s="463">
        <f>L$1820</f>
        <v>2022</v>
      </c>
      <c r="M1347" s="463">
        <f>M$1820</f>
        <v>2023</v>
      </c>
      <c r="N1347" s="661"/>
      <c r="O1347" s="25"/>
      <c r="P1347" s="955"/>
      <c r="R1347" s="955"/>
    </row>
    <row r="1348" spans="2:27" ht="12.75" customHeight="1" x14ac:dyDescent="0.2">
      <c r="B1348" s="224"/>
      <c r="C1348" s="977"/>
      <c r="D1348" s="695" t="s">
        <v>2</v>
      </c>
      <c r="E1348" s="1651" t="str">
        <f>Translations!$B$1672</f>
        <v>Enerģijas ielaide</v>
      </c>
      <c r="F1348" s="1652"/>
      <c r="G1348" s="1652"/>
      <c r="H1348" s="465" t="str">
        <f>EUconst_TJpa</f>
        <v>TJ / gads</v>
      </c>
      <c r="I1348" s="330"/>
      <c r="J1348" s="330"/>
      <c r="K1348" s="330"/>
      <c r="L1348" s="330"/>
      <c r="M1348" s="330"/>
      <c r="N1348" s="698"/>
      <c r="O1348" s="25"/>
      <c r="P1348" s="979" t="str">
        <f>EUconst_CNTR_FuelInput &amp; I1290</f>
        <v>FuelInput_</v>
      </c>
      <c r="R1348" s="955"/>
    </row>
    <row r="1349" spans="2:27" ht="12.75" customHeight="1" x14ac:dyDescent="0.2">
      <c r="B1349" s="224"/>
      <c r="C1349" s="977"/>
      <c r="D1349" s="695" t="s">
        <v>3</v>
      </c>
      <c r="E1349" s="1709" t="str">
        <f>Translations!$B$732</f>
        <v>Svērtais emisijas faktors</v>
      </c>
      <c r="F1349" s="1710"/>
      <c r="G1349" s="1710"/>
      <c r="H1349" s="577" t="str">
        <f>EUconst_tCO2pTJ</f>
        <v>t CO2 / TJ</v>
      </c>
      <c r="I1349" s="338"/>
      <c r="J1349" s="338"/>
      <c r="K1349" s="338"/>
      <c r="L1349" s="338"/>
      <c r="M1349" s="338"/>
      <c r="N1349" s="661"/>
      <c r="O1349" s="25"/>
      <c r="P1349" s="979" t="str">
        <f>EUconst_CNTR_FuelEF &amp; I1290</f>
        <v>FuelEF_</v>
      </c>
      <c r="R1349" s="955"/>
    </row>
    <row r="1350" spans="2:27" ht="12.75" customHeight="1" x14ac:dyDescent="0.2">
      <c r="B1350" s="224"/>
      <c r="C1350" s="977"/>
      <c r="D1350" s="978"/>
      <c r="E1350" s="978"/>
      <c r="F1350" s="978"/>
      <c r="G1350" s="978"/>
      <c r="H1350" s="978"/>
      <c r="I1350" s="978"/>
      <c r="J1350" s="978"/>
      <c r="K1350" s="978"/>
      <c r="L1350" s="978"/>
      <c r="M1350" s="980"/>
      <c r="N1350" s="661"/>
      <c r="O1350" s="25"/>
      <c r="P1350" s="955"/>
      <c r="R1350" s="955"/>
    </row>
    <row r="1351" spans="2:27" ht="12.75" customHeight="1" thickBot="1" x14ac:dyDescent="0.25">
      <c r="B1351" s="224"/>
      <c r="C1351" s="977"/>
      <c r="D1351" s="474" t="s">
        <v>83</v>
      </c>
      <c r="E1351" s="1663" t="str">
        <f>Translations!$B$733</f>
        <v>Citas iekšējās avota plūsmas, kas importētas uz šo apakšiekārtu vai eksportētas no tās</v>
      </c>
      <c r="F1351" s="1663"/>
      <c r="G1351" s="1663"/>
      <c r="H1351" s="1663"/>
      <c r="I1351" s="1663"/>
      <c r="J1351" s="1663"/>
      <c r="K1351" s="1663"/>
      <c r="L1351" s="1663"/>
      <c r="M1351" s="1663"/>
      <c r="N1351" s="1690"/>
      <c r="O1351" s="25"/>
      <c r="P1351" s="955"/>
      <c r="Q1351" s="955"/>
      <c r="R1351" s="955"/>
    </row>
    <row r="1352" spans="2:27" ht="12.75" customHeight="1" thickBot="1" x14ac:dyDescent="0.25">
      <c r="B1352" s="224"/>
      <c r="C1352" s="977"/>
      <c r="D1352" s="695" t="s">
        <v>2</v>
      </c>
      <c r="E1352" s="1732" t="str">
        <f>Translations!$B$739</f>
        <v>Vai šai apakšiekārtai ir relevantas vēl citas importētas vai eksportētas iekšējās avota plūsmas?</v>
      </c>
      <c r="F1352" s="1732"/>
      <c r="G1352" s="1732"/>
      <c r="H1352" s="1732"/>
      <c r="I1352" s="1732"/>
      <c r="J1352" s="1732"/>
      <c r="K1352" s="1733"/>
      <c r="L1352" s="527"/>
      <c r="M1352" s="1202"/>
      <c r="N1352" s="1203"/>
      <c r="O1352" s="25"/>
      <c r="P1352" s="955"/>
      <c r="R1352" s="955"/>
      <c r="W1352" s="966" t="s">
        <v>398</v>
      </c>
      <c r="X1352" s="964" t="b">
        <f>IF(AND(I1290&lt;&gt;"",ISBLANK(L1352)),EUconst_Error&amp;"BM"&amp;C1290,FALSE)</f>
        <v>0</v>
      </c>
    </row>
    <row r="1353" spans="2:27" ht="5.0999999999999996" customHeight="1" thickBot="1" x14ac:dyDescent="0.25">
      <c r="B1353" s="224"/>
      <c r="C1353" s="977"/>
      <c r="D1353" s="978"/>
      <c r="E1353" s="978"/>
      <c r="F1353" s="978"/>
      <c r="G1353" s="978"/>
      <c r="H1353" s="978"/>
      <c r="I1353" s="978"/>
      <c r="J1353" s="978"/>
      <c r="K1353" s="978"/>
      <c r="L1353" s="978"/>
      <c r="M1353" s="980"/>
      <c r="N1353" s="661"/>
      <c r="O1353" s="25"/>
      <c r="P1353" s="955"/>
      <c r="R1353" s="955"/>
    </row>
    <row r="1354" spans="2:27" ht="12.75" customHeight="1" x14ac:dyDescent="0.2">
      <c r="B1354" s="224"/>
      <c r="C1354" s="977"/>
      <c r="D1354" s="695" t="s">
        <v>3</v>
      </c>
      <c r="E1354" s="1663" t="str">
        <f>Translations!$B$741</f>
        <v>Citu avota plūsmu nosaukums, 1:</v>
      </c>
      <c r="F1354" s="1663"/>
      <c r="G1354" s="1663"/>
      <c r="H1354" s="1663"/>
      <c r="I1354" s="1664"/>
      <c r="J1354" s="1665"/>
      <c r="K1354" s="1665"/>
      <c r="L1354" s="1665"/>
      <c r="M1354" s="1666"/>
      <c r="N1354" s="660"/>
      <c r="O1354" s="25"/>
      <c r="P1354" s="955"/>
      <c r="R1354" s="955"/>
      <c r="AA1354" s="643" t="b">
        <f>IF(I1290&lt;&gt;"",AND(L1352&lt;&gt;"",L1352=FALSE),FALSE)</f>
        <v>0</v>
      </c>
    </row>
    <row r="1355" spans="2:27" ht="5.0999999999999996" customHeight="1" x14ac:dyDescent="0.2">
      <c r="B1355" s="224"/>
      <c r="C1355" s="977"/>
      <c r="D1355" s="978"/>
      <c r="E1355" s="1204"/>
      <c r="F1355" s="1202"/>
      <c r="G1355" s="1202"/>
      <c r="H1355" s="1202"/>
      <c r="I1355" s="1202"/>
      <c r="J1355" s="1202"/>
      <c r="K1355" s="1202"/>
      <c r="L1355" s="1202"/>
      <c r="M1355" s="1202"/>
      <c r="N1355" s="1203"/>
      <c r="O1355" s="25"/>
      <c r="P1355" s="955"/>
      <c r="R1355" s="955"/>
      <c r="AA1355" s="607"/>
    </row>
    <row r="1356" spans="2:27" ht="12.75" customHeight="1" x14ac:dyDescent="0.2">
      <c r="B1356" s="224"/>
      <c r="C1356" s="977"/>
      <c r="D1356" s="978"/>
      <c r="E1356" s="1653" t="str">
        <f>Translations!$B$742</f>
        <v>Citas avota plūsmas, 1:</v>
      </c>
      <c r="F1356" s="1657"/>
      <c r="G1356" s="1657"/>
      <c r="H1356" s="462" t="str">
        <f>EUconst_Unit</f>
        <v>Vienība</v>
      </c>
      <c r="I1356" s="463">
        <f>I$1820</f>
        <v>2019</v>
      </c>
      <c r="J1356" s="463">
        <f>J$1820</f>
        <v>2020</v>
      </c>
      <c r="K1356" s="463">
        <f>K$1820</f>
        <v>2021</v>
      </c>
      <c r="L1356" s="463">
        <f>L$1820</f>
        <v>2022</v>
      </c>
      <c r="M1356" s="463">
        <f>M$1820</f>
        <v>2023</v>
      </c>
      <c r="N1356" s="661"/>
      <c r="O1356" s="25"/>
      <c r="P1356" s="955"/>
      <c r="R1356" s="955"/>
      <c r="AA1356" s="607"/>
    </row>
    <row r="1357" spans="2:27" ht="12.75" customHeight="1" x14ac:dyDescent="0.2">
      <c r="B1357" s="224"/>
      <c r="C1357" s="977"/>
      <c r="D1357" s="695" t="s">
        <v>4</v>
      </c>
      <c r="E1357" s="1667" t="str">
        <f>Translations!$B$743</f>
        <v>Importētais vai eksportētais daudzums</v>
      </c>
      <c r="F1357" s="1660"/>
      <c r="G1357" s="1660"/>
      <c r="H1357" s="466" t="str">
        <f>EUconst_tpa</f>
        <v>t / gads</v>
      </c>
      <c r="I1357" s="348"/>
      <c r="J1357" s="348"/>
      <c r="K1357" s="348"/>
      <c r="L1357" s="348"/>
      <c r="M1357" s="348"/>
      <c r="N1357" s="661"/>
      <c r="O1357" s="25"/>
      <c r="P1357" s="955"/>
      <c r="R1357" s="955"/>
      <c r="AA1357" s="361" t="b">
        <f>AA1354</f>
        <v>0</v>
      </c>
    </row>
    <row r="1358" spans="2:27" ht="12.75" customHeight="1" x14ac:dyDescent="0.2">
      <c r="B1358" s="224"/>
      <c r="C1358" s="977"/>
      <c r="D1358" s="695" t="s">
        <v>6</v>
      </c>
      <c r="E1358" s="1658" t="str">
        <f>Translations!$B$744</f>
        <v>Zemākā siltumspēja (attiecīgā gadījumā)</v>
      </c>
      <c r="F1358" s="1658"/>
      <c r="G1358" s="1658"/>
      <c r="H1358" s="551" t="str">
        <f>EUconst_GJpt</f>
        <v>GJ / t</v>
      </c>
      <c r="I1358" s="347"/>
      <c r="J1358" s="347"/>
      <c r="K1358" s="347"/>
      <c r="L1358" s="347"/>
      <c r="M1358" s="347"/>
      <c r="N1358" s="661"/>
      <c r="O1358" s="25"/>
      <c r="P1358" s="955"/>
      <c r="R1358" s="955"/>
      <c r="AA1358" s="361" t="b">
        <f>AA1357</f>
        <v>0</v>
      </c>
    </row>
    <row r="1359" spans="2:27" ht="12.75" customHeight="1" thickBot="1" x14ac:dyDescent="0.25">
      <c r="B1359" s="224"/>
      <c r="C1359" s="977"/>
      <c r="D1359" s="695" t="s">
        <v>303</v>
      </c>
      <c r="E1359" s="1658" t="str">
        <f>Translations!$B$745</f>
        <v>Oglekļa saturs (masas %)</v>
      </c>
      <c r="F1359" s="1658"/>
      <c r="G1359" s="1658"/>
      <c r="H1359" s="552" t="s">
        <v>341</v>
      </c>
      <c r="I1359" s="347"/>
      <c r="J1359" s="347"/>
      <c r="K1359" s="347"/>
      <c r="L1359" s="347"/>
      <c r="M1359" s="347"/>
      <c r="N1359" s="661"/>
      <c r="O1359" s="25"/>
      <c r="P1359" s="955"/>
      <c r="R1359" s="955"/>
      <c r="AA1359" s="361" t="b">
        <f>AA1358</f>
        <v>0</v>
      </c>
    </row>
    <row r="1360" spans="2:27" ht="12.75" customHeight="1" x14ac:dyDescent="0.2">
      <c r="B1360" s="224"/>
      <c r="C1360" s="977"/>
      <c r="D1360" s="695" t="s">
        <v>304</v>
      </c>
      <c r="E1360" s="1659" t="str">
        <f>Translations!$B$746</f>
        <v>Biomasas saturs (kā oglekļa frakcija)</v>
      </c>
      <c r="F1360" s="1659"/>
      <c r="G1360" s="1659"/>
      <c r="H1360" s="485" t="s">
        <v>341</v>
      </c>
      <c r="I1360" s="345"/>
      <c r="J1360" s="345"/>
      <c r="K1360" s="345"/>
      <c r="L1360" s="345"/>
      <c r="M1360" s="345"/>
      <c r="N1360" s="661"/>
      <c r="O1360" s="25"/>
      <c r="P1360" s="955"/>
      <c r="R1360" s="970"/>
      <c r="S1360" s="809">
        <f>I1356</f>
        <v>2019</v>
      </c>
      <c r="T1360" s="809">
        <f>J1356</f>
        <v>2020</v>
      </c>
      <c r="U1360" s="809">
        <f>K1356</f>
        <v>2021</v>
      </c>
      <c r="V1360" s="809">
        <f>L1356</f>
        <v>2022</v>
      </c>
      <c r="W1360" s="810">
        <f>M1356</f>
        <v>2023</v>
      </c>
      <c r="AA1360" s="361" t="b">
        <f>AA1359</f>
        <v>0</v>
      </c>
    </row>
    <row r="1361" spans="2:27" ht="12.75" customHeight="1" thickBot="1" x14ac:dyDescent="0.25">
      <c r="B1361" s="224"/>
      <c r="C1361" s="977"/>
      <c r="D1361" s="695" t="s">
        <v>305</v>
      </c>
      <c r="E1361" s="1660" t="str">
        <f>Translations!$B$747</f>
        <v>Emisijas (no fosilajiem avotiem, aprēķinātās)</v>
      </c>
      <c r="F1361" s="1660"/>
      <c r="G1361" s="1660"/>
      <c r="H1361" s="553" t="str">
        <f>EUconst_tCO2pa</f>
        <v>t CO2 / gads</v>
      </c>
      <c r="I1361" s="341" t="str">
        <f>IF(AND(COUNT(I1357:I1360)&gt;0,I1364=""),3.664*I1357*(I1359/100)*(1-I1360/100),"")</f>
        <v/>
      </c>
      <c r="J1361" s="341" t="str">
        <f>IF(AND(COUNT(J1357:J1360)&gt;0,J1364=""),3.664*J1357*(J1359/100)*(1-J1360/100),"")</f>
        <v/>
      </c>
      <c r="K1361" s="341" t="str">
        <f>IF(AND(COUNT(K1357:K1360)&gt;0,K1364=""),3.664*K1357*(K1359/100)*(1-K1360/100),"")</f>
        <v/>
      </c>
      <c r="L1361" s="341" t="str">
        <f>IF(AND(COUNT(L1357:L1360)&gt;0,L1364=""),3.664*L1357*(L1359/100)*(1-L1360/100),"")</f>
        <v/>
      </c>
      <c r="M1361" s="341" t="str">
        <f>IF(AND(COUNT(M1357:M1360)&gt;0,M1364=""),3.664*M1357*(M1359/100)*(1-M1360/100),"")</f>
        <v/>
      </c>
      <c r="N1361" s="661"/>
      <c r="O1361" s="25"/>
      <c r="P1361" s="979" t="str">
        <f>EUconst_CNTR_EmissionsIntSource1 &amp; I1290</f>
        <v>EmInternalSource1_</v>
      </c>
      <c r="R1361" s="971" t="str">
        <f>EUconst_CNTR_AttributedEmissions &amp; I1290</f>
        <v>AttrEmissions_</v>
      </c>
      <c r="S1361" s="137" t="str">
        <f>IF(S1290,SUM(I1361),"")</f>
        <v/>
      </c>
      <c r="T1361" s="137" t="str">
        <f>IF(T1290,SUM(J1361),"")</f>
        <v/>
      </c>
      <c r="U1361" s="137" t="str">
        <f>IF(U1290,SUM(K1361),"")</f>
        <v/>
      </c>
      <c r="V1361" s="137" t="str">
        <f>IF(V1290,SUM(L1361),"")</f>
        <v/>
      </c>
      <c r="W1361" s="138" t="str">
        <f>IF(W1290,SUM(M1361),"")</f>
        <v/>
      </c>
      <c r="AA1361" s="607"/>
    </row>
    <row r="1362" spans="2:27" ht="12.75" customHeight="1" x14ac:dyDescent="0.2">
      <c r="B1362" s="224"/>
      <c r="C1362" s="977"/>
      <c r="D1362" s="695" t="s">
        <v>306</v>
      </c>
      <c r="E1362" s="1661" t="str">
        <f>Translations!$B$1617</f>
        <v>Nulles faktora biomasas emisijas</v>
      </c>
      <c r="F1362" s="1661"/>
      <c r="G1362" s="1661"/>
      <c r="H1362" s="554" t="str">
        <f>EUconst_tCO2pa</f>
        <v>t CO2 / gads</v>
      </c>
      <c r="I1362" s="340" t="str">
        <f>IF(ISNUMBER(I1361),3.664*I1357*(I1359/100)*(I1360/100),"")</f>
        <v/>
      </c>
      <c r="J1362" s="340" t="str">
        <f>IF(ISNUMBER(J1361),3.664*J1357*(J1359/100)*(J1360/100),"")</f>
        <v/>
      </c>
      <c r="K1362" s="340" t="str">
        <f>IF(ISNUMBER(K1361),3.664*K1357*(K1359/100)*(K1360/100),"")</f>
        <v/>
      </c>
      <c r="L1362" s="340" t="str">
        <f>IF(ISNUMBER(L1361),3.664*L1357*(L1359/100)*(L1360/100),"")</f>
        <v/>
      </c>
      <c r="M1362" s="340" t="str">
        <f>IF(ISNUMBER(M1361),3.664*M1357*(M1359/100)*(M1360/100),"")</f>
        <v/>
      </c>
      <c r="N1362" s="661"/>
      <c r="O1362" s="25"/>
      <c r="P1362" s="955"/>
      <c r="R1362" s="955"/>
      <c r="AA1362" s="607"/>
    </row>
    <row r="1363" spans="2:27" ht="12.75" customHeight="1" x14ac:dyDescent="0.2">
      <c r="B1363" s="224"/>
      <c r="C1363" s="977"/>
      <c r="D1363" s="695" t="s">
        <v>307</v>
      </c>
      <c r="E1363" s="1659" t="str">
        <f>Translations!$B$749</f>
        <v>Enerģētiskais saturs (aprēķinātais)</v>
      </c>
      <c r="F1363" s="1659"/>
      <c r="G1363" s="1659"/>
      <c r="H1363" s="555" t="str">
        <f>EUconst_TJpa</f>
        <v>TJ / gads</v>
      </c>
      <c r="I1363" s="343" t="str">
        <f>IF(COUNT(I1357:I1358)=2,I1357*I1358/1000,"")</f>
        <v/>
      </c>
      <c r="J1363" s="343" t="str">
        <f>IF(COUNT(J1357:J1358)=2,J1357*J1358/1000,"")</f>
        <v/>
      </c>
      <c r="K1363" s="343" t="str">
        <f>IF(COUNT(K1357:K1358)=2,K1357*K1358/1000,"")</f>
        <v/>
      </c>
      <c r="L1363" s="343" t="str">
        <f>IF(COUNT(L1357:L1358)=2,L1357*L1358/1000,"")</f>
        <v/>
      </c>
      <c r="M1363" s="343" t="str">
        <f>IF(COUNT(M1357:M1358)=2,M1357*M1358/1000,"")</f>
        <v/>
      </c>
      <c r="N1363" s="661"/>
      <c r="O1363" s="25"/>
      <c r="P1363" s="955"/>
      <c r="R1363" s="955"/>
      <c r="AA1363" s="607"/>
    </row>
    <row r="1364" spans="2:27" ht="12.75" customHeight="1" x14ac:dyDescent="0.2">
      <c r="B1364" s="224"/>
      <c r="C1364" s="977"/>
      <c r="D1364" s="695" t="s">
        <v>15</v>
      </c>
      <c r="E1364" s="1662" t="str">
        <f>Translations!$B$750</f>
        <v>Kļūdas ziņojumi (emisijas)</v>
      </c>
      <c r="F1364" s="1662"/>
      <c r="G1364" s="1662"/>
      <c r="H1364" s="556"/>
      <c r="I1364" s="662" t="str">
        <f>IF(COUNT(I1357,I1359:I1360)&gt;0,IF(COUNTIF(I1358:I1360,"&lt;0")&gt;0,EUconst_Negative,IF(COUNT(I1357,I1359:I1360)&lt;3,EUconst_Incomplete,"")),"")</f>
        <v/>
      </c>
      <c r="J1364" s="662" t="str">
        <f>IF(COUNT(J1357,J1359:J1360)&gt;0,IF(COUNTIF(J1358:J1360,"&lt;0")&gt;0,EUconst_Negative,IF(COUNT(J1357,J1359:J1360)&lt;3,EUconst_Incomplete,"")),"")</f>
        <v/>
      </c>
      <c r="K1364" s="662" t="str">
        <f>IF(COUNT(K1357,K1359:K1360)&gt;0,IF(COUNTIF(K1358:K1360,"&lt;0")&gt;0,EUconst_Negative,IF(COUNT(K1357,K1359:K1360)&lt;3,EUconst_Incomplete,"")),"")</f>
        <v/>
      </c>
      <c r="L1364" s="662" t="str">
        <f>IF(COUNT(L1357,L1359:L1360)&gt;0,IF(COUNTIF(L1358:L1360,"&lt;0")&gt;0,EUconst_Negative,IF(COUNT(L1357,L1359:L1360)&lt;3,EUconst_Incomplete,"")),"")</f>
        <v/>
      </c>
      <c r="M1364" s="662" t="str">
        <f>IF(COUNT(M1357,M1359:M1360)&gt;0,IF(COUNTIF(M1358:M1360,"&lt;0")&gt;0,EUconst_Negative,IF(COUNT(M1357,M1359:M1360)&lt;3,EUconst_Incomplete,"")),"")</f>
        <v/>
      </c>
      <c r="N1364" s="661"/>
      <c r="O1364" s="25"/>
      <c r="P1364" s="955"/>
      <c r="R1364" s="955"/>
      <c r="AA1364" s="607"/>
    </row>
    <row r="1365" spans="2:27" ht="5.0999999999999996" customHeight="1" x14ac:dyDescent="0.2">
      <c r="B1365" s="224"/>
      <c r="C1365" s="977"/>
      <c r="D1365" s="695"/>
      <c r="E1365" s="978"/>
      <c r="F1365" s="978"/>
      <c r="G1365" s="978"/>
      <c r="H1365" s="978"/>
      <c r="I1365" s="978"/>
      <c r="J1365" s="978"/>
      <c r="K1365" s="978"/>
      <c r="L1365" s="978"/>
      <c r="M1365" s="980"/>
      <c r="N1365" s="661"/>
      <c r="O1365" s="25"/>
      <c r="P1365" s="955"/>
      <c r="R1365" s="955"/>
      <c r="AA1365" s="607"/>
    </row>
    <row r="1366" spans="2:27" ht="12.75" customHeight="1" x14ac:dyDescent="0.2">
      <c r="B1366" s="224"/>
      <c r="C1366" s="977"/>
      <c r="D1366" s="695" t="s">
        <v>16</v>
      </c>
      <c r="E1366" s="1663" t="str">
        <f>Translations!$B$751</f>
        <v>Citu avota plūsmu nosaukums, 2:</v>
      </c>
      <c r="F1366" s="1663"/>
      <c r="G1366" s="1663"/>
      <c r="H1366" s="1663"/>
      <c r="I1366" s="1664"/>
      <c r="J1366" s="1665"/>
      <c r="K1366" s="1665"/>
      <c r="L1366" s="1665"/>
      <c r="M1366" s="1666"/>
      <c r="N1366" s="1203"/>
      <c r="O1366" s="25"/>
      <c r="P1366" s="955"/>
      <c r="R1366" s="955"/>
      <c r="AA1366" s="361" t="b">
        <f>AA1354</f>
        <v>0</v>
      </c>
    </row>
    <row r="1367" spans="2:27" ht="5.0999999999999996" customHeight="1" x14ac:dyDescent="0.2">
      <c r="B1367" s="224"/>
      <c r="C1367" s="977"/>
      <c r="D1367" s="978"/>
      <c r="E1367" s="1204"/>
      <c r="F1367" s="1202"/>
      <c r="G1367" s="1202"/>
      <c r="H1367" s="1202"/>
      <c r="I1367" s="1202"/>
      <c r="J1367" s="1202"/>
      <c r="K1367" s="1202"/>
      <c r="L1367" s="1202"/>
      <c r="M1367" s="1202"/>
      <c r="N1367" s="1203"/>
      <c r="O1367" s="25"/>
      <c r="P1367" s="955"/>
      <c r="R1367" s="955"/>
      <c r="AA1367" s="607"/>
    </row>
    <row r="1368" spans="2:27" ht="12.75" customHeight="1" x14ac:dyDescent="0.2">
      <c r="B1368" s="224"/>
      <c r="C1368" s="977"/>
      <c r="D1368" s="695"/>
      <c r="E1368" s="1653" t="str">
        <f>Translations!$B$752</f>
        <v>Citas avota plūsmas, 2:</v>
      </c>
      <c r="F1368" s="1657"/>
      <c r="G1368" s="1657"/>
      <c r="H1368" s="462" t="str">
        <f>EUconst_Unit</f>
        <v>Vienība</v>
      </c>
      <c r="I1368" s="463">
        <f>I$1820</f>
        <v>2019</v>
      </c>
      <c r="J1368" s="463">
        <f>J$1820</f>
        <v>2020</v>
      </c>
      <c r="K1368" s="463">
        <f>K$1820</f>
        <v>2021</v>
      </c>
      <c r="L1368" s="463">
        <f>L$1820</f>
        <v>2022</v>
      </c>
      <c r="M1368" s="463">
        <f>M$1820</f>
        <v>2023</v>
      </c>
      <c r="N1368" s="661"/>
      <c r="O1368" s="25"/>
      <c r="P1368" s="955"/>
      <c r="R1368" s="955"/>
      <c r="AA1368" s="607"/>
    </row>
    <row r="1369" spans="2:27" ht="12.75" customHeight="1" x14ac:dyDescent="0.2">
      <c r="B1369" s="224"/>
      <c r="C1369" s="977"/>
      <c r="D1369" s="695" t="s">
        <v>17</v>
      </c>
      <c r="E1369" s="1667" t="str">
        <f>Translations!$B$743</f>
        <v>Importētais vai eksportētais daudzums</v>
      </c>
      <c r="F1369" s="1660"/>
      <c r="G1369" s="1660"/>
      <c r="H1369" s="466" t="str">
        <f>EUconst_tpa</f>
        <v>t / gads</v>
      </c>
      <c r="I1369" s="348"/>
      <c r="J1369" s="348"/>
      <c r="K1369" s="348"/>
      <c r="L1369" s="348"/>
      <c r="M1369" s="348"/>
      <c r="N1369" s="661"/>
      <c r="O1369" s="25"/>
      <c r="P1369" s="955"/>
      <c r="R1369" s="955"/>
      <c r="AA1369" s="361" t="b">
        <f>AA1366</f>
        <v>0</v>
      </c>
    </row>
    <row r="1370" spans="2:27" ht="12.75" customHeight="1" x14ac:dyDescent="0.2">
      <c r="B1370" s="224"/>
      <c r="C1370" s="977"/>
      <c r="D1370" s="695" t="s">
        <v>438</v>
      </c>
      <c r="E1370" s="1658" t="str">
        <f>Translations!$B$744</f>
        <v>Zemākā siltumspēja (attiecīgā gadījumā)</v>
      </c>
      <c r="F1370" s="1658"/>
      <c r="G1370" s="1658"/>
      <c r="H1370" s="551" t="str">
        <f>EUconst_GJpt</f>
        <v>GJ / t</v>
      </c>
      <c r="I1370" s="347"/>
      <c r="J1370" s="347"/>
      <c r="K1370" s="347"/>
      <c r="L1370" s="347"/>
      <c r="M1370" s="347"/>
      <c r="N1370" s="661"/>
      <c r="O1370" s="25"/>
      <c r="P1370" s="955"/>
      <c r="R1370" s="955"/>
      <c r="AA1370" s="361" t="b">
        <f>AA1369</f>
        <v>0</v>
      </c>
    </row>
    <row r="1371" spans="2:27" ht="12.75" customHeight="1" thickBot="1" x14ac:dyDescent="0.25">
      <c r="B1371" s="224"/>
      <c r="C1371" s="977"/>
      <c r="D1371" s="695" t="s">
        <v>439</v>
      </c>
      <c r="E1371" s="1658" t="str">
        <f>Translations!$B$745</f>
        <v>Oglekļa saturs (masas %)</v>
      </c>
      <c r="F1371" s="1658"/>
      <c r="G1371" s="1658"/>
      <c r="H1371" s="552" t="s">
        <v>341</v>
      </c>
      <c r="I1371" s="347"/>
      <c r="J1371" s="347"/>
      <c r="K1371" s="347"/>
      <c r="L1371" s="347"/>
      <c r="M1371" s="347"/>
      <c r="N1371" s="661"/>
      <c r="O1371" s="25"/>
      <c r="P1371" s="955"/>
      <c r="R1371" s="955"/>
      <c r="AA1371" s="361" t="b">
        <f>AA1370</f>
        <v>0</v>
      </c>
    </row>
    <row r="1372" spans="2:27" ht="12.75" customHeight="1" thickBot="1" x14ac:dyDescent="0.25">
      <c r="B1372" s="224"/>
      <c r="C1372" s="977"/>
      <c r="D1372" s="695" t="s">
        <v>440</v>
      </c>
      <c r="E1372" s="1659" t="str">
        <f>Translations!$B$746</f>
        <v>Biomasas saturs (kā oglekļa frakcija)</v>
      </c>
      <c r="F1372" s="1659"/>
      <c r="G1372" s="1659"/>
      <c r="H1372" s="485" t="s">
        <v>341</v>
      </c>
      <c r="I1372" s="345"/>
      <c r="J1372" s="345"/>
      <c r="K1372" s="345"/>
      <c r="L1372" s="345"/>
      <c r="M1372" s="345"/>
      <c r="N1372" s="661"/>
      <c r="O1372" s="25"/>
      <c r="P1372" s="955"/>
      <c r="R1372" s="970"/>
      <c r="S1372" s="809">
        <f>I1368</f>
        <v>2019</v>
      </c>
      <c r="T1372" s="809">
        <f>J1368</f>
        <v>2020</v>
      </c>
      <c r="U1372" s="809">
        <f>K1368</f>
        <v>2021</v>
      </c>
      <c r="V1372" s="809">
        <f>L1368</f>
        <v>2022</v>
      </c>
      <c r="W1372" s="810">
        <f>M1368</f>
        <v>2023</v>
      </c>
      <c r="AA1372" s="186" t="b">
        <f>AA1371</f>
        <v>0</v>
      </c>
    </row>
    <row r="1373" spans="2:27" ht="12.75" customHeight="1" thickBot="1" x14ac:dyDescent="0.25">
      <c r="B1373" s="224"/>
      <c r="C1373" s="977"/>
      <c r="D1373" s="695" t="s">
        <v>441</v>
      </c>
      <c r="E1373" s="1660" t="str">
        <f>Translations!$B$747</f>
        <v>Emisijas (no fosilajiem avotiem, aprēķinātās)</v>
      </c>
      <c r="F1373" s="1660"/>
      <c r="G1373" s="1660"/>
      <c r="H1373" s="553" t="str">
        <f>EUconst_tCO2pa</f>
        <v>t CO2 / gads</v>
      </c>
      <c r="I1373" s="341" t="str">
        <f>IF(AND(COUNT(I1369:I1372)&gt;0,I1376=""),3.664*I1369*(I1371/100)*(1-I1372/100),"")</f>
        <v/>
      </c>
      <c r="J1373" s="341" t="str">
        <f>IF(AND(COUNT(J1369:J1372)&gt;0,J1376=""),3.664*J1369*(J1371/100)*(1-J1372/100),"")</f>
        <v/>
      </c>
      <c r="K1373" s="341" t="str">
        <f>IF(AND(COUNT(K1369:K1372)&gt;0,K1376=""),3.664*K1369*(K1371/100)*(1-K1372/100),"")</f>
        <v/>
      </c>
      <c r="L1373" s="341" t="str">
        <f>IF(AND(COUNT(L1369:L1372)&gt;0,L1376=""),3.664*L1369*(L1371/100)*(1-L1372/100),"")</f>
        <v/>
      </c>
      <c r="M1373" s="341" t="str">
        <f>IF(AND(COUNT(M1369:M1372)&gt;0,M1376=""),3.664*M1369*(M1371/100)*(1-M1372/100),"")</f>
        <v/>
      </c>
      <c r="N1373" s="661"/>
      <c r="O1373" s="25"/>
      <c r="P1373" s="979" t="str">
        <f>EUconst_CNTR_EmissionsIntSource2 &amp; I1290</f>
        <v>EmInternalSource2_</v>
      </c>
      <c r="R1373" s="971" t="str">
        <f>EUconst_CNTR_AttributedEmissions &amp; I1290</f>
        <v>AttrEmissions_</v>
      </c>
      <c r="S1373" s="137" t="str">
        <f>IF(S1290,SUM(I1373),"")</f>
        <v/>
      </c>
      <c r="T1373" s="137" t="str">
        <f>IF(T1290,SUM(J1373),"")</f>
        <v/>
      </c>
      <c r="U1373" s="137" t="str">
        <f>IF(U1290,SUM(K1373),"")</f>
        <v/>
      </c>
      <c r="V1373" s="137" t="str">
        <f>IF(V1290,SUM(L1373),"")</f>
        <v/>
      </c>
      <c r="W1373" s="138" t="str">
        <f>IF(W1290,SUM(M1373),"")</f>
        <v/>
      </c>
    </row>
    <row r="1374" spans="2:27" ht="12.75" customHeight="1" x14ac:dyDescent="0.2">
      <c r="B1374" s="224"/>
      <c r="C1374" s="977"/>
      <c r="D1374" s="695" t="s">
        <v>442</v>
      </c>
      <c r="E1374" s="1661" t="str">
        <f>Translations!$B$1617</f>
        <v>Nulles faktora biomasas emisijas</v>
      </c>
      <c r="F1374" s="1661"/>
      <c r="G1374" s="1661"/>
      <c r="H1374" s="554" t="str">
        <f>EUconst_tCO2pa</f>
        <v>t CO2 / gads</v>
      </c>
      <c r="I1374" s="340" t="str">
        <f>IF(ISNUMBER(I1373),3.664*I1369*(I1371/100)*(I1372/100),"")</f>
        <v/>
      </c>
      <c r="J1374" s="340" t="str">
        <f>IF(ISNUMBER(J1373),3.664*J1369*(J1371/100)*(J1372/100),"")</f>
        <v/>
      </c>
      <c r="K1374" s="340" t="str">
        <f>IF(ISNUMBER(K1373),3.664*K1369*(K1371/100)*(K1372/100),"")</f>
        <v/>
      </c>
      <c r="L1374" s="340" t="str">
        <f>IF(ISNUMBER(L1373),3.664*L1369*(L1371/100)*(L1372/100),"")</f>
        <v/>
      </c>
      <c r="M1374" s="340" t="str">
        <f>IF(ISNUMBER(M1373),3.664*M1369*(M1371/100)*(M1372/100),"")</f>
        <v/>
      </c>
      <c r="N1374" s="661"/>
      <c r="O1374" s="25"/>
      <c r="P1374" s="955"/>
      <c r="R1374" s="955"/>
    </row>
    <row r="1375" spans="2:27" ht="12.75" customHeight="1" x14ac:dyDescent="0.2">
      <c r="B1375" s="224"/>
      <c r="C1375" s="977"/>
      <c r="D1375" s="695" t="s">
        <v>443</v>
      </c>
      <c r="E1375" s="1659" t="str">
        <f>Translations!$B$749</f>
        <v>Enerģētiskais saturs (aprēķinātais)</v>
      </c>
      <c r="F1375" s="1659"/>
      <c r="G1375" s="1659"/>
      <c r="H1375" s="555" t="str">
        <f>EUconst_TJpa</f>
        <v>TJ / gads</v>
      </c>
      <c r="I1375" s="343" t="str">
        <f>IF(COUNT(I1369:I1370)=2,I1369*I1370/1000,"")</f>
        <v/>
      </c>
      <c r="J1375" s="343" t="str">
        <f>IF(COUNT(J1369:J1370)=2,J1369*J1370/1000,"")</f>
        <v/>
      </c>
      <c r="K1375" s="343" t="str">
        <f>IF(COUNT(K1369:K1370)=2,K1369*K1370/1000,"")</f>
        <v/>
      </c>
      <c r="L1375" s="343" t="str">
        <f>IF(COUNT(L1369:L1370)=2,L1369*L1370/1000,"")</f>
        <v/>
      </c>
      <c r="M1375" s="343" t="str">
        <f>IF(COUNT(M1369:M1370)=2,M1369*M1370/1000,"")</f>
        <v/>
      </c>
      <c r="N1375" s="661"/>
      <c r="O1375" s="25"/>
      <c r="P1375" s="955"/>
      <c r="R1375" s="955"/>
    </row>
    <row r="1376" spans="2:27" ht="12.75" customHeight="1" x14ac:dyDescent="0.2">
      <c r="B1376" s="224"/>
      <c r="C1376" s="977"/>
      <c r="D1376" s="695" t="s">
        <v>439</v>
      </c>
      <c r="E1376" s="1662" t="str">
        <f>Translations!$B$750</f>
        <v>Kļūdas ziņojumi (emisijas)</v>
      </c>
      <c r="F1376" s="1662"/>
      <c r="G1376" s="1662"/>
      <c r="H1376" s="556"/>
      <c r="I1376" s="662" t="str">
        <f>IF(COUNT(I1369,I1371:I1372)&gt;0,IF(COUNTIF(I1370:I1372,"&lt;0")&gt;0,EUconst_Negative,IF(COUNT(I1369,I1371:I1372)&lt;3,EUconst_Incomplete,"")),"")</f>
        <v/>
      </c>
      <c r="J1376" s="662" t="str">
        <f>IF(COUNT(J1369,J1371:J1372)&gt;0,IF(COUNTIF(J1370:J1372,"&lt;0")&gt;0,EUconst_Negative,IF(COUNT(J1369,J1371:J1372)&lt;3,EUconst_Incomplete,"")),"")</f>
        <v/>
      </c>
      <c r="K1376" s="662" t="str">
        <f>IF(COUNT(K1369,K1371:K1372)&gt;0,IF(COUNTIF(K1370:K1372,"&lt;0")&gt;0,EUconst_Negative,IF(COUNT(K1369,K1371:K1372)&lt;3,EUconst_Incomplete,"")),"")</f>
        <v/>
      </c>
      <c r="L1376" s="662" t="str">
        <f>IF(COUNT(L1369,L1371:L1372)&gt;0,IF(COUNTIF(L1370:L1372,"&lt;0")&gt;0,EUconst_Negative,IF(COUNT(L1369,L1371:L1372)&lt;3,EUconst_Incomplete,"")),"")</f>
        <v/>
      </c>
      <c r="M1376" s="662" t="str">
        <f>IF(COUNT(M1369,M1371:M1372)&gt;0,IF(COUNTIF(M1370:M1372,"&lt;0")&gt;0,EUconst_Negative,IF(COUNT(M1369,M1371:M1372)&lt;3,EUconst_Incomplete,"")),"")</f>
        <v/>
      </c>
      <c r="N1376" s="661"/>
      <c r="O1376" s="25"/>
      <c r="P1376" s="955"/>
      <c r="R1376" s="955"/>
    </row>
    <row r="1377" spans="2:24" ht="5.0999999999999996" customHeight="1" x14ac:dyDescent="0.2">
      <c r="B1377" s="224"/>
      <c r="C1377" s="977"/>
      <c r="D1377" s="978"/>
      <c r="E1377" s="978"/>
      <c r="F1377" s="978"/>
      <c r="G1377" s="978"/>
      <c r="H1377" s="978"/>
      <c r="I1377" s="978"/>
      <c r="J1377" s="978"/>
      <c r="K1377" s="978"/>
      <c r="L1377" s="978"/>
      <c r="M1377" s="980"/>
      <c r="N1377" s="661"/>
      <c r="O1377" s="25"/>
      <c r="P1377" s="955"/>
      <c r="R1377" s="955"/>
    </row>
    <row r="1378" spans="2:24" ht="12.75" customHeight="1" thickBot="1" x14ac:dyDescent="0.25">
      <c r="B1378" s="224"/>
      <c r="C1378" s="977"/>
      <c r="D1378" s="474" t="s">
        <v>211</v>
      </c>
      <c r="E1378" s="1654" t="str">
        <f>Translations!$B$753</f>
        <v>To SEG daudzums, kas importētas vai eksportētas kā ievadmateriāli</v>
      </c>
      <c r="F1378" s="1655"/>
      <c r="G1378" s="1655"/>
      <c r="H1378" s="1655"/>
      <c r="I1378" s="1655"/>
      <c r="J1378" s="1655"/>
      <c r="K1378" s="1655"/>
      <c r="L1378" s="1655"/>
      <c r="M1378" s="1655"/>
      <c r="N1378" s="1656"/>
      <c r="O1378" s="25"/>
      <c r="P1378" s="955"/>
      <c r="R1378" s="955"/>
    </row>
    <row r="1379" spans="2:24" ht="12.75" customHeight="1" x14ac:dyDescent="0.2">
      <c r="B1379" s="224"/>
      <c r="C1379" s="977"/>
      <c r="D1379" s="474"/>
      <c r="E1379" s="1653"/>
      <c r="F1379" s="1657"/>
      <c r="G1379" s="1657"/>
      <c r="H1379" s="462" t="str">
        <f>EUconst_Unit</f>
        <v>Vienība</v>
      </c>
      <c r="I1379" s="463">
        <f>I$1820</f>
        <v>2019</v>
      </c>
      <c r="J1379" s="463">
        <f>J$1820</f>
        <v>2020</v>
      </c>
      <c r="K1379" s="463">
        <f>K$1820</f>
        <v>2021</v>
      </c>
      <c r="L1379" s="463">
        <f>L$1820</f>
        <v>2022</v>
      </c>
      <c r="M1379" s="463">
        <f>M$1820</f>
        <v>2023</v>
      </c>
      <c r="N1379" s="661"/>
      <c r="O1379" s="25"/>
      <c r="P1379" s="955"/>
      <c r="R1379" s="970"/>
      <c r="S1379" s="809">
        <f>I1379</f>
        <v>2019</v>
      </c>
      <c r="T1379" s="809">
        <f>J1379</f>
        <v>2020</v>
      </c>
      <c r="U1379" s="809">
        <f>K1379</f>
        <v>2021</v>
      </c>
      <c r="V1379" s="809">
        <f>L1379</f>
        <v>2022</v>
      </c>
      <c r="W1379" s="810">
        <f>M1379</f>
        <v>2023</v>
      </c>
    </row>
    <row r="1380" spans="2:24" ht="12.75" customHeight="1" thickBot="1" x14ac:dyDescent="0.25">
      <c r="B1380" s="224"/>
      <c r="C1380" s="977"/>
      <c r="D1380" s="695"/>
      <c r="E1380" s="1651" t="str">
        <f>Translations!$B$756</f>
        <v>Importētās vai eksportētās SEG</v>
      </c>
      <c r="F1380" s="1652"/>
      <c r="G1380" s="1652"/>
      <c r="H1380" s="465" t="str">
        <f>EUconst_tCO2epa</f>
        <v>t CO2e/gads</v>
      </c>
      <c r="I1380" s="483"/>
      <c r="J1380" s="483"/>
      <c r="K1380" s="483"/>
      <c r="L1380" s="483"/>
      <c r="M1380" s="483"/>
      <c r="N1380" s="1205"/>
      <c r="O1380" s="25"/>
      <c r="P1380" s="979" t="str">
        <f>EUconst_CNTR_CO2Feedstock &amp; I1290</f>
        <v>EmCO2Feedstock_</v>
      </c>
      <c r="R1380" s="971" t="str">
        <f>EUconst_CNTR_AttributedEmissions &amp; I1290</f>
        <v>AttrEmissions_</v>
      </c>
      <c r="S1380" s="137" t="str">
        <f>IF(S1290,SUM(I1380),"")</f>
        <v/>
      </c>
      <c r="T1380" s="137" t="str">
        <f>IF(T1290,SUM(J1380),"")</f>
        <v/>
      </c>
      <c r="U1380" s="137" t="str">
        <f>IF(U1290,SUM(K1380),"")</f>
        <v/>
      </c>
      <c r="V1380" s="137" t="str">
        <f>IF(V1290,SUM(L1380),"")</f>
        <v/>
      </c>
      <c r="W1380" s="138" t="str">
        <f>IF(W1290,SUM(M1380),"")</f>
        <v/>
      </c>
    </row>
    <row r="1381" spans="2:24" ht="5.0999999999999996" customHeight="1" x14ac:dyDescent="0.2">
      <c r="B1381" s="224"/>
      <c r="C1381" s="977"/>
      <c r="D1381" s="978"/>
      <c r="E1381" s="978"/>
      <c r="F1381" s="978"/>
      <c r="G1381" s="978"/>
      <c r="H1381" s="978"/>
      <c r="I1381" s="978"/>
      <c r="J1381" s="978"/>
      <c r="K1381" s="978"/>
      <c r="L1381" s="978"/>
      <c r="M1381" s="980"/>
      <c r="N1381" s="661"/>
      <c r="O1381" s="25"/>
      <c r="P1381" s="955"/>
      <c r="R1381" s="955"/>
    </row>
    <row r="1382" spans="2:24" ht="12.75" customHeight="1" x14ac:dyDescent="0.2">
      <c r="B1382" s="224"/>
      <c r="C1382" s="977"/>
      <c r="D1382" s="474" t="s">
        <v>212</v>
      </c>
      <c r="E1382" s="1654" t="str">
        <f>Translations!$B$757</f>
        <v>Šajā apakšiekārtā importētais un no tās eksportētais izmērāmais siltums</v>
      </c>
      <c r="F1382" s="1655"/>
      <c r="G1382" s="1655"/>
      <c r="H1382" s="1655"/>
      <c r="I1382" s="1655"/>
      <c r="J1382" s="1655"/>
      <c r="K1382" s="1655"/>
      <c r="L1382" s="1655"/>
      <c r="M1382" s="1655"/>
      <c r="N1382" s="1656"/>
      <c r="O1382" s="25"/>
      <c r="P1382" s="955"/>
      <c r="R1382" s="955"/>
    </row>
    <row r="1383" spans="2:24" ht="12.75" customHeight="1" thickBot="1" x14ac:dyDescent="0.25">
      <c r="B1383" s="224"/>
      <c r="C1383" s="977"/>
      <c r="D1383" s="978"/>
      <c r="E1383" s="1628" t="str">
        <f>Translations!$B$762</f>
        <v>Lai uz siltuma ražošanu attiecinātu emisijas no koģenerācijas, jāizmanto koģenerācijas rīks šīs veidnes D. lapas III .sadaļā.</v>
      </c>
      <c r="F1383" s="1628"/>
      <c r="G1383" s="1628"/>
      <c r="H1383" s="1628"/>
      <c r="I1383" s="1628"/>
      <c r="J1383" s="1628"/>
      <c r="K1383" s="1628"/>
      <c r="L1383" s="1628"/>
      <c r="M1383" s="1628"/>
      <c r="N1383" s="1205"/>
      <c r="O1383" s="25"/>
      <c r="P1383" s="955"/>
    </row>
    <row r="1384" spans="2:24" ht="12.75" customHeight="1" x14ac:dyDescent="0.2">
      <c r="B1384" s="224"/>
      <c r="C1384" s="977"/>
      <c r="D1384" s="978"/>
      <c r="E1384" s="1653" t="str">
        <f>Translations!$B$763</f>
        <v>Kopējais importētais siltums</v>
      </c>
      <c r="F1384" s="1657"/>
      <c r="G1384" s="1657"/>
      <c r="H1384" s="462" t="str">
        <f>EUconst_Unit</f>
        <v>Vienība</v>
      </c>
      <c r="I1384" s="463">
        <f>I$1820</f>
        <v>2019</v>
      </c>
      <c r="J1384" s="463">
        <f>J$1820</f>
        <v>2020</v>
      </c>
      <c r="K1384" s="463">
        <f>K$1820</f>
        <v>2021</v>
      </c>
      <c r="L1384" s="463">
        <f>L$1820</f>
        <v>2022</v>
      </c>
      <c r="M1384" s="463">
        <f>M$1820</f>
        <v>2023</v>
      </c>
      <c r="N1384" s="1205"/>
      <c r="O1384" s="25"/>
      <c r="P1384" s="955"/>
      <c r="R1384" s="970"/>
      <c r="S1384" s="809">
        <f>I1384</f>
        <v>2019</v>
      </c>
      <c r="T1384" s="809">
        <f>J1384</f>
        <v>2020</v>
      </c>
      <c r="U1384" s="809">
        <f>K1384</f>
        <v>2021</v>
      </c>
      <c r="V1384" s="809">
        <f>L1384</f>
        <v>2022</v>
      </c>
      <c r="W1384" s="810">
        <f>M1384</f>
        <v>2023</v>
      </c>
    </row>
    <row r="1385" spans="2:24" ht="12.75" customHeight="1" x14ac:dyDescent="0.2">
      <c r="B1385" s="224"/>
      <c r="C1385" s="977"/>
      <c r="D1385" s="695" t="s">
        <v>2</v>
      </c>
      <c r="E1385" s="1651" t="str">
        <f>Translations!$B$764</f>
        <v>Neto importētais siltums</v>
      </c>
      <c r="F1385" s="1652"/>
      <c r="G1385" s="1652"/>
      <c r="H1385" s="465" t="str">
        <f>EUconst_TJpa</f>
        <v>TJ / gads</v>
      </c>
      <c r="I1385" s="483"/>
      <c r="J1385" s="483"/>
      <c r="K1385" s="483"/>
      <c r="L1385" s="483"/>
      <c r="M1385" s="483"/>
      <c r="N1385" s="698"/>
      <c r="O1385" s="25"/>
      <c r="P1385" s="979" t="str">
        <f>EUconst_CNTR_HeatImport &amp; I1290</f>
        <v>HeatIm_</v>
      </c>
      <c r="R1385" s="981" t="str">
        <f>EUconst_ERR_AttrEmBMapplied &amp; I1290</f>
        <v>ERR_AttrEmBM_ </v>
      </c>
      <c r="S1385" s="134">
        <f>IF(AND(I1385&lt;&gt;0,I1386="",EUconst_StatusOfDataCollection=""),1,0)</f>
        <v>0</v>
      </c>
      <c r="T1385" s="134">
        <f>IF(AND(J1385&lt;&gt;0,J1386="",EUconst_StatusOfDataCollection=""),1,0)</f>
        <v>0</v>
      </c>
      <c r="U1385" s="134">
        <f>IF(AND(K1385&lt;&gt;0,K1386="",EUconst_StatusOfDataCollection=""),1,0)</f>
        <v>0</v>
      </c>
      <c r="V1385" s="134">
        <f>IF(AND(L1385&lt;&gt;0,L1386="",EUconst_StatusOfDataCollection=""),1,0)</f>
        <v>0</v>
      </c>
      <c r="W1385" s="135">
        <f>IF(AND(M1385&lt;&gt;0,M1386="",EUconst_StatusOfDataCollection=""),1,0)</f>
        <v>0</v>
      </c>
      <c r="X1385" s="63"/>
    </row>
    <row r="1386" spans="2:24" ht="12.75" customHeight="1" thickBot="1" x14ac:dyDescent="0.25">
      <c r="B1386" s="224"/>
      <c r="C1386" s="977"/>
      <c r="D1386" s="695" t="s">
        <v>3</v>
      </c>
      <c r="E1386" s="1651" t="str">
        <f>Translations!$B$765</f>
        <v>Īpatnējais EF (importētais siltums)</v>
      </c>
      <c r="F1386" s="1652"/>
      <c r="G1386" s="1652"/>
      <c r="H1386" s="465" t="str">
        <f>EUconst_tCO2pTJ</f>
        <v>t CO2 / TJ</v>
      </c>
      <c r="I1386" s="760"/>
      <c r="J1386" s="760"/>
      <c r="K1386" s="760"/>
      <c r="L1386" s="760"/>
      <c r="M1386" s="760"/>
      <c r="N1386" s="661"/>
      <c r="O1386" s="25"/>
      <c r="P1386" s="979" t="str">
        <f>EUconst_CNTR_HeatImportEF &amp; I1290</f>
        <v>HeatImEF_</v>
      </c>
      <c r="R1386" s="971" t="str">
        <f>EUconst_CNTR_AttributedEmissions &amp; I1290</f>
        <v>AttrEmissions_</v>
      </c>
      <c r="S1386" s="137" t="str">
        <f>IF(S1290,SUM(I1385)*IF(ISNUMBER(I1386),I1386,EUconst_HeatBMvalueForBM),"")</f>
        <v/>
      </c>
      <c r="T1386" s="137" t="str">
        <f>IF(T1290,SUM(J1385)*IF(ISNUMBER(J1386),J1386,EUconst_HeatBMvalueForBM),"")</f>
        <v/>
      </c>
      <c r="U1386" s="137" t="str">
        <f>IF(U1290,SUM(K1385)*IF(ISNUMBER(K1386),K1386,EUconst_HeatBMvalueForBM),"")</f>
        <v/>
      </c>
      <c r="V1386" s="137" t="str">
        <f>IF(V1290,SUM(L1385)*IF(ISNUMBER(L1386),L1386,EUconst_HeatBMvalueForBM),"")</f>
        <v/>
      </c>
      <c r="W1386" s="138" t="str">
        <f>IF(W1290,SUM(M1385)*IF(ISNUMBER(M1386),M1386,EUconst_HeatBMvalueForBM),"")</f>
        <v/>
      </c>
    </row>
    <row r="1387" spans="2:24" ht="5.0999999999999996" customHeight="1" x14ac:dyDescent="0.2">
      <c r="B1387" s="224"/>
      <c r="C1387" s="977"/>
      <c r="D1387" s="978"/>
      <c r="E1387" s="978"/>
      <c r="F1387" s="978"/>
      <c r="G1387" s="978"/>
      <c r="H1387" s="978"/>
      <c r="I1387" s="978"/>
      <c r="J1387" s="978"/>
      <c r="K1387" s="978"/>
      <c r="L1387" s="978"/>
      <c r="M1387" s="980"/>
      <c r="N1387" s="661"/>
      <c r="O1387" s="25"/>
      <c r="P1387" s="955"/>
      <c r="R1387" s="955"/>
      <c r="S1387" s="955"/>
    </row>
    <row r="1388" spans="2:24" ht="12.75" customHeight="1" x14ac:dyDescent="0.2">
      <c r="B1388" s="224"/>
      <c r="C1388" s="977"/>
      <c r="D1388" s="978"/>
      <c r="E1388" s="1653" t="str">
        <f>Translations!$B$766</f>
        <v>Īpašs importētais siltums</v>
      </c>
      <c r="F1388" s="1653"/>
      <c r="G1388" s="1653"/>
      <c r="H1388" s="462" t="str">
        <f>EUconst_Unit</f>
        <v>Vienība</v>
      </c>
      <c r="I1388" s="463">
        <f>I$1820</f>
        <v>2019</v>
      </c>
      <c r="J1388" s="463">
        <f>J$1820</f>
        <v>2020</v>
      </c>
      <c r="K1388" s="463">
        <f>K$1820</f>
        <v>2021</v>
      </c>
      <c r="L1388" s="463">
        <f>L$1820</f>
        <v>2022</v>
      </c>
      <c r="M1388" s="463">
        <f>M$1820</f>
        <v>2023</v>
      </c>
      <c r="N1388" s="1205"/>
      <c r="O1388" s="25"/>
      <c r="P1388" s="955"/>
      <c r="R1388" s="955"/>
      <c r="S1388" s="955"/>
    </row>
    <row r="1389" spans="2:24" ht="12.75" customHeight="1" x14ac:dyDescent="0.2">
      <c r="B1389" s="224"/>
      <c r="C1389" s="977"/>
      <c r="D1389" s="695" t="s">
        <v>4</v>
      </c>
      <c r="E1389" s="1651" t="str">
        <f>Translations!$B$767</f>
        <v>No pulpas apakšiekārtām importētais neto siltums</v>
      </c>
      <c r="F1389" s="1652"/>
      <c r="G1389" s="1652"/>
      <c r="H1389" s="465" t="str">
        <f>EUconst_TJpa</f>
        <v>TJ / gads</v>
      </c>
      <c r="I1389" s="550"/>
      <c r="J1389" s="550"/>
      <c r="K1389" s="550"/>
      <c r="L1389" s="550"/>
      <c r="M1389" s="550"/>
      <c r="N1389" s="698"/>
      <c r="O1389" s="25"/>
      <c r="P1389" s="979" t="str">
        <f>EUconst_CNTR_HeatImportPulp &amp; I1290</f>
        <v>HeatImPulp_</v>
      </c>
      <c r="R1389" s="955"/>
      <c r="S1389" s="955"/>
    </row>
    <row r="1390" spans="2:24" ht="25.5" customHeight="1" x14ac:dyDescent="0.2">
      <c r="B1390" s="224"/>
      <c r="C1390" s="977"/>
      <c r="D1390" s="695" t="s">
        <v>6</v>
      </c>
      <c r="E1390" s="1651" t="str">
        <f>Translations!$B$768</f>
        <v>No slāpekļskābes apakšiekārtas importētais neto siltums</v>
      </c>
      <c r="F1390" s="1652"/>
      <c r="G1390" s="1652"/>
      <c r="H1390" s="465" t="str">
        <f>EUconst_TJpa</f>
        <v>TJ / gads</v>
      </c>
      <c r="I1390" s="483"/>
      <c r="J1390" s="483"/>
      <c r="K1390" s="483"/>
      <c r="L1390" s="483"/>
      <c r="M1390" s="483"/>
      <c r="N1390" s="698"/>
      <c r="O1390" s="25"/>
      <c r="P1390" s="979" t="str">
        <f>EUconst_CNTR_HeatImportNitric &amp; I1290</f>
        <v>HeatImNitric_</v>
      </c>
      <c r="R1390" s="955"/>
      <c r="S1390" s="955"/>
    </row>
    <row r="1391" spans="2:24" ht="5.0999999999999996" customHeight="1" thickBot="1" x14ac:dyDescent="0.25">
      <c r="B1391" s="224"/>
      <c r="C1391" s="977"/>
      <c r="D1391" s="978"/>
      <c r="E1391" s="978"/>
      <c r="F1391" s="978"/>
      <c r="G1391" s="978"/>
      <c r="H1391" s="978"/>
      <c r="I1391" s="978"/>
      <c r="J1391" s="978"/>
      <c r="K1391" s="978"/>
      <c r="L1391" s="978"/>
      <c r="M1391" s="980"/>
      <c r="N1391" s="661"/>
      <c r="O1391" s="25"/>
      <c r="P1391" s="955"/>
      <c r="R1391" s="955"/>
      <c r="S1391" s="955"/>
    </row>
    <row r="1392" spans="2:24" ht="12.75" customHeight="1" x14ac:dyDescent="0.2">
      <c r="B1392" s="224"/>
      <c r="C1392" s="977"/>
      <c r="D1392" s="978"/>
      <c r="E1392" s="1653" t="str">
        <f>Translations!$B$769</f>
        <v>Kopējais eksportētais siltums</v>
      </c>
      <c r="F1392" s="1653"/>
      <c r="G1392" s="1653"/>
      <c r="H1392" s="462" t="str">
        <f>EUconst_Unit</f>
        <v>Vienība</v>
      </c>
      <c r="I1392" s="463">
        <f>I$1820</f>
        <v>2019</v>
      </c>
      <c r="J1392" s="463">
        <f>J$1820</f>
        <v>2020</v>
      </c>
      <c r="K1392" s="463">
        <f>K$1820</f>
        <v>2021</v>
      </c>
      <c r="L1392" s="463">
        <f>L$1820</f>
        <v>2022</v>
      </c>
      <c r="M1392" s="463">
        <f>M$1820</f>
        <v>2023</v>
      </c>
      <c r="N1392" s="1205"/>
      <c r="O1392" s="25"/>
      <c r="P1392" s="955"/>
      <c r="R1392" s="970"/>
      <c r="S1392" s="809">
        <f>I1392</f>
        <v>2019</v>
      </c>
      <c r="T1392" s="809">
        <f>J1392</f>
        <v>2020</v>
      </c>
      <c r="U1392" s="809">
        <f>K1392</f>
        <v>2021</v>
      </c>
      <c r="V1392" s="809">
        <f>L1392</f>
        <v>2022</v>
      </c>
      <c r="W1392" s="810">
        <f>M1392</f>
        <v>2023</v>
      </c>
    </row>
    <row r="1393" spans="2:27" ht="12.75" customHeight="1" x14ac:dyDescent="0.2">
      <c r="B1393" s="224"/>
      <c r="C1393" s="977"/>
      <c r="D1393" s="695" t="s">
        <v>303</v>
      </c>
      <c r="E1393" s="1651" t="str">
        <f>Translations!$B$770</f>
        <v>Neto eksportētais siltums</v>
      </c>
      <c r="F1393" s="1652"/>
      <c r="G1393" s="1652"/>
      <c r="H1393" s="465" t="str">
        <f>EUconst_TJpa</f>
        <v>TJ / gads</v>
      </c>
      <c r="I1393" s="483"/>
      <c r="J1393" s="483"/>
      <c r="K1393" s="483"/>
      <c r="L1393" s="483"/>
      <c r="M1393" s="483"/>
      <c r="N1393" s="698"/>
      <c r="O1393" s="25"/>
      <c r="P1393" s="979" t="str">
        <f>EUconst_CNTR_HeatExport &amp; I1290</f>
        <v>HeatEx_</v>
      </c>
      <c r="R1393" s="981" t="str">
        <f>EUconst_ERR_AttrEmBMapplied &amp; I1290</f>
        <v>ERR_AttrEmBM_ </v>
      </c>
      <c r="S1393" s="134">
        <f>IF(AND(I1393&lt;&gt;0,I1394="",EUconst_StatusOfDataCollection=""),1,0)</f>
        <v>0</v>
      </c>
      <c r="T1393" s="134">
        <f>IF(AND(J1393&lt;&gt;0,J1394="",EUconst_StatusOfDataCollection=""),1,0)</f>
        <v>0</v>
      </c>
      <c r="U1393" s="134">
        <f>IF(AND(K1393&lt;&gt;0,K1394="",EUconst_StatusOfDataCollection=""),1,0)</f>
        <v>0</v>
      </c>
      <c r="V1393" s="134">
        <f>IF(AND(L1393&lt;&gt;0,L1394="",EUconst_StatusOfDataCollection=""),1,0)</f>
        <v>0</v>
      </c>
      <c r="W1393" s="135">
        <f>IF(AND(M1393&lt;&gt;0,M1394="",EUconst_StatusOfDataCollection=""),1,0)</f>
        <v>0</v>
      </c>
    </row>
    <row r="1394" spans="2:27" ht="12.75" customHeight="1" thickBot="1" x14ac:dyDescent="0.25">
      <c r="B1394" s="224"/>
      <c r="C1394" s="977"/>
      <c r="D1394" s="695" t="s">
        <v>304</v>
      </c>
      <c r="E1394" s="1651" t="str">
        <f>Translations!$B$771</f>
        <v>Īpatnējais EF (eksportētais siltums)</v>
      </c>
      <c r="F1394" s="1652"/>
      <c r="G1394" s="1652"/>
      <c r="H1394" s="465" t="str">
        <f>EUconst_tCO2pTJ</f>
        <v>t CO2 / TJ</v>
      </c>
      <c r="I1394" s="760"/>
      <c r="J1394" s="760"/>
      <c r="K1394" s="760"/>
      <c r="L1394" s="760"/>
      <c r="M1394" s="760"/>
      <c r="N1394" s="661"/>
      <c r="O1394" s="25"/>
      <c r="P1394" s="979" t="str">
        <f>EUconst_CNTR_HeatExportEF &amp; I1290</f>
        <v>HeatExEF_</v>
      </c>
      <c r="R1394" s="971" t="str">
        <f>EUconst_CNTR_AttributedEmissions &amp; I1290</f>
        <v>AttrEmissions_</v>
      </c>
      <c r="S1394" s="137" t="str">
        <f>IF(S1290,-SUM(I1393)*IF(INDEX(EUconst_BMlistMainNumberOfBM,MATCH($I1290,EUconst_BMlistNames,0))=39,0,IF(ISNUMBER(I1394),I1394,EUconst_HeatBMvalueForBM)),"")</f>
        <v/>
      </c>
      <c r="T1394" s="137" t="str">
        <f>IF(T1290,-SUM(J1393)*IF(INDEX(EUconst_BMlistMainNumberOfBM,MATCH($I1290,EUconst_BMlistNames,0))=39,0,IF(ISNUMBER(J1394),J1394,EUconst_HeatBMvalueForBM)),"")</f>
        <v/>
      </c>
      <c r="U1394" s="137" t="str">
        <f>IF(U1290,-SUM(K1393)*IF(INDEX(EUconst_BMlistMainNumberOfBM,MATCH($I1290,EUconst_BMlistNames,0))=39,0,IF(ISNUMBER(K1394),K1394,EUconst_HeatBMvalueForBM)),"")</f>
        <v/>
      </c>
      <c r="V1394" s="137" t="str">
        <f>IF(V1290,-SUM(L1393)*IF(INDEX(EUconst_BMlistMainNumberOfBM,MATCH($I1290,EUconst_BMlistNames,0))=39,0,IF(ISNUMBER(L1394),L1394,EUconst_HeatBMvalueForBM)),"")</f>
        <v/>
      </c>
      <c r="W1394" s="138" t="str">
        <f>IF(W1290,-SUM(M1393)*IF(INDEX(EUconst_BMlistMainNumberOfBM,MATCH($I1290,EUconst_BMlistNames,0))=39,0,IF(ISNUMBER(M1394),M1394,EUconst_HeatBMvalueForBM)),"")</f>
        <v/>
      </c>
    </row>
    <row r="1395" spans="2:27" ht="5.0999999999999996" customHeight="1" x14ac:dyDescent="0.2">
      <c r="B1395" s="224"/>
      <c r="C1395" s="977"/>
      <c r="D1395" s="978"/>
      <c r="E1395" s="978"/>
      <c r="F1395" s="978"/>
      <c r="G1395" s="978"/>
      <c r="H1395" s="978"/>
      <c r="I1395" s="978"/>
      <c r="J1395" s="978"/>
      <c r="K1395" s="978"/>
      <c r="L1395" s="978"/>
      <c r="M1395" s="980"/>
      <c r="N1395" s="661"/>
      <c r="O1395" s="25"/>
      <c r="P1395" s="955"/>
      <c r="R1395" s="955"/>
      <c r="S1395" s="955"/>
    </row>
    <row r="1396" spans="2:27" ht="12.75" customHeight="1" x14ac:dyDescent="0.2">
      <c r="B1396" s="224"/>
      <c r="C1396" s="977"/>
      <c r="D1396" s="474" t="s">
        <v>213</v>
      </c>
      <c r="E1396" s="1654" t="str">
        <f>Translations!$B$772</f>
        <v>Šīs apakšiekārtas atlikumgāzu bilance</v>
      </c>
      <c r="F1396" s="1655"/>
      <c r="G1396" s="1655"/>
      <c r="H1396" s="1655"/>
      <c r="I1396" s="1655"/>
      <c r="J1396" s="1655"/>
      <c r="K1396" s="1655"/>
      <c r="L1396" s="1655"/>
      <c r="M1396" s="1655"/>
      <c r="N1396" s="1656"/>
      <c r="O1396" s="25"/>
      <c r="P1396" s="955"/>
      <c r="R1396" s="955"/>
      <c r="S1396" s="955"/>
    </row>
    <row r="1397" spans="2:27" ht="5.0999999999999996" customHeight="1" thickBot="1" x14ac:dyDescent="0.25">
      <c r="B1397" s="224"/>
      <c r="C1397" s="977"/>
      <c r="D1397" s="978"/>
      <c r="E1397" s="1727"/>
      <c r="F1397" s="1727"/>
      <c r="G1397" s="1727"/>
      <c r="H1397" s="1727"/>
      <c r="I1397" s="1727"/>
      <c r="J1397" s="1727"/>
      <c r="K1397" s="1727"/>
      <c r="L1397" s="1727"/>
      <c r="M1397" s="1727"/>
      <c r="N1397" s="1734"/>
      <c r="O1397" s="25"/>
      <c r="P1397" s="955"/>
      <c r="R1397" s="955"/>
      <c r="S1397" s="955"/>
    </row>
    <row r="1398" spans="2:27" ht="12.75" customHeight="1" thickBot="1" x14ac:dyDescent="0.25">
      <c r="B1398" s="224"/>
      <c r="C1398" s="977"/>
      <c r="D1398" s="695" t="s">
        <v>2</v>
      </c>
      <c r="E1398" s="1735" t="str">
        <f>Translations!$B$773</f>
        <v>Vai atlikumgāzes ir šai apakšiekārtai relevantas?</v>
      </c>
      <c r="F1398" s="1735"/>
      <c r="G1398" s="1735"/>
      <c r="H1398" s="1735"/>
      <c r="I1398" s="1735"/>
      <c r="J1398" s="1735"/>
      <c r="K1398" s="1736"/>
      <c r="L1398" s="527"/>
      <c r="M1398" s="1202"/>
      <c r="N1398" s="1203"/>
      <c r="O1398" s="25"/>
      <c r="P1398" s="955"/>
      <c r="R1398" s="955"/>
      <c r="W1398" s="966" t="s">
        <v>398</v>
      </c>
      <c r="X1398" s="964" t="b">
        <f>IF(AND(I1290&lt;&gt;"",ISBLANK(L1398)),EUconst_Error&amp;"BM"&amp;C1290,FALSE)</f>
        <v>0</v>
      </c>
    </row>
    <row r="1399" spans="2:27" ht="5.0999999999999996" customHeight="1" thickBot="1" x14ac:dyDescent="0.25">
      <c r="B1399" s="224"/>
      <c r="C1399" s="977"/>
      <c r="D1399" s="978"/>
      <c r="E1399" s="978"/>
      <c r="F1399" s="978"/>
      <c r="G1399" s="978"/>
      <c r="H1399" s="978"/>
      <c r="I1399" s="978"/>
      <c r="J1399" s="978"/>
      <c r="K1399" s="978"/>
      <c r="L1399" s="978"/>
      <c r="M1399" s="980"/>
      <c r="N1399" s="661"/>
      <c r="O1399" s="25"/>
      <c r="P1399" s="955"/>
      <c r="R1399" s="955"/>
    </row>
    <row r="1400" spans="2:27" ht="12.75" customHeight="1" x14ac:dyDescent="0.2">
      <c r="B1400" s="224"/>
      <c r="C1400" s="977"/>
      <c r="D1400" s="695" t="s">
        <v>3</v>
      </c>
      <c r="E1400" s="1663" t="str">
        <f>Translations!$B$775</f>
        <v>Radušos atlikumgāzu veidi:</v>
      </c>
      <c r="F1400" s="1663"/>
      <c r="G1400" s="1663"/>
      <c r="H1400" s="1663"/>
      <c r="I1400" s="1664"/>
      <c r="J1400" s="1665"/>
      <c r="K1400" s="1665"/>
      <c r="L1400" s="1665"/>
      <c r="M1400" s="1666"/>
      <c r="N1400" s="1203"/>
      <c r="O1400" s="25"/>
      <c r="P1400" s="955"/>
      <c r="R1400" s="955"/>
      <c r="AA1400" s="643" t="b">
        <f>IF(I1290&lt;&gt;"",AND(L1398&lt;&gt;"",L1398=FALSE),FALSE)</f>
        <v>0</v>
      </c>
    </row>
    <row r="1401" spans="2:27" ht="5.0999999999999996" customHeight="1" x14ac:dyDescent="0.2">
      <c r="B1401" s="224"/>
      <c r="C1401" s="977"/>
      <c r="D1401" s="978"/>
      <c r="E1401" s="978"/>
      <c r="F1401" s="978"/>
      <c r="G1401" s="978"/>
      <c r="H1401" s="978"/>
      <c r="I1401" s="978"/>
      <c r="J1401" s="978"/>
      <c r="K1401" s="978"/>
      <c r="L1401" s="978"/>
      <c r="M1401" s="980"/>
      <c r="N1401" s="661"/>
      <c r="O1401" s="25"/>
      <c r="P1401" s="955"/>
      <c r="R1401" s="955"/>
    </row>
    <row r="1402" spans="2:27" ht="12.75" customHeight="1" x14ac:dyDescent="0.2">
      <c r="B1402" s="224"/>
      <c r="C1402" s="977"/>
      <c r="D1402" s="978"/>
      <c r="E1402" s="1653"/>
      <c r="F1402" s="1657"/>
      <c r="G1402" s="1657"/>
      <c r="H1402" s="462" t="str">
        <f>EUconst_Unit</f>
        <v>Vienība</v>
      </c>
      <c r="I1402" s="463">
        <f>I$1820</f>
        <v>2019</v>
      </c>
      <c r="J1402" s="463">
        <f>J$1820</f>
        <v>2020</v>
      </c>
      <c r="K1402" s="463">
        <f>K$1820</f>
        <v>2021</v>
      </c>
      <c r="L1402" s="463">
        <f>L$1820</f>
        <v>2022</v>
      </c>
      <c r="M1402" s="463">
        <f>M$1820</f>
        <v>2023</v>
      </c>
      <c r="N1402" s="1205"/>
      <c r="O1402" s="25"/>
      <c r="P1402" s="955"/>
      <c r="R1402" s="955"/>
      <c r="S1402" s="955"/>
      <c r="AA1402" s="607"/>
    </row>
    <row r="1403" spans="2:27" ht="12.75" customHeight="1" x14ac:dyDescent="0.2">
      <c r="B1403" s="224"/>
      <c r="C1403" s="977"/>
      <c r="D1403" s="695" t="s">
        <v>4</v>
      </c>
      <c r="E1403" s="1667" t="str">
        <f>Translations!$B$777</f>
        <v>Radušies daudzumi</v>
      </c>
      <c r="F1403" s="1660"/>
      <c r="G1403" s="1660"/>
      <c r="H1403" s="245" t="s">
        <v>249</v>
      </c>
      <c r="I1403" s="484"/>
      <c r="J1403" s="484"/>
      <c r="K1403" s="484"/>
      <c r="L1403" s="484"/>
      <c r="M1403" s="484"/>
      <c r="N1403" s="1205"/>
      <c r="O1403" s="25"/>
      <c r="P1403" s="955"/>
      <c r="R1403" s="955"/>
      <c r="S1403" s="955"/>
      <c r="AA1403" s="361" t="b">
        <f>AA1400</f>
        <v>0</v>
      </c>
    </row>
    <row r="1404" spans="2:27" ht="12.75" customHeight="1" x14ac:dyDescent="0.2">
      <c r="B1404" s="224"/>
      <c r="C1404" s="977"/>
      <c r="D1404" s="695" t="s">
        <v>6</v>
      </c>
      <c r="E1404" s="1737" t="str">
        <f>Translations!$B$470</f>
        <v>Zemākā siltumspēja</v>
      </c>
      <c r="F1404" s="1659"/>
      <c r="G1404" s="1659"/>
      <c r="H1404" s="74" t="e">
        <f>IF(ISBLANK(H1403),EUconst_GJperUnit,INDEX(EUconst_GJperTorKNm3,MATCH(H1403,EUconst_TonnesOrkNm3pa,0)))</f>
        <v>#N/A</v>
      </c>
      <c r="I1404" s="458"/>
      <c r="J1404" s="458"/>
      <c r="K1404" s="458"/>
      <c r="L1404" s="458"/>
      <c r="M1404" s="458"/>
      <c r="N1404" s="1205"/>
      <c r="O1404" s="25"/>
      <c r="R1404" s="955"/>
      <c r="S1404" s="955"/>
      <c r="T1404" s="955"/>
      <c r="U1404" s="955"/>
      <c r="V1404" s="955"/>
      <c r="W1404" s="955"/>
      <c r="AA1404" s="361" t="b">
        <f>AA1403</f>
        <v>0</v>
      </c>
    </row>
    <row r="1405" spans="2:27" ht="12.75" customHeight="1" x14ac:dyDescent="0.2">
      <c r="B1405" s="224"/>
      <c r="C1405" s="977"/>
      <c r="D1405" s="695" t="s">
        <v>303</v>
      </c>
      <c r="E1405" s="1651" t="str">
        <f>Translations!$B$778</f>
        <v>Radusies atlikumgāze</v>
      </c>
      <c r="F1405" s="1652"/>
      <c r="G1405" s="1652"/>
      <c r="H1405" s="465" t="str">
        <f>EUconst_TJpa</f>
        <v>TJ / gads</v>
      </c>
      <c r="I1405" s="523" t="str">
        <f>IF(COUNT(I1403:I1404)=2,I1403*I1404/1000,"")</f>
        <v/>
      </c>
      <c r="J1405" s="523" t="str">
        <f>IF(COUNT(J1403:J1404)=2,J1403*J1404/1000,"")</f>
        <v/>
      </c>
      <c r="K1405" s="523" t="str">
        <f>IF(COUNT(K1403:K1404)=2,K1403*K1404/1000,"")</f>
        <v/>
      </c>
      <c r="L1405" s="523" t="str">
        <f>IF(COUNT(L1403:L1404)=2,L1403*L1404/1000,"")</f>
        <v/>
      </c>
      <c r="M1405" s="523" t="str">
        <f>IF(COUNT(M1403:M1404)=2,M1403*M1404/1000,"")</f>
        <v/>
      </c>
      <c r="N1405" s="1205"/>
      <c r="O1405" s="25"/>
      <c r="P1405" s="979" t="str">
        <f>EUconst_CNTR_WGProduced &amp; I1290</f>
        <v>WasteGasProd_</v>
      </c>
      <c r="R1405" s="955"/>
      <c r="S1405" s="955"/>
      <c r="T1405" s="955"/>
      <c r="U1405" s="955"/>
      <c r="V1405" s="955"/>
      <c r="W1405" s="955"/>
      <c r="AA1405" s="607"/>
    </row>
    <row r="1406" spans="2:27" ht="12.75" customHeight="1" x14ac:dyDescent="0.2">
      <c r="B1406" s="224"/>
      <c r="C1406" s="977"/>
      <c r="D1406" s="695" t="s">
        <v>304</v>
      </c>
      <c r="E1406" s="1651" t="str">
        <f>Translations!$B$779</f>
        <v>Īpatnējais EF (radusies atlikumgāze)</v>
      </c>
      <c r="F1406" s="1652"/>
      <c r="G1406" s="1652"/>
      <c r="H1406" s="465" t="str">
        <f>EUconst_tCO2pTJ</f>
        <v>t CO2 / TJ</v>
      </c>
      <c r="I1406" s="483"/>
      <c r="J1406" s="483"/>
      <c r="K1406" s="483"/>
      <c r="L1406" s="483"/>
      <c r="M1406" s="483"/>
      <c r="N1406" s="661"/>
      <c r="O1406" s="25"/>
      <c r="P1406" s="979" t="str">
        <f>EUconst_CNTR_WGProducedEF &amp; I1290</f>
        <v>WasteGasProdEF_</v>
      </c>
      <c r="R1406" s="955"/>
      <c r="S1406" s="955"/>
      <c r="T1406" s="955"/>
      <c r="U1406" s="955"/>
      <c r="V1406" s="955"/>
      <c r="W1406" s="955"/>
      <c r="AA1406" s="361" t="b">
        <f>AA1404</f>
        <v>0</v>
      </c>
    </row>
    <row r="1407" spans="2:27" ht="5.0999999999999996" customHeight="1" x14ac:dyDescent="0.2">
      <c r="B1407" s="224"/>
      <c r="C1407" s="977"/>
      <c r="D1407" s="978"/>
      <c r="E1407" s="978"/>
      <c r="F1407" s="978"/>
      <c r="G1407" s="978"/>
      <c r="H1407" s="978"/>
      <c r="I1407" s="978"/>
      <c r="J1407" s="978"/>
      <c r="K1407" s="978"/>
      <c r="L1407" s="978"/>
      <c r="M1407" s="980"/>
      <c r="N1407" s="661"/>
      <c r="O1407" s="25"/>
      <c r="P1407" s="955"/>
      <c r="R1407" s="955"/>
      <c r="S1407" s="955"/>
      <c r="T1407" s="955"/>
      <c r="U1407" s="955"/>
      <c r="V1407" s="955"/>
      <c r="W1407" s="955"/>
      <c r="AA1407" s="607"/>
    </row>
    <row r="1408" spans="2:27" ht="12.75" customHeight="1" x14ac:dyDescent="0.2">
      <c r="B1408" s="224"/>
      <c r="C1408" s="977"/>
      <c r="D1408" s="695" t="s">
        <v>305</v>
      </c>
      <c r="E1408" s="1663" t="str">
        <f>Translations!$B$780</f>
        <v>Patērēto atlikumgāzu veidi:</v>
      </c>
      <c r="F1408" s="1663"/>
      <c r="G1408" s="1663"/>
      <c r="H1408" s="1663"/>
      <c r="I1408" s="1664"/>
      <c r="J1408" s="1665"/>
      <c r="K1408" s="1665"/>
      <c r="L1408" s="1665"/>
      <c r="M1408" s="1666"/>
      <c r="N1408" s="1203"/>
      <c r="O1408" s="25"/>
      <c r="P1408" s="955"/>
      <c r="R1408" s="955"/>
      <c r="S1408" s="955"/>
      <c r="T1408" s="955"/>
      <c r="U1408" s="955"/>
      <c r="V1408" s="955"/>
      <c r="W1408" s="955"/>
      <c r="AA1408" s="361" t="b">
        <f>AA1406</f>
        <v>0</v>
      </c>
    </row>
    <row r="1409" spans="2:27" ht="5.0999999999999996" customHeight="1" x14ac:dyDescent="0.2">
      <c r="B1409" s="224"/>
      <c r="C1409" s="977"/>
      <c r="D1409" s="978"/>
      <c r="E1409" s="978"/>
      <c r="F1409" s="978"/>
      <c r="G1409" s="978"/>
      <c r="H1409" s="978"/>
      <c r="I1409" s="978"/>
      <c r="J1409" s="978"/>
      <c r="K1409" s="978"/>
      <c r="L1409" s="978"/>
      <c r="M1409" s="980"/>
      <c r="N1409" s="661"/>
      <c r="O1409" s="25"/>
      <c r="P1409" s="955"/>
      <c r="R1409" s="955"/>
    </row>
    <row r="1410" spans="2:27" ht="12.75" customHeight="1" x14ac:dyDescent="0.2">
      <c r="B1410" s="224"/>
      <c r="C1410" s="977"/>
      <c r="D1410" s="978"/>
      <c r="E1410" s="1653"/>
      <c r="F1410" s="1657"/>
      <c r="G1410" s="1657"/>
      <c r="H1410" s="462" t="str">
        <f>EUconst_Unit</f>
        <v>Vienība</v>
      </c>
      <c r="I1410" s="463">
        <f>I$1820</f>
        <v>2019</v>
      </c>
      <c r="J1410" s="463">
        <f>J$1820</f>
        <v>2020</v>
      </c>
      <c r="K1410" s="463">
        <f>K$1820</f>
        <v>2021</v>
      </c>
      <c r="L1410" s="463">
        <f>L$1820</f>
        <v>2022</v>
      </c>
      <c r="M1410" s="463">
        <f>M$1820</f>
        <v>2023</v>
      </c>
      <c r="N1410" s="1205"/>
      <c r="O1410" s="25"/>
      <c r="P1410" s="955"/>
      <c r="R1410" s="955"/>
      <c r="S1410" s="955"/>
      <c r="T1410" s="955"/>
      <c r="U1410" s="955"/>
      <c r="V1410" s="955"/>
      <c r="W1410" s="955"/>
      <c r="AA1410" s="607"/>
    </row>
    <row r="1411" spans="2:27" ht="12.75" customHeight="1" x14ac:dyDescent="0.2">
      <c r="B1411" s="224"/>
      <c r="C1411" s="977"/>
      <c r="D1411" s="695" t="s">
        <v>306</v>
      </c>
      <c r="E1411" s="1667" t="str">
        <f>Translations!$B$782</f>
        <v>Patērētie daudzumi</v>
      </c>
      <c r="F1411" s="1660"/>
      <c r="G1411" s="1660"/>
      <c r="H1411" s="245" t="s">
        <v>249</v>
      </c>
      <c r="I1411" s="484"/>
      <c r="J1411" s="484"/>
      <c r="K1411" s="484"/>
      <c r="L1411" s="484"/>
      <c r="M1411" s="484"/>
      <c r="N1411" s="1205"/>
      <c r="O1411" s="25"/>
      <c r="P1411" s="955"/>
      <c r="R1411" s="955"/>
      <c r="S1411" s="955"/>
      <c r="T1411" s="955"/>
      <c r="U1411" s="955"/>
      <c r="V1411" s="955"/>
      <c r="W1411" s="955"/>
      <c r="AA1411" s="361" t="b">
        <f>AA1408</f>
        <v>0</v>
      </c>
    </row>
    <row r="1412" spans="2:27" ht="12.75" customHeight="1" x14ac:dyDescent="0.2">
      <c r="B1412" s="224"/>
      <c r="C1412" s="977"/>
      <c r="D1412" s="695" t="s">
        <v>307</v>
      </c>
      <c r="E1412" s="1737" t="str">
        <f>Translations!$B$470</f>
        <v>Zemākā siltumspēja</v>
      </c>
      <c r="F1412" s="1659"/>
      <c r="G1412" s="1659"/>
      <c r="H1412" s="74" t="e">
        <f>IF(ISBLANK(H1411),EUconst_GJperUnit,INDEX(EUconst_GJperTorKNm3,MATCH(H1411,EUconst_TonnesOrkNm3pa,0)))</f>
        <v>#N/A</v>
      </c>
      <c r="I1412" s="458"/>
      <c r="J1412" s="458"/>
      <c r="K1412" s="458"/>
      <c r="L1412" s="458"/>
      <c r="M1412" s="458"/>
      <c r="N1412" s="1205"/>
      <c r="O1412" s="25"/>
      <c r="R1412" s="955"/>
      <c r="S1412" s="955"/>
      <c r="T1412" s="955"/>
      <c r="U1412" s="955"/>
      <c r="V1412" s="955"/>
      <c r="W1412" s="955"/>
      <c r="AA1412" s="361" t="b">
        <f>AA1411</f>
        <v>0</v>
      </c>
    </row>
    <row r="1413" spans="2:27" ht="12.75" customHeight="1" x14ac:dyDescent="0.2">
      <c r="B1413" s="224"/>
      <c r="C1413" s="977"/>
      <c r="D1413" s="695" t="s">
        <v>15</v>
      </c>
      <c r="E1413" s="1651" t="str">
        <f>Translations!$B$783</f>
        <v>Patērētā atlikumgāze</v>
      </c>
      <c r="F1413" s="1652"/>
      <c r="G1413" s="1652"/>
      <c r="H1413" s="465" t="str">
        <f>EUconst_TJpa</f>
        <v>TJ / gads</v>
      </c>
      <c r="I1413" s="523" t="str">
        <f>IF(COUNT(I1411:I1412)=2,I1411*I1412/1000,"")</f>
        <v/>
      </c>
      <c r="J1413" s="523" t="str">
        <f>IF(COUNT(J1411:J1412)=2,J1411*J1412/1000,"")</f>
        <v/>
      </c>
      <c r="K1413" s="523" t="str">
        <f>IF(COUNT(K1411:K1412)=2,K1411*K1412/1000,"")</f>
        <v/>
      </c>
      <c r="L1413" s="523" t="str">
        <f>IF(COUNT(L1411:L1412)=2,L1411*L1412/1000,"")</f>
        <v/>
      </c>
      <c r="M1413" s="523" t="str">
        <f>IF(COUNT(M1411:M1412)=2,M1411*M1412/1000,"")</f>
        <v/>
      </c>
      <c r="N1413" s="1205"/>
      <c r="O1413" s="25"/>
      <c r="P1413" s="979" t="str">
        <f>EUconst_CNTR_WGConsumed &amp; I1290</f>
        <v>WasteGasCons_</v>
      </c>
      <c r="R1413" s="955"/>
      <c r="S1413" s="955"/>
      <c r="T1413" s="955"/>
      <c r="U1413" s="955"/>
      <c r="V1413" s="955"/>
      <c r="W1413" s="955"/>
      <c r="AA1413" s="607"/>
    </row>
    <row r="1414" spans="2:27" ht="12.75" customHeight="1" x14ac:dyDescent="0.2">
      <c r="B1414" s="224"/>
      <c r="C1414" s="977"/>
      <c r="D1414" s="695" t="s">
        <v>16</v>
      </c>
      <c r="E1414" s="1651" t="str">
        <f>Translations!$B$784</f>
        <v>Īpatnējais EF (patērētā atlikumgāze)</v>
      </c>
      <c r="F1414" s="1652"/>
      <c r="G1414" s="1652"/>
      <c r="H1414" s="465" t="str">
        <f>EUconst_tCO2pTJ</f>
        <v>t CO2 / TJ</v>
      </c>
      <c r="I1414" s="483"/>
      <c r="J1414" s="483"/>
      <c r="K1414" s="483"/>
      <c r="L1414" s="483"/>
      <c r="M1414" s="483"/>
      <c r="N1414" s="661"/>
      <c r="O1414" s="25"/>
      <c r="P1414" s="979" t="str">
        <f>EUconst_CNTR_WGConsumedEF &amp; I1290</f>
        <v>WasteGasConsEF_</v>
      </c>
      <c r="R1414" s="955"/>
      <c r="S1414" s="955"/>
      <c r="T1414" s="955"/>
      <c r="U1414" s="955"/>
      <c r="V1414" s="955"/>
      <c r="W1414" s="955"/>
      <c r="AA1414" s="361" t="b">
        <f>AA1412</f>
        <v>0</v>
      </c>
    </row>
    <row r="1415" spans="2:27" ht="5.0999999999999996" customHeight="1" x14ac:dyDescent="0.2">
      <c r="B1415" s="224"/>
      <c r="C1415" s="977"/>
      <c r="D1415" s="978"/>
      <c r="E1415" s="978"/>
      <c r="F1415" s="978"/>
      <c r="G1415" s="978"/>
      <c r="H1415" s="978"/>
      <c r="I1415" s="978"/>
      <c r="J1415" s="978"/>
      <c r="K1415" s="978"/>
      <c r="L1415" s="978"/>
      <c r="M1415" s="980"/>
      <c r="N1415" s="661"/>
      <c r="O1415" s="25"/>
      <c r="P1415" s="955"/>
      <c r="R1415" s="955"/>
      <c r="S1415" s="955"/>
      <c r="AA1415" s="607"/>
    </row>
    <row r="1416" spans="2:27" ht="12.75" customHeight="1" x14ac:dyDescent="0.2">
      <c r="B1416" s="224"/>
      <c r="C1416" s="977"/>
      <c r="D1416" s="695" t="s">
        <v>17</v>
      </c>
      <c r="E1416" s="1663" t="str">
        <f>Translations!$B$785</f>
        <v>Lāpā sadedzināto atlikumgāzu veidi:</v>
      </c>
      <c r="F1416" s="1663"/>
      <c r="G1416" s="1663"/>
      <c r="H1416" s="1663"/>
      <c r="I1416" s="1664"/>
      <c r="J1416" s="1665"/>
      <c r="K1416" s="1665"/>
      <c r="L1416" s="1665"/>
      <c r="M1416" s="1666"/>
      <c r="N1416" s="1203"/>
      <c r="O1416" s="25"/>
      <c r="P1416" s="955"/>
      <c r="R1416" s="955"/>
      <c r="AA1416" s="361" t="b">
        <f>AA1406</f>
        <v>0</v>
      </c>
    </row>
    <row r="1417" spans="2:27" ht="5.0999999999999996" customHeight="1" x14ac:dyDescent="0.2">
      <c r="B1417" s="224"/>
      <c r="C1417" s="977"/>
      <c r="D1417" s="978"/>
      <c r="E1417" s="978"/>
      <c r="F1417" s="978"/>
      <c r="G1417" s="978"/>
      <c r="H1417" s="978"/>
      <c r="I1417" s="978"/>
      <c r="J1417" s="978"/>
      <c r="K1417" s="978"/>
      <c r="L1417" s="978"/>
      <c r="M1417" s="980"/>
      <c r="N1417" s="661"/>
      <c r="O1417" s="25"/>
      <c r="P1417" s="955"/>
      <c r="R1417" s="955"/>
    </row>
    <row r="1418" spans="2:27" ht="12.75" customHeight="1" x14ac:dyDescent="0.2">
      <c r="B1418" s="224"/>
      <c r="C1418" s="977"/>
      <c r="D1418" s="978"/>
      <c r="E1418" s="1653"/>
      <c r="F1418" s="1657"/>
      <c r="G1418" s="1657"/>
      <c r="H1418" s="462" t="str">
        <f>EUconst_Unit</f>
        <v>Vienība</v>
      </c>
      <c r="I1418" s="463">
        <f>I$1820</f>
        <v>2019</v>
      </c>
      <c r="J1418" s="463">
        <f>J$1820</f>
        <v>2020</v>
      </c>
      <c r="K1418" s="463">
        <f>K$1820</f>
        <v>2021</v>
      </c>
      <c r="L1418" s="463">
        <f>L$1820</f>
        <v>2022</v>
      </c>
      <c r="M1418" s="463">
        <f>M$1820</f>
        <v>2023</v>
      </c>
      <c r="N1418" s="1205"/>
      <c r="O1418" s="25"/>
      <c r="P1418" s="955"/>
      <c r="AA1418" s="607"/>
    </row>
    <row r="1419" spans="2:27" ht="12.75" customHeight="1" thickBot="1" x14ac:dyDescent="0.25">
      <c r="B1419" s="224"/>
      <c r="C1419" s="977"/>
      <c r="D1419" s="695" t="s">
        <v>438</v>
      </c>
      <c r="E1419" s="1667" t="str">
        <f>Translations!$B$789</f>
        <v>Lāpā sadedzinātie daudzumi</v>
      </c>
      <c r="F1419" s="1660"/>
      <c r="G1419" s="1660"/>
      <c r="H1419" s="245" t="s">
        <v>249</v>
      </c>
      <c r="I1419" s="484"/>
      <c r="J1419" s="484"/>
      <c r="K1419" s="484"/>
      <c r="L1419" s="484"/>
      <c r="M1419" s="484"/>
      <c r="N1419" s="1205"/>
      <c r="O1419" s="25"/>
      <c r="P1419" s="955"/>
      <c r="R1419" s="955" t="s">
        <v>525</v>
      </c>
      <c r="AA1419" s="361" t="b">
        <f>AA1416</f>
        <v>0</v>
      </c>
    </row>
    <row r="1420" spans="2:27" ht="12.75" customHeight="1" thickBot="1" x14ac:dyDescent="0.25">
      <c r="B1420" s="224"/>
      <c r="C1420" s="977"/>
      <c r="D1420" s="695" t="s">
        <v>439</v>
      </c>
      <c r="E1420" s="1737" t="str">
        <f>Translations!$B$470</f>
        <v>Zemākā siltumspēja</v>
      </c>
      <c r="F1420" s="1659"/>
      <c r="G1420" s="1659"/>
      <c r="H1420" s="74" t="e">
        <f>IF(ISBLANK(H1419),EUconst_GJperUnit,INDEX(EUconst_GJperTorKNm3,MATCH(H1419,EUconst_TonnesOrkNm3pa,0)))</f>
        <v>#N/A</v>
      </c>
      <c r="I1420" s="458"/>
      <c r="J1420" s="458"/>
      <c r="K1420" s="458"/>
      <c r="L1420" s="458"/>
      <c r="M1420" s="458"/>
      <c r="N1420" s="1205"/>
      <c r="O1420" s="25"/>
      <c r="R1420" s="708" t="s">
        <v>421</v>
      </c>
      <c r="S1420" s="705">
        <f>I1418</f>
        <v>2019</v>
      </c>
      <c r="T1420" s="706">
        <f>J1418</f>
        <v>2020</v>
      </c>
      <c r="U1420" s="706">
        <f>K1418</f>
        <v>2021</v>
      </c>
      <c r="V1420" s="706">
        <f>L1418</f>
        <v>2022</v>
      </c>
      <c r="W1420" s="707">
        <f>M1418</f>
        <v>2023</v>
      </c>
      <c r="AA1420" s="361" t="b">
        <f>AA1419</f>
        <v>0</v>
      </c>
    </row>
    <row r="1421" spans="2:27" ht="12.75" customHeight="1" thickBot="1" x14ac:dyDescent="0.25">
      <c r="B1421" s="224"/>
      <c r="C1421" s="977"/>
      <c r="D1421" s="695" t="s">
        <v>440</v>
      </c>
      <c r="E1421" s="1651" t="str">
        <f>Translations!$B$790</f>
        <v>Lāpā sadedzinātā atlikumgāze</v>
      </c>
      <c r="F1421" s="1652"/>
      <c r="G1421" s="1652"/>
      <c r="H1421" s="465" t="str">
        <f>EUconst_TJpa</f>
        <v>TJ / gads</v>
      </c>
      <c r="I1421" s="523" t="str">
        <f>IF(COUNT(I1419:I1420)=2,I1419*I1420/1000,"")</f>
        <v/>
      </c>
      <c r="J1421" s="523" t="str">
        <f>IF(COUNT(J1419:J1420)=2,J1419*J1420/1000,"")</f>
        <v/>
      </c>
      <c r="K1421" s="523" t="str">
        <f>IF(COUNT(K1419:K1420)=2,K1419*K1420/1000,"")</f>
        <v/>
      </c>
      <c r="L1421" s="523" t="str">
        <f>IF(COUNT(L1419:L1420)=2,L1419*L1420/1000,"")</f>
        <v/>
      </c>
      <c r="M1421" s="523" t="str">
        <f>IF(COUNT(M1419:M1420)=2,M1419*M1420/1000,"")</f>
        <v/>
      </c>
      <c r="N1421" s="1205"/>
      <c r="O1421" s="25"/>
      <c r="P1421" s="979" t="str">
        <f>EUconst_CNTR_WGFlared &amp; I1290</f>
        <v>WasteGasFlare_</v>
      </c>
      <c r="R1421" s="363" t="str">
        <f>IF(COUNT(S1421:W1421)&gt;0,AVERAGE(S1421:W1421),"")</f>
        <v/>
      </c>
      <c r="S1421" s="454" t="str">
        <f>IF(S1290,IF(ISNUMBER(I1421),I1421,0),"")</f>
        <v/>
      </c>
      <c r="T1421" s="455" t="str">
        <f>IF(T1290,IF(ISNUMBER(J1421),J1421,0),"")</f>
        <v/>
      </c>
      <c r="U1421" s="455" t="str">
        <f>IF(U1290,IF(ISNUMBER(K1421),K1421,0),"")</f>
        <v/>
      </c>
      <c r="V1421" s="455" t="str">
        <f>IF(V1290,IF(ISNUMBER(L1421),L1421,0),"")</f>
        <v/>
      </c>
      <c r="W1421" s="456" t="str">
        <f>IF(W1290,IF(ISNUMBER(M1421),M1421,0),"")</f>
        <v/>
      </c>
      <c r="AA1421" s="607"/>
    </row>
    <row r="1422" spans="2:27" ht="12.75" customHeight="1" thickBot="1" x14ac:dyDescent="0.25">
      <c r="B1422" s="224"/>
      <c r="C1422" s="977"/>
      <c r="D1422" s="695" t="s">
        <v>441</v>
      </c>
      <c r="E1422" s="1651" t="str">
        <f>Translations!$B$791</f>
        <v>Īpatnējais EF (lāpā sadedzinātā atlikumgāze)</v>
      </c>
      <c r="F1422" s="1652"/>
      <c r="G1422" s="1652"/>
      <c r="H1422" s="465" t="str">
        <f>EUconst_tCO2pTJ</f>
        <v>t CO2 / TJ</v>
      </c>
      <c r="I1422" s="483"/>
      <c r="J1422" s="483"/>
      <c r="K1422" s="483"/>
      <c r="L1422" s="483"/>
      <c r="M1422" s="483"/>
      <c r="N1422" s="661"/>
      <c r="O1422" s="25"/>
      <c r="P1422" s="979" t="str">
        <f>EUconst_CNTR_WGFlaredEF &amp; I1290</f>
        <v>WasteGasFlareEF_</v>
      </c>
      <c r="R1422" s="843" t="str">
        <f>IF(COUNT(S1422:W1422)&gt;0,AVERAGE(S1422:W1422),"")</f>
        <v/>
      </c>
      <c r="S1422" s="454" t="str">
        <f>IF(S1290,SUM(I1421)*SUM(I1422),"")</f>
        <v/>
      </c>
      <c r="T1422" s="455" t="str">
        <f>IF(T1290,SUM(J1421)*SUM(J1422),"")</f>
        <v/>
      </c>
      <c r="U1422" s="455" t="str">
        <f>IF(U1290,SUM(K1421)*SUM(K1422),"")</f>
        <v/>
      </c>
      <c r="V1422" s="455" t="str">
        <f>IF(V1290,SUM(L1421)*SUM(L1422),"")</f>
        <v/>
      </c>
      <c r="W1422" s="456" t="str">
        <f>IF(W1290,SUM(M1421)*SUM(M1422),"")</f>
        <v/>
      </c>
      <c r="AA1422" s="361" t="b">
        <f>AA1420</f>
        <v>0</v>
      </c>
    </row>
    <row r="1423" spans="2:27" ht="5.0999999999999996" customHeight="1" x14ac:dyDescent="0.2">
      <c r="B1423" s="224"/>
      <c r="C1423" s="977"/>
      <c r="D1423" s="978"/>
      <c r="E1423" s="978"/>
      <c r="F1423" s="978"/>
      <c r="G1423" s="978"/>
      <c r="H1423" s="978"/>
      <c r="I1423" s="978"/>
      <c r="J1423" s="978"/>
      <c r="K1423" s="978"/>
      <c r="L1423" s="978"/>
      <c r="M1423" s="980"/>
      <c r="N1423" s="661"/>
      <c r="O1423" s="25"/>
      <c r="P1423" s="955"/>
      <c r="R1423" s="955"/>
      <c r="S1423" s="955"/>
      <c r="AA1423" s="607"/>
    </row>
    <row r="1424" spans="2:27" ht="12.75" customHeight="1" x14ac:dyDescent="0.2">
      <c r="B1424" s="224"/>
      <c r="C1424" s="977"/>
      <c r="D1424" s="695" t="s">
        <v>442</v>
      </c>
      <c r="E1424" s="1663" t="str">
        <f>Translations!$B$792</f>
        <v>Importēto atlikumgāzu veidi:</v>
      </c>
      <c r="F1424" s="1663"/>
      <c r="G1424" s="1663"/>
      <c r="H1424" s="1663"/>
      <c r="I1424" s="1664"/>
      <c r="J1424" s="1665"/>
      <c r="K1424" s="1665"/>
      <c r="L1424" s="1665"/>
      <c r="M1424" s="1666"/>
      <c r="N1424" s="661"/>
      <c r="O1424" s="25"/>
      <c r="P1424" s="955"/>
      <c r="R1424" s="955"/>
      <c r="AA1424" s="361" t="b">
        <f>AA1404</f>
        <v>0</v>
      </c>
    </row>
    <row r="1425" spans="1:27" ht="5.0999999999999996" customHeight="1" x14ac:dyDescent="0.2">
      <c r="B1425" s="224"/>
      <c r="C1425" s="977"/>
      <c r="D1425" s="978"/>
      <c r="E1425" s="978"/>
      <c r="F1425" s="978"/>
      <c r="G1425" s="978"/>
      <c r="H1425" s="978"/>
      <c r="I1425" s="978"/>
      <c r="J1425" s="978"/>
      <c r="K1425" s="978"/>
      <c r="L1425" s="978"/>
      <c r="M1425" s="980"/>
      <c r="N1425" s="661"/>
      <c r="O1425" s="25"/>
      <c r="P1425" s="955"/>
      <c r="R1425" s="955"/>
    </row>
    <row r="1426" spans="1:27" ht="12.75" customHeight="1" x14ac:dyDescent="0.2">
      <c r="B1426" s="224"/>
      <c r="C1426" s="977"/>
      <c r="D1426" s="978"/>
      <c r="E1426" s="1653"/>
      <c r="F1426" s="1657"/>
      <c r="G1426" s="1657"/>
      <c r="H1426" s="462" t="str">
        <f>EUconst_Unit</f>
        <v>Vienība</v>
      </c>
      <c r="I1426" s="463">
        <f>I$1820</f>
        <v>2019</v>
      </c>
      <c r="J1426" s="463">
        <f>J$1820</f>
        <v>2020</v>
      </c>
      <c r="K1426" s="463">
        <f>K$1820</f>
        <v>2021</v>
      </c>
      <c r="L1426" s="463">
        <f>L$1820</f>
        <v>2022</v>
      </c>
      <c r="M1426" s="463">
        <f>M$1820</f>
        <v>2023</v>
      </c>
      <c r="N1426" s="1205"/>
      <c r="O1426" s="25"/>
      <c r="P1426" s="955"/>
      <c r="R1426" s="955"/>
      <c r="S1426" s="955"/>
      <c r="AA1426" s="607"/>
    </row>
    <row r="1427" spans="1:27" ht="12.75" customHeight="1" thickBot="1" x14ac:dyDescent="0.25">
      <c r="B1427" s="224"/>
      <c r="C1427" s="977"/>
      <c r="D1427" s="695" t="s">
        <v>443</v>
      </c>
      <c r="E1427" s="1667" t="str">
        <f>Translations!$B$795</f>
        <v>Importētie daudzumi</v>
      </c>
      <c r="F1427" s="1660"/>
      <c r="G1427" s="1660"/>
      <c r="H1427" s="245" t="s">
        <v>249</v>
      </c>
      <c r="I1427" s="484"/>
      <c r="J1427" s="484"/>
      <c r="K1427" s="484"/>
      <c r="L1427" s="484"/>
      <c r="M1427" s="484"/>
      <c r="N1427" s="1205"/>
      <c r="O1427" s="25"/>
      <c r="P1427" s="955"/>
      <c r="R1427" s="955"/>
      <c r="S1427" s="955"/>
      <c r="AA1427" s="361" t="b">
        <f>AA1424</f>
        <v>0</v>
      </c>
    </row>
    <row r="1428" spans="1:27" ht="12.75" customHeight="1" x14ac:dyDescent="0.2">
      <c r="B1428" s="224"/>
      <c r="C1428" s="977"/>
      <c r="D1428" s="695" t="s">
        <v>444</v>
      </c>
      <c r="E1428" s="1737" t="str">
        <f>Translations!$B$470</f>
        <v>Zemākā siltumspēja</v>
      </c>
      <c r="F1428" s="1659"/>
      <c r="G1428" s="1659"/>
      <c r="H1428" s="74" t="e">
        <f>IF(ISBLANK(H1427),EUconst_GJperUnit,INDEX(EUconst_GJperTorKNm3,MATCH(H1427,EUconst_TonnesOrkNm3pa,0)))</f>
        <v>#N/A</v>
      </c>
      <c r="I1428" s="458"/>
      <c r="J1428" s="458"/>
      <c r="K1428" s="458"/>
      <c r="L1428" s="458"/>
      <c r="M1428" s="458"/>
      <c r="N1428" s="1205"/>
      <c r="O1428" s="25"/>
      <c r="P1428" s="982"/>
      <c r="R1428" s="970"/>
      <c r="S1428" s="809">
        <f>I1426</f>
        <v>2019</v>
      </c>
      <c r="T1428" s="809">
        <f>J1426</f>
        <v>2020</v>
      </c>
      <c r="U1428" s="809">
        <f>K1426</f>
        <v>2021</v>
      </c>
      <c r="V1428" s="809">
        <f>L1426</f>
        <v>2022</v>
      </c>
      <c r="W1428" s="810">
        <f>M1426</f>
        <v>2023</v>
      </c>
      <c r="AA1428" s="361" t="b">
        <f>AA1427</f>
        <v>0</v>
      </c>
    </row>
    <row r="1429" spans="1:27" ht="12.75" customHeight="1" x14ac:dyDescent="0.2">
      <c r="B1429" s="224"/>
      <c r="C1429" s="977"/>
      <c r="D1429" s="695" t="s">
        <v>445</v>
      </c>
      <c r="E1429" s="1651" t="str">
        <f>Translations!$B$796</f>
        <v>Importētā atlikumgāze</v>
      </c>
      <c r="F1429" s="1652"/>
      <c r="G1429" s="1652"/>
      <c r="H1429" s="465" t="str">
        <f>EUconst_TJpa</f>
        <v>TJ / gads</v>
      </c>
      <c r="I1429" s="448" t="str">
        <f>IF(COUNT(I1427:I1428)=2,I1427*I1428/1000,"")</f>
        <v/>
      </c>
      <c r="J1429" s="448" t="str">
        <f>IF(COUNT(J1427:J1428)=2,J1427*J1428/1000,"")</f>
        <v/>
      </c>
      <c r="K1429" s="448" t="str">
        <f>IF(COUNT(K1427:K1428)=2,K1427*K1428/1000,"")</f>
        <v/>
      </c>
      <c r="L1429" s="448" t="str">
        <f>IF(COUNT(L1427:L1428)=2,L1427*L1428/1000,"")</f>
        <v/>
      </c>
      <c r="M1429" s="448" t="str">
        <f>IF(COUNT(M1427:M1428)=2,M1427*M1428/1000,"")</f>
        <v/>
      </c>
      <c r="N1429" s="1205"/>
      <c r="O1429" s="25"/>
      <c r="P1429" s="979" t="str">
        <f>EUconst_CNTR_WGImport &amp; I1290</f>
        <v>WasteGasIm_</v>
      </c>
      <c r="R1429" s="981" t="str">
        <f>EUconst_ERR_AttrEmBMapplied &amp; I1290</f>
        <v>ERR_AttrEmBM_ </v>
      </c>
      <c r="S1429" s="134">
        <f>IF(AND(I1429&lt;&gt;"",EUconst_StatusOfDataCollection=""),1,0)</f>
        <v>0</v>
      </c>
      <c r="T1429" s="134">
        <f>IF(AND(J1429&lt;&gt;"",EUconst_StatusOfDataCollection=""),1,0)</f>
        <v>0</v>
      </c>
      <c r="U1429" s="134">
        <f>IF(AND(K1429&lt;&gt;"",EUconst_StatusOfDataCollection=""),1,0)</f>
        <v>0</v>
      </c>
      <c r="V1429" s="134">
        <f>IF(AND(L1429&lt;&gt;"",EUconst_StatusOfDataCollection=""),1,0)</f>
        <v>0</v>
      </c>
      <c r="W1429" s="135">
        <f>IF(AND(M1429&lt;&gt;"",EUconst_StatusOfDataCollection=""),1,0)</f>
        <v>0</v>
      </c>
      <c r="AA1429" s="607"/>
    </row>
    <row r="1430" spans="1:27" s="697" customFormat="1" ht="12.75" customHeight="1" thickBot="1" x14ac:dyDescent="0.25">
      <c r="A1430" s="437"/>
      <c r="B1430" s="224"/>
      <c r="C1430" s="977"/>
      <c r="D1430" s="695" t="s">
        <v>446</v>
      </c>
      <c r="E1430" s="1651" t="str">
        <f>Translations!$B$797</f>
        <v>Īpatnējais EF (importētā atlikumgāze)</v>
      </c>
      <c r="F1430" s="1651"/>
      <c r="G1430" s="1651"/>
      <c r="H1430" s="464" t="str">
        <f>EUconst_tCO2pTJ</f>
        <v>t CO2 / TJ</v>
      </c>
      <c r="I1430" s="761"/>
      <c r="J1430" s="761"/>
      <c r="K1430" s="761"/>
      <c r="L1430" s="761"/>
      <c r="M1430" s="761"/>
      <c r="N1430" s="661"/>
      <c r="O1430" s="25"/>
      <c r="P1430" s="979" t="str">
        <f>EUconst_CNTR_WGImportEF &amp; I1290</f>
        <v>WasteGasImEF_</v>
      </c>
      <c r="Q1430" s="437"/>
      <c r="R1430" s="971" t="str">
        <f>EUconst_CNTR_AttributedEmissions &amp; I1290</f>
        <v>AttrEmissions_</v>
      </c>
      <c r="S1430" s="137" t="str">
        <f>IF(S1290,SUM(I1429)*EUconst_FuelBMvalueForBM,"")</f>
        <v/>
      </c>
      <c r="T1430" s="137" t="str">
        <f>IF(T1290,SUM(J1429)*EUconst_FuelBMvalueForBM,"")</f>
        <v/>
      </c>
      <c r="U1430" s="137" t="str">
        <f>IF(U1290,SUM(K1429)*EUconst_FuelBMvalueForBM,"")</f>
        <v/>
      </c>
      <c r="V1430" s="137" t="str">
        <f>IF(V1290,SUM(L1429)*EUconst_FuelBMvalueForBM,"")</f>
        <v/>
      </c>
      <c r="W1430" s="138" t="str">
        <f>IF(W1290,SUM(M1429)*EUconst_FuelBMvalueForBM,"")</f>
        <v/>
      </c>
      <c r="X1430" s="437"/>
      <c r="Y1430" s="437"/>
      <c r="Z1430" s="437"/>
      <c r="AA1430" s="361" t="b">
        <f>AA1428</f>
        <v>0</v>
      </c>
    </row>
    <row r="1431" spans="1:27" ht="5.0999999999999996" customHeight="1" x14ac:dyDescent="0.2">
      <c r="B1431" s="224"/>
      <c r="C1431" s="977"/>
      <c r="D1431" s="978"/>
      <c r="E1431" s="978"/>
      <c r="F1431" s="978"/>
      <c r="G1431" s="978"/>
      <c r="H1431" s="978"/>
      <c r="I1431" s="978"/>
      <c r="J1431" s="978"/>
      <c r="K1431" s="978"/>
      <c r="L1431" s="978"/>
      <c r="M1431" s="980"/>
      <c r="N1431" s="661"/>
      <c r="O1431" s="25"/>
      <c r="P1431" s="955"/>
      <c r="R1431" s="955"/>
      <c r="S1431" s="955"/>
      <c r="AA1431" s="607"/>
    </row>
    <row r="1432" spans="1:27" ht="12.75" customHeight="1" x14ac:dyDescent="0.2">
      <c r="B1432" s="224"/>
      <c r="C1432" s="977"/>
      <c r="D1432" s="695" t="s">
        <v>447</v>
      </c>
      <c r="E1432" s="1663" t="str">
        <f>Translations!$B$798</f>
        <v>Eksportēto atlikumgāzu veidi:</v>
      </c>
      <c r="F1432" s="1663"/>
      <c r="G1432" s="1663"/>
      <c r="H1432" s="1663"/>
      <c r="I1432" s="1664"/>
      <c r="J1432" s="1665"/>
      <c r="K1432" s="1665"/>
      <c r="L1432" s="1665"/>
      <c r="M1432" s="1666"/>
      <c r="N1432" s="1203"/>
      <c r="O1432" s="25"/>
      <c r="P1432" s="955"/>
      <c r="R1432" s="955"/>
      <c r="AA1432" s="361" t="b">
        <f>AA1427</f>
        <v>0</v>
      </c>
    </row>
    <row r="1433" spans="1:27" ht="5.0999999999999996" customHeight="1" x14ac:dyDescent="0.2">
      <c r="B1433" s="224"/>
      <c r="C1433" s="977"/>
      <c r="D1433" s="978"/>
      <c r="E1433" s="978"/>
      <c r="F1433" s="978"/>
      <c r="G1433" s="978"/>
      <c r="H1433" s="978"/>
      <c r="I1433" s="978"/>
      <c r="J1433" s="978"/>
      <c r="K1433" s="978"/>
      <c r="L1433" s="978"/>
      <c r="M1433" s="980"/>
      <c r="N1433" s="661"/>
      <c r="O1433" s="25"/>
      <c r="P1433" s="955"/>
      <c r="R1433" s="955"/>
    </row>
    <row r="1434" spans="1:27" ht="12.75" customHeight="1" x14ac:dyDescent="0.2">
      <c r="B1434" s="224"/>
      <c r="C1434" s="977"/>
      <c r="D1434" s="978"/>
      <c r="E1434" s="1653"/>
      <c r="F1434" s="1657"/>
      <c r="G1434" s="1657"/>
      <c r="H1434" s="462" t="str">
        <f>EUconst_Unit</f>
        <v>Vienība</v>
      </c>
      <c r="I1434" s="463">
        <f>I$1820</f>
        <v>2019</v>
      </c>
      <c r="J1434" s="463">
        <f>J$1820</f>
        <v>2020</v>
      </c>
      <c r="K1434" s="463">
        <f>K$1820</f>
        <v>2021</v>
      </c>
      <c r="L1434" s="463">
        <f>L$1820</f>
        <v>2022</v>
      </c>
      <c r="M1434" s="463">
        <f>M$1820</f>
        <v>2023</v>
      </c>
      <c r="N1434" s="1205"/>
      <c r="O1434" s="25"/>
      <c r="P1434" s="955"/>
      <c r="R1434" s="955"/>
      <c r="S1434" s="955"/>
      <c r="AA1434" s="607"/>
    </row>
    <row r="1435" spans="1:27" ht="12.75" customHeight="1" x14ac:dyDescent="0.2">
      <c r="B1435" s="224"/>
      <c r="C1435" s="977"/>
      <c r="D1435" s="695" t="s">
        <v>448</v>
      </c>
      <c r="E1435" s="1667" t="str">
        <f>Translations!$B$800</f>
        <v>Eksportētie daudzumi</v>
      </c>
      <c r="F1435" s="1660"/>
      <c r="G1435" s="1660"/>
      <c r="H1435" s="245" t="s">
        <v>249</v>
      </c>
      <c r="I1435" s="484"/>
      <c r="J1435" s="484"/>
      <c r="K1435" s="484"/>
      <c r="L1435" s="484"/>
      <c r="M1435" s="484"/>
      <c r="N1435" s="1205"/>
      <c r="O1435" s="25"/>
      <c r="P1435" s="955"/>
      <c r="R1435" s="955"/>
      <c r="S1435" s="955"/>
      <c r="AA1435" s="361" t="b">
        <f>AA1432</f>
        <v>0</v>
      </c>
    </row>
    <row r="1436" spans="1:27" ht="12.75" customHeight="1" thickBot="1" x14ac:dyDescent="0.25">
      <c r="B1436" s="224"/>
      <c r="C1436" s="977"/>
      <c r="D1436" s="695" t="s">
        <v>612</v>
      </c>
      <c r="E1436" s="1737" t="str">
        <f>Translations!$B$470</f>
        <v>Zemākā siltumspēja</v>
      </c>
      <c r="F1436" s="1659"/>
      <c r="G1436" s="1659"/>
      <c r="H1436" s="74" t="e">
        <f>IF(ISBLANK(H1435),EUconst_GJperUnit,INDEX(EUconst_GJperTorKNm3,MATCH(H1435,EUconst_TonnesOrkNm3pa,0)))</f>
        <v>#N/A</v>
      </c>
      <c r="I1436" s="458"/>
      <c r="J1436" s="458"/>
      <c r="K1436" s="458"/>
      <c r="L1436" s="458"/>
      <c r="M1436" s="458"/>
      <c r="N1436" s="1205"/>
      <c r="O1436" s="25"/>
      <c r="P1436" s="982"/>
      <c r="R1436" s="955"/>
      <c r="S1436" s="955"/>
      <c r="AA1436" s="361" t="b">
        <f>AA1435</f>
        <v>0</v>
      </c>
    </row>
    <row r="1437" spans="1:27" ht="12.75" customHeight="1" x14ac:dyDescent="0.2">
      <c r="B1437" s="224"/>
      <c r="C1437" s="977"/>
      <c r="D1437" s="695" t="s">
        <v>613</v>
      </c>
      <c r="E1437" s="1651" t="str">
        <f>Translations!$B$801</f>
        <v>Eksportētā atlikumgāze</v>
      </c>
      <c r="F1437" s="1652"/>
      <c r="G1437" s="1652"/>
      <c r="H1437" s="465" t="str">
        <f>EUconst_TJpa</f>
        <v>TJ / gads</v>
      </c>
      <c r="I1437" s="448" t="str">
        <f>IF(COUNT(I1435:I1436)=2,I1435*I1436/1000,"")</f>
        <v/>
      </c>
      <c r="J1437" s="448" t="str">
        <f>IF(COUNT(J1435:J1436)=2,J1435*J1436/1000,"")</f>
        <v/>
      </c>
      <c r="K1437" s="448" t="str">
        <f>IF(COUNT(K1435:K1436)=2,K1435*K1436/1000,"")</f>
        <v/>
      </c>
      <c r="L1437" s="448" t="str">
        <f>IF(COUNT(L1435:L1436)=2,L1435*L1436/1000,"")</f>
        <v/>
      </c>
      <c r="M1437" s="448" t="str">
        <f>IF(COUNT(M1435:M1436)=2,M1435*M1436/1000,"")</f>
        <v/>
      </c>
      <c r="N1437" s="698"/>
      <c r="O1437" s="25"/>
      <c r="P1437" s="979" t="str">
        <f>EUconst_CNTR_WGExport &amp; I1290</f>
        <v>WasteGasEx_</v>
      </c>
      <c r="R1437" s="970"/>
      <c r="S1437" s="809">
        <f>I1434</f>
        <v>2019</v>
      </c>
      <c r="T1437" s="809">
        <f>J1434</f>
        <v>2020</v>
      </c>
      <c r="U1437" s="809">
        <f>K1434</f>
        <v>2021</v>
      </c>
      <c r="V1437" s="809">
        <f>L1434</f>
        <v>2022</v>
      </c>
      <c r="W1437" s="810">
        <f>M1434</f>
        <v>2023</v>
      </c>
      <c r="AA1437" s="607"/>
    </row>
    <row r="1438" spans="1:27" s="697" customFormat="1" ht="12.75" customHeight="1" thickBot="1" x14ac:dyDescent="0.25">
      <c r="A1438" s="20"/>
      <c r="B1438" s="224"/>
      <c r="C1438" s="977"/>
      <c r="D1438" s="695" t="s">
        <v>614</v>
      </c>
      <c r="E1438" s="1651" t="str">
        <f>Translations!$B$802</f>
        <v>Īpatnējais EF (eksportētā atlikumgāze)</v>
      </c>
      <c r="F1438" s="1651"/>
      <c r="G1438" s="1651"/>
      <c r="H1438" s="464" t="str">
        <f>EUconst_tCO2pTJ</f>
        <v>t CO2 / TJ</v>
      </c>
      <c r="I1438" s="761"/>
      <c r="J1438" s="761"/>
      <c r="K1438" s="761"/>
      <c r="L1438" s="761"/>
      <c r="M1438" s="761"/>
      <c r="N1438" s="661"/>
      <c r="O1438" s="25"/>
      <c r="P1438" s="979" t="str">
        <f>EUconst_CNTR_WGExportEF &amp; I1290</f>
        <v>WasteGasExEF_</v>
      </c>
      <c r="Q1438" s="437"/>
      <c r="R1438" s="971" t="str">
        <f>EUconst_CNTR_AttributedEmissions &amp; I1290</f>
        <v>AttrEmissions_</v>
      </c>
      <c r="S1438" s="137" t="str">
        <f>IF(S1290,-SUM(I1437)*EUconst_NGEFvalue*EUconst_WasteGasCorrFactor,"")</f>
        <v/>
      </c>
      <c r="T1438" s="137" t="str">
        <f>IF(T1290,-SUM(J1437)*EUconst_NGEFvalue*EUconst_WasteGasCorrFactor,"")</f>
        <v/>
      </c>
      <c r="U1438" s="137" t="str">
        <f>IF(U1290,-SUM(K1437)*EUconst_NGEFvalue*EUconst_WasteGasCorrFactor,"")</f>
        <v/>
      </c>
      <c r="V1438" s="137" t="str">
        <f>IF(V1290,-SUM(L1437)*EUconst_NGEFvalue*EUconst_WasteGasCorrFactor,"")</f>
        <v/>
      </c>
      <c r="W1438" s="138" t="str">
        <f>IF(W1290,-SUM(M1437)*EUconst_NGEFvalue*EUconst_WasteGasCorrFactor,"")</f>
        <v/>
      </c>
      <c r="X1438" s="437"/>
      <c r="Y1438" s="437"/>
      <c r="Z1438" s="437"/>
      <c r="AA1438" s="186" t="b">
        <f>AA1436</f>
        <v>0</v>
      </c>
    </row>
    <row r="1439" spans="1:27" ht="5.0999999999999996" customHeight="1" x14ac:dyDescent="0.2">
      <c r="B1439" s="224"/>
      <c r="C1439" s="977"/>
      <c r="D1439" s="978"/>
      <c r="E1439" s="978"/>
      <c r="F1439" s="978"/>
      <c r="G1439" s="978"/>
      <c r="H1439" s="978"/>
      <c r="I1439" s="978"/>
      <c r="J1439" s="978"/>
      <c r="K1439" s="978"/>
      <c r="L1439" s="978"/>
      <c r="M1439" s="980"/>
      <c r="N1439" s="661"/>
      <c r="O1439" s="25"/>
      <c r="P1439" s="955"/>
      <c r="R1439" s="955"/>
    </row>
    <row r="1440" spans="1:27" ht="12.75" customHeight="1" thickBot="1" x14ac:dyDescent="0.25">
      <c r="B1440" s="224"/>
      <c r="C1440" s="977"/>
      <c r="D1440" s="474" t="s">
        <v>214</v>
      </c>
      <c r="E1440" s="1654" t="str">
        <f>Translations!$B$420</f>
        <v>Elektroenerģijas ražošana</v>
      </c>
      <c r="F1440" s="1655"/>
      <c r="G1440" s="1655"/>
      <c r="H1440" s="1655"/>
      <c r="I1440" s="1655"/>
      <c r="J1440" s="1655"/>
      <c r="K1440" s="1655"/>
      <c r="L1440" s="1655"/>
      <c r="M1440" s="1655"/>
      <c r="N1440" s="1656"/>
      <c r="O1440" s="25"/>
      <c r="P1440" s="955"/>
      <c r="R1440" s="955"/>
    </row>
    <row r="1441" spans="2:27" ht="12.75" customHeight="1" x14ac:dyDescent="0.2">
      <c r="B1441" s="224"/>
      <c r="C1441" s="977"/>
      <c r="D1441" s="474"/>
      <c r="E1441" s="1653"/>
      <c r="F1441" s="1657"/>
      <c r="G1441" s="1657"/>
      <c r="H1441" s="462" t="str">
        <f>EUconst_Unit</f>
        <v>Vienība</v>
      </c>
      <c r="I1441" s="463">
        <f>I$1820</f>
        <v>2019</v>
      </c>
      <c r="J1441" s="463">
        <f>J$1820</f>
        <v>2020</v>
      </c>
      <c r="K1441" s="463">
        <f>K$1820</f>
        <v>2021</v>
      </c>
      <c r="L1441" s="463">
        <f>L$1820</f>
        <v>2022</v>
      </c>
      <c r="M1441" s="463">
        <f>M$1820</f>
        <v>2023</v>
      </c>
      <c r="N1441" s="661"/>
      <c r="O1441" s="25"/>
      <c r="P1441" s="955"/>
      <c r="R1441" s="970"/>
      <c r="S1441" s="809">
        <f>I1441</f>
        <v>2019</v>
      </c>
      <c r="T1441" s="809">
        <f>J1441</f>
        <v>2020</v>
      </c>
      <c r="U1441" s="809">
        <f>K1441</f>
        <v>2021</v>
      </c>
      <c r="V1441" s="809">
        <f>L1441</f>
        <v>2022</v>
      </c>
      <c r="W1441" s="810">
        <f>M1441</f>
        <v>2023</v>
      </c>
    </row>
    <row r="1442" spans="2:27" ht="12.75" customHeight="1" thickBot="1" x14ac:dyDescent="0.25">
      <c r="B1442" s="224"/>
      <c r="C1442" s="977"/>
      <c r="D1442" s="695"/>
      <c r="E1442" s="1651" t="str">
        <f>Translations!$B$805</f>
        <v>Saražotā elektroenerģija</v>
      </c>
      <c r="F1442" s="1652"/>
      <c r="G1442" s="1652"/>
      <c r="H1442" s="465" t="str">
        <f>EUconst_MWhpa</f>
        <v>MWh / gads</v>
      </c>
      <c r="I1442" s="483"/>
      <c r="J1442" s="483"/>
      <c r="K1442" s="483"/>
      <c r="L1442" s="483"/>
      <c r="M1442" s="483"/>
      <c r="N1442" s="1205"/>
      <c r="O1442" s="25"/>
      <c r="P1442" s="979" t="str">
        <f>EUconst_CNTR_ElectricityExported &amp; I1290</f>
        <v>ElecEx_</v>
      </c>
      <c r="R1442" s="971" t="str">
        <f>EUconst_CNTR_AttributedEmissions &amp; I1290</f>
        <v>AttrEmissions_</v>
      </c>
      <c r="S1442" s="137" t="str">
        <f>IF(S1290,-SUM(I1442)*EUconst_ElBM,"")</f>
        <v/>
      </c>
      <c r="T1442" s="137" t="str">
        <f>IF(T1290,-SUM(J1442)*EUconst_ElBM,"")</f>
        <v/>
      </c>
      <c r="U1442" s="137" t="str">
        <f>IF(U1290,-SUM(K1442)*EUconst_ElBM,"")</f>
        <v/>
      </c>
      <c r="V1442" s="137" t="str">
        <f>IF(V1290,-SUM(L1442)*EUconst_ElBM,"")</f>
        <v/>
      </c>
      <c r="W1442" s="138" t="str">
        <f>IF(W1290,-SUM(M1442)*EUconst_ElBM,"")</f>
        <v/>
      </c>
    </row>
    <row r="1443" spans="2:27" ht="5.0999999999999996" customHeight="1" x14ac:dyDescent="0.2">
      <c r="B1443" s="224"/>
      <c r="C1443" s="977"/>
      <c r="D1443" s="978"/>
      <c r="E1443" s="978"/>
      <c r="F1443" s="978"/>
      <c r="G1443" s="978"/>
      <c r="H1443" s="978"/>
      <c r="I1443" s="978"/>
      <c r="J1443" s="978"/>
      <c r="K1443" s="978"/>
      <c r="L1443" s="978"/>
      <c r="M1443" s="980"/>
      <c r="N1443" s="661"/>
      <c r="O1443" s="25"/>
      <c r="P1443" s="955"/>
      <c r="R1443" s="955"/>
      <c r="S1443" s="955"/>
    </row>
    <row r="1444" spans="2:27" ht="12.75" customHeight="1" thickBot="1" x14ac:dyDescent="0.25">
      <c r="B1444" s="224"/>
      <c r="C1444" s="977"/>
      <c r="D1444" s="474" t="s">
        <v>77</v>
      </c>
      <c r="E1444" s="1663" t="str">
        <f>Translations!$B$806</f>
        <v>Kopējais saražotās pulpas daudzums</v>
      </c>
      <c r="F1444" s="1663"/>
      <c r="G1444" s="1663"/>
      <c r="H1444" s="1663"/>
      <c r="I1444" s="1663"/>
      <c r="J1444" s="1663"/>
      <c r="K1444" s="1663"/>
      <c r="L1444" s="1663"/>
      <c r="M1444" s="1663"/>
      <c r="N1444" s="1690"/>
      <c r="O1444" s="25"/>
      <c r="S1444" s="955"/>
    </row>
    <row r="1445" spans="2:27" ht="12.75" customHeight="1" thickBot="1" x14ac:dyDescent="0.25">
      <c r="B1445" s="224"/>
      <c r="C1445" s="977"/>
      <c r="D1445" s="695"/>
      <c r="E1445" s="1689" t="str">
        <f>IF(I1290="","",IF(INDEX(EUconst_BMlistPulp,MATCH(I1290,EUconst_BMlistNames,0)),I1290,""))</f>
        <v/>
      </c>
      <c r="F1445" s="1689"/>
      <c r="G1445" s="1689"/>
      <c r="H1445" s="465" t="str">
        <f>EUconst_Tons</f>
        <v>tonnas</v>
      </c>
      <c r="I1445" s="483"/>
      <c r="J1445" s="483"/>
      <c r="K1445" s="483"/>
      <c r="L1445" s="483"/>
      <c r="M1445" s="483"/>
      <c r="N1445" s="1205"/>
      <c r="O1445" s="25"/>
      <c r="P1445" s="979" t="str">
        <f>EUconst_CNTR_HALPulpTotal &amp; I1290</f>
        <v>HALPulpTotal_</v>
      </c>
      <c r="R1445" s="955"/>
      <c r="AA1445" s="734" t="b">
        <f>IF(I1290&lt;&gt;"",IF(INDEX(EUconst_BMlistPulp,MATCH(I1290,EUconst_BMlistNames,0))=TRUE,FALSE,TRUE),FALSE)</f>
        <v>0</v>
      </c>
    </row>
    <row r="1446" spans="2:27" ht="5.0999999999999996" customHeight="1" x14ac:dyDescent="0.2">
      <c r="B1446" s="224"/>
      <c r="C1446" s="977"/>
      <c r="D1446" s="695"/>
      <c r="E1446" s="695"/>
      <c r="F1446" s="695"/>
      <c r="G1446" s="695"/>
      <c r="H1446" s="695"/>
      <c r="I1446" s="695"/>
      <c r="J1446" s="695"/>
      <c r="K1446" s="695"/>
      <c r="L1446" s="695"/>
      <c r="M1446" s="695"/>
      <c r="N1446" s="1205"/>
      <c r="O1446" s="25"/>
      <c r="P1446" s="982"/>
      <c r="R1446" s="955"/>
      <c r="S1446" s="955"/>
    </row>
    <row r="1447" spans="2:27" ht="12.75" customHeight="1" thickBot="1" x14ac:dyDescent="0.25">
      <c r="B1447" s="224"/>
      <c r="C1447" s="977"/>
      <c r="D1447" s="474" t="s">
        <v>322</v>
      </c>
      <c r="E1447" s="1654" t="str">
        <f>Translations!$B$810</f>
        <v>Produktu līmeņatzīmju aptverto starpproduktu imports vai eksports</v>
      </c>
      <c r="F1447" s="1655"/>
      <c r="G1447" s="1655"/>
      <c r="H1447" s="1655"/>
      <c r="I1447" s="1655"/>
      <c r="J1447" s="1655"/>
      <c r="K1447" s="1655"/>
      <c r="L1447" s="1655"/>
      <c r="M1447" s="1655"/>
      <c r="N1447" s="1656"/>
      <c r="O1447" s="25"/>
      <c r="P1447" s="955"/>
      <c r="R1447" s="955"/>
      <c r="S1447" s="955"/>
    </row>
    <row r="1448" spans="2:27" ht="12.75" customHeight="1" thickBot="1" x14ac:dyDescent="0.25">
      <c r="B1448" s="38"/>
      <c r="C1448" s="977"/>
      <c r="D1448" s="695" t="s">
        <v>2</v>
      </c>
      <c r="E1448" s="1732" t="str">
        <f>Translations!$B$813</f>
        <v>Vai notiek produktu līmeņatzīmju aptverto starpproduktu imports vai eksports?</v>
      </c>
      <c r="F1448" s="1732"/>
      <c r="G1448" s="1732"/>
      <c r="H1448" s="1732"/>
      <c r="I1448" s="1732"/>
      <c r="J1448" s="1732"/>
      <c r="K1448" s="1733"/>
      <c r="L1448" s="527"/>
      <c r="M1448" s="461"/>
      <c r="N1448" s="698"/>
      <c r="O1448" s="25"/>
      <c r="W1448" s="966" t="s">
        <v>398</v>
      </c>
      <c r="X1448" s="964" t="b">
        <f>IF(AND(I1290&lt;&gt;"",ISBLANK(L1448)),EUconst_Error&amp;"BM"&amp;C1290,FALSE)</f>
        <v>0</v>
      </c>
    </row>
    <row r="1449" spans="2:27" ht="5.0999999999999996" customHeight="1" x14ac:dyDescent="0.2">
      <c r="B1449" s="224"/>
      <c r="C1449" s="977"/>
      <c r="D1449" s="695"/>
      <c r="E1449" s="695"/>
      <c r="F1449" s="695"/>
      <c r="G1449" s="695"/>
      <c r="H1449" s="695"/>
      <c r="I1449" s="695"/>
      <c r="J1449" s="695"/>
      <c r="K1449" s="695"/>
      <c r="L1449" s="695"/>
      <c r="M1449" s="695"/>
      <c r="N1449" s="1205"/>
      <c r="O1449" s="25"/>
      <c r="P1449" s="982"/>
      <c r="R1449" s="955"/>
      <c r="S1449" s="955"/>
    </row>
    <row r="1450" spans="2:27" ht="12.75" customHeight="1" thickBot="1" x14ac:dyDescent="0.25">
      <c r="B1450" s="224"/>
      <c r="C1450" s="977"/>
      <c r="D1450" s="524"/>
      <c r="E1450" s="1653" t="str">
        <f>Translations!$B$814</f>
        <v>Importētie daudzumi:</v>
      </c>
      <c r="F1450" s="1657"/>
      <c r="G1450" s="1657"/>
      <c r="H1450" s="525" t="str">
        <f>EUconst_Unit</f>
        <v>Vienība</v>
      </c>
      <c r="I1450" s="463">
        <f>I$1820</f>
        <v>2019</v>
      </c>
      <c r="J1450" s="463">
        <f>J$1820</f>
        <v>2020</v>
      </c>
      <c r="K1450" s="463">
        <f>K$1820</f>
        <v>2021</v>
      </c>
      <c r="L1450" s="463">
        <f>L$1820</f>
        <v>2022</v>
      </c>
      <c r="M1450" s="463">
        <f>M$1820</f>
        <v>2023</v>
      </c>
      <c r="N1450" s="1205"/>
      <c r="O1450" s="25"/>
      <c r="P1450" s="982"/>
      <c r="R1450" s="955"/>
      <c r="S1450" s="955"/>
      <c r="AA1450" s="437" t="s">
        <v>262</v>
      </c>
    </row>
    <row r="1451" spans="2:27" ht="12.75" customHeight="1" x14ac:dyDescent="0.2">
      <c r="B1451" s="224"/>
      <c r="C1451" s="977"/>
      <c r="D1451" s="526" t="s">
        <v>3</v>
      </c>
      <c r="E1451" s="1745"/>
      <c r="F1451" s="1745"/>
      <c r="G1451" s="1745"/>
      <c r="H1451" s="82" t="str">
        <f>IF(E1451&lt;&gt;"",INDEX(EUconst_BMlistUnits,MATCH(E1451,EUconst_BMlistNames,0)),EUconst_Tons)</f>
        <v>tonnas</v>
      </c>
      <c r="I1451" s="334"/>
      <c r="J1451" s="334"/>
      <c r="K1451" s="334"/>
      <c r="L1451" s="334"/>
      <c r="M1451" s="334"/>
      <c r="N1451" s="1205"/>
      <c r="O1451" s="25"/>
      <c r="P1451" s="979" t="str">
        <f>EUconst_CNTR_IntermediateImport &amp; R1451 &amp; "_" &amp; I1290</f>
        <v>IntImp_1_</v>
      </c>
      <c r="R1451" s="979">
        <v>1</v>
      </c>
      <c r="S1451" s="955"/>
      <c r="AA1451" s="643" t="b">
        <f>AND(NOT(ISBLANK(L1448)),L1448=FALSE)</f>
        <v>0</v>
      </c>
    </row>
    <row r="1452" spans="2:27" ht="12.75" customHeight="1" x14ac:dyDescent="0.2">
      <c r="B1452" s="224"/>
      <c r="C1452" s="977"/>
      <c r="D1452" s="526" t="s">
        <v>4</v>
      </c>
      <c r="E1452" s="1746"/>
      <c r="F1452" s="1746"/>
      <c r="G1452" s="1746"/>
      <c r="H1452" s="74" t="str">
        <f>IF(E1452&lt;&gt;"",INDEX(EUconst_BMlistUnits,MATCH(E1452,EUconst_BMlistNames,0)),EUconst_Tons)</f>
        <v>tonnas</v>
      </c>
      <c r="I1452" s="333"/>
      <c r="J1452" s="333"/>
      <c r="K1452" s="333"/>
      <c r="L1452" s="333"/>
      <c r="M1452" s="333"/>
      <c r="N1452" s="1205"/>
      <c r="O1452" s="25"/>
      <c r="P1452" s="979" t="str">
        <f>EUconst_CNTR_IntermediateImport &amp; R1452 &amp; "_" &amp; I1290</f>
        <v>IntImp_2_</v>
      </c>
      <c r="R1452" s="979">
        <v>2</v>
      </c>
      <c r="S1452" s="955"/>
      <c r="AA1452" s="361" t="b">
        <f>AA1451</f>
        <v>0</v>
      </c>
    </row>
    <row r="1453" spans="2:27" ht="5.0999999999999996" customHeight="1" x14ac:dyDescent="0.2">
      <c r="B1453" s="224"/>
      <c r="C1453" s="977"/>
      <c r="D1453" s="695"/>
      <c r="E1453" s="695"/>
      <c r="F1453" s="695"/>
      <c r="G1453" s="695"/>
      <c r="H1453" s="695"/>
      <c r="I1453" s="695"/>
      <c r="J1453" s="695"/>
      <c r="K1453" s="695"/>
      <c r="L1453" s="695"/>
      <c r="M1453" s="695"/>
      <c r="N1453" s="1205"/>
      <c r="O1453" s="25"/>
      <c r="P1453" s="982"/>
      <c r="R1453" s="955"/>
      <c r="S1453" s="955"/>
      <c r="AA1453" s="607"/>
    </row>
    <row r="1454" spans="2:27" ht="12.75" customHeight="1" x14ac:dyDescent="0.2">
      <c r="B1454" s="224"/>
      <c r="C1454" s="977"/>
      <c r="D1454" s="524"/>
      <c r="E1454" s="1653" t="str">
        <f>Translations!$B$815</f>
        <v>Eksportētie daudzumi:</v>
      </c>
      <c r="F1454" s="1657"/>
      <c r="G1454" s="1657"/>
      <c r="H1454" s="525" t="str">
        <f>EUconst_Unit</f>
        <v>Vienība</v>
      </c>
      <c r="I1454" s="463">
        <f>I$1820</f>
        <v>2019</v>
      </c>
      <c r="J1454" s="463">
        <f>J$1820</f>
        <v>2020</v>
      </c>
      <c r="K1454" s="463">
        <f>K$1820</f>
        <v>2021</v>
      </c>
      <c r="L1454" s="463">
        <f>L$1820</f>
        <v>2022</v>
      </c>
      <c r="M1454" s="463">
        <f>M$1820</f>
        <v>2023</v>
      </c>
      <c r="N1454" s="1205"/>
      <c r="O1454" s="25"/>
      <c r="P1454" s="982"/>
      <c r="R1454" s="955"/>
      <c r="S1454" s="955"/>
      <c r="AA1454" s="607"/>
    </row>
    <row r="1455" spans="2:27" ht="12.75" customHeight="1" x14ac:dyDescent="0.2">
      <c r="B1455" s="224"/>
      <c r="C1455" s="977"/>
      <c r="D1455" s="526" t="s">
        <v>6</v>
      </c>
      <c r="E1455" s="1745"/>
      <c r="F1455" s="1745"/>
      <c r="G1455" s="1745"/>
      <c r="H1455" s="82" t="str">
        <f>IF(E1455&lt;&gt;"",INDEX(EUconst_BMlistUnits,MATCH(E1455,EUconst_BMlistNames,0)),EUconst_Tons)</f>
        <v>tonnas</v>
      </c>
      <c r="I1455" s="334"/>
      <c r="J1455" s="334"/>
      <c r="K1455" s="334"/>
      <c r="L1455" s="334"/>
      <c r="M1455" s="334"/>
      <c r="N1455" s="1205"/>
      <c r="O1455" s="25"/>
      <c r="P1455" s="979" t="str">
        <f>EUconst_CNTR_IntermediateExport &amp; R1451 &amp; "_" &amp; I1290</f>
        <v>IntExp_1_</v>
      </c>
      <c r="R1455" s="979">
        <v>1</v>
      </c>
      <c r="S1455" s="955"/>
      <c r="U1455" s="522"/>
      <c r="V1455" s="522"/>
      <c r="AA1455" s="361" t="b">
        <f>AA1451</f>
        <v>0</v>
      </c>
    </row>
    <row r="1456" spans="2:27" ht="12.75" customHeight="1" x14ac:dyDescent="0.2">
      <c r="B1456" s="224"/>
      <c r="C1456" s="977"/>
      <c r="D1456" s="526" t="s">
        <v>303</v>
      </c>
      <c r="E1456" s="1746"/>
      <c r="F1456" s="1746"/>
      <c r="G1456" s="1746"/>
      <c r="H1456" s="74" t="str">
        <f>IF(E1456&lt;&gt;"",INDEX(EUconst_BMlistUnits,MATCH(E1456,EUconst_BMlistNames,0)),EUconst_Tons)</f>
        <v>tonnas</v>
      </c>
      <c r="I1456" s="333"/>
      <c r="J1456" s="333"/>
      <c r="K1456" s="333"/>
      <c r="L1456" s="333"/>
      <c r="M1456" s="333"/>
      <c r="N1456" s="1205"/>
      <c r="O1456" s="25"/>
      <c r="P1456" s="979" t="str">
        <f>EUconst_CNTR_IntermediateExport &amp; R1456 &amp; "_" &amp; I1290</f>
        <v>IntExp_2_</v>
      </c>
      <c r="R1456" s="979">
        <v>2</v>
      </c>
      <c r="S1456" s="955"/>
      <c r="U1456" s="522"/>
      <c r="V1456" s="522"/>
      <c r="AA1456" s="361" t="b">
        <f>AA1451</f>
        <v>0</v>
      </c>
    </row>
    <row r="1457" spans="2:27" ht="5.0999999999999996" customHeight="1" x14ac:dyDescent="0.2">
      <c r="B1457" s="224"/>
      <c r="C1457" s="977"/>
      <c r="D1457" s="695"/>
      <c r="E1457" s="695"/>
      <c r="F1457" s="695"/>
      <c r="G1457" s="695"/>
      <c r="H1457" s="695"/>
      <c r="I1457" s="695"/>
      <c r="J1457" s="695"/>
      <c r="K1457" s="695"/>
      <c r="L1457" s="695"/>
      <c r="M1457" s="695"/>
      <c r="N1457" s="1205"/>
      <c r="O1457" s="25"/>
      <c r="P1457" s="982"/>
      <c r="R1457" s="955"/>
      <c r="S1457" s="955"/>
      <c r="U1457" s="522"/>
      <c r="V1457" s="522"/>
      <c r="AA1457" s="607"/>
    </row>
    <row r="1458" spans="2:27" ht="12.75" customHeight="1" x14ac:dyDescent="0.2">
      <c r="B1458" s="224"/>
      <c r="C1458" s="977"/>
      <c r="D1458" s="526" t="s">
        <v>304</v>
      </c>
      <c r="E1458" s="1738" t="str">
        <f>Translations!$B$816</f>
        <v>Importēto vai eksportēto starpproduktu apraksts</v>
      </c>
      <c r="F1458" s="1738"/>
      <c r="G1458" s="1738"/>
      <c r="H1458" s="1738"/>
      <c r="I1458" s="1738"/>
      <c r="J1458" s="1738"/>
      <c r="K1458" s="1738"/>
      <c r="L1458" s="1738"/>
      <c r="M1458" s="1738"/>
      <c r="N1458" s="1205"/>
      <c r="O1458" s="25"/>
      <c r="P1458" s="982"/>
      <c r="R1458" s="955"/>
      <c r="S1458" s="955"/>
      <c r="U1458" s="522"/>
      <c r="V1458" s="522"/>
      <c r="AA1458" s="607"/>
    </row>
    <row r="1459" spans="2:27" ht="12.75" customHeight="1" x14ac:dyDescent="0.2">
      <c r="B1459" s="224"/>
      <c r="C1459" s="977"/>
      <c r="D1459" s="695"/>
      <c r="E1459" s="1739"/>
      <c r="F1459" s="1740"/>
      <c r="G1459" s="1740"/>
      <c r="H1459" s="1740"/>
      <c r="I1459" s="1740"/>
      <c r="J1459" s="1740"/>
      <c r="K1459" s="1740"/>
      <c r="L1459" s="1740"/>
      <c r="M1459" s="1741"/>
      <c r="N1459" s="1205"/>
      <c r="O1459" s="25"/>
      <c r="P1459" s="982"/>
      <c r="R1459" s="955"/>
      <c r="S1459" s="955"/>
      <c r="U1459" s="522"/>
      <c r="V1459" s="522"/>
      <c r="AA1459" s="361" t="b">
        <f>AA1451</f>
        <v>0</v>
      </c>
    </row>
    <row r="1460" spans="2:27" ht="12.75" customHeight="1" thickBot="1" x14ac:dyDescent="0.25">
      <c r="B1460" s="224"/>
      <c r="C1460" s="977"/>
      <c r="D1460" s="695"/>
      <c r="E1460" s="1742"/>
      <c r="F1460" s="1743"/>
      <c r="G1460" s="1743"/>
      <c r="H1460" s="1743"/>
      <c r="I1460" s="1743"/>
      <c r="J1460" s="1743"/>
      <c r="K1460" s="1743"/>
      <c r="L1460" s="1743"/>
      <c r="M1460" s="1744"/>
      <c r="N1460" s="1205"/>
      <c r="O1460" s="25"/>
      <c r="P1460" s="982"/>
      <c r="R1460" s="955"/>
      <c r="S1460" s="955"/>
      <c r="U1460" s="522"/>
      <c r="V1460" s="522"/>
      <c r="AA1460" s="186" t="b">
        <f>AA1451</f>
        <v>0</v>
      </c>
    </row>
    <row r="1461" spans="2:27" ht="12.75" customHeight="1" thickBot="1" x14ac:dyDescent="0.25">
      <c r="B1461" s="224"/>
      <c r="C1461" s="983"/>
      <c r="D1461" s="984"/>
      <c r="E1461" s="984"/>
      <c r="F1461" s="984"/>
      <c r="G1461" s="984"/>
      <c r="H1461" s="984"/>
      <c r="I1461" s="984"/>
      <c r="J1461" s="984"/>
      <c r="K1461" s="984"/>
      <c r="L1461" s="984"/>
      <c r="M1461" s="985"/>
      <c r="N1461" s="986"/>
      <c r="O1461" s="25"/>
      <c r="P1461" s="955"/>
      <c r="R1461" s="955"/>
      <c r="S1461" s="955"/>
    </row>
    <row r="1462" spans="2:27" ht="13.5" thickBot="1" x14ac:dyDescent="0.25">
      <c r="B1462" s="38"/>
      <c r="C1462" s="38"/>
      <c r="D1462" s="38"/>
      <c r="E1462" s="38"/>
      <c r="F1462" s="38"/>
      <c r="G1462" s="38"/>
      <c r="H1462" s="38"/>
      <c r="I1462" s="38"/>
      <c r="J1462" s="38"/>
      <c r="K1462" s="38"/>
      <c r="L1462" s="38"/>
      <c r="M1462" s="38"/>
      <c r="N1462" s="38"/>
      <c r="O1462" s="25"/>
      <c r="P1462" s="362" t="str">
        <f>IF(OR(AND(CNTR_ExistProductSubEntries=FALSE,P1290=1),AND(I1290&lt;&gt;"",COUNTIF(P1463:$P$1814,"PRINT")=0)),"PRINT","")</f>
        <v/>
      </c>
      <c r="Q1462" s="437" t="s">
        <v>481</v>
      </c>
      <c r="R1462" s="955"/>
      <c r="S1462" s="955"/>
    </row>
    <row r="1463" spans="2:27" ht="5.0999999999999996" customHeight="1" thickBot="1" x14ac:dyDescent="0.25">
      <c r="B1463" s="38"/>
      <c r="C1463" s="987"/>
      <c r="D1463" s="987"/>
      <c r="E1463" s="987"/>
      <c r="F1463" s="987"/>
      <c r="G1463" s="987"/>
      <c r="H1463" s="987"/>
      <c r="I1463" s="987"/>
      <c r="J1463" s="987"/>
      <c r="K1463" s="987"/>
      <c r="L1463" s="987"/>
      <c r="M1463" s="987"/>
      <c r="N1463" s="987"/>
      <c r="O1463" s="25"/>
      <c r="R1463" s="955"/>
      <c r="S1463" s="955"/>
    </row>
    <row r="1464" spans="2:27" ht="15.75" thickBot="1" x14ac:dyDescent="0.25">
      <c r="B1464" s="224"/>
      <c r="C1464" s="965">
        <f>C1290+1</f>
        <v>9</v>
      </c>
      <c r="D1464" s="1318" t="str">
        <f>EUconst_BMSubinst &amp; ":"</f>
        <v>Apakšiekārta ar produkta līmeņatzīmi:</v>
      </c>
      <c r="E1464" s="1251"/>
      <c r="F1464" s="1251"/>
      <c r="G1464" s="1251"/>
      <c r="H1464" s="1328"/>
      <c r="I1464" s="1701" t="str">
        <f>IF(INDEX(CNTR_SubInstListIsProdBM,$C1464),INDEX(CNTR_SubInstListNames,$C1464),"")</f>
        <v/>
      </c>
      <c r="J1464" s="1457"/>
      <c r="K1464" s="1457"/>
      <c r="L1464" s="1457"/>
      <c r="M1464" s="1457"/>
      <c r="N1464" s="1259"/>
      <c r="O1464" s="25"/>
      <c r="P1464" s="362">
        <f>C1464</f>
        <v>9</v>
      </c>
      <c r="Q1464" s="966" t="s">
        <v>225</v>
      </c>
      <c r="R1464" s="967" t="str">
        <f>IF(I1464="","",INDEX(CNTR_SubInstStartDate,MATCH($I1464,CNTR_SubInstListNames,0)))</f>
        <v/>
      </c>
      <c r="S1464" s="968" t="b">
        <f>IF($I1464="",FALSE,AND(I$1823,YEAR($R1464)&lt;I$1820))</f>
        <v>0</v>
      </c>
      <c r="T1464" s="968" t="b">
        <f>IF($I1464="",FALSE,AND(J$1823,YEAR($R1464)&lt;J$1820))</f>
        <v>0</v>
      </c>
      <c r="U1464" s="968" t="b">
        <f>IF($I1464="",FALSE,AND(K$1823,YEAR($R1464)&lt;K$1820))</f>
        <v>0</v>
      </c>
      <c r="V1464" s="968" t="b">
        <f>IF($I1464="",FALSE,AND(L$1823,YEAR($R1464)&lt;L$1820))</f>
        <v>0</v>
      </c>
      <c r="W1464" s="968" t="b">
        <f>IF($I1464="",FALSE,AND(M$1823,YEAR($R1464)&lt;M$1820))</f>
        <v>0</v>
      </c>
      <c r="Z1464" s="732" t="s">
        <v>529</v>
      </c>
      <c r="AA1464" s="734" t="b">
        <f>AND(CNTR_ExistSubInstEntries,I1464="")</f>
        <v>0</v>
      </c>
    </row>
    <row r="1465" spans="2:27" ht="5.0999999999999996" customHeight="1" x14ac:dyDescent="0.2">
      <c r="B1465" s="224"/>
      <c r="C1465" s="224"/>
      <c r="D1465" s="224"/>
      <c r="E1465" s="224"/>
      <c r="F1465" s="224"/>
      <c r="G1465" s="224"/>
      <c r="H1465" s="224"/>
      <c r="I1465" s="224"/>
      <c r="J1465" s="224"/>
      <c r="K1465" s="224"/>
      <c r="L1465" s="224"/>
      <c r="M1465" s="34"/>
      <c r="N1465" s="34"/>
      <c r="O1465" s="25"/>
      <c r="P1465" s="955"/>
      <c r="R1465" s="955"/>
      <c r="S1465" s="955"/>
    </row>
    <row r="1466" spans="2:27" ht="13.5" thickBot="1" x14ac:dyDescent="0.25">
      <c r="B1466" s="224"/>
      <c r="C1466" s="224"/>
      <c r="D1466" s="32" t="s">
        <v>165</v>
      </c>
      <c r="E1466" s="1250" t="str">
        <f>Translations!$B$670</f>
        <v>Vēsturiskie darbības līmeņi</v>
      </c>
      <c r="F1466" s="1251"/>
      <c r="G1466" s="1251"/>
      <c r="H1466" s="1251"/>
      <c r="I1466" s="1251"/>
      <c r="J1466" s="1251"/>
      <c r="K1466" s="1251"/>
      <c r="L1466" s="1251"/>
      <c r="M1466" s="1251"/>
      <c r="N1466" s="1251"/>
      <c r="O1466" s="25"/>
      <c r="P1466" s="955"/>
      <c r="R1466" s="955"/>
      <c r="S1466" s="955"/>
    </row>
    <row r="1467" spans="2:27" ht="13.5" customHeight="1" thickBot="1" x14ac:dyDescent="0.25">
      <c r="B1467" s="38"/>
      <c r="C1467" s="38"/>
      <c r="D1467" s="32"/>
      <c r="E1467" s="1320" t="str">
        <f>Translations!$B$676</f>
        <v>Gada darbības līmeņi:</v>
      </c>
      <c r="F1467" s="1320"/>
      <c r="G1467" s="1320"/>
      <c r="H1467" s="52" t="str">
        <f>EUconst_Unit</f>
        <v>Vienība</v>
      </c>
      <c r="I1467" s="412">
        <f>I$1820</f>
        <v>2019</v>
      </c>
      <c r="J1467" s="412">
        <f>J$1820</f>
        <v>2020</v>
      </c>
      <c r="K1467" s="412">
        <f>K$1820</f>
        <v>2021</v>
      </c>
      <c r="L1467" s="412">
        <f>L$1820</f>
        <v>2022</v>
      </c>
      <c r="M1467" s="412">
        <f>M$1820</f>
        <v>2023</v>
      </c>
      <c r="N1467" s="34"/>
      <c r="O1467" s="25"/>
      <c r="P1467" s="955"/>
      <c r="Q1467" s="439" t="s">
        <v>416</v>
      </c>
      <c r="R1467" s="289"/>
      <c r="S1467" s="289"/>
      <c r="T1467" s="289"/>
      <c r="U1467" s="289"/>
      <c r="V1467" s="289"/>
      <c r="W1467" s="290"/>
      <c r="AA1467" s="437" t="s">
        <v>262</v>
      </c>
    </row>
    <row r="1468" spans="2:27" ht="13.5" thickBot="1" x14ac:dyDescent="0.25">
      <c r="B1468" s="38"/>
      <c r="C1468" s="38"/>
      <c r="D1468" s="212" t="s">
        <v>2</v>
      </c>
      <c r="E1468" s="1716" t="str">
        <f>I1464</f>
        <v/>
      </c>
      <c r="F1468" s="1716"/>
      <c r="G1468" s="1716"/>
      <c r="H1468" s="116" t="str">
        <f>IF(INDEX(CNTR_SubInstListIsProdBM,$C1464),INDEX(CNTR_SubInstListHALUnit,$C1464),EUconst_Tons)</f>
        <v>tonnas</v>
      </c>
      <c r="I1468" s="595"/>
      <c r="J1468" s="595"/>
      <c r="K1468" s="595"/>
      <c r="L1468" s="595"/>
      <c r="M1468" s="595"/>
      <c r="N1468" s="34"/>
      <c r="O1468" s="25"/>
      <c r="P1468" s="182" t="s">
        <v>228</v>
      </c>
      <c r="Q1468" s="1023" t="s">
        <v>618</v>
      </c>
      <c r="R1468" s="204" t="s">
        <v>629</v>
      </c>
      <c r="S1468" s="454">
        <f>I1467</f>
        <v>2019</v>
      </c>
      <c r="T1468" s="455">
        <f>J1467</f>
        <v>2020</v>
      </c>
      <c r="U1468" s="455">
        <f>K1467</f>
        <v>2021</v>
      </c>
      <c r="V1468" s="455">
        <f>L1467</f>
        <v>2022</v>
      </c>
      <c r="W1468" s="456">
        <f>M1467</f>
        <v>2023</v>
      </c>
      <c r="Z1468" s="437"/>
      <c r="AA1468" s="643" t="b">
        <f>IF(CNTR_ExistSubInstEntries,AND(I1464&lt;&gt;"",Q1472),FALSE)</f>
        <v>0</v>
      </c>
    </row>
    <row r="1469" spans="2:27" ht="13.5" thickBot="1" x14ac:dyDescent="0.25">
      <c r="B1469" s="38"/>
      <c r="C1469" s="38"/>
      <c r="D1469" s="212" t="s">
        <v>3</v>
      </c>
      <c r="E1469" s="1716" t="str">
        <f>Translations!$B$677</f>
        <v>No lapas “H_SpecialBM”:</v>
      </c>
      <c r="F1469" s="1716"/>
      <c r="G1469" s="1716"/>
      <c r="H1469" s="116" t="str">
        <f>H1468</f>
        <v>tonnas</v>
      </c>
      <c r="I1469" s="336" t="str">
        <f>IF($I1464="","",IF($Q1472,SUMIF(H_SpecialBM!$P$9:$P$401,$P1469,H_SpecialBM!I$9:I$401),""))</f>
        <v/>
      </c>
      <c r="J1469" s="336" t="str">
        <f>IF($I1464="","",IF($Q1472,SUMIF(H_SpecialBM!$P$9:$P$401,$P1469,H_SpecialBM!J$9:J$401),""))</f>
        <v/>
      </c>
      <c r="K1469" s="336" t="str">
        <f>IF($I1464="","",IF($Q1472,SUMIF(H_SpecialBM!$P$9:$P$401,$P1469,H_SpecialBM!K$9:K$401),""))</f>
        <v/>
      </c>
      <c r="L1469" s="336" t="str">
        <f>IF($I1464="","",IF($Q1472,SUMIF(H_SpecialBM!$P$9:$P$401,$P1469,H_SpecialBM!L$9:L$401),""))</f>
        <v/>
      </c>
      <c r="M1469" s="336" t="str">
        <f>IF($I1464="","",IF($Q1472,SUMIF(H_SpecialBM!$P$9:$P$401,$P1469,H_SpecialBM!M$9:M$401),""))</f>
        <v/>
      </c>
      <c r="N1469" s="34"/>
      <c r="O1469" s="25"/>
      <c r="P1469" s="969" t="str">
        <f>EUconst_CNTR_HALspecial&amp;I1464</f>
        <v>HALspecial_</v>
      </c>
      <c r="Q1469" s="1093" t="str">
        <f>IF(COUNT($U1469:$V1469)&gt;0,SUM($U1469:$V1469),"")</f>
        <v/>
      </c>
      <c r="R1469" s="1094" t="str">
        <f>IF(COUNT(S1469:W1469)&gt;0,MEDIAN(S1469:W1469),"")</f>
        <v/>
      </c>
      <c r="S1469" s="1095" t="str">
        <f>IF(S1464,IF(ISNUMBER(I1469),I1469,""),"")</f>
        <v/>
      </c>
      <c r="T1469" s="1096" t="str">
        <f>IF(T1464,IF(ISNUMBER(J1469),J1469,""),"")</f>
        <v/>
      </c>
      <c r="U1469" s="1096" t="str">
        <f>IF(U1464,IF(ISNUMBER(K1469),K1469,""),"")</f>
        <v/>
      </c>
      <c r="V1469" s="1096" t="str">
        <f>IF(V1464,IF(ISNUMBER(L1469),L1469,""),"")</f>
        <v/>
      </c>
      <c r="W1469" s="1094" t="str">
        <f>IF(W1464,IF(ISNUMBER(M1469),M1469,""),"")</f>
        <v/>
      </c>
      <c r="AA1469" s="719" t="b">
        <f>Q1472=FALSE</f>
        <v>0</v>
      </c>
    </row>
    <row r="1470" spans="2:27" ht="13.5" thickBot="1" x14ac:dyDescent="0.25">
      <c r="B1470" s="38"/>
      <c r="C1470" s="38"/>
      <c r="D1470" s="212" t="s">
        <v>4</v>
      </c>
      <c r="E1470" s="1716" t="str">
        <f>Translations!$B$678</f>
        <v>Aprēķinā izmantotās vērtības:</v>
      </c>
      <c r="F1470" s="1716"/>
      <c r="G1470" s="1716"/>
      <c r="H1470" s="116" t="str">
        <f>H1469</f>
        <v>tonnas</v>
      </c>
      <c r="I1470" s="336" t="str">
        <f>IF($I1464="","",IF($Q1472=TRUE,IF(ISNUMBER(I1469),I1469,0),IF(ISNUMBER(I1468),I1468,0)))</f>
        <v/>
      </c>
      <c r="J1470" s="336" t="str">
        <f>IF($I1464="","",IF($Q1472=TRUE,IF(ISNUMBER(J1469),J1469,0),IF(ISNUMBER(J1468),J1468,0)))</f>
        <v/>
      </c>
      <c r="K1470" s="336" t="str">
        <f>IF($I1464="","",IF($Q1472=TRUE,IF(ISNUMBER(K1469),K1469,0),IF(ISNUMBER(K1468),K1468,0)))</f>
        <v/>
      </c>
      <c r="L1470" s="336" t="str">
        <f>IF($I1464="","",IF($Q1472=TRUE,IF(ISNUMBER(L1469),L1469,0),IF(ISNUMBER(L1468),L1468,0)))</f>
        <v/>
      </c>
      <c r="M1470" s="336" t="str">
        <f>IF($I1464="","",IF($Q1472=TRUE,IF(ISNUMBER(M1469),M1469,0),IF(ISNUMBER(M1468),M1468,0)))</f>
        <v/>
      </c>
      <c r="N1470" s="34"/>
      <c r="O1470" s="25"/>
      <c r="P1470" s="969" t="str">
        <f>EUconst_CNTR_HAL&amp;I1464</f>
        <v>HAL_</v>
      </c>
      <c r="Q1470" s="1097" t="str">
        <f>IF(COUNT($U1470:$V1470)&gt;0,SUM($U1470:$V1470),"")</f>
        <v/>
      </c>
      <c r="R1470" s="1098" t="str">
        <f>IF(COUNT(S1470:W1470)&gt;0,MEDIAN(S1470:W1470),"")</f>
        <v/>
      </c>
      <c r="S1470" s="1099" t="str">
        <f>IF(S1464,IF(ISNUMBER(I1470),I1470,""),"")</f>
        <v/>
      </c>
      <c r="T1470" s="1100" t="str">
        <f>IF(T1464,IF(ISNUMBER(J1470),J1470,""),"")</f>
        <v/>
      </c>
      <c r="U1470" s="1100" t="str">
        <f>IF(U1464,IF(ISNUMBER(K1470),K1470,""),"")</f>
        <v/>
      </c>
      <c r="V1470" s="1100" t="str">
        <f>IF(V1464,IF(ISNUMBER(L1470),L1470,""),"")</f>
        <v/>
      </c>
      <c r="W1470" s="1098" t="str">
        <f>IF(W1464,IF(ISNUMBER(M1470),M1470,""),"")</f>
        <v/>
      </c>
    </row>
    <row r="1471" spans="2:27" ht="5.0999999999999996" customHeight="1" x14ac:dyDescent="0.2">
      <c r="B1471" s="224"/>
      <c r="C1471" s="224"/>
      <c r="D1471" s="224"/>
      <c r="E1471" s="224"/>
      <c r="F1471" s="224"/>
      <c r="G1471" s="224"/>
      <c r="H1471" s="224"/>
      <c r="I1471" s="224"/>
      <c r="J1471" s="224"/>
      <c r="K1471" s="224"/>
      <c r="L1471" s="224"/>
      <c r="M1471" s="34"/>
      <c r="N1471" s="34"/>
      <c r="O1471" s="25"/>
      <c r="P1471" s="955"/>
      <c r="R1471" s="955"/>
      <c r="S1471" s="955"/>
    </row>
    <row r="1472" spans="2:27" x14ac:dyDescent="0.2">
      <c r="B1472" s="224"/>
      <c r="C1472" s="224"/>
      <c r="D1472" s="32" t="s">
        <v>339</v>
      </c>
      <c r="E1472" s="1250" t="str">
        <f>Translations!$B$679</f>
        <v>Īpašas ziņošanas prasības:</v>
      </c>
      <c r="F1472" s="1250"/>
      <c r="G1472" s="1524"/>
      <c r="H1472" s="1713" t="str">
        <f>IF(I1464="","",HYPERLINK(INDEX(EUconst_BMlistSpecialJumpTable,MATCH(I1464,EUconst_BMlistNames,0)),INDEX(EUconst_BMlistSpecialReporting,MATCH(I1464,EUconst_BMlistNames,0))))</f>
        <v/>
      </c>
      <c r="I1472" s="1718"/>
      <c r="J1472" s="1718"/>
      <c r="K1472" s="1718"/>
      <c r="L1472" s="1718"/>
      <c r="M1472" s="1718"/>
      <c r="N1472" s="1719"/>
      <c r="O1472" s="25"/>
      <c r="P1472" s="966" t="s">
        <v>37</v>
      </c>
      <c r="Q1472" s="134" t="str">
        <f>IF(I1464="","",IF(AND(INDEX(EUconst_BMlistSpecialJumpTable,MATCH(I1464,EUconst_BMlistNames,0))&lt;&gt;"",INDEX(EUconst_BMlistMainNumberOfBM,MATCH(I1464,EUconst_BMlistNames,0))&lt;&gt;47),TRUE,FALSE))</f>
        <v/>
      </c>
      <c r="R1472" s="966" t="s">
        <v>574</v>
      </c>
      <c r="S1472" s="134" t="b">
        <f>IF(I1464="",FALSE,INDEX(CNTR_SubInstLess1Year,MATCH(I1464,CNTR_SubInstListNames,0)))</f>
        <v>0</v>
      </c>
    </row>
    <row r="1473" spans="1:27" ht="5.0999999999999996" customHeight="1" x14ac:dyDescent="0.2">
      <c r="B1473" s="224"/>
      <c r="C1473" s="224"/>
      <c r="D1473" s="224"/>
      <c r="E1473" s="224"/>
      <c r="F1473" s="224"/>
      <c r="G1473" s="224"/>
      <c r="H1473" s="224"/>
      <c r="I1473" s="224"/>
      <c r="J1473" s="224"/>
      <c r="K1473" s="224"/>
      <c r="L1473" s="224"/>
      <c r="M1473" s="224"/>
      <c r="N1473" s="224"/>
      <c r="O1473" s="25"/>
      <c r="P1473" s="955"/>
      <c r="R1473" s="955"/>
      <c r="S1473" s="955"/>
    </row>
    <row r="1474" spans="1:27" ht="12.75" customHeight="1" x14ac:dyDescent="0.2">
      <c r="B1474" s="38"/>
      <c r="C1474" s="38"/>
      <c r="D1474" s="32" t="s">
        <v>11</v>
      </c>
      <c r="E1474" s="1717" t="str">
        <f>Translations!$B$1663</f>
        <v>Elektroenerģijas patēriņš</v>
      </c>
      <c r="F1474" s="1717"/>
      <c r="G1474" s="1717"/>
      <c r="H1474" s="1717"/>
      <c r="I1474" s="1717"/>
      <c r="J1474" s="1717"/>
      <c r="K1474" s="1717"/>
      <c r="L1474" s="1717"/>
      <c r="M1474" s="1717"/>
      <c r="N1474" s="1717"/>
      <c r="O1474" s="25"/>
      <c r="P1474" s="20" t="s">
        <v>192</v>
      </c>
      <c r="Q1474" s="362" t="str">
        <f>"#"&amp;ADDRESS(ROW(D1478),COLUMN(D1478))</f>
        <v>#$D$1478</v>
      </c>
      <c r="R1474" s="955"/>
      <c r="S1474" s="955"/>
      <c r="AA1474" s="955"/>
    </row>
    <row r="1475" spans="1:27" s="697" customFormat="1" ht="13.5" thickBot="1" x14ac:dyDescent="0.25">
      <c r="A1475" s="437"/>
      <c r="B1475" s="414"/>
      <c r="C1475" s="414"/>
      <c r="D1475" s="32"/>
      <c r="E1475" s="1320" t="str">
        <f>Translations!$B$686</f>
        <v>Parametrs</v>
      </c>
      <c r="F1475" s="1275"/>
      <c r="G1475" s="1275"/>
      <c r="H1475" s="52" t="str">
        <f>EUconst_Unit</f>
        <v>Vienība</v>
      </c>
      <c r="I1475" s="412">
        <f>I1467</f>
        <v>2019</v>
      </c>
      <c r="J1475" s="412">
        <f>J1467</f>
        <v>2020</v>
      </c>
      <c r="K1475" s="412">
        <f>K1467</f>
        <v>2021</v>
      </c>
      <c r="L1475" s="412">
        <f>L1467</f>
        <v>2022</v>
      </c>
      <c r="M1475" s="412">
        <f>M1467</f>
        <v>2023</v>
      </c>
      <c r="N1475" s="34"/>
      <c r="O1475" s="25"/>
      <c r="P1475" s="437"/>
      <c r="Q1475" s="437"/>
      <c r="R1475" s="955"/>
      <c r="S1475" s="955"/>
      <c r="T1475" s="955"/>
      <c r="U1475" s="955"/>
      <c r="V1475" s="955"/>
      <c r="W1475" s="955"/>
      <c r="X1475" s="20"/>
      <c r="Y1475" s="20"/>
      <c r="Z1475" s="437"/>
      <c r="AA1475" s="955" t="s">
        <v>633</v>
      </c>
    </row>
    <row r="1476" spans="1:27" s="697" customFormat="1" ht="12.75" customHeight="1" thickBot="1" x14ac:dyDescent="0.25">
      <c r="A1476" s="437"/>
      <c r="B1476" s="414"/>
      <c r="C1476" s="414"/>
      <c r="D1476" s="440"/>
      <c r="E1476" s="1711" t="str">
        <f>Translations!$B$689</f>
        <v>Relevantais elektroenerģijas patēriņš</v>
      </c>
      <c r="F1476" s="1712"/>
      <c r="G1476" s="1712"/>
      <c r="H1476" s="610" t="str">
        <f>EUconst_MWhpa</f>
        <v>MWh / gads</v>
      </c>
      <c r="I1476" s="1102"/>
      <c r="J1476" s="1102"/>
      <c r="K1476" s="1102"/>
      <c r="L1476" s="1102"/>
      <c r="M1476" s="1102"/>
      <c r="N1476" s="34"/>
      <c r="O1476" s="25"/>
      <c r="P1476" s="202" t="str">
        <f>EUconst_CNTR_HAL&amp;EUconst_CNTR_ELEXCH</f>
        <v>HAL_ELEXCH_</v>
      </c>
      <c r="Q1476" s="202" t="str">
        <f>EUconst_CNTR_HAL&amp;EUconst_CNTR_ELEXCH &amp; I1464</f>
        <v>HAL_ELEXCH_</v>
      </c>
      <c r="R1476" s="955"/>
      <c r="S1476" s="955"/>
      <c r="T1476" s="955"/>
      <c r="U1476" s="955"/>
      <c r="V1476" s="955"/>
      <c r="W1476" s="955"/>
      <c r="X1476" s="20"/>
      <c r="Y1476" s="20"/>
      <c r="Z1476" s="437"/>
      <c r="AA1476" s="885" t="b">
        <f>IF(CNTR_ExistSubInstEntries,IF(I1464&lt;&gt;"",IF(INDEX(EUconst_BMlistElExchangability,MATCH(I1464,EUconst_BMlistNames,0)),FALSE,TRUE),TRUE),FALSE)</f>
        <v>0</v>
      </c>
    </row>
    <row r="1477" spans="1:27" ht="5.0999999999999996" customHeight="1" x14ac:dyDescent="0.2">
      <c r="B1477" s="224"/>
      <c r="C1477" s="224"/>
      <c r="D1477" s="224"/>
      <c r="E1477" s="224"/>
      <c r="F1477" s="224"/>
      <c r="G1477" s="224"/>
      <c r="H1477" s="224"/>
      <c r="I1477" s="224"/>
      <c r="J1477" s="224"/>
      <c r="K1477" s="224"/>
      <c r="L1477" s="224"/>
      <c r="M1477" s="34"/>
      <c r="N1477" s="34"/>
      <c r="O1477" s="25"/>
      <c r="P1477" s="955"/>
    </row>
    <row r="1478" spans="1:27" x14ac:dyDescent="0.2">
      <c r="B1478" s="224"/>
      <c r="C1478" s="224"/>
      <c r="D1478" s="32" t="s">
        <v>342</v>
      </c>
      <c r="E1478" s="1250" t="str">
        <f>Translations!$B$692</f>
        <v>No ETS neaptvertām iekārtām vai vienībām importētais siltums:</v>
      </c>
      <c r="F1478" s="1250"/>
      <c r="G1478" s="1250"/>
      <c r="H1478" s="1250"/>
      <c r="I1478" s="1524"/>
      <c r="J1478" s="1713" t="str">
        <f>IF(I1464="","",HYPERLINK(Q1478,EUconst_MsgGoOnIfNotRelevant))</f>
        <v/>
      </c>
      <c r="K1478" s="1714"/>
      <c r="L1478" s="1714"/>
      <c r="M1478" s="1714"/>
      <c r="N1478" s="1715"/>
      <c r="O1478" s="25"/>
      <c r="P1478" s="20" t="s">
        <v>192</v>
      </c>
      <c r="Q1478" s="362" t="str">
        <f>"#"&amp;ADDRESS(ROW(D1485),COLUMN(D1485))</f>
        <v>#$D$1485</v>
      </c>
    </row>
    <row r="1479" spans="1:27" ht="5.0999999999999996" customHeight="1" x14ac:dyDescent="0.2">
      <c r="B1479" s="224"/>
      <c r="C1479" s="224"/>
      <c r="D1479" s="34"/>
      <c r="E1479" s="1319"/>
      <c r="F1479" s="1319"/>
      <c r="G1479" s="1319"/>
      <c r="H1479" s="1319"/>
      <c r="I1479" s="1319"/>
      <c r="J1479" s="1319"/>
      <c r="K1479" s="1319"/>
      <c r="L1479" s="1319"/>
      <c r="M1479" s="1319"/>
      <c r="N1479" s="1319"/>
      <c r="O1479" s="25"/>
      <c r="P1479" s="955"/>
      <c r="R1479" s="955"/>
      <c r="S1479" s="955"/>
    </row>
    <row r="1480" spans="1:27" ht="13.5" thickBot="1" x14ac:dyDescent="0.25">
      <c r="B1480" s="38"/>
      <c r="C1480" s="38"/>
      <c r="D1480" s="32"/>
      <c r="E1480" s="1320" t="str">
        <f>Translations!$B$686</f>
        <v>Parametrs</v>
      </c>
      <c r="F1480" s="1275"/>
      <c r="G1480" s="1275"/>
      <c r="H1480" s="52" t="str">
        <f>EUconst_Unit</f>
        <v>Vienība</v>
      </c>
      <c r="I1480" s="412">
        <f>I1467</f>
        <v>2019</v>
      </c>
      <c r="J1480" s="412">
        <f>J1467</f>
        <v>2020</v>
      </c>
      <c r="K1480" s="412">
        <f>K1467</f>
        <v>2021</v>
      </c>
      <c r="L1480" s="412">
        <f>L1467</f>
        <v>2022</v>
      </c>
      <c r="M1480" s="412">
        <f>M1467</f>
        <v>2023</v>
      </c>
      <c r="N1480" s="34"/>
      <c r="O1480" s="25"/>
      <c r="Q1480" s="63"/>
      <c r="R1480" s="955"/>
      <c r="S1480" s="63">
        <f>I1480</f>
        <v>2019</v>
      </c>
      <c r="T1480" s="63">
        <f>J1480</f>
        <v>2020</v>
      </c>
      <c r="U1480" s="63">
        <f>K1480</f>
        <v>2021</v>
      </c>
      <c r="V1480" s="63">
        <f>L1480</f>
        <v>2022</v>
      </c>
      <c r="W1480" s="63">
        <f>M1480</f>
        <v>2023</v>
      </c>
      <c r="Z1480" s="63"/>
      <c r="AA1480" s="437" t="s">
        <v>262</v>
      </c>
    </row>
    <row r="1481" spans="1:27" ht="13.5" thickBot="1" x14ac:dyDescent="0.25">
      <c r="B1481" s="38"/>
      <c r="C1481" s="38"/>
      <c r="D1481" s="212" t="s">
        <v>2</v>
      </c>
      <c r="E1481" s="1517" t="str">
        <f>Translations!$B$697</f>
        <v>No ETS neaptvertām iekārtām/vienībām importēts izmērāmais siltums</v>
      </c>
      <c r="F1481" s="1517"/>
      <c r="G1481" s="1517"/>
      <c r="H1481" s="66" t="str">
        <f>EUconst_TJpa</f>
        <v>TJ / gads</v>
      </c>
      <c r="I1481" s="330"/>
      <c r="J1481" s="330"/>
      <c r="K1481" s="330"/>
      <c r="L1481" s="330"/>
      <c r="M1481" s="330"/>
      <c r="N1481" s="34"/>
      <c r="O1481" s="25"/>
      <c r="P1481" s="134" t="str">
        <f>EUconst_CNTR_HAL&amp;EUconst_CNTR_nonETSMeasHeat</f>
        <v>HAL_ETS neaptverts izmērāmais siltums</v>
      </c>
      <c r="R1481" s="955"/>
      <c r="S1481" s="454" t="str">
        <f>IF(S1464,IF(ISNUMBER(I1481),I1481,0),"")</f>
        <v/>
      </c>
      <c r="T1481" s="455" t="str">
        <f>IF(T1464,IF(ISNUMBER(J1481),J1481,0),"")</f>
        <v/>
      </c>
      <c r="U1481" s="455" t="str">
        <f>IF(U1464,IF(ISNUMBER(K1481),K1481,0),"")</f>
        <v/>
      </c>
      <c r="V1481" s="455" t="str">
        <f>IF(V1464,IF(ISNUMBER(L1481),L1481,0),"")</f>
        <v/>
      </c>
      <c r="W1481" s="456" t="str">
        <f>IF(W1464,IF(ISNUMBER(M1481),M1481,0),"")</f>
        <v/>
      </c>
      <c r="AA1481" s="643" t="b">
        <f>AND(CNTR_ExistSubInstEntries,I1464="")</f>
        <v>0</v>
      </c>
    </row>
    <row r="1482" spans="1:27" ht="25.5" customHeight="1" thickBot="1" x14ac:dyDescent="0.25">
      <c r="B1482" s="38"/>
      <c r="C1482" s="38"/>
      <c r="D1482" s="212" t="s">
        <v>3</v>
      </c>
      <c r="E1482" s="1541" t="str">
        <f>Translations!$B$698</f>
        <v>Konsekvences pārbaude — saskanība ar lapu “E_Energy flows”:</v>
      </c>
      <c r="F1482" s="1541"/>
      <c r="G1482" s="1541"/>
      <c r="H1482" s="45" t="s">
        <v>393</v>
      </c>
      <c r="I1482" s="317" t="str">
        <f>IF(AND(ISNUMBER(I1481),ISNUMBER(E_EnergyFlows!I$120)), I1481/E_EnergyFlows!I$120*100,"")</f>
        <v/>
      </c>
      <c r="J1482" s="317" t="str">
        <f>IF(AND(ISNUMBER(J1481),ISNUMBER(E_EnergyFlows!J$120)), J1481/E_EnergyFlows!J$120*100,"")</f>
        <v/>
      </c>
      <c r="K1482" s="317" t="str">
        <f>IF(AND(ISNUMBER(K1481),ISNUMBER(E_EnergyFlows!K$120)), K1481/E_EnergyFlows!K$120*100,"")</f>
        <v/>
      </c>
      <c r="L1482" s="317" t="str">
        <f>IF(AND(ISNUMBER(L1481),ISNUMBER(E_EnergyFlows!L$120)), L1481/E_EnergyFlows!L$120*100,"")</f>
        <v/>
      </c>
      <c r="M1482" s="317" t="str">
        <f>IF(AND(ISNUMBER(M1481),ISNUMBER(E_EnergyFlows!M$120)), M1481/E_EnergyFlows!M$120*100,"")</f>
        <v/>
      </c>
      <c r="N1482" s="38"/>
      <c r="O1482" s="25"/>
      <c r="P1482" s="182" t="str">
        <f>EUconst_CNTR_HEAT &amp; I1464</f>
        <v>HEAT_</v>
      </c>
      <c r="Q1482" s="315" t="str">
        <f>IF(COUNT(S1481:X1481)&gt;0,AVERAGE(S1481:X1481)*EUconst_HeatBMvalue,EUconst_NA)</f>
        <v>NA</v>
      </c>
      <c r="R1482" s="955"/>
      <c r="S1482" s="955"/>
      <c r="AA1482" s="607"/>
    </row>
    <row r="1483" spans="1:27" x14ac:dyDescent="0.2">
      <c r="B1483" s="38"/>
      <c r="C1483" s="38"/>
      <c r="D1483" s="212" t="s">
        <v>4</v>
      </c>
      <c r="E1483" s="1373" t="str">
        <f>Translations!$B$699</f>
        <v>Konsekvences pārbaude — saskanība ar k) punkta i. apakšpunktu.</v>
      </c>
      <c r="F1483" s="1550"/>
      <c r="G1483" s="1550"/>
      <c r="H1483" s="48" t="s">
        <v>393</v>
      </c>
      <c r="I1483" s="316" t="str">
        <f>IF(AND(I1559&gt;0,ISNUMBER(I1481)), I1481/I1559*100,"")</f>
        <v/>
      </c>
      <c r="J1483" s="316" t="str">
        <f>IF(AND(J1559&gt;0,ISNUMBER(J1481)), J1481/J1559*100,"")</f>
        <v/>
      </c>
      <c r="K1483" s="316" t="str">
        <f>IF(AND(K1559&gt;0,ISNUMBER(K1481)), K1481/K1559*100,"")</f>
        <v/>
      </c>
      <c r="L1483" s="316" t="str">
        <f>IF(AND(L1559&gt;0,ISNUMBER(L1481)), L1481/L1559*100,"")</f>
        <v/>
      </c>
      <c r="M1483" s="316" t="str">
        <f>IF(AND(M1559&gt;0,ISNUMBER(M1481)), M1481/M1559*100,"")</f>
        <v/>
      </c>
      <c r="N1483" s="38"/>
      <c r="O1483" s="25"/>
      <c r="R1483" s="955"/>
      <c r="S1483" s="955"/>
      <c r="AA1483" s="607"/>
    </row>
    <row r="1484" spans="1:27" ht="12.75" customHeight="1" x14ac:dyDescent="0.2">
      <c r="B1484" s="38"/>
      <c r="C1484" s="38"/>
      <c r="D1484" s="38"/>
      <c r="E1484" s="38"/>
      <c r="F1484" s="38"/>
      <c r="G1484" s="38"/>
      <c r="H1484" s="38"/>
      <c r="I1484" s="125"/>
      <c r="J1484" s="38"/>
      <c r="K1484" s="38"/>
      <c r="L1484" s="38"/>
      <c r="M1484" s="38"/>
      <c r="N1484" s="38"/>
      <c r="O1484" s="25"/>
      <c r="P1484" s="157"/>
      <c r="R1484" s="955"/>
      <c r="S1484" s="955"/>
      <c r="AA1484" s="607"/>
    </row>
    <row r="1485" spans="1:27" ht="15" x14ac:dyDescent="0.2">
      <c r="B1485" s="38"/>
      <c r="C1485" s="972"/>
      <c r="D1485" s="1318" t="str">
        <f>Translations!$B$700</f>
        <v>Ražošanas dati</v>
      </c>
      <c r="E1485" s="1251"/>
      <c r="F1485" s="1251"/>
      <c r="G1485" s="1251"/>
      <c r="H1485" s="1251"/>
      <c r="I1485" s="1251"/>
      <c r="J1485" s="1251"/>
      <c r="K1485" s="1251"/>
      <c r="L1485" s="1251"/>
      <c r="M1485" s="1251"/>
      <c r="N1485" s="1251"/>
      <c r="O1485" s="25"/>
      <c r="R1485" s="955"/>
      <c r="S1485" s="955"/>
      <c r="AA1485" s="607"/>
    </row>
    <row r="1486" spans="1:27" ht="5.0999999999999996" customHeight="1" x14ac:dyDescent="0.2">
      <c r="B1486" s="224"/>
      <c r="C1486" s="224"/>
      <c r="D1486" s="224"/>
      <c r="E1486" s="224"/>
      <c r="F1486" s="224"/>
      <c r="G1486" s="224"/>
      <c r="H1486" s="224"/>
      <c r="I1486" s="224"/>
      <c r="J1486" s="224"/>
      <c r="K1486" s="224"/>
      <c r="L1486" s="224"/>
      <c r="M1486" s="224"/>
      <c r="N1486" s="224"/>
      <c r="O1486" s="25"/>
      <c r="P1486" s="955"/>
      <c r="Q1486" s="955"/>
      <c r="R1486" s="955"/>
      <c r="S1486" s="955"/>
      <c r="AA1486" s="607"/>
    </row>
    <row r="1487" spans="1:27" x14ac:dyDescent="0.2">
      <c r="B1487" s="224"/>
      <c r="C1487" s="32"/>
      <c r="D1487" s="32" t="s">
        <v>12</v>
      </c>
      <c r="E1487" s="1250" t="str">
        <f>Translations!$B$701</f>
        <v>Šajā produkta līmeņatzīmes apakšiekārtā ietverto produktu identificēšana</v>
      </c>
      <c r="F1487" s="1251"/>
      <c r="G1487" s="1251"/>
      <c r="H1487" s="1251"/>
      <c r="I1487" s="1251"/>
      <c r="J1487" s="1251"/>
      <c r="K1487" s="1251"/>
      <c r="L1487" s="1251"/>
      <c r="M1487" s="1251"/>
      <c r="N1487" s="1251"/>
      <c r="O1487" s="25"/>
      <c r="P1487" s="955"/>
      <c r="R1487" s="955"/>
      <c r="S1487" s="955"/>
      <c r="AA1487" s="607"/>
    </row>
    <row r="1488" spans="1:27" ht="5.0999999999999996" customHeight="1" x14ac:dyDescent="0.2">
      <c r="B1488" s="224"/>
      <c r="C1488" s="224"/>
      <c r="D1488" s="224"/>
      <c r="E1488" s="224"/>
      <c r="F1488" s="224"/>
      <c r="G1488" s="224"/>
      <c r="H1488" s="224"/>
      <c r="I1488" s="224"/>
      <c r="J1488" s="224"/>
      <c r="K1488" s="224"/>
      <c r="L1488" s="224"/>
      <c r="M1488" s="224"/>
      <c r="N1488" s="224"/>
      <c r="O1488" s="25"/>
      <c r="P1488" s="955"/>
      <c r="Q1488" s="955"/>
      <c r="R1488" s="955"/>
      <c r="S1488" s="955"/>
      <c r="AA1488" s="607"/>
    </row>
    <row r="1489" spans="2:27" x14ac:dyDescent="0.2">
      <c r="B1489" s="224"/>
      <c r="C1489" s="32"/>
      <c r="D1489" s="32" t="s">
        <v>13</v>
      </c>
      <c r="E1489" s="1250" t="str">
        <f>Translations!$B$706</f>
        <v>Šajā produkta līmeņatzīmes apakšiekārtā ietverto produktu atsevišķie ražošanas līmeņi</v>
      </c>
      <c r="F1489" s="1251"/>
      <c r="G1489" s="1251"/>
      <c r="H1489" s="1251"/>
      <c r="I1489" s="1251"/>
      <c r="J1489" s="1251"/>
      <c r="K1489" s="1251"/>
      <c r="L1489" s="1251"/>
      <c r="M1489" s="1251"/>
      <c r="N1489" s="1251"/>
      <c r="O1489" s="25"/>
      <c r="P1489" s="955"/>
      <c r="R1489" s="955"/>
      <c r="S1489" s="955"/>
      <c r="AA1489" s="607"/>
    </row>
    <row r="1490" spans="2:27" ht="5.0999999999999996" customHeight="1" x14ac:dyDescent="0.2">
      <c r="B1490" s="224"/>
      <c r="C1490" s="224"/>
      <c r="D1490" s="34"/>
      <c r="E1490" s="35"/>
      <c r="F1490" s="35"/>
      <c r="G1490" s="35"/>
      <c r="H1490" s="35"/>
      <c r="I1490" s="35"/>
      <c r="J1490" s="39"/>
      <c r="K1490" s="39"/>
      <c r="L1490" s="39"/>
      <c r="M1490" s="34"/>
      <c r="N1490" s="34"/>
      <c r="O1490" s="25"/>
      <c r="P1490" s="955"/>
      <c r="R1490" s="955"/>
      <c r="S1490" s="955"/>
      <c r="AA1490" s="607"/>
    </row>
    <row r="1491" spans="2:27" ht="25.5" customHeight="1" x14ac:dyDescent="0.2">
      <c r="B1491" s="38"/>
      <c r="C1491" s="38"/>
      <c r="D1491" s="360"/>
      <c r="E1491" s="1121" t="str">
        <f>Translations!$B$1668</f>
        <v>PRODCOM 2010</v>
      </c>
      <c r="F1491" s="1703" t="str">
        <f>Translations!$B$707</f>
        <v>Produkta vai produktu grupas nosaukums</v>
      </c>
      <c r="G1491" s="1704"/>
      <c r="H1491" s="1129" t="str">
        <f>EUconst_Unit</f>
        <v>Vienība</v>
      </c>
      <c r="I1491" s="1130">
        <f>I$1820</f>
        <v>2019</v>
      </c>
      <c r="J1491" s="1130">
        <f>J$1820</f>
        <v>2020</v>
      </c>
      <c r="K1491" s="1130">
        <f>K$1820</f>
        <v>2021</v>
      </c>
      <c r="L1491" s="1130">
        <f>L$1820</f>
        <v>2022</v>
      </c>
      <c r="M1491" s="1130">
        <f>M$1820</f>
        <v>2023</v>
      </c>
      <c r="N1491" s="1131" t="str">
        <f>Translations!$B$1669</f>
        <v>KN kodi</v>
      </c>
      <c r="O1491" s="25"/>
      <c r="R1491" s="955"/>
      <c r="S1491" s="955"/>
      <c r="AA1491" s="607"/>
    </row>
    <row r="1492" spans="2:27" x14ac:dyDescent="0.2">
      <c r="B1492" s="38"/>
      <c r="C1492" s="38"/>
      <c r="D1492" s="55">
        <v>1</v>
      </c>
      <c r="E1492" s="1199"/>
      <c r="F1492" s="1705"/>
      <c r="G1492" s="1706"/>
      <c r="H1492" s="800"/>
      <c r="I1492" s="484"/>
      <c r="J1492" s="484"/>
      <c r="K1492" s="484"/>
      <c r="L1492" s="484"/>
      <c r="M1492" s="484"/>
      <c r="N1492" s="1145"/>
      <c r="O1492" s="25"/>
      <c r="R1492" s="955"/>
      <c r="S1492" s="955"/>
      <c r="AA1492" s="361" t="b">
        <f>AA1481</f>
        <v>0</v>
      </c>
    </row>
    <row r="1493" spans="2:27" x14ac:dyDescent="0.2">
      <c r="B1493" s="38"/>
      <c r="C1493" s="38"/>
      <c r="D1493" s="56">
        <f>D1492+1</f>
        <v>2</v>
      </c>
      <c r="E1493" s="1200"/>
      <c r="F1493" s="1707"/>
      <c r="G1493" s="1708"/>
      <c r="H1493" s="573"/>
      <c r="I1493" s="557"/>
      <c r="J1493" s="557"/>
      <c r="K1493" s="557"/>
      <c r="L1493" s="557"/>
      <c r="M1493" s="557"/>
      <c r="N1493" s="1146"/>
      <c r="O1493" s="25"/>
      <c r="R1493" s="955"/>
      <c r="S1493" s="955"/>
      <c r="AA1493" s="361" t="b">
        <f>AA1492</f>
        <v>0</v>
      </c>
    </row>
    <row r="1494" spans="2:27" x14ac:dyDescent="0.2">
      <c r="B1494" s="38"/>
      <c r="C1494" s="38"/>
      <c r="D1494" s="56">
        <f t="shared" ref="D1494:D1501" si="16">D1493+1</f>
        <v>3</v>
      </c>
      <c r="E1494" s="1200"/>
      <c r="F1494" s="1691"/>
      <c r="G1494" s="1692"/>
      <c r="H1494" s="573"/>
      <c r="I1494" s="557"/>
      <c r="J1494" s="557"/>
      <c r="K1494" s="557"/>
      <c r="L1494" s="557"/>
      <c r="M1494" s="557"/>
      <c r="N1494" s="1147"/>
      <c r="O1494" s="25"/>
      <c r="R1494" s="955"/>
      <c r="S1494" s="955"/>
      <c r="AA1494" s="361" t="b">
        <f t="shared" ref="AA1494:AA1502" si="17">AA1493</f>
        <v>0</v>
      </c>
    </row>
    <row r="1495" spans="2:27" x14ac:dyDescent="0.2">
      <c r="B1495" s="38"/>
      <c r="C1495" s="38"/>
      <c r="D1495" s="56">
        <f t="shared" si="16"/>
        <v>4</v>
      </c>
      <c r="E1495" s="1200"/>
      <c r="F1495" s="1691"/>
      <c r="G1495" s="1692"/>
      <c r="H1495" s="573"/>
      <c r="I1495" s="557"/>
      <c r="J1495" s="557"/>
      <c r="K1495" s="557"/>
      <c r="L1495" s="557"/>
      <c r="M1495" s="557"/>
      <c r="N1495" s="1147"/>
      <c r="O1495" s="25"/>
      <c r="R1495" s="955"/>
      <c r="S1495" s="955"/>
      <c r="AA1495" s="361" t="b">
        <f t="shared" si="17"/>
        <v>0</v>
      </c>
    </row>
    <row r="1496" spans="2:27" x14ac:dyDescent="0.2">
      <c r="B1496" s="38"/>
      <c r="C1496" s="38"/>
      <c r="D1496" s="56">
        <f t="shared" si="16"/>
        <v>5</v>
      </c>
      <c r="E1496" s="1200"/>
      <c r="F1496" s="1691"/>
      <c r="G1496" s="1692"/>
      <c r="H1496" s="573"/>
      <c r="I1496" s="557"/>
      <c r="J1496" s="557"/>
      <c r="K1496" s="557"/>
      <c r="L1496" s="557"/>
      <c r="M1496" s="557"/>
      <c r="N1496" s="1147"/>
      <c r="O1496" s="25"/>
      <c r="R1496" s="955"/>
      <c r="S1496" s="955"/>
      <c r="AA1496" s="361" t="b">
        <f t="shared" si="17"/>
        <v>0</v>
      </c>
    </row>
    <row r="1497" spans="2:27" x14ac:dyDescent="0.2">
      <c r="B1497" s="38"/>
      <c r="C1497" s="38"/>
      <c r="D1497" s="56">
        <f t="shared" si="16"/>
        <v>6</v>
      </c>
      <c r="E1497" s="1200"/>
      <c r="F1497" s="1691"/>
      <c r="G1497" s="1692"/>
      <c r="H1497" s="573"/>
      <c r="I1497" s="557"/>
      <c r="J1497" s="557"/>
      <c r="K1497" s="557"/>
      <c r="L1497" s="557"/>
      <c r="M1497" s="557"/>
      <c r="N1497" s="1146"/>
      <c r="O1497" s="25"/>
      <c r="R1497" s="955"/>
      <c r="S1497" s="955"/>
      <c r="AA1497" s="361" t="b">
        <f t="shared" si="17"/>
        <v>0</v>
      </c>
    </row>
    <row r="1498" spans="2:27" x14ac:dyDescent="0.2">
      <c r="B1498" s="38"/>
      <c r="C1498" s="38"/>
      <c r="D1498" s="56">
        <f t="shared" si="16"/>
        <v>7</v>
      </c>
      <c r="E1498" s="1200"/>
      <c r="F1498" s="1691"/>
      <c r="G1498" s="1692"/>
      <c r="H1498" s="573"/>
      <c r="I1498" s="557"/>
      <c r="J1498" s="557"/>
      <c r="K1498" s="557"/>
      <c r="L1498" s="557"/>
      <c r="M1498" s="557"/>
      <c r="N1498" s="1147"/>
      <c r="O1498" s="25"/>
      <c r="R1498" s="955"/>
      <c r="S1498" s="955"/>
      <c r="AA1498" s="361" t="b">
        <f t="shared" si="17"/>
        <v>0</v>
      </c>
    </row>
    <row r="1499" spans="2:27" x14ac:dyDescent="0.2">
      <c r="B1499" s="38"/>
      <c r="C1499" s="38"/>
      <c r="D1499" s="56">
        <f t="shared" si="16"/>
        <v>8</v>
      </c>
      <c r="E1499" s="1200"/>
      <c r="F1499" s="1691"/>
      <c r="G1499" s="1692"/>
      <c r="H1499" s="573"/>
      <c r="I1499" s="557"/>
      <c r="J1499" s="557"/>
      <c r="K1499" s="557"/>
      <c r="L1499" s="557"/>
      <c r="M1499" s="557"/>
      <c r="N1499" s="1147"/>
      <c r="O1499" s="25"/>
      <c r="R1499" s="955"/>
      <c r="S1499" s="955"/>
      <c r="AA1499" s="361" t="b">
        <f t="shared" si="17"/>
        <v>0</v>
      </c>
    </row>
    <row r="1500" spans="2:27" x14ac:dyDescent="0.2">
      <c r="B1500" s="38"/>
      <c r="C1500" s="38"/>
      <c r="D1500" s="56">
        <f t="shared" si="16"/>
        <v>9</v>
      </c>
      <c r="E1500" s="1200"/>
      <c r="F1500" s="1691"/>
      <c r="G1500" s="1692"/>
      <c r="H1500" s="573"/>
      <c r="I1500" s="557"/>
      <c r="J1500" s="557"/>
      <c r="K1500" s="557"/>
      <c r="L1500" s="557"/>
      <c r="M1500" s="557"/>
      <c r="N1500" s="1147"/>
      <c r="O1500" s="25"/>
      <c r="R1500" s="955"/>
      <c r="S1500" s="955"/>
      <c r="AA1500" s="361" t="b">
        <f t="shared" si="17"/>
        <v>0</v>
      </c>
    </row>
    <row r="1501" spans="2:27" x14ac:dyDescent="0.2">
      <c r="B1501" s="38"/>
      <c r="C1501" s="38"/>
      <c r="D1501" s="59">
        <f t="shared" si="16"/>
        <v>10</v>
      </c>
      <c r="E1501" s="1201"/>
      <c r="F1501" s="1694"/>
      <c r="G1501" s="1695"/>
      <c r="H1501" s="574"/>
      <c r="I1501" s="458"/>
      <c r="J1501" s="458"/>
      <c r="K1501" s="458"/>
      <c r="L1501" s="458"/>
      <c r="M1501" s="458"/>
      <c r="N1501" s="1148"/>
      <c r="O1501" s="25"/>
      <c r="R1501" s="955"/>
      <c r="S1501" s="955"/>
      <c r="AA1501" s="361" t="b">
        <f t="shared" si="17"/>
        <v>0</v>
      </c>
    </row>
    <row r="1502" spans="2:27" ht="12.75" customHeight="1" thickBot="1" x14ac:dyDescent="0.25">
      <c r="B1502" s="38"/>
      <c r="C1502" s="38"/>
      <c r="D1502" s="115"/>
      <c r="E1502" s="1696" t="str">
        <f>Translations!$B$708</f>
        <v>Ražošanas līmeņu summa</v>
      </c>
      <c r="F1502" s="1696"/>
      <c r="G1502" s="1696"/>
      <c r="H1502" s="733"/>
      <c r="I1502" s="343" t="str">
        <f>IF(COUNT(I1492:I1501)&gt;0,SUM(I1492:I1501),"")</f>
        <v/>
      </c>
      <c r="J1502" s="343" t="str">
        <f>IF(COUNT(J1492:J1501)&gt;0,SUM(J1492:J1501),"")</f>
        <v/>
      </c>
      <c r="K1502" s="343" t="str">
        <f>IF(COUNT(K1492:K1501)&gt;0,SUM(K1492:K1501),"")</f>
        <v/>
      </c>
      <c r="L1502" s="343" t="str">
        <f>IF(COUNT(L1492:L1501)&gt;0,SUM(L1492:L1501),"")</f>
        <v/>
      </c>
      <c r="M1502" s="343" t="str">
        <f>IF(COUNT(M1492:M1501)&gt;0,SUM(M1492:M1501),"")</f>
        <v/>
      </c>
      <c r="N1502" s="34"/>
      <c r="O1502" s="25"/>
      <c r="R1502" s="955"/>
      <c r="S1502" s="955"/>
      <c r="AA1502" s="186" t="b">
        <f t="shared" si="17"/>
        <v>0</v>
      </c>
    </row>
    <row r="1503" spans="2:27" ht="12.75" customHeight="1" thickBot="1" x14ac:dyDescent="0.25">
      <c r="B1503" s="224"/>
      <c r="C1503" s="224"/>
      <c r="D1503" s="224"/>
      <c r="E1503" s="224"/>
      <c r="F1503" s="224"/>
      <c r="G1503" s="224"/>
      <c r="H1503" s="224"/>
      <c r="I1503" s="224"/>
      <c r="J1503" s="224"/>
      <c r="K1503" s="224"/>
      <c r="L1503" s="224"/>
      <c r="M1503" s="34"/>
      <c r="N1503" s="34"/>
      <c r="O1503" s="25"/>
      <c r="P1503" s="955"/>
      <c r="R1503" s="955"/>
      <c r="S1503" s="955"/>
    </row>
    <row r="1504" spans="2:27" ht="5.0999999999999996" customHeight="1" x14ac:dyDescent="0.2">
      <c r="B1504" s="224"/>
      <c r="C1504" s="973"/>
      <c r="D1504" s="974"/>
      <c r="E1504" s="974"/>
      <c r="F1504" s="974"/>
      <c r="G1504" s="974"/>
      <c r="H1504" s="974"/>
      <c r="I1504" s="974"/>
      <c r="J1504" s="974"/>
      <c r="K1504" s="974"/>
      <c r="L1504" s="974"/>
      <c r="M1504" s="975"/>
      <c r="N1504" s="976"/>
      <c r="O1504" s="25"/>
      <c r="P1504" s="955"/>
      <c r="R1504" s="955"/>
      <c r="S1504" s="955"/>
    </row>
    <row r="1505" spans="2:23" ht="15" customHeight="1" x14ac:dyDescent="0.2">
      <c r="B1505" s="38"/>
      <c r="C1505" s="977"/>
      <c r="D1505" s="1697" t="str">
        <f>Translations!$B$709</f>
        <v>Dati, kas vajadzīgi, lai noteiktu līmeņatzīmju uzlabošanas rādītāju saskaņā ar ES ETS direktīvas 10.a panta 2. punktu.</v>
      </c>
      <c r="E1505" s="1655"/>
      <c r="F1505" s="1655"/>
      <c r="G1505" s="1655"/>
      <c r="H1505" s="1655"/>
      <c r="I1505" s="1655"/>
      <c r="J1505" s="1655"/>
      <c r="K1505" s="1655"/>
      <c r="L1505" s="1655"/>
      <c r="M1505" s="1655"/>
      <c r="N1505" s="1656"/>
      <c r="O1505" s="25"/>
      <c r="R1505" s="955"/>
      <c r="S1505" s="955"/>
    </row>
    <row r="1506" spans="2:23" ht="5.0999999999999996" customHeight="1" x14ac:dyDescent="0.2">
      <c r="B1506" s="38"/>
      <c r="C1506" s="472"/>
      <c r="D1506" s="461"/>
      <c r="E1506" s="461"/>
      <c r="F1506" s="461"/>
      <c r="G1506" s="461"/>
      <c r="H1506" s="461"/>
      <c r="I1506" s="461"/>
      <c r="J1506" s="461"/>
      <c r="K1506" s="461"/>
      <c r="L1506" s="461"/>
      <c r="M1506" s="461"/>
      <c r="N1506" s="473"/>
      <c r="O1506" s="25"/>
      <c r="R1506" s="955"/>
      <c r="S1506" s="955"/>
    </row>
    <row r="1507" spans="2:23" ht="15" customHeight="1" x14ac:dyDescent="0.2">
      <c r="B1507" s="38"/>
      <c r="C1507" s="472"/>
      <c r="D1507" s="1698" t="str">
        <f>EUconst_BMSubinst &amp; ":"</f>
        <v>Apakšiekārta ar produkta līmeņatzīmi:</v>
      </c>
      <c r="E1507" s="1699"/>
      <c r="F1507" s="1699"/>
      <c r="G1507" s="1699"/>
      <c r="H1507" s="1700"/>
      <c r="I1507" s="1701" t="str">
        <f>I1464</f>
        <v/>
      </c>
      <c r="J1507" s="1457"/>
      <c r="K1507" s="1457"/>
      <c r="L1507" s="1457"/>
      <c r="M1507" s="1457"/>
      <c r="N1507" s="1702"/>
      <c r="O1507" s="25"/>
      <c r="R1507" s="955"/>
      <c r="S1507" s="955"/>
    </row>
    <row r="1508" spans="2:23" ht="5.0999999999999996" customHeight="1" x14ac:dyDescent="0.2">
      <c r="B1508" s="38"/>
      <c r="C1508" s="472"/>
      <c r="D1508" s="461"/>
      <c r="E1508" s="461"/>
      <c r="F1508" s="461"/>
      <c r="G1508" s="461"/>
      <c r="H1508" s="461"/>
      <c r="I1508" s="461"/>
      <c r="J1508" s="461"/>
      <c r="K1508" s="461"/>
      <c r="L1508" s="461"/>
      <c r="M1508" s="461"/>
      <c r="N1508" s="473"/>
      <c r="O1508" s="25"/>
      <c r="R1508" s="955"/>
      <c r="S1508" s="955"/>
    </row>
    <row r="1509" spans="2:23" ht="30" customHeight="1" x14ac:dyDescent="0.2">
      <c r="B1509" s="224"/>
      <c r="C1509" s="977"/>
      <c r="D1509" s="978"/>
      <c r="E1509" s="1670" t="str">
        <f>Translations!$B$710</f>
        <v>Šī apakšsadaļa attiecas uz tādu emisiju attiecināšanu, kas saistītas ar avota plūsmām, emisiju avotiem, izmērāma siltuma un atlikumgāzu importu un eksportu, arī siltuma zudumiem saskaņā ar FAR VII pielikuma 10. iedaļu.</v>
      </c>
      <c r="F1509" s="1670"/>
      <c r="G1509" s="1670"/>
      <c r="H1509" s="1670"/>
      <c r="I1509" s="1670"/>
      <c r="J1509" s="1670"/>
      <c r="K1509" s="1670"/>
      <c r="L1509" s="1670"/>
      <c r="M1509" s="1670"/>
      <c r="N1509" s="698"/>
      <c r="O1509" s="25"/>
      <c r="P1509" s="955"/>
    </row>
    <row r="1510" spans="2:23" ht="30" customHeight="1" x14ac:dyDescent="0.2">
      <c r="B1510" s="224"/>
      <c r="C1510" s="977"/>
      <c r="D1510" s="978"/>
      <c r="E1510" s="1670" t="str">
        <f>Translations!$B$711</f>
        <v xml:space="preserve">Ņemiet vērā, ka, lai gan ir sniegti daži norādījumi par katru no nākamajiem punktiem, papildu informācija būtu jāmeklē Norādījumu dokumentā Nr. 5 (“Monitoring and Reporting in relation to the FAR” — “Ar FAR saistītais monitorings un ziņošana”), kurā ietverti arī piemēri. </v>
      </c>
      <c r="F1510" s="1670"/>
      <c r="G1510" s="1670"/>
      <c r="H1510" s="1670"/>
      <c r="I1510" s="1670"/>
      <c r="J1510" s="1670"/>
      <c r="K1510" s="1670"/>
      <c r="L1510" s="1670"/>
      <c r="M1510" s="1670"/>
      <c r="N1510" s="698"/>
      <c r="O1510" s="25"/>
      <c r="P1510" s="955"/>
    </row>
    <row r="1511" spans="2:23" ht="12.75" customHeight="1" x14ac:dyDescent="0.2">
      <c r="B1511" s="224"/>
      <c r="C1511" s="977"/>
      <c r="D1511" s="978"/>
      <c r="E1511" s="1670" t="str">
        <f>Translations!$B$712</f>
        <v xml:space="preserve">Šos norādījumus var lejupielādēt šeit: </v>
      </c>
      <c r="F1511" s="1268"/>
      <c r="G1511" s="1268"/>
      <c r="H1511" s="1268"/>
      <c r="I1511" s="1268"/>
      <c r="J1511" s="1268"/>
      <c r="K1511" s="1268"/>
      <c r="L1511" s="1268"/>
      <c r="M1511" s="1268"/>
      <c r="N1511" s="698"/>
      <c r="O1511" s="25"/>
      <c r="P1511" s="955"/>
    </row>
    <row r="1512" spans="2:23" ht="15" customHeight="1" x14ac:dyDescent="0.2">
      <c r="B1512" s="224"/>
      <c r="C1512" s="977"/>
      <c r="D1512" s="978"/>
      <c r="E1512" s="1549" t="str">
        <f>Translations!$B$713</f>
        <v>https://ec.europa.eu/clima/policies/ets/allowances_en#tab-0-1</v>
      </c>
      <c r="F1512" s="1549"/>
      <c r="G1512" s="1549"/>
      <c r="H1512" s="1549"/>
      <c r="I1512" s="1549"/>
      <c r="J1512" s="1549"/>
      <c r="K1512" s="1549"/>
      <c r="L1512" s="1549"/>
      <c r="M1512" s="1549"/>
      <c r="N1512" s="698"/>
      <c r="O1512" s="25"/>
      <c r="P1512" s="955"/>
    </row>
    <row r="1513" spans="2:23" ht="5.0999999999999996" customHeight="1" x14ac:dyDescent="0.2">
      <c r="B1513" s="38"/>
      <c r="C1513" s="472"/>
      <c r="D1513" s="461"/>
      <c r="E1513" s="461"/>
      <c r="F1513" s="461"/>
      <c r="G1513" s="461"/>
      <c r="H1513" s="461"/>
      <c r="I1513" s="461"/>
      <c r="J1513" s="461"/>
      <c r="K1513" s="461"/>
      <c r="L1513" s="461"/>
      <c r="M1513" s="461"/>
      <c r="N1513" s="473"/>
      <c r="O1513" s="25"/>
      <c r="R1513" s="955"/>
      <c r="S1513" s="955"/>
    </row>
    <row r="1514" spans="2:23" ht="15" customHeight="1" x14ac:dyDescent="0.2">
      <c r="B1514" s="224"/>
      <c r="C1514" s="977"/>
      <c r="D1514" s="978"/>
      <c r="E1514" s="1693" t="str">
        <f>Translations!$B$714</f>
        <v>Balstoties uz tālāk izdarītajiem ierakstiem, attiecināmās emisijas tiek aprēķinātas kopsavilkuma lapas K III sadaļas 2. punktā.</v>
      </c>
      <c r="F1514" s="1693"/>
      <c r="G1514" s="1693"/>
      <c r="H1514" s="1693"/>
      <c r="I1514" s="1693"/>
      <c r="J1514" s="1693"/>
      <c r="K1514" s="1693"/>
      <c r="L1514" s="1693"/>
      <c r="M1514" s="1693"/>
      <c r="N1514" s="698"/>
      <c r="O1514" s="25"/>
      <c r="P1514" s="955"/>
    </row>
    <row r="1515" spans="2:23" ht="5.0999999999999996" customHeight="1" x14ac:dyDescent="0.2">
      <c r="B1515" s="38"/>
      <c r="C1515" s="472"/>
      <c r="D1515" s="461"/>
      <c r="E1515" s="461"/>
      <c r="F1515" s="461"/>
      <c r="G1515" s="461"/>
      <c r="H1515" s="461"/>
      <c r="I1515" s="461"/>
      <c r="J1515" s="461"/>
      <c r="K1515" s="461"/>
      <c r="L1515" s="461"/>
      <c r="M1515" s="461"/>
      <c r="N1515" s="473"/>
      <c r="O1515" s="25"/>
      <c r="R1515" s="955"/>
      <c r="S1515" s="955"/>
    </row>
    <row r="1516" spans="2:23" ht="12.75" customHeight="1" thickBot="1" x14ac:dyDescent="0.25">
      <c r="B1516" s="224"/>
      <c r="C1516" s="977"/>
      <c r="D1516" s="474" t="s">
        <v>81</v>
      </c>
      <c r="E1516" s="1654" t="str">
        <f>Translations!$B$715</f>
        <v>Uz šo apakšiekārtu tieši attiecināmas emisijas (DirEm* (MP avota plūsmas))</v>
      </c>
      <c r="F1516" s="1655"/>
      <c r="G1516" s="1655"/>
      <c r="H1516" s="1655"/>
      <c r="I1516" s="1655"/>
      <c r="J1516" s="1655"/>
      <c r="K1516" s="1655"/>
      <c r="L1516" s="1655"/>
      <c r="M1516" s="1655"/>
      <c r="N1516" s="1656"/>
      <c r="O1516" s="25"/>
      <c r="P1516" s="955"/>
      <c r="R1516" s="955"/>
      <c r="S1516" s="955"/>
    </row>
    <row r="1517" spans="2:23" ht="12.75" customHeight="1" x14ac:dyDescent="0.2">
      <c r="B1517" s="224"/>
      <c r="C1517" s="977"/>
      <c r="D1517" s="474"/>
      <c r="E1517" s="1653" t="str">
        <f>Translations!$B$725</f>
        <v>Tieši attiecināmās emisijas (DirEm*)</v>
      </c>
      <c r="F1517" s="1657"/>
      <c r="G1517" s="1657"/>
      <c r="H1517" s="462" t="str">
        <f>EUconst_Unit</f>
        <v>Vienība</v>
      </c>
      <c r="I1517" s="463">
        <f>I$1820</f>
        <v>2019</v>
      </c>
      <c r="J1517" s="463">
        <f>J$1820</f>
        <v>2020</v>
      </c>
      <c r="K1517" s="463">
        <f>K$1820</f>
        <v>2021</v>
      </c>
      <c r="L1517" s="463">
        <f>L$1820</f>
        <v>2022</v>
      </c>
      <c r="M1517" s="463">
        <f>M$1820</f>
        <v>2023</v>
      </c>
      <c r="N1517" s="661"/>
      <c r="O1517" s="25"/>
      <c r="P1517" s="955"/>
      <c r="R1517" s="970"/>
      <c r="S1517" s="809">
        <f>I1517</f>
        <v>2019</v>
      </c>
      <c r="T1517" s="809">
        <f>J1517</f>
        <v>2020</v>
      </c>
      <c r="U1517" s="809">
        <f>K1517</f>
        <v>2021</v>
      </c>
      <c r="V1517" s="809">
        <f>L1517</f>
        <v>2022</v>
      </c>
      <c r="W1517" s="810">
        <f>M1517</f>
        <v>2023</v>
      </c>
    </row>
    <row r="1518" spans="2:23" ht="12.75" customHeight="1" thickBot="1" x14ac:dyDescent="0.25">
      <c r="B1518" s="224"/>
      <c r="C1518" s="977"/>
      <c r="D1518" s="978"/>
      <c r="E1518" s="1689" t="str">
        <f>I1464</f>
        <v/>
      </c>
      <c r="F1518" s="1689"/>
      <c r="G1518" s="1689"/>
      <c r="H1518" s="464" t="str">
        <f>EUconst_tCO2epa</f>
        <v>t CO2e/gads</v>
      </c>
      <c r="I1518" s="330"/>
      <c r="J1518" s="330"/>
      <c r="K1518" s="330"/>
      <c r="L1518" s="330"/>
      <c r="M1518" s="330"/>
      <c r="N1518" s="661"/>
      <c r="O1518" s="25"/>
      <c r="P1518" s="979" t="str">
        <f>EUconst_CNTR_Emissions &amp; I1464</f>
        <v>DirEmissions_</v>
      </c>
      <c r="R1518" s="971" t="str">
        <f>EUconst_CNTR_AttributedEmissions &amp; I1464</f>
        <v>AttrEmissions_</v>
      </c>
      <c r="S1518" s="137" t="str">
        <f>IF(S1464,SUM(I1518),"")</f>
        <v/>
      </c>
      <c r="T1518" s="137" t="str">
        <f>IF(T1464,SUM(J1518),"")</f>
        <v/>
      </c>
      <c r="U1518" s="137" t="str">
        <f>IF(U1464,SUM(K1518),"")</f>
        <v/>
      </c>
      <c r="V1518" s="137" t="str">
        <f>IF(V1464,SUM(L1518),"")</f>
        <v/>
      </c>
      <c r="W1518" s="138" t="str">
        <f>IF(W1464,SUM(M1518),"")</f>
        <v/>
      </c>
    </row>
    <row r="1519" spans="2:23" ht="12.75" customHeight="1" x14ac:dyDescent="0.2">
      <c r="B1519" s="224"/>
      <c r="C1519" s="977"/>
      <c r="D1519" s="978"/>
      <c r="E1519" s="978"/>
      <c r="F1519" s="978"/>
      <c r="G1519" s="978"/>
      <c r="H1519" s="978"/>
      <c r="I1519" s="978"/>
      <c r="J1519" s="978"/>
      <c r="K1519" s="978"/>
      <c r="L1519" s="978"/>
      <c r="M1519" s="980"/>
      <c r="N1519" s="661"/>
      <c r="O1519" s="25"/>
      <c r="P1519" s="955"/>
      <c r="R1519" s="955"/>
    </row>
    <row r="1520" spans="2:23" ht="12.75" customHeight="1" x14ac:dyDescent="0.2">
      <c r="B1520" s="224"/>
      <c r="C1520" s="977"/>
      <c r="D1520" s="474" t="s">
        <v>82</v>
      </c>
      <c r="E1520" s="1663" t="str">
        <f>Translations!$B$1670</f>
        <v>Enerģijas ielaide šajā apakšiekārtā un relevantais emisijas faktors</v>
      </c>
      <c r="F1520" s="1663"/>
      <c r="G1520" s="1663"/>
      <c r="H1520" s="1663"/>
      <c r="I1520" s="1663"/>
      <c r="J1520" s="1663"/>
      <c r="K1520" s="1663"/>
      <c r="L1520" s="1663"/>
      <c r="M1520" s="1663"/>
      <c r="N1520" s="1690"/>
      <c r="O1520" s="25"/>
      <c r="P1520" s="955"/>
      <c r="Q1520" s="955"/>
      <c r="R1520" s="955"/>
    </row>
    <row r="1521" spans="2:27" ht="12.75" customHeight="1" x14ac:dyDescent="0.2">
      <c r="B1521" s="224"/>
      <c r="C1521" s="977"/>
      <c r="D1521" s="474"/>
      <c r="E1521" s="1653"/>
      <c r="F1521" s="1657"/>
      <c r="G1521" s="1657"/>
      <c r="H1521" s="462" t="str">
        <f>EUconst_Unit</f>
        <v>Vienība</v>
      </c>
      <c r="I1521" s="463">
        <f>I$1820</f>
        <v>2019</v>
      </c>
      <c r="J1521" s="463">
        <f>J$1820</f>
        <v>2020</v>
      </c>
      <c r="K1521" s="463">
        <f>K$1820</f>
        <v>2021</v>
      </c>
      <c r="L1521" s="463">
        <f>L$1820</f>
        <v>2022</v>
      </c>
      <c r="M1521" s="463">
        <f>M$1820</f>
        <v>2023</v>
      </c>
      <c r="N1521" s="661"/>
      <c r="O1521" s="25"/>
      <c r="P1521" s="955"/>
      <c r="R1521" s="955"/>
    </row>
    <row r="1522" spans="2:27" ht="12.75" customHeight="1" x14ac:dyDescent="0.2">
      <c r="B1522" s="224"/>
      <c r="C1522" s="977"/>
      <c r="D1522" s="695" t="s">
        <v>2</v>
      </c>
      <c r="E1522" s="1651" t="str">
        <f>Translations!$B$1672</f>
        <v>Enerģijas ielaide</v>
      </c>
      <c r="F1522" s="1652"/>
      <c r="G1522" s="1652"/>
      <c r="H1522" s="465" t="str">
        <f>EUconst_TJpa</f>
        <v>TJ / gads</v>
      </c>
      <c r="I1522" s="330"/>
      <c r="J1522" s="330"/>
      <c r="K1522" s="330"/>
      <c r="L1522" s="330"/>
      <c r="M1522" s="330"/>
      <c r="N1522" s="698"/>
      <c r="O1522" s="25"/>
      <c r="P1522" s="979" t="str">
        <f>EUconst_CNTR_FuelInput &amp; I1464</f>
        <v>FuelInput_</v>
      </c>
      <c r="R1522" s="955"/>
    </row>
    <row r="1523" spans="2:27" ht="12.75" customHeight="1" x14ac:dyDescent="0.2">
      <c r="B1523" s="224"/>
      <c r="C1523" s="977"/>
      <c r="D1523" s="695" t="s">
        <v>3</v>
      </c>
      <c r="E1523" s="1709" t="str">
        <f>Translations!$B$732</f>
        <v>Svērtais emisijas faktors</v>
      </c>
      <c r="F1523" s="1710"/>
      <c r="G1523" s="1710"/>
      <c r="H1523" s="577" t="str">
        <f>EUconst_tCO2pTJ</f>
        <v>t CO2 / TJ</v>
      </c>
      <c r="I1523" s="338"/>
      <c r="J1523" s="338"/>
      <c r="K1523" s="338"/>
      <c r="L1523" s="338"/>
      <c r="M1523" s="338"/>
      <c r="N1523" s="661"/>
      <c r="O1523" s="25"/>
      <c r="P1523" s="979" t="str">
        <f>EUconst_CNTR_FuelEF &amp; I1464</f>
        <v>FuelEF_</v>
      </c>
      <c r="R1523" s="955"/>
    </row>
    <row r="1524" spans="2:27" ht="12.75" customHeight="1" x14ac:dyDescent="0.2">
      <c r="B1524" s="224"/>
      <c r="C1524" s="977"/>
      <c r="D1524" s="978"/>
      <c r="E1524" s="978"/>
      <c r="F1524" s="978"/>
      <c r="G1524" s="978"/>
      <c r="H1524" s="978"/>
      <c r="I1524" s="978"/>
      <c r="J1524" s="978"/>
      <c r="K1524" s="978"/>
      <c r="L1524" s="978"/>
      <c r="M1524" s="980"/>
      <c r="N1524" s="661"/>
      <c r="O1524" s="25"/>
      <c r="P1524" s="955"/>
      <c r="R1524" s="955"/>
    </row>
    <row r="1525" spans="2:27" ht="12.75" customHeight="1" thickBot="1" x14ac:dyDescent="0.25">
      <c r="B1525" s="224"/>
      <c r="C1525" s="977"/>
      <c r="D1525" s="474" t="s">
        <v>83</v>
      </c>
      <c r="E1525" s="1663" t="str">
        <f>Translations!$B$733</f>
        <v>Citas iekšējās avota plūsmas, kas importētas uz šo apakšiekārtu vai eksportētas no tās</v>
      </c>
      <c r="F1525" s="1663"/>
      <c r="G1525" s="1663"/>
      <c r="H1525" s="1663"/>
      <c r="I1525" s="1663"/>
      <c r="J1525" s="1663"/>
      <c r="K1525" s="1663"/>
      <c r="L1525" s="1663"/>
      <c r="M1525" s="1663"/>
      <c r="N1525" s="1690"/>
      <c r="O1525" s="25"/>
      <c r="P1525" s="955"/>
      <c r="Q1525" s="955"/>
      <c r="R1525" s="955"/>
    </row>
    <row r="1526" spans="2:27" ht="12.75" customHeight="1" thickBot="1" x14ac:dyDescent="0.25">
      <c r="B1526" s="224"/>
      <c r="C1526" s="977"/>
      <c r="D1526" s="695" t="s">
        <v>2</v>
      </c>
      <c r="E1526" s="1732" t="str">
        <f>Translations!$B$739</f>
        <v>Vai šai apakšiekārtai ir relevantas vēl citas importētas vai eksportētas iekšējās avota plūsmas?</v>
      </c>
      <c r="F1526" s="1732"/>
      <c r="G1526" s="1732"/>
      <c r="H1526" s="1732"/>
      <c r="I1526" s="1732"/>
      <c r="J1526" s="1732"/>
      <c r="K1526" s="1733"/>
      <c r="L1526" s="527"/>
      <c r="M1526" s="1202"/>
      <c r="N1526" s="1203"/>
      <c r="O1526" s="25"/>
      <c r="P1526" s="955"/>
      <c r="R1526" s="955"/>
      <c r="W1526" s="966" t="s">
        <v>398</v>
      </c>
      <c r="X1526" s="964" t="b">
        <f>IF(AND(I1464&lt;&gt;"",ISBLANK(L1526)),EUconst_Error&amp;"BM"&amp;C1464,FALSE)</f>
        <v>0</v>
      </c>
    </row>
    <row r="1527" spans="2:27" ht="5.0999999999999996" customHeight="1" thickBot="1" x14ac:dyDescent="0.25">
      <c r="B1527" s="224"/>
      <c r="C1527" s="977"/>
      <c r="D1527" s="978"/>
      <c r="E1527" s="978"/>
      <c r="F1527" s="978"/>
      <c r="G1527" s="978"/>
      <c r="H1527" s="978"/>
      <c r="I1527" s="978"/>
      <c r="J1527" s="978"/>
      <c r="K1527" s="978"/>
      <c r="L1527" s="978"/>
      <c r="M1527" s="980"/>
      <c r="N1527" s="661"/>
      <c r="O1527" s="25"/>
      <c r="P1527" s="955"/>
      <c r="R1527" s="955"/>
    </row>
    <row r="1528" spans="2:27" ht="12.75" customHeight="1" x14ac:dyDescent="0.2">
      <c r="B1528" s="224"/>
      <c r="C1528" s="977"/>
      <c r="D1528" s="695" t="s">
        <v>3</v>
      </c>
      <c r="E1528" s="1663" t="str">
        <f>Translations!$B$741</f>
        <v>Citu avota plūsmu nosaukums, 1:</v>
      </c>
      <c r="F1528" s="1663"/>
      <c r="G1528" s="1663"/>
      <c r="H1528" s="1663"/>
      <c r="I1528" s="1664"/>
      <c r="J1528" s="1665"/>
      <c r="K1528" s="1665"/>
      <c r="L1528" s="1665"/>
      <c r="M1528" s="1666"/>
      <c r="N1528" s="660"/>
      <c r="O1528" s="25"/>
      <c r="P1528" s="955"/>
      <c r="R1528" s="955"/>
      <c r="AA1528" s="643" t="b">
        <f>IF(I1464&lt;&gt;"",AND(L1526&lt;&gt;"",L1526=FALSE),FALSE)</f>
        <v>0</v>
      </c>
    </row>
    <row r="1529" spans="2:27" ht="5.0999999999999996" customHeight="1" x14ac:dyDescent="0.2">
      <c r="B1529" s="224"/>
      <c r="C1529" s="977"/>
      <c r="D1529" s="978"/>
      <c r="E1529" s="1204"/>
      <c r="F1529" s="1202"/>
      <c r="G1529" s="1202"/>
      <c r="H1529" s="1202"/>
      <c r="I1529" s="1202"/>
      <c r="J1529" s="1202"/>
      <c r="K1529" s="1202"/>
      <c r="L1529" s="1202"/>
      <c r="M1529" s="1202"/>
      <c r="N1529" s="1203"/>
      <c r="O1529" s="25"/>
      <c r="P1529" s="955"/>
      <c r="R1529" s="955"/>
      <c r="AA1529" s="607"/>
    </row>
    <row r="1530" spans="2:27" ht="12.75" customHeight="1" x14ac:dyDescent="0.2">
      <c r="B1530" s="224"/>
      <c r="C1530" s="977"/>
      <c r="D1530" s="978"/>
      <c r="E1530" s="1653" t="str">
        <f>Translations!$B$742</f>
        <v>Citas avota plūsmas, 1:</v>
      </c>
      <c r="F1530" s="1657"/>
      <c r="G1530" s="1657"/>
      <c r="H1530" s="462" t="str">
        <f>EUconst_Unit</f>
        <v>Vienība</v>
      </c>
      <c r="I1530" s="463">
        <f>I$1820</f>
        <v>2019</v>
      </c>
      <c r="J1530" s="463">
        <f>J$1820</f>
        <v>2020</v>
      </c>
      <c r="K1530" s="463">
        <f>K$1820</f>
        <v>2021</v>
      </c>
      <c r="L1530" s="463">
        <f>L$1820</f>
        <v>2022</v>
      </c>
      <c r="M1530" s="463">
        <f>M$1820</f>
        <v>2023</v>
      </c>
      <c r="N1530" s="661"/>
      <c r="O1530" s="25"/>
      <c r="P1530" s="955"/>
      <c r="R1530" s="955"/>
      <c r="AA1530" s="607"/>
    </row>
    <row r="1531" spans="2:27" ht="12.75" customHeight="1" x14ac:dyDescent="0.2">
      <c r="B1531" s="224"/>
      <c r="C1531" s="977"/>
      <c r="D1531" s="695" t="s">
        <v>4</v>
      </c>
      <c r="E1531" s="1667" t="str">
        <f>Translations!$B$743</f>
        <v>Importētais vai eksportētais daudzums</v>
      </c>
      <c r="F1531" s="1660"/>
      <c r="G1531" s="1660"/>
      <c r="H1531" s="466" t="str">
        <f>EUconst_tpa</f>
        <v>t / gads</v>
      </c>
      <c r="I1531" s="348"/>
      <c r="J1531" s="348"/>
      <c r="K1531" s="348"/>
      <c r="L1531" s="348"/>
      <c r="M1531" s="348"/>
      <c r="N1531" s="661"/>
      <c r="O1531" s="25"/>
      <c r="P1531" s="955"/>
      <c r="R1531" s="955"/>
      <c r="AA1531" s="361" t="b">
        <f>AA1528</f>
        <v>0</v>
      </c>
    </row>
    <row r="1532" spans="2:27" ht="12.75" customHeight="1" x14ac:dyDescent="0.2">
      <c r="B1532" s="224"/>
      <c r="C1532" s="977"/>
      <c r="D1532" s="695" t="s">
        <v>6</v>
      </c>
      <c r="E1532" s="1658" t="str">
        <f>Translations!$B$744</f>
        <v>Zemākā siltumspēja (attiecīgā gadījumā)</v>
      </c>
      <c r="F1532" s="1658"/>
      <c r="G1532" s="1658"/>
      <c r="H1532" s="551" t="str">
        <f>EUconst_GJpt</f>
        <v>GJ / t</v>
      </c>
      <c r="I1532" s="347"/>
      <c r="J1532" s="347"/>
      <c r="K1532" s="347"/>
      <c r="L1532" s="347"/>
      <c r="M1532" s="347"/>
      <c r="N1532" s="661"/>
      <c r="O1532" s="25"/>
      <c r="P1532" s="955"/>
      <c r="R1532" s="955"/>
      <c r="AA1532" s="361" t="b">
        <f>AA1531</f>
        <v>0</v>
      </c>
    </row>
    <row r="1533" spans="2:27" ht="12.75" customHeight="1" thickBot="1" x14ac:dyDescent="0.25">
      <c r="B1533" s="224"/>
      <c r="C1533" s="977"/>
      <c r="D1533" s="695" t="s">
        <v>303</v>
      </c>
      <c r="E1533" s="1658" t="str">
        <f>Translations!$B$745</f>
        <v>Oglekļa saturs (masas %)</v>
      </c>
      <c r="F1533" s="1658"/>
      <c r="G1533" s="1658"/>
      <c r="H1533" s="552" t="s">
        <v>341</v>
      </c>
      <c r="I1533" s="347"/>
      <c r="J1533" s="347"/>
      <c r="K1533" s="347"/>
      <c r="L1533" s="347"/>
      <c r="M1533" s="347"/>
      <c r="N1533" s="661"/>
      <c r="O1533" s="25"/>
      <c r="P1533" s="955"/>
      <c r="R1533" s="955"/>
      <c r="AA1533" s="361" t="b">
        <f>AA1532</f>
        <v>0</v>
      </c>
    </row>
    <row r="1534" spans="2:27" ht="12.75" customHeight="1" x14ac:dyDescent="0.2">
      <c r="B1534" s="224"/>
      <c r="C1534" s="977"/>
      <c r="D1534" s="695" t="s">
        <v>304</v>
      </c>
      <c r="E1534" s="1659" t="str">
        <f>Translations!$B$746</f>
        <v>Biomasas saturs (kā oglekļa frakcija)</v>
      </c>
      <c r="F1534" s="1659"/>
      <c r="G1534" s="1659"/>
      <c r="H1534" s="485" t="s">
        <v>341</v>
      </c>
      <c r="I1534" s="345"/>
      <c r="J1534" s="345"/>
      <c r="K1534" s="345"/>
      <c r="L1534" s="345"/>
      <c r="M1534" s="345"/>
      <c r="N1534" s="661"/>
      <c r="O1534" s="25"/>
      <c r="P1534" s="955"/>
      <c r="R1534" s="970"/>
      <c r="S1534" s="809">
        <f>I1530</f>
        <v>2019</v>
      </c>
      <c r="T1534" s="809">
        <f>J1530</f>
        <v>2020</v>
      </c>
      <c r="U1534" s="809">
        <f>K1530</f>
        <v>2021</v>
      </c>
      <c r="V1534" s="809">
        <f>L1530</f>
        <v>2022</v>
      </c>
      <c r="W1534" s="810">
        <f>M1530</f>
        <v>2023</v>
      </c>
      <c r="AA1534" s="361" t="b">
        <f>AA1533</f>
        <v>0</v>
      </c>
    </row>
    <row r="1535" spans="2:27" ht="12.75" customHeight="1" thickBot="1" x14ac:dyDescent="0.25">
      <c r="B1535" s="224"/>
      <c r="C1535" s="977"/>
      <c r="D1535" s="695" t="s">
        <v>305</v>
      </c>
      <c r="E1535" s="1660" t="str">
        <f>Translations!$B$747</f>
        <v>Emisijas (no fosilajiem avotiem, aprēķinātās)</v>
      </c>
      <c r="F1535" s="1660"/>
      <c r="G1535" s="1660"/>
      <c r="H1535" s="553" t="str">
        <f>EUconst_tCO2pa</f>
        <v>t CO2 / gads</v>
      </c>
      <c r="I1535" s="341" t="str">
        <f>IF(AND(COUNT(I1531:I1534)&gt;0,I1538=""),3.664*I1531*(I1533/100)*(1-I1534/100),"")</f>
        <v/>
      </c>
      <c r="J1535" s="341" t="str">
        <f>IF(AND(COUNT(J1531:J1534)&gt;0,J1538=""),3.664*J1531*(J1533/100)*(1-J1534/100),"")</f>
        <v/>
      </c>
      <c r="K1535" s="341" t="str">
        <f>IF(AND(COUNT(K1531:K1534)&gt;0,K1538=""),3.664*K1531*(K1533/100)*(1-K1534/100),"")</f>
        <v/>
      </c>
      <c r="L1535" s="341" t="str">
        <f>IF(AND(COUNT(L1531:L1534)&gt;0,L1538=""),3.664*L1531*(L1533/100)*(1-L1534/100),"")</f>
        <v/>
      </c>
      <c r="M1535" s="341" t="str">
        <f>IF(AND(COUNT(M1531:M1534)&gt;0,M1538=""),3.664*M1531*(M1533/100)*(1-M1534/100),"")</f>
        <v/>
      </c>
      <c r="N1535" s="661"/>
      <c r="O1535" s="25"/>
      <c r="P1535" s="979" t="str">
        <f>EUconst_CNTR_EmissionsIntSource1 &amp; I1464</f>
        <v>EmInternalSource1_</v>
      </c>
      <c r="R1535" s="971" t="str">
        <f>EUconst_CNTR_AttributedEmissions &amp; I1464</f>
        <v>AttrEmissions_</v>
      </c>
      <c r="S1535" s="137" t="str">
        <f>IF(S1464,SUM(I1535),"")</f>
        <v/>
      </c>
      <c r="T1535" s="137" t="str">
        <f>IF(T1464,SUM(J1535),"")</f>
        <v/>
      </c>
      <c r="U1535" s="137" t="str">
        <f>IF(U1464,SUM(K1535),"")</f>
        <v/>
      </c>
      <c r="V1535" s="137" t="str">
        <f>IF(V1464,SUM(L1535),"")</f>
        <v/>
      </c>
      <c r="W1535" s="138" t="str">
        <f>IF(W1464,SUM(M1535),"")</f>
        <v/>
      </c>
      <c r="AA1535" s="607"/>
    </row>
    <row r="1536" spans="2:27" ht="12.75" customHeight="1" x14ac:dyDescent="0.2">
      <c r="B1536" s="224"/>
      <c r="C1536" s="977"/>
      <c r="D1536" s="695" t="s">
        <v>306</v>
      </c>
      <c r="E1536" s="1661" t="str">
        <f>Translations!$B$1617</f>
        <v>Nulles faktora biomasas emisijas</v>
      </c>
      <c r="F1536" s="1661"/>
      <c r="G1536" s="1661"/>
      <c r="H1536" s="554" t="str">
        <f>EUconst_tCO2pa</f>
        <v>t CO2 / gads</v>
      </c>
      <c r="I1536" s="340" t="str">
        <f>IF(ISNUMBER(I1535),3.664*I1531*(I1533/100)*(I1534/100),"")</f>
        <v/>
      </c>
      <c r="J1536" s="340" t="str">
        <f>IF(ISNUMBER(J1535),3.664*J1531*(J1533/100)*(J1534/100),"")</f>
        <v/>
      </c>
      <c r="K1536" s="340" t="str">
        <f>IF(ISNUMBER(K1535),3.664*K1531*(K1533/100)*(K1534/100),"")</f>
        <v/>
      </c>
      <c r="L1536" s="340" t="str">
        <f>IF(ISNUMBER(L1535),3.664*L1531*(L1533/100)*(L1534/100),"")</f>
        <v/>
      </c>
      <c r="M1536" s="340" t="str">
        <f>IF(ISNUMBER(M1535),3.664*M1531*(M1533/100)*(M1534/100),"")</f>
        <v/>
      </c>
      <c r="N1536" s="661"/>
      <c r="O1536" s="25"/>
      <c r="P1536" s="955"/>
      <c r="R1536" s="955"/>
      <c r="AA1536" s="607"/>
    </row>
    <row r="1537" spans="2:27" ht="12.75" customHeight="1" x14ac:dyDescent="0.2">
      <c r="B1537" s="224"/>
      <c r="C1537" s="977"/>
      <c r="D1537" s="695" t="s">
        <v>307</v>
      </c>
      <c r="E1537" s="1659" t="str">
        <f>Translations!$B$749</f>
        <v>Enerģētiskais saturs (aprēķinātais)</v>
      </c>
      <c r="F1537" s="1659"/>
      <c r="G1537" s="1659"/>
      <c r="H1537" s="555" t="str">
        <f>EUconst_TJpa</f>
        <v>TJ / gads</v>
      </c>
      <c r="I1537" s="343" t="str">
        <f>IF(COUNT(I1531:I1532)=2,I1531*I1532/1000,"")</f>
        <v/>
      </c>
      <c r="J1537" s="343" t="str">
        <f>IF(COUNT(J1531:J1532)=2,J1531*J1532/1000,"")</f>
        <v/>
      </c>
      <c r="K1537" s="343" t="str">
        <f>IF(COUNT(K1531:K1532)=2,K1531*K1532/1000,"")</f>
        <v/>
      </c>
      <c r="L1537" s="343" t="str">
        <f>IF(COUNT(L1531:L1532)=2,L1531*L1532/1000,"")</f>
        <v/>
      </c>
      <c r="M1537" s="343" t="str">
        <f>IF(COUNT(M1531:M1532)=2,M1531*M1532/1000,"")</f>
        <v/>
      </c>
      <c r="N1537" s="661"/>
      <c r="O1537" s="25"/>
      <c r="P1537" s="955"/>
      <c r="R1537" s="955"/>
      <c r="AA1537" s="607"/>
    </row>
    <row r="1538" spans="2:27" ht="12.75" customHeight="1" x14ac:dyDescent="0.2">
      <c r="B1538" s="224"/>
      <c r="C1538" s="977"/>
      <c r="D1538" s="695" t="s">
        <v>15</v>
      </c>
      <c r="E1538" s="1662" t="str">
        <f>Translations!$B$750</f>
        <v>Kļūdas ziņojumi (emisijas)</v>
      </c>
      <c r="F1538" s="1662"/>
      <c r="G1538" s="1662"/>
      <c r="H1538" s="556"/>
      <c r="I1538" s="662" t="str">
        <f>IF(COUNT(I1531,I1533:I1534)&gt;0,IF(COUNTIF(I1532:I1534,"&lt;0")&gt;0,EUconst_Negative,IF(COUNT(I1531,I1533:I1534)&lt;3,EUconst_Incomplete,"")),"")</f>
        <v/>
      </c>
      <c r="J1538" s="662" t="str">
        <f>IF(COUNT(J1531,J1533:J1534)&gt;0,IF(COUNTIF(J1532:J1534,"&lt;0")&gt;0,EUconst_Negative,IF(COUNT(J1531,J1533:J1534)&lt;3,EUconst_Incomplete,"")),"")</f>
        <v/>
      </c>
      <c r="K1538" s="662" t="str">
        <f>IF(COUNT(K1531,K1533:K1534)&gt;0,IF(COUNTIF(K1532:K1534,"&lt;0")&gt;0,EUconst_Negative,IF(COUNT(K1531,K1533:K1534)&lt;3,EUconst_Incomplete,"")),"")</f>
        <v/>
      </c>
      <c r="L1538" s="662" t="str">
        <f>IF(COUNT(L1531,L1533:L1534)&gt;0,IF(COUNTIF(L1532:L1534,"&lt;0")&gt;0,EUconst_Negative,IF(COUNT(L1531,L1533:L1534)&lt;3,EUconst_Incomplete,"")),"")</f>
        <v/>
      </c>
      <c r="M1538" s="662" t="str">
        <f>IF(COUNT(M1531,M1533:M1534)&gt;0,IF(COUNTIF(M1532:M1534,"&lt;0")&gt;0,EUconst_Negative,IF(COUNT(M1531,M1533:M1534)&lt;3,EUconst_Incomplete,"")),"")</f>
        <v/>
      </c>
      <c r="N1538" s="661"/>
      <c r="O1538" s="25"/>
      <c r="P1538" s="955"/>
      <c r="R1538" s="955"/>
      <c r="AA1538" s="607"/>
    </row>
    <row r="1539" spans="2:27" ht="5.0999999999999996" customHeight="1" x14ac:dyDescent="0.2">
      <c r="B1539" s="224"/>
      <c r="C1539" s="977"/>
      <c r="D1539" s="695"/>
      <c r="E1539" s="978"/>
      <c r="F1539" s="978"/>
      <c r="G1539" s="978"/>
      <c r="H1539" s="978"/>
      <c r="I1539" s="978"/>
      <c r="J1539" s="978"/>
      <c r="K1539" s="978"/>
      <c r="L1539" s="978"/>
      <c r="M1539" s="980"/>
      <c r="N1539" s="661"/>
      <c r="O1539" s="25"/>
      <c r="P1539" s="955"/>
      <c r="R1539" s="955"/>
      <c r="AA1539" s="607"/>
    </row>
    <row r="1540" spans="2:27" ht="12.75" customHeight="1" x14ac:dyDescent="0.2">
      <c r="B1540" s="224"/>
      <c r="C1540" s="977"/>
      <c r="D1540" s="695" t="s">
        <v>16</v>
      </c>
      <c r="E1540" s="1663" t="str">
        <f>Translations!$B$751</f>
        <v>Citu avota plūsmu nosaukums, 2:</v>
      </c>
      <c r="F1540" s="1663"/>
      <c r="G1540" s="1663"/>
      <c r="H1540" s="1663"/>
      <c r="I1540" s="1664"/>
      <c r="J1540" s="1665"/>
      <c r="K1540" s="1665"/>
      <c r="L1540" s="1665"/>
      <c r="M1540" s="1666"/>
      <c r="N1540" s="1203"/>
      <c r="O1540" s="25"/>
      <c r="P1540" s="955"/>
      <c r="R1540" s="955"/>
      <c r="AA1540" s="361" t="b">
        <f>AA1528</f>
        <v>0</v>
      </c>
    </row>
    <row r="1541" spans="2:27" ht="5.0999999999999996" customHeight="1" x14ac:dyDescent="0.2">
      <c r="B1541" s="224"/>
      <c r="C1541" s="977"/>
      <c r="D1541" s="978"/>
      <c r="E1541" s="1204"/>
      <c r="F1541" s="1202"/>
      <c r="G1541" s="1202"/>
      <c r="H1541" s="1202"/>
      <c r="I1541" s="1202"/>
      <c r="J1541" s="1202"/>
      <c r="K1541" s="1202"/>
      <c r="L1541" s="1202"/>
      <c r="M1541" s="1202"/>
      <c r="N1541" s="1203"/>
      <c r="O1541" s="25"/>
      <c r="P1541" s="955"/>
      <c r="R1541" s="955"/>
      <c r="AA1541" s="607"/>
    </row>
    <row r="1542" spans="2:27" ht="12.75" customHeight="1" x14ac:dyDescent="0.2">
      <c r="B1542" s="224"/>
      <c r="C1542" s="977"/>
      <c r="D1542" s="695"/>
      <c r="E1542" s="1653" t="str">
        <f>Translations!$B$752</f>
        <v>Citas avota plūsmas, 2:</v>
      </c>
      <c r="F1542" s="1657"/>
      <c r="G1542" s="1657"/>
      <c r="H1542" s="462" t="str">
        <f>EUconst_Unit</f>
        <v>Vienība</v>
      </c>
      <c r="I1542" s="463">
        <f>I$1820</f>
        <v>2019</v>
      </c>
      <c r="J1542" s="463">
        <f>J$1820</f>
        <v>2020</v>
      </c>
      <c r="K1542" s="463">
        <f>K$1820</f>
        <v>2021</v>
      </c>
      <c r="L1542" s="463">
        <f>L$1820</f>
        <v>2022</v>
      </c>
      <c r="M1542" s="463">
        <f>M$1820</f>
        <v>2023</v>
      </c>
      <c r="N1542" s="661"/>
      <c r="O1542" s="25"/>
      <c r="P1542" s="955"/>
      <c r="R1542" s="955"/>
      <c r="AA1542" s="607"/>
    </row>
    <row r="1543" spans="2:27" ht="12.75" customHeight="1" x14ac:dyDescent="0.2">
      <c r="B1543" s="224"/>
      <c r="C1543" s="977"/>
      <c r="D1543" s="695" t="s">
        <v>17</v>
      </c>
      <c r="E1543" s="1667" t="str">
        <f>Translations!$B$743</f>
        <v>Importētais vai eksportētais daudzums</v>
      </c>
      <c r="F1543" s="1660"/>
      <c r="G1543" s="1660"/>
      <c r="H1543" s="466" t="str">
        <f>EUconst_tpa</f>
        <v>t / gads</v>
      </c>
      <c r="I1543" s="348"/>
      <c r="J1543" s="348"/>
      <c r="K1543" s="348"/>
      <c r="L1543" s="348"/>
      <c r="M1543" s="348"/>
      <c r="N1543" s="661"/>
      <c r="O1543" s="25"/>
      <c r="P1543" s="955"/>
      <c r="R1543" s="955"/>
      <c r="AA1543" s="361" t="b">
        <f>AA1540</f>
        <v>0</v>
      </c>
    </row>
    <row r="1544" spans="2:27" ht="12.75" customHeight="1" x14ac:dyDescent="0.2">
      <c r="B1544" s="224"/>
      <c r="C1544" s="977"/>
      <c r="D1544" s="695" t="s">
        <v>438</v>
      </c>
      <c r="E1544" s="1658" t="str">
        <f>Translations!$B$744</f>
        <v>Zemākā siltumspēja (attiecīgā gadījumā)</v>
      </c>
      <c r="F1544" s="1658"/>
      <c r="G1544" s="1658"/>
      <c r="H1544" s="551" t="str">
        <f>EUconst_GJpt</f>
        <v>GJ / t</v>
      </c>
      <c r="I1544" s="347"/>
      <c r="J1544" s="347"/>
      <c r="K1544" s="347"/>
      <c r="L1544" s="347"/>
      <c r="M1544" s="347"/>
      <c r="N1544" s="661"/>
      <c r="O1544" s="25"/>
      <c r="P1544" s="955"/>
      <c r="R1544" s="955"/>
      <c r="AA1544" s="361" t="b">
        <f>AA1543</f>
        <v>0</v>
      </c>
    </row>
    <row r="1545" spans="2:27" ht="12.75" customHeight="1" thickBot="1" x14ac:dyDescent="0.25">
      <c r="B1545" s="224"/>
      <c r="C1545" s="977"/>
      <c r="D1545" s="695" t="s">
        <v>439</v>
      </c>
      <c r="E1545" s="1658" t="str">
        <f>Translations!$B$745</f>
        <v>Oglekļa saturs (masas %)</v>
      </c>
      <c r="F1545" s="1658"/>
      <c r="G1545" s="1658"/>
      <c r="H1545" s="552" t="s">
        <v>341</v>
      </c>
      <c r="I1545" s="347"/>
      <c r="J1545" s="347"/>
      <c r="K1545" s="347"/>
      <c r="L1545" s="347"/>
      <c r="M1545" s="347"/>
      <c r="N1545" s="661"/>
      <c r="O1545" s="25"/>
      <c r="P1545" s="955"/>
      <c r="R1545" s="955"/>
      <c r="AA1545" s="361" t="b">
        <f>AA1544</f>
        <v>0</v>
      </c>
    </row>
    <row r="1546" spans="2:27" ht="12.75" customHeight="1" thickBot="1" x14ac:dyDescent="0.25">
      <c r="B1546" s="224"/>
      <c r="C1546" s="977"/>
      <c r="D1546" s="695" t="s">
        <v>440</v>
      </c>
      <c r="E1546" s="1659" t="str">
        <f>Translations!$B$746</f>
        <v>Biomasas saturs (kā oglekļa frakcija)</v>
      </c>
      <c r="F1546" s="1659"/>
      <c r="G1546" s="1659"/>
      <c r="H1546" s="485" t="s">
        <v>341</v>
      </c>
      <c r="I1546" s="345"/>
      <c r="J1546" s="345"/>
      <c r="K1546" s="345"/>
      <c r="L1546" s="345"/>
      <c r="M1546" s="345"/>
      <c r="N1546" s="661"/>
      <c r="O1546" s="25"/>
      <c r="P1546" s="955"/>
      <c r="R1546" s="970"/>
      <c r="S1546" s="809">
        <f>I1542</f>
        <v>2019</v>
      </c>
      <c r="T1546" s="809">
        <f>J1542</f>
        <v>2020</v>
      </c>
      <c r="U1546" s="809">
        <f>K1542</f>
        <v>2021</v>
      </c>
      <c r="V1546" s="809">
        <f>L1542</f>
        <v>2022</v>
      </c>
      <c r="W1546" s="810">
        <f>M1542</f>
        <v>2023</v>
      </c>
      <c r="AA1546" s="186" t="b">
        <f>AA1545</f>
        <v>0</v>
      </c>
    </row>
    <row r="1547" spans="2:27" ht="12.75" customHeight="1" thickBot="1" x14ac:dyDescent="0.25">
      <c r="B1547" s="224"/>
      <c r="C1547" s="977"/>
      <c r="D1547" s="695" t="s">
        <v>441</v>
      </c>
      <c r="E1547" s="1660" t="str">
        <f>Translations!$B$747</f>
        <v>Emisijas (no fosilajiem avotiem, aprēķinātās)</v>
      </c>
      <c r="F1547" s="1660"/>
      <c r="G1547" s="1660"/>
      <c r="H1547" s="553" t="str">
        <f>EUconst_tCO2pa</f>
        <v>t CO2 / gads</v>
      </c>
      <c r="I1547" s="341" t="str">
        <f>IF(AND(COUNT(I1543:I1546)&gt;0,I1550=""),3.664*I1543*(I1545/100)*(1-I1546/100),"")</f>
        <v/>
      </c>
      <c r="J1547" s="341" t="str">
        <f>IF(AND(COUNT(J1543:J1546)&gt;0,J1550=""),3.664*J1543*(J1545/100)*(1-J1546/100),"")</f>
        <v/>
      </c>
      <c r="K1547" s="341" t="str">
        <f>IF(AND(COUNT(K1543:K1546)&gt;0,K1550=""),3.664*K1543*(K1545/100)*(1-K1546/100),"")</f>
        <v/>
      </c>
      <c r="L1547" s="341" t="str">
        <f>IF(AND(COUNT(L1543:L1546)&gt;0,L1550=""),3.664*L1543*(L1545/100)*(1-L1546/100),"")</f>
        <v/>
      </c>
      <c r="M1547" s="341" t="str">
        <f>IF(AND(COUNT(M1543:M1546)&gt;0,M1550=""),3.664*M1543*(M1545/100)*(1-M1546/100),"")</f>
        <v/>
      </c>
      <c r="N1547" s="661"/>
      <c r="O1547" s="25"/>
      <c r="P1547" s="979" t="str">
        <f>EUconst_CNTR_EmissionsIntSource2 &amp; I1464</f>
        <v>EmInternalSource2_</v>
      </c>
      <c r="R1547" s="971" t="str">
        <f>EUconst_CNTR_AttributedEmissions &amp; I1464</f>
        <v>AttrEmissions_</v>
      </c>
      <c r="S1547" s="137" t="str">
        <f>IF(S1464,SUM(I1547),"")</f>
        <v/>
      </c>
      <c r="T1547" s="137" t="str">
        <f>IF(T1464,SUM(J1547),"")</f>
        <v/>
      </c>
      <c r="U1547" s="137" t="str">
        <f>IF(U1464,SUM(K1547),"")</f>
        <v/>
      </c>
      <c r="V1547" s="137" t="str">
        <f>IF(V1464,SUM(L1547),"")</f>
        <v/>
      </c>
      <c r="W1547" s="138" t="str">
        <f>IF(W1464,SUM(M1547),"")</f>
        <v/>
      </c>
    </row>
    <row r="1548" spans="2:27" ht="12.75" customHeight="1" x14ac:dyDescent="0.2">
      <c r="B1548" s="224"/>
      <c r="C1548" s="977"/>
      <c r="D1548" s="695" t="s">
        <v>442</v>
      </c>
      <c r="E1548" s="1661" t="str">
        <f>Translations!$B$1617</f>
        <v>Nulles faktora biomasas emisijas</v>
      </c>
      <c r="F1548" s="1661"/>
      <c r="G1548" s="1661"/>
      <c r="H1548" s="554" t="str">
        <f>EUconst_tCO2pa</f>
        <v>t CO2 / gads</v>
      </c>
      <c r="I1548" s="340" t="str">
        <f>IF(ISNUMBER(I1547),3.664*I1543*(I1545/100)*(I1546/100),"")</f>
        <v/>
      </c>
      <c r="J1548" s="340" t="str">
        <f>IF(ISNUMBER(J1547),3.664*J1543*(J1545/100)*(J1546/100),"")</f>
        <v/>
      </c>
      <c r="K1548" s="340" t="str">
        <f>IF(ISNUMBER(K1547),3.664*K1543*(K1545/100)*(K1546/100),"")</f>
        <v/>
      </c>
      <c r="L1548" s="340" t="str">
        <f>IF(ISNUMBER(L1547),3.664*L1543*(L1545/100)*(L1546/100),"")</f>
        <v/>
      </c>
      <c r="M1548" s="340" t="str">
        <f>IF(ISNUMBER(M1547),3.664*M1543*(M1545/100)*(M1546/100),"")</f>
        <v/>
      </c>
      <c r="N1548" s="661"/>
      <c r="O1548" s="25"/>
      <c r="P1548" s="955"/>
      <c r="R1548" s="955"/>
    </row>
    <row r="1549" spans="2:27" ht="12.75" customHeight="1" x14ac:dyDescent="0.2">
      <c r="B1549" s="224"/>
      <c r="C1549" s="977"/>
      <c r="D1549" s="695" t="s">
        <v>443</v>
      </c>
      <c r="E1549" s="1659" t="str">
        <f>Translations!$B$749</f>
        <v>Enerģētiskais saturs (aprēķinātais)</v>
      </c>
      <c r="F1549" s="1659"/>
      <c r="G1549" s="1659"/>
      <c r="H1549" s="555" t="str">
        <f>EUconst_TJpa</f>
        <v>TJ / gads</v>
      </c>
      <c r="I1549" s="343" t="str">
        <f>IF(COUNT(I1543:I1544)=2,I1543*I1544/1000,"")</f>
        <v/>
      </c>
      <c r="J1549" s="343" t="str">
        <f>IF(COUNT(J1543:J1544)=2,J1543*J1544/1000,"")</f>
        <v/>
      </c>
      <c r="K1549" s="343" t="str">
        <f>IF(COUNT(K1543:K1544)=2,K1543*K1544/1000,"")</f>
        <v/>
      </c>
      <c r="L1549" s="343" t="str">
        <f>IF(COUNT(L1543:L1544)=2,L1543*L1544/1000,"")</f>
        <v/>
      </c>
      <c r="M1549" s="343" t="str">
        <f>IF(COUNT(M1543:M1544)=2,M1543*M1544/1000,"")</f>
        <v/>
      </c>
      <c r="N1549" s="661"/>
      <c r="O1549" s="25"/>
      <c r="P1549" s="955"/>
      <c r="R1549" s="955"/>
    </row>
    <row r="1550" spans="2:27" ht="12.75" customHeight="1" x14ac:dyDescent="0.2">
      <c r="B1550" s="224"/>
      <c r="C1550" s="977"/>
      <c r="D1550" s="695" t="s">
        <v>439</v>
      </c>
      <c r="E1550" s="1662" t="str">
        <f>Translations!$B$750</f>
        <v>Kļūdas ziņojumi (emisijas)</v>
      </c>
      <c r="F1550" s="1662"/>
      <c r="G1550" s="1662"/>
      <c r="H1550" s="556"/>
      <c r="I1550" s="662" t="str">
        <f>IF(COUNT(I1543,I1545:I1546)&gt;0,IF(COUNTIF(I1544:I1546,"&lt;0")&gt;0,EUconst_Negative,IF(COUNT(I1543,I1545:I1546)&lt;3,EUconst_Incomplete,"")),"")</f>
        <v/>
      </c>
      <c r="J1550" s="662" t="str">
        <f>IF(COUNT(J1543,J1545:J1546)&gt;0,IF(COUNTIF(J1544:J1546,"&lt;0")&gt;0,EUconst_Negative,IF(COUNT(J1543,J1545:J1546)&lt;3,EUconst_Incomplete,"")),"")</f>
        <v/>
      </c>
      <c r="K1550" s="662" t="str">
        <f>IF(COUNT(K1543,K1545:K1546)&gt;0,IF(COUNTIF(K1544:K1546,"&lt;0")&gt;0,EUconst_Negative,IF(COUNT(K1543,K1545:K1546)&lt;3,EUconst_Incomplete,"")),"")</f>
        <v/>
      </c>
      <c r="L1550" s="662" t="str">
        <f>IF(COUNT(L1543,L1545:L1546)&gt;0,IF(COUNTIF(L1544:L1546,"&lt;0")&gt;0,EUconst_Negative,IF(COUNT(L1543,L1545:L1546)&lt;3,EUconst_Incomplete,"")),"")</f>
        <v/>
      </c>
      <c r="M1550" s="662" t="str">
        <f>IF(COUNT(M1543,M1545:M1546)&gt;0,IF(COUNTIF(M1544:M1546,"&lt;0")&gt;0,EUconst_Negative,IF(COUNT(M1543,M1545:M1546)&lt;3,EUconst_Incomplete,"")),"")</f>
        <v/>
      </c>
      <c r="N1550" s="661"/>
      <c r="O1550" s="25"/>
      <c r="P1550" s="955"/>
      <c r="R1550" s="955"/>
    </row>
    <row r="1551" spans="2:27" ht="5.0999999999999996" customHeight="1" x14ac:dyDescent="0.2">
      <c r="B1551" s="224"/>
      <c r="C1551" s="977"/>
      <c r="D1551" s="978"/>
      <c r="E1551" s="978"/>
      <c r="F1551" s="978"/>
      <c r="G1551" s="978"/>
      <c r="H1551" s="978"/>
      <c r="I1551" s="978"/>
      <c r="J1551" s="978"/>
      <c r="K1551" s="978"/>
      <c r="L1551" s="978"/>
      <c r="M1551" s="980"/>
      <c r="N1551" s="661"/>
      <c r="O1551" s="25"/>
      <c r="P1551" s="955"/>
      <c r="R1551" s="955"/>
    </row>
    <row r="1552" spans="2:27" ht="12.75" customHeight="1" thickBot="1" x14ac:dyDescent="0.25">
      <c r="B1552" s="224"/>
      <c r="C1552" s="977"/>
      <c r="D1552" s="474" t="s">
        <v>211</v>
      </c>
      <c r="E1552" s="1654" t="str">
        <f>Translations!$B$753</f>
        <v>To SEG daudzums, kas importētas vai eksportētas kā ievadmateriāli</v>
      </c>
      <c r="F1552" s="1655"/>
      <c r="G1552" s="1655"/>
      <c r="H1552" s="1655"/>
      <c r="I1552" s="1655"/>
      <c r="J1552" s="1655"/>
      <c r="K1552" s="1655"/>
      <c r="L1552" s="1655"/>
      <c r="M1552" s="1655"/>
      <c r="N1552" s="1656"/>
      <c r="O1552" s="25"/>
      <c r="P1552" s="955"/>
      <c r="R1552" s="955"/>
    </row>
    <row r="1553" spans="2:24" ht="12.75" customHeight="1" x14ac:dyDescent="0.2">
      <c r="B1553" s="224"/>
      <c r="C1553" s="977"/>
      <c r="D1553" s="474"/>
      <c r="E1553" s="1653"/>
      <c r="F1553" s="1657"/>
      <c r="G1553" s="1657"/>
      <c r="H1553" s="462" t="str">
        <f>EUconst_Unit</f>
        <v>Vienība</v>
      </c>
      <c r="I1553" s="463">
        <f>I$1820</f>
        <v>2019</v>
      </c>
      <c r="J1553" s="463">
        <f>J$1820</f>
        <v>2020</v>
      </c>
      <c r="K1553" s="463">
        <f>K$1820</f>
        <v>2021</v>
      </c>
      <c r="L1553" s="463">
        <f>L$1820</f>
        <v>2022</v>
      </c>
      <c r="M1553" s="463">
        <f>M$1820</f>
        <v>2023</v>
      </c>
      <c r="N1553" s="661"/>
      <c r="O1553" s="25"/>
      <c r="P1553" s="955"/>
      <c r="R1553" s="970"/>
      <c r="S1553" s="809">
        <f>I1553</f>
        <v>2019</v>
      </c>
      <c r="T1553" s="809">
        <f>J1553</f>
        <v>2020</v>
      </c>
      <c r="U1553" s="809">
        <f>K1553</f>
        <v>2021</v>
      </c>
      <c r="V1553" s="809">
        <f>L1553</f>
        <v>2022</v>
      </c>
      <c r="W1553" s="810">
        <f>M1553</f>
        <v>2023</v>
      </c>
    </row>
    <row r="1554" spans="2:24" ht="12.75" customHeight="1" thickBot="1" x14ac:dyDescent="0.25">
      <c r="B1554" s="224"/>
      <c r="C1554" s="977"/>
      <c r="D1554" s="695"/>
      <c r="E1554" s="1651" t="str">
        <f>Translations!$B$756</f>
        <v>Importētās vai eksportētās SEG</v>
      </c>
      <c r="F1554" s="1652"/>
      <c r="G1554" s="1652"/>
      <c r="H1554" s="465" t="str">
        <f>EUconst_tCO2epa</f>
        <v>t CO2e/gads</v>
      </c>
      <c r="I1554" s="483"/>
      <c r="J1554" s="483"/>
      <c r="K1554" s="483"/>
      <c r="L1554" s="483"/>
      <c r="M1554" s="483"/>
      <c r="N1554" s="1205"/>
      <c r="O1554" s="25"/>
      <c r="P1554" s="979" t="str">
        <f>EUconst_CNTR_CO2Feedstock &amp; I1464</f>
        <v>EmCO2Feedstock_</v>
      </c>
      <c r="R1554" s="971" t="str">
        <f>EUconst_CNTR_AttributedEmissions &amp; I1464</f>
        <v>AttrEmissions_</v>
      </c>
      <c r="S1554" s="137" t="str">
        <f>IF(S1464,SUM(I1554),"")</f>
        <v/>
      </c>
      <c r="T1554" s="137" t="str">
        <f>IF(T1464,SUM(J1554),"")</f>
        <v/>
      </c>
      <c r="U1554" s="137" t="str">
        <f>IF(U1464,SUM(K1554),"")</f>
        <v/>
      </c>
      <c r="V1554" s="137" t="str">
        <f>IF(V1464,SUM(L1554),"")</f>
        <v/>
      </c>
      <c r="W1554" s="138" t="str">
        <f>IF(W1464,SUM(M1554),"")</f>
        <v/>
      </c>
    </row>
    <row r="1555" spans="2:24" ht="5.0999999999999996" customHeight="1" x14ac:dyDescent="0.2">
      <c r="B1555" s="224"/>
      <c r="C1555" s="977"/>
      <c r="D1555" s="978"/>
      <c r="E1555" s="978"/>
      <c r="F1555" s="978"/>
      <c r="G1555" s="978"/>
      <c r="H1555" s="978"/>
      <c r="I1555" s="978"/>
      <c r="J1555" s="978"/>
      <c r="K1555" s="978"/>
      <c r="L1555" s="978"/>
      <c r="M1555" s="980"/>
      <c r="N1555" s="661"/>
      <c r="O1555" s="25"/>
      <c r="P1555" s="955"/>
      <c r="R1555" s="955"/>
    </row>
    <row r="1556" spans="2:24" ht="12.75" customHeight="1" x14ac:dyDescent="0.2">
      <c r="B1556" s="224"/>
      <c r="C1556" s="977"/>
      <c r="D1556" s="474" t="s">
        <v>212</v>
      </c>
      <c r="E1556" s="1654" t="str">
        <f>Translations!$B$757</f>
        <v>Šajā apakšiekārtā importētais un no tās eksportētais izmērāmais siltums</v>
      </c>
      <c r="F1556" s="1655"/>
      <c r="G1556" s="1655"/>
      <c r="H1556" s="1655"/>
      <c r="I1556" s="1655"/>
      <c r="J1556" s="1655"/>
      <c r="K1556" s="1655"/>
      <c r="L1556" s="1655"/>
      <c r="M1556" s="1655"/>
      <c r="N1556" s="1656"/>
      <c r="O1556" s="25"/>
      <c r="P1556" s="955"/>
      <c r="R1556" s="955"/>
    </row>
    <row r="1557" spans="2:24" ht="12.75" customHeight="1" thickBot="1" x14ac:dyDescent="0.25">
      <c r="B1557" s="224"/>
      <c r="C1557" s="977"/>
      <c r="D1557" s="978"/>
      <c r="E1557" s="1628" t="str">
        <f>Translations!$B$762</f>
        <v>Lai uz siltuma ražošanu attiecinātu emisijas no koģenerācijas, jāizmanto koģenerācijas rīks šīs veidnes D. lapas III .sadaļā.</v>
      </c>
      <c r="F1557" s="1628"/>
      <c r="G1557" s="1628"/>
      <c r="H1557" s="1628"/>
      <c r="I1557" s="1628"/>
      <c r="J1557" s="1628"/>
      <c r="K1557" s="1628"/>
      <c r="L1557" s="1628"/>
      <c r="M1557" s="1628"/>
      <c r="N1557" s="1205"/>
      <c r="O1557" s="25"/>
      <c r="P1557" s="955"/>
    </row>
    <row r="1558" spans="2:24" ht="12.75" customHeight="1" x14ac:dyDescent="0.2">
      <c r="B1558" s="224"/>
      <c r="C1558" s="977"/>
      <c r="D1558" s="978"/>
      <c r="E1558" s="1653" t="str">
        <f>Translations!$B$763</f>
        <v>Kopējais importētais siltums</v>
      </c>
      <c r="F1558" s="1657"/>
      <c r="G1558" s="1657"/>
      <c r="H1558" s="462" t="str">
        <f>EUconst_Unit</f>
        <v>Vienība</v>
      </c>
      <c r="I1558" s="463">
        <f>I$1820</f>
        <v>2019</v>
      </c>
      <c r="J1558" s="463">
        <f>J$1820</f>
        <v>2020</v>
      </c>
      <c r="K1558" s="463">
        <f>K$1820</f>
        <v>2021</v>
      </c>
      <c r="L1558" s="463">
        <f>L$1820</f>
        <v>2022</v>
      </c>
      <c r="M1558" s="463">
        <f>M$1820</f>
        <v>2023</v>
      </c>
      <c r="N1558" s="1205"/>
      <c r="O1558" s="25"/>
      <c r="P1558" s="955"/>
      <c r="R1558" s="970"/>
      <c r="S1558" s="809">
        <f>I1558</f>
        <v>2019</v>
      </c>
      <c r="T1558" s="809">
        <f>J1558</f>
        <v>2020</v>
      </c>
      <c r="U1558" s="809">
        <f>K1558</f>
        <v>2021</v>
      </c>
      <c r="V1558" s="809">
        <f>L1558</f>
        <v>2022</v>
      </c>
      <c r="W1558" s="810">
        <f>M1558</f>
        <v>2023</v>
      </c>
    </row>
    <row r="1559" spans="2:24" ht="12.75" customHeight="1" x14ac:dyDescent="0.2">
      <c r="B1559" s="224"/>
      <c r="C1559" s="977"/>
      <c r="D1559" s="695" t="s">
        <v>2</v>
      </c>
      <c r="E1559" s="1651" t="str">
        <f>Translations!$B$764</f>
        <v>Neto importētais siltums</v>
      </c>
      <c r="F1559" s="1652"/>
      <c r="G1559" s="1652"/>
      <c r="H1559" s="465" t="str">
        <f>EUconst_TJpa</f>
        <v>TJ / gads</v>
      </c>
      <c r="I1559" s="483"/>
      <c r="J1559" s="483"/>
      <c r="K1559" s="483"/>
      <c r="L1559" s="483"/>
      <c r="M1559" s="483"/>
      <c r="N1559" s="698"/>
      <c r="O1559" s="25"/>
      <c r="P1559" s="979" t="str">
        <f>EUconst_CNTR_HeatImport &amp; I1464</f>
        <v>HeatIm_</v>
      </c>
      <c r="R1559" s="981" t="str">
        <f>EUconst_ERR_AttrEmBMapplied &amp; I1464</f>
        <v>ERR_AttrEmBM_ </v>
      </c>
      <c r="S1559" s="134">
        <f>IF(AND(I1559&lt;&gt;0,I1560="",EUconst_StatusOfDataCollection=""),1,0)</f>
        <v>0</v>
      </c>
      <c r="T1559" s="134">
        <f>IF(AND(J1559&lt;&gt;0,J1560="",EUconst_StatusOfDataCollection=""),1,0)</f>
        <v>0</v>
      </c>
      <c r="U1559" s="134">
        <f>IF(AND(K1559&lt;&gt;0,K1560="",EUconst_StatusOfDataCollection=""),1,0)</f>
        <v>0</v>
      </c>
      <c r="V1559" s="134">
        <f>IF(AND(L1559&lt;&gt;0,L1560="",EUconst_StatusOfDataCollection=""),1,0)</f>
        <v>0</v>
      </c>
      <c r="W1559" s="135">
        <f>IF(AND(M1559&lt;&gt;0,M1560="",EUconst_StatusOfDataCollection=""),1,0)</f>
        <v>0</v>
      </c>
      <c r="X1559" s="63"/>
    </row>
    <row r="1560" spans="2:24" ht="12.75" customHeight="1" thickBot="1" x14ac:dyDescent="0.25">
      <c r="B1560" s="224"/>
      <c r="C1560" s="977"/>
      <c r="D1560" s="695" t="s">
        <v>3</v>
      </c>
      <c r="E1560" s="1651" t="str">
        <f>Translations!$B$765</f>
        <v>Īpatnējais EF (importētais siltums)</v>
      </c>
      <c r="F1560" s="1652"/>
      <c r="G1560" s="1652"/>
      <c r="H1560" s="465" t="str">
        <f>EUconst_tCO2pTJ</f>
        <v>t CO2 / TJ</v>
      </c>
      <c r="I1560" s="760"/>
      <c r="J1560" s="760"/>
      <c r="K1560" s="760"/>
      <c r="L1560" s="760"/>
      <c r="M1560" s="760"/>
      <c r="N1560" s="661"/>
      <c r="O1560" s="25"/>
      <c r="P1560" s="979" t="str">
        <f>EUconst_CNTR_HeatImportEF &amp; I1464</f>
        <v>HeatImEF_</v>
      </c>
      <c r="R1560" s="971" t="str">
        <f>EUconst_CNTR_AttributedEmissions &amp; I1464</f>
        <v>AttrEmissions_</v>
      </c>
      <c r="S1560" s="137" t="str">
        <f>IF(S1464,SUM(I1559)*IF(ISNUMBER(I1560),I1560,EUconst_HeatBMvalueForBM),"")</f>
        <v/>
      </c>
      <c r="T1560" s="137" t="str">
        <f>IF(T1464,SUM(J1559)*IF(ISNUMBER(J1560),J1560,EUconst_HeatBMvalueForBM),"")</f>
        <v/>
      </c>
      <c r="U1560" s="137" t="str">
        <f>IF(U1464,SUM(K1559)*IF(ISNUMBER(K1560),K1560,EUconst_HeatBMvalueForBM),"")</f>
        <v/>
      </c>
      <c r="V1560" s="137" t="str">
        <f>IF(V1464,SUM(L1559)*IF(ISNUMBER(L1560),L1560,EUconst_HeatBMvalueForBM),"")</f>
        <v/>
      </c>
      <c r="W1560" s="138" t="str">
        <f>IF(W1464,SUM(M1559)*IF(ISNUMBER(M1560),M1560,EUconst_HeatBMvalueForBM),"")</f>
        <v/>
      </c>
    </row>
    <row r="1561" spans="2:24" ht="5.0999999999999996" customHeight="1" x14ac:dyDescent="0.2">
      <c r="B1561" s="224"/>
      <c r="C1561" s="977"/>
      <c r="D1561" s="978"/>
      <c r="E1561" s="978"/>
      <c r="F1561" s="978"/>
      <c r="G1561" s="978"/>
      <c r="H1561" s="978"/>
      <c r="I1561" s="978"/>
      <c r="J1561" s="978"/>
      <c r="K1561" s="978"/>
      <c r="L1561" s="978"/>
      <c r="M1561" s="980"/>
      <c r="N1561" s="661"/>
      <c r="O1561" s="25"/>
      <c r="P1561" s="955"/>
      <c r="R1561" s="955"/>
      <c r="S1561" s="955"/>
    </row>
    <row r="1562" spans="2:24" ht="12.75" customHeight="1" x14ac:dyDescent="0.2">
      <c r="B1562" s="224"/>
      <c r="C1562" s="977"/>
      <c r="D1562" s="978"/>
      <c r="E1562" s="1653" t="str">
        <f>Translations!$B$766</f>
        <v>Īpašs importētais siltums</v>
      </c>
      <c r="F1562" s="1653"/>
      <c r="G1562" s="1653"/>
      <c r="H1562" s="462" t="str">
        <f>EUconst_Unit</f>
        <v>Vienība</v>
      </c>
      <c r="I1562" s="463">
        <f>I$1820</f>
        <v>2019</v>
      </c>
      <c r="J1562" s="463">
        <f>J$1820</f>
        <v>2020</v>
      </c>
      <c r="K1562" s="463">
        <f>K$1820</f>
        <v>2021</v>
      </c>
      <c r="L1562" s="463">
        <f>L$1820</f>
        <v>2022</v>
      </c>
      <c r="M1562" s="463">
        <f>M$1820</f>
        <v>2023</v>
      </c>
      <c r="N1562" s="1205"/>
      <c r="O1562" s="25"/>
      <c r="P1562" s="955"/>
      <c r="R1562" s="955"/>
      <c r="S1562" s="955"/>
    </row>
    <row r="1563" spans="2:24" ht="12.75" customHeight="1" x14ac:dyDescent="0.2">
      <c r="B1563" s="224"/>
      <c r="C1563" s="977"/>
      <c r="D1563" s="695" t="s">
        <v>4</v>
      </c>
      <c r="E1563" s="1651" t="str">
        <f>Translations!$B$767</f>
        <v>No pulpas apakšiekārtām importētais neto siltums</v>
      </c>
      <c r="F1563" s="1652"/>
      <c r="G1563" s="1652"/>
      <c r="H1563" s="465" t="str">
        <f>EUconst_TJpa</f>
        <v>TJ / gads</v>
      </c>
      <c r="I1563" s="550"/>
      <c r="J1563" s="550"/>
      <c r="K1563" s="550"/>
      <c r="L1563" s="550"/>
      <c r="M1563" s="550"/>
      <c r="N1563" s="698"/>
      <c r="O1563" s="25"/>
      <c r="P1563" s="979" t="str">
        <f>EUconst_CNTR_HeatImportPulp &amp; I1464</f>
        <v>HeatImPulp_</v>
      </c>
      <c r="R1563" s="955"/>
      <c r="S1563" s="955"/>
    </row>
    <row r="1564" spans="2:24" ht="25.5" customHeight="1" x14ac:dyDescent="0.2">
      <c r="B1564" s="224"/>
      <c r="C1564" s="977"/>
      <c r="D1564" s="695" t="s">
        <v>6</v>
      </c>
      <c r="E1564" s="1651" t="str">
        <f>Translations!$B$768</f>
        <v>No slāpekļskābes apakšiekārtas importētais neto siltums</v>
      </c>
      <c r="F1564" s="1652"/>
      <c r="G1564" s="1652"/>
      <c r="H1564" s="465" t="str">
        <f>EUconst_TJpa</f>
        <v>TJ / gads</v>
      </c>
      <c r="I1564" s="483"/>
      <c r="J1564" s="483"/>
      <c r="K1564" s="483"/>
      <c r="L1564" s="483"/>
      <c r="M1564" s="483"/>
      <c r="N1564" s="698"/>
      <c r="O1564" s="25"/>
      <c r="P1564" s="979" t="str">
        <f>EUconst_CNTR_HeatImportNitric &amp; I1464</f>
        <v>HeatImNitric_</v>
      </c>
      <c r="R1564" s="955"/>
      <c r="S1564" s="955"/>
    </row>
    <row r="1565" spans="2:24" ht="5.0999999999999996" customHeight="1" thickBot="1" x14ac:dyDescent="0.25">
      <c r="B1565" s="224"/>
      <c r="C1565" s="977"/>
      <c r="D1565" s="978"/>
      <c r="E1565" s="978"/>
      <c r="F1565" s="978"/>
      <c r="G1565" s="978"/>
      <c r="H1565" s="978"/>
      <c r="I1565" s="978"/>
      <c r="J1565" s="978"/>
      <c r="K1565" s="978"/>
      <c r="L1565" s="978"/>
      <c r="M1565" s="980"/>
      <c r="N1565" s="661"/>
      <c r="O1565" s="25"/>
      <c r="P1565" s="955"/>
      <c r="R1565" s="955"/>
      <c r="S1565" s="955"/>
    </row>
    <row r="1566" spans="2:24" ht="12.75" customHeight="1" x14ac:dyDescent="0.2">
      <c r="B1566" s="224"/>
      <c r="C1566" s="977"/>
      <c r="D1566" s="978"/>
      <c r="E1566" s="1653" t="str">
        <f>Translations!$B$769</f>
        <v>Kopējais eksportētais siltums</v>
      </c>
      <c r="F1566" s="1653"/>
      <c r="G1566" s="1653"/>
      <c r="H1566" s="462" t="str">
        <f>EUconst_Unit</f>
        <v>Vienība</v>
      </c>
      <c r="I1566" s="463">
        <f>I$1820</f>
        <v>2019</v>
      </c>
      <c r="J1566" s="463">
        <f>J$1820</f>
        <v>2020</v>
      </c>
      <c r="K1566" s="463">
        <f>K$1820</f>
        <v>2021</v>
      </c>
      <c r="L1566" s="463">
        <f>L$1820</f>
        <v>2022</v>
      </c>
      <c r="M1566" s="463">
        <f>M$1820</f>
        <v>2023</v>
      </c>
      <c r="N1566" s="1205"/>
      <c r="O1566" s="25"/>
      <c r="P1566" s="955"/>
      <c r="R1566" s="970"/>
      <c r="S1566" s="809">
        <f>I1566</f>
        <v>2019</v>
      </c>
      <c r="T1566" s="809">
        <f>J1566</f>
        <v>2020</v>
      </c>
      <c r="U1566" s="809">
        <f>K1566</f>
        <v>2021</v>
      </c>
      <c r="V1566" s="809">
        <f>L1566</f>
        <v>2022</v>
      </c>
      <c r="W1566" s="810">
        <f>M1566</f>
        <v>2023</v>
      </c>
    </row>
    <row r="1567" spans="2:24" ht="12.75" customHeight="1" x14ac:dyDescent="0.2">
      <c r="B1567" s="224"/>
      <c r="C1567" s="977"/>
      <c r="D1567" s="695" t="s">
        <v>303</v>
      </c>
      <c r="E1567" s="1651" t="str">
        <f>Translations!$B$770</f>
        <v>Neto eksportētais siltums</v>
      </c>
      <c r="F1567" s="1652"/>
      <c r="G1567" s="1652"/>
      <c r="H1567" s="465" t="str">
        <f>EUconst_TJpa</f>
        <v>TJ / gads</v>
      </c>
      <c r="I1567" s="483"/>
      <c r="J1567" s="483"/>
      <c r="K1567" s="483"/>
      <c r="L1567" s="483"/>
      <c r="M1567" s="483"/>
      <c r="N1567" s="698"/>
      <c r="O1567" s="25"/>
      <c r="P1567" s="979" t="str">
        <f>EUconst_CNTR_HeatExport &amp; I1464</f>
        <v>HeatEx_</v>
      </c>
      <c r="R1567" s="981" t="str">
        <f>EUconst_ERR_AttrEmBMapplied &amp; I1464</f>
        <v>ERR_AttrEmBM_ </v>
      </c>
      <c r="S1567" s="134">
        <f>IF(AND(I1567&lt;&gt;0,I1568="",EUconst_StatusOfDataCollection=""),1,0)</f>
        <v>0</v>
      </c>
      <c r="T1567" s="134">
        <f>IF(AND(J1567&lt;&gt;0,J1568="",EUconst_StatusOfDataCollection=""),1,0)</f>
        <v>0</v>
      </c>
      <c r="U1567" s="134">
        <f>IF(AND(K1567&lt;&gt;0,K1568="",EUconst_StatusOfDataCollection=""),1,0)</f>
        <v>0</v>
      </c>
      <c r="V1567" s="134">
        <f>IF(AND(L1567&lt;&gt;0,L1568="",EUconst_StatusOfDataCollection=""),1,0)</f>
        <v>0</v>
      </c>
      <c r="W1567" s="135">
        <f>IF(AND(M1567&lt;&gt;0,M1568="",EUconst_StatusOfDataCollection=""),1,0)</f>
        <v>0</v>
      </c>
    </row>
    <row r="1568" spans="2:24" ht="12.75" customHeight="1" thickBot="1" x14ac:dyDescent="0.25">
      <c r="B1568" s="224"/>
      <c r="C1568" s="977"/>
      <c r="D1568" s="695" t="s">
        <v>304</v>
      </c>
      <c r="E1568" s="1651" t="str">
        <f>Translations!$B$771</f>
        <v>Īpatnējais EF (eksportētais siltums)</v>
      </c>
      <c r="F1568" s="1652"/>
      <c r="G1568" s="1652"/>
      <c r="H1568" s="465" t="str">
        <f>EUconst_tCO2pTJ</f>
        <v>t CO2 / TJ</v>
      </c>
      <c r="I1568" s="760"/>
      <c r="J1568" s="760"/>
      <c r="K1568" s="760"/>
      <c r="L1568" s="760"/>
      <c r="M1568" s="760"/>
      <c r="N1568" s="661"/>
      <c r="O1568" s="25"/>
      <c r="P1568" s="979" t="str">
        <f>EUconst_CNTR_HeatExportEF &amp; I1464</f>
        <v>HeatExEF_</v>
      </c>
      <c r="R1568" s="971" t="str">
        <f>EUconst_CNTR_AttributedEmissions &amp; I1464</f>
        <v>AttrEmissions_</v>
      </c>
      <c r="S1568" s="137" t="str">
        <f>IF(S1464,-SUM(I1567)*IF(INDEX(EUconst_BMlistMainNumberOfBM,MATCH($I1464,EUconst_BMlistNames,0))=39,0,IF(ISNUMBER(I1568),I1568,EUconst_HeatBMvalueForBM)),"")</f>
        <v/>
      </c>
      <c r="T1568" s="137" t="str">
        <f>IF(T1464,-SUM(J1567)*IF(INDEX(EUconst_BMlistMainNumberOfBM,MATCH($I1464,EUconst_BMlistNames,0))=39,0,IF(ISNUMBER(J1568),J1568,EUconst_HeatBMvalueForBM)),"")</f>
        <v/>
      </c>
      <c r="U1568" s="137" t="str">
        <f>IF(U1464,-SUM(K1567)*IF(INDEX(EUconst_BMlistMainNumberOfBM,MATCH($I1464,EUconst_BMlistNames,0))=39,0,IF(ISNUMBER(K1568),K1568,EUconst_HeatBMvalueForBM)),"")</f>
        <v/>
      </c>
      <c r="V1568" s="137" t="str">
        <f>IF(V1464,-SUM(L1567)*IF(INDEX(EUconst_BMlistMainNumberOfBM,MATCH($I1464,EUconst_BMlistNames,0))=39,0,IF(ISNUMBER(L1568),L1568,EUconst_HeatBMvalueForBM)),"")</f>
        <v/>
      </c>
      <c r="W1568" s="138" t="str">
        <f>IF(W1464,-SUM(M1567)*IF(INDEX(EUconst_BMlistMainNumberOfBM,MATCH($I1464,EUconst_BMlistNames,0))=39,0,IF(ISNUMBER(M1568),M1568,EUconst_HeatBMvalueForBM)),"")</f>
        <v/>
      </c>
    </row>
    <row r="1569" spans="2:27" ht="5.0999999999999996" customHeight="1" x14ac:dyDescent="0.2">
      <c r="B1569" s="224"/>
      <c r="C1569" s="977"/>
      <c r="D1569" s="978"/>
      <c r="E1569" s="978"/>
      <c r="F1569" s="978"/>
      <c r="G1569" s="978"/>
      <c r="H1569" s="978"/>
      <c r="I1569" s="978"/>
      <c r="J1569" s="978"/>
      <c r="K1569" s="978"/>
      <c r="L1569" s="978"/>
      <c r="M1569" s="980"/>
      <c r="N1569" s="661"/>
      <c r="O1569" s="25"/>
      <c r="P1569" s="955"/>
      <c r="R1569" s="955"/>
      <c r="S1569" s="955"/>
    </row>
    <row r="1570" spans="2:27" ht="12.75" customHeight="1" x14ac:dyDescent="0.2">
      <c r="B1570" s="224"/>
      <c r="C1570" s="977"/>
      <c r="D1570" s="474" t="s">
        <v>213</v>
      </c>
      <c r="E1570" s="1654" t="str">
        <f>Translations!$B$772</f>
        <v>Šīs apakšiekārtas atlikumgāzu bilance</v>
      </c>
      <c r="F1570" s="1655"/>
      <c r="G1570" s="1655"/>
      <c r="H1570" s="1655"/>
      <c r="I1570" s="1655"/>
      <c r="J1570" s="1655"/>
      <c r="K1570" s="1655"/>
      <c r="L1570" s="1655"/>
      <c r="M1570" s="1655"/>
      <c r="N1570" s="1656"/>
      <c r="O1570" s="25"/>
      <c r="P1570" s="955"/>
      <c r="R1570" s="955"/>
      <c r="S1570" s="955"/>
    </row>
    <row r="1571" spans="2:27" ht="5.0999999999999996" customHeight="1" thickBot="1" x14ac:dyDescent="0.25">
      <c r="B1571" s="224"/>
      <c r="C1571" s="977"/>
      <c r="D1571" s="978"/>
      <c r="E1571" s="1727"/>
      <c r="F1571" s="1727"/>
      <c r="G1571" s="1727"/>
      <c r="H1571" s="1727"/>
      <c r="I1571" s="1727"/>
      <c r="J1571" s="1727"/>
      <c r="K1571" s="1727"/>
      <c r="L1571" s="1727"/>
      <c r="M1571" s="1727"/>
      <c r="N1571" s="1734"/>
      <c r="O1571" s="25"/>
      <c r="P1571" s="955"/>
      <c r="R1571" s="955"/>
      <c r="S1571" s="955"/>
    </row>
    <row r="1572" spans="2:27" ht="12.75" customHeight="1" thickBot="1" x14ac:dyDescent="0.25">
      <c r="B1572" s="224"/>
      <c r="C1572" s="977"/>
      <c r="D1572" s="695" t="s">
        <v>2</v>
      </c>
      <c r="E1572" s="1735" t="str">
        <f>Translations!$B$773</f>
        <v>Vai atlikumgāzes ir šai apakšiekārtai relevantas?</v>
      </c>
      <c r="F1572" s="1735"/>
      <c r="G1572" s="1735"/>
      <c r="H1572" s="1735"/>
      <c r="I1572" s="1735"/>
      <c r="J1572" s="1735"/>
      <c r="K1572" s="1736"/>
      <c r="L1572" s="527"/>
      <c r="M1572" s="1202"/>
      <c r="N1572" s="1203"/>
      <c r="O1572" s="25"/>
      <c r="P1572" s="955"/>
      <c r="R1572" s="955"/>
      <c r="W1572" s="966" t="s">
        <v>398</v>
      </c>
      <c r="X1572" s="964" t="b">
        <f>IF(AND(I1464&lt;&gt;"",ISBLANK(L1572)),EUconst_Error&amp;"BM"&amp;C1464,FALSE)</f>
        <v>0</v>
      </c>
    </row>
    <row r="1573" spans="2:27" ht="5.0999999999999996" customHeight="1" thickBot="1" x14ac:dyDescent="0.25">
      <c r="B1573" s="224"/>
      <c r="C1573" s="977"/>
      <c r="D1573" s="978"/>
      <c r="E1573" s="978"/>
      <c r="F1573" s="978"/>
      <c r="G1573" s="978"/>
      <c r="H1573" s="978"/>
      <c r="I1573" s="978"/>
      <c r="J1573" s="978"/>
      <c r="K1573" s="978"/>
      <c r="L1573" s="978"/>
      <c r="M1573" s="980"/>
      <c r="N1573" s="661"/>
      <c r="O1573" s="25"/>
      <c r="P1573" s="955"/>
      <c r="R1573" s="955"/>
    </row>
    <row r="1574" spans="2:27" ht="12.75" customHeight="1" x14ac:dyDescent="0.2">
      <c r="B1574" s="224"/>
      <c r="C1574" s="977"/>
      <c r="D1574" s="695" t="s">
        <v>3</v>
      </c>
      <c r="E1574" s="1663" t="str">
        <f>Translations!$B$775</f>
        <v>Radušos atlikumgāzu veidi:</v>
      </c>
      <c r="F1574" s="1663"/>
      <c r="G1574" s="1663"/>
      <c r="H1574" s="1663"/>
      <c r="I1574" s="1664"/>
      <c r="J1574" s="1665"/>
      <c r="K1574" s="1665"/>
      <c r="L1574" s="1665"/>
      <c r="M1574" s="1666"/>
      <c r="N1574" s="1203"/>
      <c r="O1574" s="25"/>
      <c r="P1574" s="955"/>
      <c r="R1574" s="955"/>
      <c r="AA1574" s="643" t="b">
        <f>IF(I1464&lt;&gt;"",AND(L1572&lt;&gt;"",L1572=FALSE),FALSE)</f>
        <v>0</v>
      </c>
    </row>
    <row r="1575" spans="2:27" ht="5.0999999999999996" customHeight="1" x14ac:dyDescent="0.2">
      <c r="B1575" s="224"/>
      <c r="C1575" s="977"/>
      <c r="D1575" s="978"/>
      <c r="E1575" s="978"/>
      <c r="F1575" s="978"/>
      <c r="G1575" s="978"/>
      <c r="H1575" s="978"/>
      <c r="I1575" s="978"/>
      <c r="J1575" s="978"/>
      <c r="K1575" s="978"/>
      <c r="L1575" s="978"/>
      <c r="M1575" s="980"/>
      <c r="N1575" s="661"/>
      <c r="O1575" s="25"/>
      <c r="P1575" s="955"/>
      <c r="R1575" s="955"/>
    </row>
    <row r="1576" spans="2:27" ht="12.75" customHeight="1" x14ac:dyDescent="0.2">
      <c r="B1576" s="224"/>
      <c r="C1576" s="977"/>
      <c r="D1576" s="978"/>
      <c r="E1576" s="1653"/>
      <c r="F1576" s="1657"/>
      <c r="G1576" s="1657"/>
      <c r="H1576" s="462" t="str">
        <f>EUconst_Unit</f>
        <v>Vienība</v>
      </c>
      <c r="I1576" s="463">
        <f>I$1820</f>
        <v>2019</v>
      </c>
      <c r="J1576" s="463">
        <f>J$1820</f>
        <v>2020</v>
      </c>
      <c r="K1576" s="463">
        <f>K$1820</f>
        <v>2021</v>
      </c>
      <c r="L1576" s="463">
        <f>L$1820</f>
        <v>2022</v>
      </c>
      <c r="M1576" s="463">
        <f>M$1820</f>
        <v>2023</v>
      </c>
      <c r="N1576" s="1205"/>
      <c r="O1576" s="25"/>
      <c r="P1576" s="955"/>
      <c r="R1576" s="955"/>
      <c r="S1576" s="955"/>
      <c r="AA1576" s="607"/>
    </row>
    <row r="1577" spans="2:27" ht="12.75" customHeight="1" x14ac:dyDescent="0.2">
      <c r="B1577" s="224"/>
      <c r="C1577" s="977"/>
      <c r="D1577" s="695" t="s">
        <v>4</v>
      </c>
      <c r="E1577" s="1667" t="str">
        <f>Translations!$B$777</f>
        <v>Radušies daudzumi</v>
      </c>
      <c r="F1577" s="1660"/>
      <c r="G1577" s="1660"/>
      <c r="H1577" s="245" t="s">
        <v>249</v>
      </c>
      <c r="I1577" s="484"/>
      <c r="J1577" s="484"/>
      <c r="K1577" s="484"/>
      <c r="L1577" s="484"/>
      <c r="M1577" s="484"/>
      <c r="N1577" s="1205"/>
      <c r="O1577" s="25"/>
      <c r="P1577" s="955"/>
      <c r="R1577" s="955"/>
      <c r="S1577" s="955"/>
      <c r="AA1577" s="361" t="b">
        <f>AA1574</f>
        <v>0</v>
      </c>
    </row>
    <row r="1578" spans="2:27" ht="12.75" customHeight="1" x14ac:dyDescent="0.2">
      <c r="B1578" s="224"/>
      <c r="C1578" s="977"/>
      <c r="D1578" s="695" t="s">
        <v>6</v>
      </c>
      <c r="E1578" s="1737" t="str">
        <f>Translations!$B$470</f>
        <v>Zemākā siltumspēja</v>
      </c>
      <c r="F1578" s="1659"/>
      <c r="G1578" s="1659"/>
      <c r="H1578" s="74" t="e">
        <f>IF(ISBLANK(H1577),EUconst_GJperUnit,INDEX(EUconst_GJperTorKNm3,MATCH(H1577,EUconst_TonnesOrkNm3pa,0)))</f>
        <v>#N/A</v>
      </c>
      <c r="I1578" s="458"/>
      <c r="J1578" s="458"/>
      <c r="K1578" s="458"/>
      <c r="L1578" s="458"/>
      <c r="M1578" s="458"/>
      <c r="N1578" s="1205"/>
      <c r="O1578" s="25"/>
      <c r="R1578" s="955"/>
      <c r="S1578" s="955"/>
      <c r="T1578" s="955"/>
      <c r="U1578" s="955"/>
      <c r="V1578" s="955"/>
      <c r="W1578" s="955"/>
      <c r="AA1578" s="361" t="b">
        <f>AA1577</f>
        <v>0</v>
      </c>
    </row>
    <row r="1579" spans="2:27" ht="12.75" customHeight="1" x14ac:dyDescent="0.2">
      <c r="B1579" s="224"/>
      <c r="C1579" s="977"/>
      <c r="D1579" s="695" t="s">
        <v>303</v>
      </c>
      <c r="E1579" s="1651" t="str">
        <f>Translations!$B$778</f>
        <v>Radusies atlikumgāze</v>
      </c>
      <c r="F1579" s="1652"/>
      <c r="G1579" s="1652"/>
      <c r="H1579" s="465" t="str">
        <f>EUconst_TJpa</f>
        <v>TJ / gads</v>
      </c>
      <c r="I1579" s="523" t="str">
        <f>IF(COUNT(I1577:I1578)=2,I1577*I1578/1000,"")</f>
        <v/>
      </c>
      <c r="J1579" s="523" t="str">
        <f>IF(COUNT(J1577:J1578)=2,J1577*J1578/1000,"")</f>
        <v/>
      </c>
      <c r="K1579" s="523" t="str">
        <f>IF(COUNT(K1577:K1578)=2,K1577*K1578/1000,"")</f>
        <v/>
      </c>
      <c r="L1579" s="523" t="str">
        <f>IF(COUNT(L1577:L1578)=2,L1577*L1578/1000,"")</f>
        <v/>
      </c>
      <c r="M1579" s="523" t="str">
        <f>IF(COUNT(M1577:M1578)=2,M1577*M1578/1000,"")</f>
        <v/>
      </c>
      <c r="N1579" s="1205"/>
      <c r="O1579" s="25"/>
      <c r="P1579" s="979" t="str">
        <f>EUconst_CNTR_WGProduced &amp; I1464</f>
        <v>WasteGasProd_</v>
      </c>
      <c r="R1579" s="955"/>
      <c r="S1579" s="955"/>
      <c r="T1579" s="955"/>
      <c r="U1579" s="955"/>
      <c r="V1579" s="955"/>
      <c r="W1579" s="955"/>
      <c r="AA1579" s="607"/>
    </row>
    <row r="1580" spans="2:27" ht="12.75" customHeight="1" x14ac:dyDescent="0.2">
      <c r="B1580" s="224"/>
      <c r="C1580" s="977"/>
      <c r="D1580" s="695" t="s">
        <v>304</v>
      </c>
      <c r="E1580" s="1651" t="str">
        <f>Translations!$B$779</f>
        <v>Īpatnējais EF (radusies atlikumgāze)</v>
      </c>
      <c r="F1580" s="1652"/>
      <c r="G1580" s="1652"/>
      <c r="H1580" s="465" t="str">
        <f>EUconst_tCO2pTJ</f>
        <v>t CO2 / TJ</v>
      </c>
      <c r="I1580" s="483"/>
      <c r="J1580" s="483"/>
      <c r="K1580" s="483"/>
      <c r="L1580" s="483"/>
      <c r="M1580" s="483"/>
      <c r="N1580" s="661"/>
      <c r="O1580" s="25"/>
      <c r="P1580" s="979" t="str">
        <f>EUconst_CNTR_WGProducedEF &amp; I1464</f>
        <v>WasteGasProdEF_</v>
      </c>
      <c r="R1580" s="955"/>
      <c r="S1580" s="955"/>
      <c r="T1580" s="955"/>
      <c r="U1580" s="955"/>
      <c r="V1580" s="955"/>
      <c r="W1580" s="955"/>
      <c r="AA1580" s="361" t="b">
        <f>AA1578</f>
        <v>0</v>
      </c>
    </row>
    <row r="1581" spans="2:27" ht="5.0999999999999996" customHeight="1" x14ac:dyDescent="0.2">
      <c r="B1581" s="224"/>
      <c r="C1581" s="977"/>
      <c r="D1581" s="978"/>
      <c r="E1581" s="978"/>
      <c r="F1581" s="978"/>
      <c r="G1581" s="978"/>
      <c r="H1581" s="978"/>
      <c r="I1581" s="978"/>
      <c r="J1581" s="978"/>
      <c r="K1581" s="978"/>
      <c r="L1581" s="978"/>
      <c r="M1581" s="980"/>
      <c r="N1581" s="661"/>
      <c r="O1581" s="25"/>
      <c r="P1581" s="955"/>
      <c r="R1581" s="955"/>
      <c r="S1581" s="955"/>
      <c r="T1581" s="955"/>
      <c r="U1581" s="955"/>
      <c r="V1581" s="955"/>
      <c r="W1581" s="955"/>
      <c r="AA1581" s="607"/>
    </row>
    <row r="1582" spans="2:27" ht="12.75" customHeight="1" x14ac:dyDescent="0.2">
      <c r="B1582" s="224"/>
      <c r="C1582" s="977"/>
      <c r="D1582" s="695" t="s">
        <v>305</v>
      </c>
      <c r="E1582" s="1663" t="str">
        <f>Translations!$B$780</f>
        <v>Patērēto atlikumgāzu veidi:</v>
      </c>
      <c r="F1582" s="1663"/>
      <c r="G1582" s="1663"/>
      <c r="H1582" s="1663"/>
      <c r="I1582" s="1664"/>
      <c r="J1582" s="1665"/>
      <c r="K1582" s="1665"/>
      <c r="L1582" s="1665"/>
      <c r="M1582" s="1666"/>
      <c r="N1582" s="1203"/>
      <c r="O1582" s="25"/>
      <c r="P1582" s="955"/>
      <c r="R1582" s="955"/>
      <c r="S1582" s="955"/>
      <c r="T1582" s="955"/>
      <c r="U1582" s="955"/>
      <c r="V1582" s="955"/>
      <c r="W1582" s="955"/>
      <c r="AA1582" s="361" t="b">
        <f>AA1580</f>
        <v>0</v>
      </c>
    </row>
    <row r="1583" spans="2:27" ht="5.0999999999999996" customHeight="1" x14ac:dyDescent="0.2">
      <c r="B1583" s="224"/>
      <c r="C1583" s="977"/>
      <c r="D1583" s="978"/>
      <c r="E1583" s="978"/>
      <c r="F1583" s="978"/>
      <c r="G1583" s="978"/>
      <c r="H1583" s="978"/>
      <c r="I1583" s="978"/>
      <c r="J1583" s="978"/>
      <c r="K1583" s="978"/>
      <c r="L1583" s="978"/>
      <c r="M1583" s="980"/>
      <c r="N1583" s="661"/>
      <c r="O1583" s="25"/>
      <c r="P1583" s="955"/>
      <c r="R1583" s="955"/>
    </row>
    <row r="1584" spans="2:27" ht="12.75" customHeight="1" x14ac:dyDescent="0.2">
      <c r="B1584" s="224"/>
      <c r="C1584" s="977"/>
      <c r="D1584" s="978"/>
      <c r="E1584" s="1653"/>
      <c r="F1584" s="1657"/>
      <c r="G1584" s="1657"/>
      <c r="H1584" s="462" t="str">
        <f>EUconst_Unit</f>
        <v>Vienība</v>
      </c>
      <c r="I1584" s="463">
        <f>I$1820</f>
        <v>2019</v>
      </c>
      <c r="J1584" s="463">
        <f>J$1820</f>
        <v>2020</v>
      </c>
      <c r="K1584" s="463">
        <f>K$1820</f>
        <v>2021</v>
      </c>
      <c r="L1584" s="463">
        <f>L$1820</f>
        <v>2022</v>
      </c>
      <c r="M1584" s="463">
        <f>M$1820</f>
        <v>2023</v>
      </c>
      <c r="N1584" s="1205"/>
      <c r="O1584" s="25"/>
      <c r="P1584" s="955"/>
      <c r="R1584" s="955"/>
      <c r="S1584" s="955"/>
      <c r="T1584" s="955"/>
      <c r="U1584" s="955"/>
      <c r="V1584" s="955"/>
      <c r="W1584" s="955"/>
      <c r="AA1584" s="607"/>
    </row>
    <row r="1585" spans="2:27" ht="12.75" customHeight="1" x14ac:dyDescent="0.2">
      <c r="B1585" s="224"/>
      <c r="C1585" s="977"/>
      <c r="D1585" s="695" t="s">
        <v>306</v>
      </c>
      <c r="E1585" s="1667" t="str">
        <f>Translations!$B$782</f>
        <v>Patērētie daudzumi</v>
      </c>
      <c r="F1585" s="1660"/>
      <c r="G1585" s="1660"/>
      <c r="H1585" s="245" t="s">
        <v>249</v>
      </c>
      <c r="I1585" s="484"/>
      <c r="J1585" s="484"/>
      <c r="K1585" s="484"/>
      <c r="L1585" s="484"/>
      <c r="M1585" s="484"/>
      <c r="N1585" s="1205"/>
      <c r="O1585" s="25"/>
      <c r="P1585" s="955"/>
      <c r="R1585" s="955"/>
      <c r="S1585" s="955"/>
      <c r="T1585" s="955"/>
      <c r="U1585" s="955"/>
      <c r="V1585" s="955"/>
      <c r="W1585" s="955"/>
      <c r="AA1585" s="361" t="b">
        <f>AA1582</f>
        <v>0</v>
      </c>
    </row>
    <row r="1586" spans="2:27" ht="12.75" customHeight="1" x14ac:dyDescent="0.2">
      <c r="B1586" s="224"/>
      <c r="C1586" s="977"/>
      <c r="D1586" s="695" t="s">
        <v>307</v>
      </c>
      <c r="E1586" s="1737" t="str">
        <f>Translations!$B$470</f>
        <v>Zemākā siltumspēja</v>
      </c>
      <c r="F1586" s="1659"/>
      <c r="G1586" s="1659"/>
      <c r="H1586" s="74" t="e">
        <f>IF(ISBLANK(H1585),EUconst_GJperUnit,INDEX(EUconst_GJperTorKNm3,MATCH(H1585,EUconst_TonnesOrkNm3pa,0)))</f>
        <v>#N/A</v>
      </c>
      <c r="I1586" s="458"/>
      <c r="J1586" s="458"/>
      <c r="K1586" s="458"/>
      <c r="L1586" s="458"/>
      <c r="M1586" s="458"/>
      <c r="N1586" s="1205"/>
      <c r="O1586" s="25"/>
      <c r="R1586" s="955"/>
      <c r="S1586" s="955"/>
      <c r="T1586" s="955"/>
      <c r="U1586" s="955"/>
      <c r="V1586" s="955"/>
      <c r="W1586" s="955"/>
      <c r="AA1586" s="361" t="b">
        <f>AA1585</f>
        <v>0</v>
      </c>
    </row>
    <row r="1587" spans="2:27" ht="12.75" customHeight="1" x14ac:dyDescent="0.2">
      <c r="B1587" s="224"/>
      <c r="C1587" s="977"/>
      <c r="D1587" s="695" t="s">
        <v>15</v>
      </c>
      <c r="E1587" s="1651" t="str">
        <f>Translations!$B$783</f>
        <v>Patērētā atlikumgāze</v>
      </c>
      <c r="F1587" s="1652"/>
      <c r="G1587" s="1652"/>
      <c r="H1587" s="465" t="str">
        <f>EUconst_TJpa</f>
        <v>TJ / gads</v>
      </c>
      <c r="I1587" s="523" t="str">
        <f>IF(COUNT(I1585:I1586)=2,I1585*I1586/1000,"")</f>
        <v/>
      </c>
      <c r="J1587" s="523" t="str">
        <f>IF(COUNT(J1585:J1586)=2,J1585*J1586/1000,"")</f>
        <v/>
      </c>
      <c r="K1587" s="523" t="str">
        <f>IF(COUNT(K1585:K1586)=2,K1585*K1586/1000,"")</f>
        <v/>
      </c>
      <c r="L1587" s="523" t="str">
        <f>IF(COUNT(L1585:L1586)=2,L1585*L1586/1000,"")</f>
        <v/>
      </c>
      <c r="M1587" s="523" t="str">
        <f>IF(COUNT(M1585:M1586)=2,M1585*M1586/1000,"")</f>
        <v/>
      </c>
      <c r="N1587" s="1205"/>
      <c r="O1587" s="25"/>
      <c r="P1587" s="979" t="str">
        <f>EUconst_CNTR_WGConsumed &amp; I1464</f>
        <v>WasteGasCons_</v>
      </c>
      <c r="R1587" s="955"/>
      <c r="S1587" s="955"/>
      <c r="T1587" s="955"/>
      <c r="U1587" s="955"/>
      <c r="V1587" s="955"/>
      <c r="W1587" s="955"/>
      <c r="AA1587" s="607"/>
    </row>
    <row r="1588" spans="2:27" ht="12.75" customHeight="1" x14ac:dyDescent="0.2">
      <c r="B1588" s="224"/>
      <c r="C1588" s="977"/>
      <c r="D1588" s="695" t="s">
        <v>16</v>
      </c>
      <c r="E1588" s="1651" t="str">
        <f>Translations!$B$784</f>
        <v>Īpatnējais EF (patērētā atlikumgāze)</v>
      </c>
      <c r="F1588" s="1652"/>
      <c r="G1588" s="1652"/>
      <c r="H1588" s="465" t="str">
        <f>EUconst_tCO2pTJ</f>
        <v>t CO2 / TJ</v>
      </c>
      <c r="I1588" s="483"/>
      <c r="J1588" s="483"/>
      <c r="K1588" s="483"/>
      <c r="L1588" s="483"/>
      <c r="M1588" s="483"/>
      <c r="N1588" s="661"/>
      <c r="O1588" s="25"/>
      <c r="P1588" s="979" t="str">
        <f>EUconst_CNTR_WGConsumedEF &amp; I1464</f>
        <v>WasteGasConsEF_</v>
      </c>
      <c r="R1588" s="955"/>
      <c r="S1588" s="955"/>
      <c r="T1588" s="955"/>
      <c r="U1588" s="955"/>
      <c r="V1588" s="955"/>
      <c r="W1588" s="955"/>
      <c r="AA1588" s="361" t="b">
        <f>AA1586</f>
        <v>0</v>
      </c>
    </row>
    <row r="1589" spans="2:27" ht="5.0999999999999996" customHeight="1" x14ac:dyDescent="0.2">
      <c r="B1589" s="224"/>
      <c r="C1589" s="977"/>
      <c r="D1589" s="978"/>
      <c r="E1589" s="978"/>
      <c r="F1589" s="978"/>
      <c r="G1589" s="978"/>
      <c r="H1589" s="978"/>
      <c r="I1589" s="978"/>
      <c r="J1589" s="978"/>
      <c r="K1589" s="978"/>
      <c r="L1589" s="978"/>
      <c r="M1589" s="980"/>
      <c r="N1589" s="661"/>
      <c r="O1589" s="25"/>
      <c r="P1589" s="955"/>
      <c r="R1589" s="955"/>
      <c r="S1589" s="955"/>
      <c r="AA1589" s="607"/>
    </row>
    <row r="1590" spans="2:27" ht="12.75" customHeight="1" x14ac:dyDescent="0.2">
      <c r="B1590" s="224"/>
      <c r="C1590" s="977"/>
      <c r="D1590" s="695" t="s">
        <v>17</v>
      </c>
      <c r="E1590" s="1663" t="str">
        <f>Translations!$B$785</f>
        <v>Lāpā sadedzināto atlikumgāzu veidi:</v>
      </c>
      <c r="F1590" s="1663"/>
      <c r="G1590" s="1663"/>
      <c r="H1590" s="1663"/>
      <c r="I1590" s="1664"/>
      <c r="J1590" s="1665"/>
      <c r="K1590" s="1665"/>
      <c r="L1590" s="1665"/>
      <c r="M1590" s="1666"/>
      <c r="N1590" s="1203"/>
      <c r="O1590" s="25"/>
      <c r="P1590" s="955"/>
      <c r="R1590" s="955"/>
      <c r="AA1590" s="361" t="b">
        <f>AA1580</f>
        <v>0</v>
      </c>
    </row>
    <row r="1591" spans="2:27" ht="5.0999999999999996" customHeight="1" x14ac:dyDescent="0.2">
      <c r="B1591" s="224"/>
      <c r="C1591" s="977"/>
      <c r="D1591" s="978"/>
      <c r="E1591" s="978"/>
      <c r="F1591" s="978"/>
      <c r="G1591" s="978"/>
      <c r="H1591" s="978"/>
      <c r="I1591" s="978"/>
      <c r="J1591" s="978"/>
      <c r="K1591" s="978"/>
      <c r="L1591" s="978"/>
      <c r="M1591" s="980"/>
      <c r="N1591" s="661"/>
      <c r="O1591" s="25"/>
      <c r="P1591" s="955"/>
      <c r="R1591" s="955"/>
    </row>
    <row r="1592" spans="2:27" ht="12.75" customHeight="1" x14ac:dyDescent="0.2">
      <c r="B1592" s="224"/>
      <c r="C1592" s="977"/>
      <c r="D1592" s="978"/>
      <c r="E1592" s="1653"/>
      <c r="F1592" s="1657"/>
      <c r="G1592" s="1657"/>
      <c r="H1592" s="462" t="str">
        <f>EUconst_Unit</f>
        <v>Vienība</v>
      </c>
      <c r="I1592" s="463">
        <f>I$1820</f>
        <v>2019</v>
      </c>
      <c r="J1592" s="463">
        <f>J$1820</f>
        <v>2020</v>
      </c>
      <c r="K1592" s="463">
        <f>K$1820</f>
        <v>2021</v>
      </c>
      <c r="L1592" s="463">
        <f>L$1820</f>
        <v>2022</v>
      </c>
      <c r="M1592" s="463">
        <f>M$1820</f>
        <v>2023</v>
      </c>
      <c r="N1592" s="1205"/>
      <c r="O1592" s="25"/>
      <c r="P1592" s="955"/>
      <c r="AA1592" s="607"/>
    </row>
    <row r="1593" spans="2:27" ht="12.75" customHeight="1" thickBot="1" x14ac:dyDescent="0.25">
      <c r="B1593" s="224"/>
      <c r="C1593" s="977"/>
      <c r="D1593" s="695" t="s">
        <v>438</v>
      </c>
      <c r="E1593" s="1667" t="str">
        <f>Translations!$B$789</f>
        <v>Lāpā sadedzinātie daudzumi</v>
      </c>
      <c r="F1593" s="1660"/>
      <c r="G1593" s="1660"/>
      <c r="H1593" s="245" t="s">
        <v>249</v>
      </c>
      <c r="I1593" s="484"/>
      <c r="J1593" s="484"/>
      <c r="K1593" s="484"/>
      <c r="L1593" s="484"/>
      <c r="M1593" s="484"/>
      <c r="N1593" s="1205"/>
      <c r="O1593" s="25"/>
      <c r="P1593" s="955"/>
      <c r="R1593" s="955" t="s">
        <v>525</v>
      </c>
      <c r="AA1593" s="361" t="b">
        <f>AA1590</f>
        <v>0</v>
      </c>
    </row>
    <row r="1594" spans="2:27" ht="12.75" customHeight="1" thickBot="1" x14ac:dyDescent="0.25">
      <c r="B1594" s="224"/>
      <c r="C1594" s="977"/>
      <c r="D1594" s="695" t="s">
        <v>439</v>
      </c>
      <c r="E1594" s="1737" t="str">
        <f>Translations!$B$470</f>
        <v>Zemākā siltumspēja</v>
      </c>
      <c r="F1594" s="1659"/>
      <c r="G1594" s="1659"/>
      <c r="H1594" s="74" t="e">
        <f>IF(ISBLANK(H1593),EUconst_GJperUnit,INDEX(EUconst_GJperTorKNm3,MATCH(H1593,EUconst_TonnesOrkNm3pa,0)))</f>
        <v>#N/A</v>
      </c>
      <c r="I1594" s="458"/>
      <c r="J1594" s="458"/>
      <c r="K1594" s="458"/>
      <c r="L1594" s="458"/>
      <c r="M1594" s="458"/>
      <c r="N1594" s="1205"/>
      <c r="O1594" s="25"/>
      <c r="R1594" s="708" t="s">
        <v>421</v>
      </c>
      <c r="S1594" s="705">
        <f>I1592</f>
        <v>2019</v>
      </c>
      <c r="T1594" s="706">
        <f>J1592</f>
        <v>2020</v>
      </c>
      <c r="U1594" s="706">
        <f>K1592</f>
        <v>2021</v>
      </c>
      <c r="V1594" s="706">
        <f>L1592</f>
        <v>2022</v>
      </c>
      <c r="W1594" s="707">
        <f>M1592</f>
        <v>2023</v>
      </c>
      <c r="AA1594" s="361" t="b">
        <f>AA1593</f>
        <v>0</v>
      </c>
    </row>
    <row r="1595" spans="2:27" ht="12.75" customHeight="1" thickBot="1" x14ac:dyDescent="0.25">
      <c r="B1595" s="224"/>
      <c r="C1595" s="977"/>
      <c r="D1595" s="695" t="s">
        <v>440</v>
      </c>
      <c r="E1595" s="1651" t="str">
        <f>Translations!$B$790</f>
        <v>Lāpā sadedzinātā atlikumgāze</v>
      </c>
      <c r="F1595" s="1652"/>
      <c r="G1595" s="1652"/>
      <c r="H1595" s="465" t="str">
        <f>EUconst_TJpa</f>
        <v>TJ / gads</v>
      </c>
      <c r="I1595" s="523" t="str">
        <f>IF(COUNT(I1593:I1594)=2,I1593*I1594/1000,"")</f>
        <v/>
      </c>
      <c r="J1595" s="523" t="str">
        <f>IF(COUNT(J1593:J1594)=2,J1593*J1594/1000,"")</f>
        <v/>
      </c>
      <c r="K1595" s="523" t="str">
        <f>IF(COUNT(K1593:K1594)=2,K1593*K1594/1000,"")</f>
        <v/>
      </c>
      <c r="L1595" s="523" t="str">
        <f>IF(COUNT(L1593:L1594)=2,L1593*L1594/1000,"")</f>
        <v/>
      </c>
      <c r="M1595" s="523" t="str">
        <f>IF(COUNT(M1593:M1594)=2,M1593*M1594/1000,"")</f>
        <v/>
      </c>
      <c r="N1595" s="1205"/>
      <c r="O1595" s="25"/>
      <c r="P1595" s="979" t="str">
        <f>EUconst_CNTR_WGFlared &amp; I1464</f>
        <v>WasteGasFlare_</v>
      </c>
      <c r="R1595" s="363" t="str">
        <f>IF(COUNT(S1595:W1595)&gt;0,AVERAGE(S1595:W1595),"")</f>
        <v/>
      </c>
      <c r="S1595" s="454" t="str">
        <f>IF(S1464,IF(ISNUMBER(I1595),I1595,0),"")</f>
        <v/>
      </c>
      <c r="T1595" s="455" t="str">
        <f>IF(T1464,IF(ISNUMBER(J1595),J1595,0),"")</f>
        <v/>
      </c>
      <c r="U1595" s="455" t="str">
        <f>IF(U1464,IF(ISNUMBER(K1595),K1595,0),"")</f>
        <v/>
      </c>
      <c r="V1595" s="455" t="str">
        <f>IF(V1464,IF(ISNUMBER(L1595),L1595,0),"")</f>
        <v/>
      </c>
      <c r="W1595" s="456" t="str">
        <f>IF(W1464,IF(ISNUMBER(M1595),M1595,0),"")</f>
        <v/>
      </c>
      <c r="AA1595" s="607"/>
    </row>
    <row r="1596" spans="2:27" ht="12.75" customHeight="1" thickBot="1" x14ac:dyDescent="0.25">
      <c r="B1596" s="224"/>
      <c r="C1596" s="977"/>
      <c r="D1596" s="695" t="s">
        <v>441</v>
      </c>
      <c r="E1596" s="1651" t="str">
        <f>Translations!$B$791</f>
        <v>Īpatnējais EF (lāpā sadedzinātā atlikumgāze)</v>
      </c>
      <c r="F1596" s="1652"/>
      <c r="G1596" s="1652"/>
      <c r="H1596" s="465" t="str">
        <f>EUconst_tCO2pTJ</f>
        <v>t CO2 / TJ</v>
      </c>
      <c r="I1596" s="483"/>
      <c r="J1596" s="483"/>
      <c r="K1596" s="483"/>
      <c r="L1596" s="483"/>
      <c r="M1596" s="483"/>
      <c r="N1596" s="661"/>
      <c r="O1596" s="25"/>
      <c r="P1596" s="979" t="str">
        <f>EUconst_CNTR_WGFlaredEF &amp; I1464</f>
        <v>WasteGasFlareEF_</v>
      </c>
      <c r="R1596" s="843" t="str">
        <f>IF(COUNT(S1596:W1596)&gt;0,AVERAGE(S1596:W1596),"")</f>
        <v/>
      </c>
      <c r="S1596" s="454" t="str">
        <f>IF(S1464,SUM(I1595)*SUM(I1596),"")</f>
        <v/>
      </c>
      <c r="T1596" s="455" t="str">
        <f>IF(T1464,SUM(J1595)*SUM(J1596),"")</f>
        <v/>
      </c>
      <c r="U1596" s="455" t="str">
        <f>IF(U1464,SUM(K1595)*SUM(K1596),"")</f>
        <v/>
      </c>
      <c r="V1596" s="455" t="str">
        <f>IF(V1464,SUM(L1595)*SUM(L1596),"")</f>
        <v/>
      </c>
      <c r="W1596" s="456" t="str">
        <f>IF(W1464,SUM(M1595)*SUM(M1596),"")</f>
        <v/>
      </c>
      <c r="AA1596" s="361" t="b">
        <f>AA1594</f>
        <v>0</v>
      </c>
    </row>
    <row r="1597" spans="2:27" ht="5.0999999999999996" customHeight="1" x14ac:dyDescent="0.2">
      <c r="B1597" s="224"/>
      <c r="C1597" s="977"/>
      <c r="D1597" s="978"/>
      <c r="E1597" s="978"/>
      <c r="F1597" s="978"/>
      <c r="G1597" s="978"/>
      <c r="H1597" s="978"/>
      <c r="I1597" s="978"/>
      <c r="J1597" s="978"/>
      <c r="K1597" s="978"/>
      <c r="L1597" s="978"/>
      <c r="M1597" s="980"/>
      <c r="N1597" s="661"/>
      <c r="O1597" s="25"/>
      <c r="P1597" s="955"/>
      <c r="R1597" s="955"/>
      <c r="S1597" s="955"/>
      <c r="AA1597" s="607"/>
    </row>
    <row r="1598" spans="2:27" ht="12.75" customHeight="1" x14ac:dyDescent="0.2">
      <c r="B1598" s="224"/>
      <c r="C1598" s="977"/>
      <c r="D1598" s="695" t="s">
        <v>442</v>
      </c>
      <c r="E1598" s="1663" t="str">
        <f>Translations!$B$792</f>
        <v>Importēto atlikumgāzu veidi:</v>
      </c>
      <c r="F1598" s="1663"/>
      <c r="G1598" s="1663"/>
      <c r="H1598" s="1663"/>
      <c r="I1598" s="1664"/>
      <c r="J1598" s="1665"/>
      <c r="K1598" s="1665"/>
      <c r="L1598" s="1665"/>
      <c r="M1598" s="1666"/>
      <c r="N1598" s="661"/>
      <c r="O1598" s="25"/>
      <c r="P1598" s="955"/>
      <c r="R1598" s="955"/>
      <c r="AA1598" s="361" t="b">
        <f>AA1578</f>
        <v>0</v>
      </c>
    </row>
    <row r="1599" spans="2:27" ht="5.0999999999999996" customHeight="1" x14ac:dyDescent="0.2">
      <c r="B1599" s="224"/>
      <c r="C1599" s="977"/>
      <c r="D1599" s="978"/>
      <c r="E1599" s="978"/>
      <c r="F1599" s="978"/>
      <c r="G1599" s="978"/>
      <c r="H1599" s="978"/>
      <c r="I1599" s="978"/>
      <c r="J1599" s="978"/>
      <c r="K1599" s="978"/>
      <c r="L1599" s="978"/>
      <c r="M1599" s="980"/>
      <c r="N1599" s="661"/>
      <c r="O1599" s="25"/>
      <c r="P1599" s="955"/>
      <c r="R1599" s="955"/>
    </row>
    <row r="1600" spans="2:27" ht="12.75" customHeight="1" x14ac:dyDescent="0.2">
      <c r="B1600" s="224"/>
      <c r="C1600" s="977"/>
      <c r="D1600" s="978"/>
      <c r="E1600" s="1653"/>
      <c r="F1600" s="1657"/>
      <c r="G1600" s="1657"/>
      <c r="H1600" s="462" t="str">
        <f>EUconst_Unit</f>
        <v>Vienība</v>
      </c>
      <c r="I1600" s="463">
        <f>I$1820</f>
        <v>2019</v>
      </c>
      <c r="J1600" s="463">
        <f>J$1820</f>
        <v>2020</v>
      </c>
      <c r="K1600" s="463">
        <f>K$1820</f>
        <v>2021</v>
      </c>
      <c r="L1600" s="463">
        <f>L$1820</f>
        <v>2022</v>
      </c>
      <c r="M1600" s="463">
        <f>M$1820</f>
        <v>2023</v>
      </c>
      <c r="N1600" s="1205"/>
      <c r="O1600" s="25"/>
      <c r="P1600" s="955"/>
      <c r="R1600" s="955"/>
      <c r="S1600" s="955"/>
      <c r="AA1600" s="607"/>
    </row>
    <row r="1601" spans="1:27" ht="12.75" customHeight="1" thickBot="1" x14ac:dyDescent="0.25">
      <c r="B1601" s="224"/>
      <c r="C1601" s="977"/>
      <c r="D1601" s="695" t="s">
        <v>443</v>
      </c>
      <c r="E1601" s="1667" t="str">
        <f>Translations!$B$795</f>
        <v>Importētie daudzumi</v>
      </c>
      <c r="F1601" s="1660"/>
      <c r="G1601" s="1660"/>
      <c r="H1601" s="245" t="s">
        <v>249</v>
      </c>
      <c r="I1601" s="484"/>
      <c r="J1601" s="484"/>
      <c r="K1601" s="484"/>
      <c r="L1601" s="484"/>
      <c r="M1601" s="484"/>
      <c r="N1601" s="1205"/>
      <c r="O1601" s="25"/>
      <c r="P1601" s="955"/>
      <c r="R1601" s="955"/>
      <c r="S1601" s="955"/>
      <c r="AA1601" s="361" t="b">
        <f>AA1598</f>
        <v>0</v>
      </c>
    </row>
    <row r="1602" spans="1:27" ht="12.75" customHeight="1" x14ac:dyDescent="0.2">
      <c r="B1602" s="224"/>
      <c r="C1602" s="977"/>
      <c r="D1602" s="695" t="s">
        <v>444</v>
      </c>
      <c r="E1602" s="1737" t="str">
        <f>Translations!$B$470</f>
        <v>Zemākā siltumspēja</v>
      </c>
      <c r="F1602" s="1659"/>
      <c r="G1602" s="1659"/>
      <c r="H1602" s="74" t="e">
        <f>IF(ISBLANK(H1601),EUconst_GJperUnit,INDEX(EUconst_GJperTorKNm3,MATCH(H1601,EUconst_TonnesOrkNm3pa,0)))</f>
        <v>#N/A</v>
      </c>
      <c r="I1602" s="458"/>
      <c r="J1602" s="458"/>
      <c r="K1602" s="458"/>
      <c r="L1602" s="458"/>
      <c r="M1602" s="458"/>
      <c r="N1602" s="1205"/>
      <c r="O1602" s="25"/>
      <c r="P1602" s="982"/>
      <c r="R1602" s="970"/>
      <c r="S1602" s="809">
        <f>I1600</f>
        <v>2019</v>
      </c>
      <c r="T1602" s="809">
        <f>J1600</f>
        <v>2020</v>
      </c>
      <c r="U1602" s="809">
        <f>K1600</f>
        <v>2021</v>
      </c>
      <c r="V1602" s="809">
        <f>L1600</f>
        <v>2022</v>
      </c>
      <c r="W1602" s="810">
        <f>M1600</f>
        <v>2023</v>
      </c>
      <c r="AA1602" s="361" t="b">
        <f>AA1601</f>
        <v>0</v>
      </c>
    </row>
    <row r="1603" spans="1:27" ht="12.75" customHeight="1" x14ac:dyDescent="0.2">
      <c r="B1603" s="224"/>
      <c r="C1603" s="977"/>
      <c r="D1603" s="695" t="s">
        <v>445</v>
      </c>
      <c r="E1603" s="1651" t="str">
        <f>Translations!$B$796</f>
        <v>Importētā atlikumgāze</v>
      </c>
      <c r="F1603" s="1652"/>
      <c r="G1603" s="1652"/>
      <c r="H1603" s="465" t="str">
        <f>EUconst_TJpa</f>
        <v>TJ / gads</v>
      </c>
      <c r="I1603" s="448" t="str">
        <f>IF(COUNT(I1601:I1602)=2,I1601*I1602/1000,"")</f>
        <v/>
      </c>
      <c r="J1603" s="448" t="str">
        <f>IF(COUNT(J1601:J1602)=2,J1601*J1602/1000,"")</f>
        <v/>
      </c>
      <c r="K1603" s="448" t="str">
        <f>IF(COUNT(K1601:K1602)=2,K1601*K1602/1000,"")</f>
        <v/>
      </c>
      <c r="L1603" s="448" t="str">
        <f>IF(COUNT(L1601:L1602)=2,L1601*L1602/1000,"")</f>
        <v/>
      </c>
      <c r="M1603" s="448" t="str">
        <f>IF(COUNT(M1601:M1602)=2,M1601*M1602/1000,"")</f>
        <v/>
      </c>
      <c r="N1603" s="1205"/>
      <c r="O1603" s="25"/>
      <c r="P1603" s="979" t="str">
        <f>EUconst_CNTR_WGImport &amp; I1464</f>
        <v>WasteGasIm_</v>
      </c>
      <c r="R1603" s="981" t="str">
        <f>EUconst_ERR_AttrEmBMapplied &amp; I1464</f>
        <v>ERR_AttrEmBM_ </v>
      </c>
      <c r="S1603" s="134">
        <f>IF(AND(I1603&lt;&gt;"",EUconst_StatusOfDataCollection=""),1,0)</f>
        <v>0</v>
      </c>
      <c r="T1603" s="134">
        <f>IF(AND(J1603&lt;&gt;"",EUconst_StatusOfDataCollection=""),1,0)</f>
        <v>0</v>
      </c>
      <c r="U1603" s="134">
        <f>IF(AND(K1603&lt;&gt;"",EUconst_StatusOfDataCollection=""),1,0)</f>
        <v>0</v>
      </c>
      <c r="V1603" s="134">
        <f>IF(AND(L1603&lt;&gt;"",EUconst_StatusOfDataCollection=""),1,0)</f>
        <v>0</v>
      </c>
      <c r="W1603" s="135">
        <f>IF(AND(M1603&lt;&gt;"",EUconst_StatusOfDataCollection=""),1,0)</f>
        <v>0</v>
      </c>
      <c r="AA1603" s="607"/>
    </row>
    <row r="1604" spans="1:27" s="697" customFormat="1" ht="12.75" customHeight="1" thickBot="1" x14ac:dyDescent="0.25">
      <c r="A1604" s="437"/>
      <c r="B1604" s="224"/>
      <c r="C1604" s="977"/>
      <c r="D1604" s="695" t="s">
        <v>446</v>
      </c>
      <c r="E1604" s="1651" t="str">
        <f>Translations!$B$797</f>
        <v>Īpatnējais EF (importētā atlikumgāze)</v>
      </c>
      <c r="F1604" s="1651"/>
      <c r="G1604" s="1651"/>
      <c r="H1604" s="464" t="str">
        <f>EUconst_tCO2pTJ</f>
        <v>t CO2 / TJ</v>
      </c>
      <c r="I1604" s="761"/>
      <c r="J1604" s="761"/>
      <c r="K1604" s="761"/>
      <c r="L1604" s="761"/>
      <c r="M1604" s="761"/>
      <c r="N1604" s="661"/>
      <c r="O1604" s="25"/>
      <c r="P1604" s="979" t="str">
        <f>EUconst_CNTR_WGImportEF &amp; I1464</f>
        <v>WasteGasImEF_</v>
      </c>
      <c r="Q1604" s="437"/>
      <c r="R1604" s="971" t="str">
        <f>EUconst_CNTR_AttributedEmissions &amp; I1464</f>
        <v>AttrEmissions_</v>
      </c>
      <c r="S1604" s="137" t="str">
        <f>IF(S1464,SUM(I1603)*EUconst_FuelBMvalueForBM,"")</f>
        <v/>
      </c>
      <c r="T1604" s="137" t="str">
        <f>IF(T1464,SUM(J1603)*EUconst_FuelBMvalueForBM,"")</f>
        <v/>
      </c>
      <c r="U1604" s="137" t="str">
        <f>IF(U1464,SUM(K1603)*EUconst_FuelBMvalueForBM,"")</f>
        <v/>
      </c>
      <c r="V1604" s="137" t="str">
        <f>IF(V1464,SUM(L1603)*EUconst_FuelBMvalueForBM,"")</f>
        <v/>
      </c>
      <c r="W1604" s="138" t="str">
        <f>IF(W1464,SUM(M1603)*EUconst_FuelBMvalueForBM,"")</f>
        <v/>
      </c>
      <c r="X1604" s="437"/>
      <c r="Y1604" s="437"/>
      <c r="Z1604" s="437"/>
      <c r="AA1604" s="361" t="b">
        <f>AA1602</f>
        <v>0</v>
      </c>
    </row>
    <row r="1605" spans="1:27" ht="5.0999999999999996" customHeight="1" x14ac:dyDescent="0.2">
      <c r="B1605" s="224"/>
      <c r="C1605" s="977"/>
      <c r="D1605" s="978"/>
      <c r="E1605" s="978"/>
      <c r="F1605" s="978"/>
      <c r="G1605" s="978"/>
      <c r="H1605" s="978"/>
      <c r="I1605" s="978"/>
      <c r="J1605" s="978"/>
      <c r="K1605" s="978"/>
      <c r="L1605" s="978"/>
      <c r="M1605" s="980"/>
      <c r="N1605" s="661"/>
      <c r="O1605" s="25"/>
      <c r="P1605" s="955"/>
      <c r="R1605" s="955"/>
      <c r="S1605" s="955"/>
      <c r="AA1605" s="607"/>
    </row>
    <row r="1606" spans="1:27" ht="12.75" customHeight="1" x14ac:dyDescent="0.2">
      <c r="B1606" s="224"/>
      <c r="C1606" s="977"/>
      <c r="D1606" s="695" t="s">
        <v>447</v>
      </c>
      <c r="E1606" s="1663" t="str">
        <f>Translations!$B$798</f>
        <v>Eksportēto atlikumgāzu veidi:</v>
      </c>
      <c r="F1606" s="1663"/>
      <c r="G1606" s="1663"/>
      <c r="H1606" s="1663"/>
      <c r="I1606" s="1664"/>
      <c r="J1606" s="1665"/>
      <c r="K1606" s="1665"/>
      <c r="L1606" s="1665"/>
      <c r="M1606" s="1666"/>
      <c r="N1606" s="1203"/>
      <c r="O1606" s="25"/>
      <c r="P1606" s="955"/>
      <c r="R1606" s="955"/>
      <c r="AA1606" s="361" t="b">
        <f>AA1601</f>
        <v>0</v>
      </c>
    </row>
    <row r="1607" spans="1:27" ht="5.0999999999999996" customHeight="1" x14ac:dyDescent="0.2">
      <c r="B1607" s="224"/>
      <c r="C1607" s="977"/>
      <c r="D1607" s="978"/>
      <c r="E1607" s="978"/>
      <c r="F1607" s="978"/>
      <c r="G1607" s="978"/>
      <c r="H1607" s="978"/>
      <c r="I1607" s="978"/>
      <c r="J1607" s="978"/>
      <c r="K1607" s="978"/>
      <c r="L1607" s="978"/>
      <c r="M1607" s="980"/>
      <c r="N1607" s="661"/>
      <c r="O1607" s="25"/>
      <c r="P1607" s="955"/>
      <c r="R1607" s="955"/>
    </row>
    <row r="1608" spans="1:27" ht="12.75" customHeight="1" x14ac:dyDescent="0.2">
      <c r="B1608" s="224"/>
      <c r="C1608" s="977"/>
      <c r="D1608" s="978"/>
      <c r="E1608" s="1653"/>
      <c r="F1608" s="1657"/>
      <c r="G1608" s="1657"/>
      <c r="H1608" s="462" t="str">
        <f>EUconst_Unit</f>
        <v>Vienība</v>
      </c>
      <c r="I1608" s="463">
        <f>I$1820</f>
        <v>2019</v>
      </c>
      <c r="J1608" s="463">
        <f>J$1820</f>
        <v>2020</v>
      </c>
      <c r="K1608" s="463">
        <f>K$1820</f>
        <v>2021</v>
      </c>
      <c r="L1608" s="463">
        <f>L$1820</f>
        <v>2022</v>
      </c>
      <c r="M1608" s="463">
        <f>M$1820</f>
        <v>2023</v>
      </c>
      <c r="N1608" s="1205"/>
      <c r="O1608" s="25"/>
      <c r="P1608" s="955"/>
      <c r="R1608" s="955"/>
      <c r="S1608" s="955"/>
      <c r="AA1608" s="607"/>
    </row>
    <row r="1609" spans="1:27" ht="12.75" customHeight="1" x14ac:dyDescent="0.2">
      <c r="B1609" s="224"/>
      <c r="C1609" s="977"/>
      <c r="D1609" s="695" t="s">
        <v>448</v>
      </c>
      <c r="E1609" s="1667" t="str">
        <f>Translations!$B$800</f>
        <v>Eksportētie daudzumi</v>
      </c>
      <c r="F1609" s="1660"/>
      <c r="G1609" s="1660"/>
      <c r="H1609" s="245" t="s">
        <v>249</v>
      </c>
      <c r="I1609" s="484"/>
      <c r="J1609" s="484"/>
      <c r="K1609" s="484"/>
      <c r="L1609" s="484"/>
      <c r="M1609" s="484"/>
      <c r="N1609" s="1205"/>
      <c r="O1609" s="25"/>
      <c r="P1609" s="955"/>
      <c r="R1609" s="955"/>
      <c r="S1609" s="955"/>
      <c r="AA1609" s="361" t="b">
        <f>AA1606</f>
        <v>0</v>
      </c>
    </row>
    <row r="1610" spans="1:27" ht="12.75" customHeight="1" thickBot="1" x14ac:dyDescent="0.25">
      <c r="B1610" s="224"/>
      <c r="C1610" s="977"/>
      <c r="D1610" s="695" t="s">
        <v>612</v>
      </c>
      <c r="E1610" s="1737" t="str">
        <f>Translations!$B$470</f>
        <v>Zemākā siltumspēja</v>
      </c>
      <c r="F1610" s="1659"/>
      <c r="G1610" s="1659"/>
      <c r="H1610" s="74" t="e">
        <f>IF(ISBLANK(H1609),EUconst_GJperUnit,INDEX(EUconst_GJperTorKNm3,MATCH(H1609,EUconst_TonnesOrkNm3pa,0)))</f>
        <v>#N/A</v>
      </c>
      <c r="I1610" s="458"/>
      <c r="J1610" s="458"/>
      <c r="K1610" s="458"/>
      <c r="L1610" s="458"/>
      <c r="M1610" s="458"/>
      <c r="N1610" s="1205"/>
      <c r="O1610" s="25"/>
      <c r="P1610" s="982"/>
      <c r="R1610" s="955"/>
      <c r="S1610" s="955"/>
      <c r="AA1610" s="361" t="b">
        <f>AA1609</f>
        <v>0</v>
      </c>
    </row>
    <row r="1611" spans="1:27" ht="12.75" customHeight="1" x14ac:dyDescent="0.2">
      <c r="B1611" s="224"/>
      <c r="C1611" s="977"/>
      <c r="D1611" s="695" t="s">
        <v>613</v>
      </c>
      <c r="E1611" s="1651" t="str">
        <f>Translations!$B$801</f>
        <v>Eksportētā atlikumgāze</v>
      </c>
      <c r="F1611" s="1652"/>
      <c r="G1611" s="1652"/>
      <c r="H1611" s="465" t="str">
        <f>EUconst_TJpa</f>
        <v>TJ / gads</v>
      </c>
      <c r="I1611" s="448" t="str">
        <f>IF(COUNT(I1609:I1610)=2,I1609*I1610/1000,"")</f>
        <v/>
      </c>
      <c r="J1611" s="448" t="str">
        <f>IF(COUNT(J1609:J1610)=2,J1609*J1610/1000,"")</f>
        <v/>
      </c>
      <c r="K1611" s="448" t="str">
        <f>IF(COUNT(K1609:K1610)=2,K1609*K1610/1000,"")</f>
        <v/>
      </c>
      <c r="L1611" s="448" t="str">
        <f>IF(COUNT(L1609:L1610)=2,L1609*L1610/1000,"")</f>
        <v/>
      </c>
      <c r="M1611" s="448" t="str">
        <f>IF(COUNT(M1609:M1610)=2,M1609*M1610/1000,"")</f>
        <v/>
      </c>
      <c r="N1611" s="698"/>
      <c r="O1611" s="25"/>
      <c r="P1611" s="979" t="str">
        <f>EUconst_CNTR_WGExport &amp; I1464</f>
        <v>WasteGasEx_</v>
      </c>
      <c r="R1611" s="970"/>
      <c r="S1611" s="809">
        <f>I1608</f>
        <v>2019</v>
      </c>
      <c r="T1611" s="809">
        <f>J1608</f>
        <v>2020</v>
      </c>
      <c r="U1611" s="809">
        <f>K1608</f>
        <v>2021</v>
      </c>
      <c r="V1611" s="809">
        <f>L1608</f>
        <v>2022</v>
      </c>
      <c r="W1611" s="810">
        <f>M1608</f>
        <v>2023</v>
      </c>
      <c r="AA1611" s="607"/>
    </row>
    <row r="1612" spans="1:27" s="697" customFormat="1" ht="12.75" customHeight="1" thickBot="1" x14ac:dyDescent="0.25">
      <c r="A1612" s="20"/>
      <c r="B1612" s="224"/>
      <c r="C1612" s="977"/>
      <c r="D1612" s="695" t="s">
        <v>614</v>
      </c>
      <c r="E1612" s="1651" t="str">
        <f>Translations!$B$802</f>
        <v>Īpatnējais EF (eksportētā atlikumgāze)</v>
      </c>
      <c r="F1612" s="1651"/>
      <c r="G1612" s="1651"/>
      <c r="H1612" s="464" t="str">
        <f>EUconst_tCO2pTJ</f>
        <v>t CO2 / TJ</v>
      </c>
      <c r="I1612" s="761"/>
      <c r="J1612" s="761"/>
      <c r="K1612" s="761"/>
      <c r="L1612" s="761"/>
      <c r="M1612" s="761"/>
      <c r="N1612" s="661"/>
      <c r="O1612" s="25"/>
      <c r="P1612" s="979" t="str">
        <f>EUconst_CNTR_WGExportEF &amp; I1464</f>
        <v>WasteGasExEF_</v>
      </c>
      <c r="Q1612" s="437"/>
      <c r="R1612" s="971" t="str">
        <f>EUconst_CNTR_AttributedEmissions &amp; I1464</f>
        <v>AttrEmissions_</v>
      </c>
      <c r="S1612" s="137" t="str">
        <f>IF(S1464,-SUM(I1611)*EUconst_NGEFvalue*EUconst_WasteGasCorrFactor,"")</f>
        <v/>
      </c>
      <c r="T1612" s="137" t="str">
        <f>IF(T1464,-SUM(J1611)*EUconst_NGEFvalue*EUconst_WasteGasCorrFactor,"")</f>
        <v/>
      </c>
      <c r="U1612" s="137" t="str">
        <f>IF(U1464,-SUM(K1611)*EUconst_NGEFvalue*EUconst_WasteGasCorrFactor,"")</f>
        <v/>
      </c>
      <c r="V1612" s="137" t="str">
        <f>IF(V1464,-SUM(L1611)*EUconst_NGEFvalue*EUconst_WasteGasCorrFactor,"")</f>
        <v/>
      </c>
      <c r="W1612" s="138" t="str">
        <f>IF(W1464,-SUM(M1611)*EUconst_NGEFvalue*EUconst_WasteGasCorrFactor,"")</f>
        <v/>
      </c>
      <c r="X1612" s="437"/>
      <c r="Y1612" s="437"/>
      <c r="Z1612" s="437"/>
      <c r="AA1612" s="186" t="b">
        <f>AA1610</f>
        <v>0</v>
      </c>
    </row>
    <row r="1613" spans="1:27" ht="5.0999999999999996" customHeight="1" x14ac:dyDescent="0.2">
      <c r="B1613" s="224"/>
      <c r="C1613" s="977"/>
      <c r="D1613" s="978"/>
      <c r="E1613" s="978"/>
      <c r="F1613" s="978"/>
      <c r="G1613" s="978"/>
      <c r="H1613" s="978"/>
      <c r="I1613" s="978"/>
      <c r="J1613" s="978"/>
      <c r="K1613" s="978"/>
      <c r="L1613" s="978"/>
      <c r="M1613" s="980"/>
      <c r="N1613" s="661"/>
      <c r="O1613" s="25"/>
      <c r="P1613" s="955"/>
      <c r="R1613" s="955"/>
    </row>
    <row r="1614" spans="1:27" ht="12.75" customHeight="1" thickBot="1" x14ac:dyDescent="0.25">
      <c r="B1614" s="224"/>
      <c r="C1614" s="977"/>
      <c r="D1614" s="474" t="s">
        <v>214</v>
      </c>
      <c r="E1614" s="1654" t="str">
        <f>Translations!$B$420</f>
        <v>Elektroenerģijas ražošana</v>
      </c>
      <c r="F1614" s="1655"/>
      <c r="G1614" s="1655"/>
      <c r="H1614" s="1655"/>
      <c r="I1614" s="1655"/>
      <c r="J1614" s="1655"/>
      <c r="K1614" s="1655"/>
      <c r="L1614" s="1655"/>
      <c r="M1614" s="1655"/>
      <c r="N1614" s="1656"/>
      <c r="O1614" s="25"/>
      <c r="P1614" s="955"/>
      <c r="R1614" s="955"/>
    </row>
    <row r="1615" spans="1:27" ht="12.75" customHeight="1" x14ac:dyDescent="0.2">
      <c r="B1615" s="224"/>
      <c r="C1615" s="977"/>
      <c r="D1615" s="474"/>
      <c r="E1615" s="1653"/>
      <c r="F1615" s="1657"/>
      <c r="G1615" s="1657"/>
      <c r="H1615" s="462" t="str">
        <f>EUconst_Unit</f>
        <v>Vienība</v>
      </c>
      <c r="I1615" s="463">
        <f>I$1820</f>
        <v>2019</v>
      </c>
      <c r="J1615" s="463">
        <f>J$1820</f>
        <v>2020</v>
      </c>
      <c r="K1615" s="463">
        <f>K$1820</f>
        <v>2021</v>
      </c>
      <c r="L1615" s="463">
        <f>L$1820</f>
        <v>2022</v>
      </c>
      <c r="M1615" s="463">
        <f>M$1820</f>
        <v>2023</v>
      </c>
      <c r="N1615" s="661"/>
      <c r="O1615" s="25"/>
      <c r="P1615" s="955"/>
      <c r="R1615" s="970"/>
      <c r="S1615" s="809">
        <f>I1615</f>
        <v>2019</v>
      </c>
      <c r="T1615" s="809">
        <f>J1615</f>
        <v>2020</v>
      </c>
      <c r="U1615" s="809">
        <f>K1615</f>
        <v>2021</v>
      </c>
      <c r="V1615" s="809">
        <f>L1615</f>
        <v>2022</v>
      </c>
      <c r="W1615" s="810">
        <f>M1615</f>
        <v>2023</v>
      </c>
    </row>
    <row r="1616" spans="1:27" ht="12.75" customHeight="1" thickBot="1" x14ac:dyDescent="0.25">
      <c r="B1616" s="224"/>
      <c r="C1616" s="977"/>
      <c r="D1616" s="695"/>
      <c r="E1616" s="1651" t="str">
        <f>Translations!$B$805</f>
        <v>Saražotā elektroenerģija</v>
      </c>
      <c r="F1616" s="1652"/>
      <c r="G1616" s="1652"/>
      <c r="H1616" s="465" t="str">
        <f>EUconst_MWhpa</f>
        <v>MWh / gads</v>
      </c>
      <c r="I1616" s="483"/>
      <c r="J1616" s="483"/>
      <c r="K1616" s="483"/>
      <c r="L1616" s="483"/>
      <c r="M1616" s="483"/>
      <c r="N1616" s="1205"/>
      <c r="O1616" s="25"/>
      <c r="P1616" s="979" t="str">
        <f>EUconst_CNTR_ElectricityExported &amp; I1464</f>
        <v>ElecEx_</v>
      </c>
      <c r="R1616" s="971" t="str">
        <f>EUconst_CNTR_AttributedEmissions &amp; I1464</f>
        <v>AttrEmissions_</v>
      </c>
      <c r="S1616" s="137" t="str">
        <f>IF(S1464,-SUM(I1616)*EUconst_ElBM,"")</f>
        <v/>
      </c>
      <c r="T1616" s="137" t="str">
        <f>IF(T1464,-SUM(J1616)*EUconst_ElBM,"")</f>
        <v/>
      </c>
      <c r="U1616" s="137" t="str">
        <f>IF(U1464,-SUM(K1616)*EUconst_ElBM,"")</f>
        <v/>
      </c>
      <c r="V1616" s="137" t="str">
        <f>IF(V1464,-SUM(L1616)*EUconst_ElBM,"")</f>
        <v/>
      </c>
      <c r="W1616" s="138" t="str">
        <f>IF(W1464,-SUM(M1616)*EUconst_ElBM,"")</f>
        <v/>
      </c>
    </row>
    <row r="1617" spans="2:27" ht="5.0999999999999996" customHeight="1" x14ac:dyDescent="0.2">
      <c r="B1617" s="224"/>
      <c r="C1617" s="977"/>
      <c r="D1617" s="978"/>
      <c r="E1617" s="978"/>
      <c r="F1617" s="978"/>
      <c r="G1617" s="978"/>
      <c r="H1617" s="978"/>
      <c r="I1617" s="978"/>
      <c r="J1617" s="978"/>
      <c r="K1617" s="978"/>
      <c r="L1617" s="978"/>
      <c r="M1617" s="980"/>
      <c r="N1617" s="661"/>
      <c r="O1617" s="25"/>
      <c r="P1617" s="955"/>
      <c r="R1617" s="955"/>
      <c r="S1617" s="955"/>
    </row>
    <row r="1618" spans="2:27" ht="12.75" customHeight="1" thickBot="1" x14ac:dyDescent="0.25">
      <c r="B1618" s="224"/>
      <c r="C1618" s="977"/>
      <c r="D1618" s="474" t="s">
        <v>77</v>
      </c>
      <c r="E1618" s="1663" t="str">
        <f>Translations!$B$806</f>
        <v>Kopējais saražotās pulpas daudzums</v>
      </c>
      <c r="F1618" s="1663"/>
      <c r="G1618" s="1663"/>
      <c r="H1618" s="1663"/>
      <c r="I1618" s="1663"/>
      <c r="J1618" s="1663"/>
      <c r="K1618" s="1663"/>
      <c r="L1618" s="1663"/>
      <c r="M1618" s="1663"/>
      <c r="N1618" s="1690"/>
      <c r="O1618" s="25"/>
      <c r="S1618" s="955"/>
    </row>
    <row r="1619" spans="2:27" ht="12.75" customHeight="1" thickBot="1" x14ac:dyDescent="0.25">
      <c r="B1619" s="224"/>
      <c r="C1619" s="977"/>
      <c r="D1619" s="695"/>
      <c r="E1619" s="1689" t="str">
        <f>IF(I1464="","",IF(INDEX(EUconst_BMlistPulp,MATCH(I1464,EUconst_BMlistNames,0)),I1464,""))</f>
        <v/>
      </c>
      <c r="F1619" s="1689"/>
      <c r="G1619" s="1689"/>
      <c r="H1619" s="465" t="str">
        <f>EUconst_Tons</f>
        <v>tonnas</v>
      </c>
      <c r="I1619" s="483"/>
      <c r="J1619" s="483"/>
      <c r="K1619" s="483"/>
      <c r="L1619" s="483"/>
      <c r="M1619" s="483"/>
      <c r="N1619" s="1205"/>
      <c r="O1619" s="25"/>
      <c r="P1619" s="979" t="str">
        <f>EUconst_CNTR_HALPulpTotal &amp; I1464</f>
        <v>HALPulpTotal_</v>
      </c>
      <c r="R1619" s="955"/>
      <c r="AA1619" s="734" t="b">
        <f>IF(I1464&lt;&gt;"",IF(INDEX(EUconst_BMlistPulp,MATCH(I1464,EUconst_BMlistNames,0))=TRUE,FALSE,TRUE),FALSE)</f>
        <v>0</v>
      </c>
    </row>
    <row r="1620" spans="2:27" ht="5.0999999999999996" customHeight="1" x14ac:dyDescent="0.2">
      <c r="B1620" s="224"/>
      <c r="C1620" s="977"/>
      <c r="D1620" s="695"/>
      <c r="E1620" s="695"/>
      <c r="F1620" s="695"/>
      <c r="G1620" s="695"/>
      <c r="H1620" s="695"/>
      <c r="I1620" s="695"/>
      <c r="J1620" s="695"/>
      <c r="K1620" s="695"/>
      <c r="L1620" s="695"/>
      <c r="M1620" s="695"/>
      <c r="N1620" s="1205"/>
      <c r="O1620" s="25"/>
      <c r="P1620" s="982"/>
      <c r="R1620" s="955"/>
      <c r="S1620" s="955"/>
    </row>
    <row r="1621" spans="2:27" ht="12.75" customHeight="1" thickBot="1" x14ac:dyDescent="0.25">
      <c r="B1621" s="224"/>
      <c r="C1621" s="977"/>
      <c r="D1621" s="474" t="s">
        <v>322</v>
      </c>
      <c r="E1621" s="1654" t="str">
        <f>Translations!$B$810</f>
        <v>Produktu līmeņatzīmju aptverto starpproduktu imports vai eksports</v>
      </c>
      <c r="F1621" s="1655"/>
      <c r="G1621" s="1655"/>
      <c r="H1621" s="1655"/>
      <c r="I1621" s="1655"/>
      <c r="J1621" s="1655"/>
      <c r="K1621" s="1655"/>
      <c r="L1621" s="1655"/>
      <c r="M1621" s="1655"/>
      <c r="N1621" s="1656"/>
      <c r="O1621" s="25"/>
      <c r="P1621" s="955"/>
      <c r="R1621" s="955"/>
      <c r="S1621" s="955"/>
    </row>
    <row r="1622" spans="2:27" ht="12.75" customHeight="1" thickBot="1" x14ac:dyDescent="0.25">
      <c r="B1622" s="38"/>
      <c r="C1622" s="977"/>
      <c r="D1622" s="695" t="s">
        <v>2</v>
      </c>
      <c r="E1622" s="1732" t="str">
        <f>Translations!$B$813</f>
        <v>Vai notiek produktu līmeņatzīmju aptverto starpproduktu imports vai eksports?</v>
      </c>
      <c r="F1622" s="1732"/>
      <c r="G1622" s="1732"/>
      <c r="H1622" s="1732"/>
      <c r="I1622" s="1732"/>
      <c r="J1622" s="1732"/>
      <c r="K1622" s="1733"/>
      <c r="L1622" s="527"/>
      <c r="M1622" s="461"/>
      <c r="N1622" s="698"/>
      <c r="O1622" s="25"/>
      <c r="W1622" s="966" t="s">
        <v>398</v>
      </c>
      <c r="X1622" s="964" t="b">
        <f>IF(AND(I1464&lt;&gt;"",ISBLANK(L1622)),EUconst_Error&amp;"BM"&amp;C1464,FALSE)</f>
        <v>0</v>
      </c>
    </row>
    <row r="1623" spans="2:27" ht="5.0999999999999996" customHeight="1" x14ac:dyDescent="0.2">
      <c r="B1623" s="224"/>
      <c r="C1623" s="977"/>
      <c r="D1623" s="695"/>
      <c r="E1623" s="695"/>
      <c r="F1623" s="695"/>
      <c r="G1623" s="695"/>
      <c r="H1623" s="695"/>
      <c r="I1623" s="695"/>
      <c r="J1623" s="695"/>
      <c r="K1623" s="695"/>
      <c r="L1623" s="695"/>
      <c r="M1623" s="695"/>
      <c r="N1623" s="1205"/>
      <c r="O1623" s="25"/>
      <c r="P1623" s="982"/>
      <c r="R1623" s="955"/>
      <c r="S1623" s="955"/>
    </row>
    <row r="1624" spans="2:27" ht="12.75" customHeight="1" thickBot="1" x14ac:dyDescent="0.25">
      <c r="B1624" s="224"/>
      <c r="C1624" s="977"/>
      <c r="D1624" s="524"/>
      <c r="E1624" s="1653" t="str">
        <f>Translations!$B$814</f>
        <v>Importētie daudzumi:</v>
      </c>
      <c r="F1624" s="1657"/>
      <c r="G1624" s="1657"/>
      <c r="H1624" s="525" t="str">
        <f>EUconst_Unit</f>
        <v>Vienība</v>
      </c>
      <c r="I1624" s="463">
        <f>I$1820</f>
        <v>2019</v>
      </c>
      <c r="J1624" s="463">
        <f>J$1820</f>
        <v>2020</v>
      </c>
      <c r="K1624" s="463">
        <f>K$1820</f>
        <v>2021</v>
      </c>
      <c r="L1624" s="463">
        <f>L$1820</f>
        <v>2022</v>
      </c>
      <c r="M1624" s="463">
        <f>M$1820</f>
        <v>2023</v>
      </c>
      <c r="N1624" s="1205"/>
      <c r="O1624" s="25"/>
      <c r="P1624" s="982"/>
      <c r="R1624" s="955"/>
      <c r="S1624" s="955"/>
      <c r="AA1624" s="437" t="s">
        <v>262</v>
      </c>
    </row>
    <row r="1625" spans="2:27" ht="12.75" customHeight="1" x14ac:dyDescent="0.2">
      <c r="B1625" s="224"/>
      <c r="C1625" s="977"/>
      <c r="D1625" s="526" t="s">
        <v>3</v>
      </c>
      <c r="E1625" s="1745"/>
      <c r="F1625" s="1745"/>
      <c r="G1625" s="1745"/>
      <c r="H1625" s="82" t="str">
        <f>IF(E1625&lt;&gt;"",INDEX(EUconst_BMlistUnits,MATCH(E1625,EUconst_BMlistNames,0)),EUconst_Tons)</f>
        <v>tonnas</v>
      </c>
      <c r="I1625" s="334"/>
      <c r="J1625" s="334"/>
      <c r="K1625" s="334"/>
      <c r="L1625" s="334"/>
      <c r="M1625" s="334"/>
      <c r="N1625" s="1205"/>
      <c r="O1625" s="25"/>
      <c r="P1625" s="979" t="str">
        <f>EUconst_CNTR_IntermediateImport &amp; R1625 &amp; "_" &amp; I1464</f>
        <v>IntImp_1_</v>
      </c>
      <c r="R1625" s="979">
        <v>1</v>
      </c>
      <c r="S1625" s="955"/>
      <c r="AA1625" s="643" t="b">
        <f>AND(NOT(ISBLANK(L1622)),L1622=FALSE)</f>
        <v>0</v>
      </c>
    </row>
    <row r="1626" spans="2:27" ht="12.75" customHeight="1" x14ac:dyDescent="0.2">
      <c r="B1626" s="224"/>
      <c r="C1626" s="977"/>
      <c r="D1626" s="526" t="s">
        <v>4</v>
      </c>
      <c r="E1626" s="1746"/>
      <c r="F1626" s="1746"/>
      <c r="G1626" s="1746"/>
      <c r="H1626" s="74" t="str">
        <f>IF(E1626&lt;&gt;"",INDEX(EUconst_BMlistUnits,MATCH(E1626,EUconst_BMlistNames,0)),EUconst_Tons)</f>
        <v>tonnas</v>
      </c>
      <c r="I1626" s="333"/>
      <c r="J1626" s="333"/>
      <c r="K1626" s="333"/>
      <c r="L1626" s="333"/>
      <c r="M1626" s="333"/>
      <c r="N1626" s="1205"/>
      <c r="O1626" s="25"/>
      <c r="P1626" s="979" t="str">
        <f>EUconst_CNTR_IntermediateImport &amp; R1626 &amp; "_" &amp; I1464</f>
        <v>IntImp_2_</v>
      </c>
      <c r="R1626" s="979">
        <v>2</v>
      </c>
      <c r="S1626" s="955"/>
      <c r="AA1626" s="361" t="b">
        <f>AA1625</f>
        <v>0</v>
      </c>
    </row>
    <row r="1627" spans="2:27" ht="5.0999999999999996" customHeight="1" x14ac:dyDescent="0.2">
      <c r="B1627" s="224"/>
      <c r="C1627" s="977"/>
      <c r="D1627" s="695"/>
      <c r="E1627" s="695"/>
      <c r="F1627" s="695"/>
      <c r="G1627" s="695"/>
      <c r="H1627" s="695"/>
      <c r="I1627" s="695"/>
      <c r="J1627" s="695"/>
      <c r="K1627" s="695"/>
      <c r="L1627" s="695"/>
      <c r="M1627" s="695"/>
      <c r="N1627" s="1205"/>
      <c r="O1627" s="25"/>
      <c r="P1627" s="982"/>
      <c r="R1627" s="955"/>
      <c r="S1627" s="955"/>
      <c r="AA1627" s="607"/>
    </row>
    <row r="1628" spans="2:27" ht="12.75" customHeight="1" x14ac:dyDescent="0.2">
      <c r="B1628" s="224"/>
      <c r="C1628" s="977"/>
      <c r="D1628" s="524"/>
      <c r="E1628" s="1653" t="str">
        <f>Translations!$B$815</f>
        <v>Eksportētie daudzumi:</v>
      </c>
      <c r="F1628" s="1657"/>
      <c r="G1628" s="1657"/>
      <c r="H1628" s="525" t="str">
        <f>EUconst_Unit</f>
        <v>Vienība</v>
      </c>
      <c r="I1628" s="463">
        <f>I$1820</f>
        <v>2019</v>
      </c>
      <c r="J1628" s="463">
        <f>J$1820</f>
        <v>2020</v>
      </c>
      <c r="K1628" s="463">
        <f>K$1820</f>
        <v>2021</v>
      </c>
      <c r="L1628" s="463">
        <f>L$1820</f>
        <v>2022</v>
      </c>
      <c r="M1628" s="463">
        <f>M$1820</f>
        <v>2023</v>
      </c>
      <c r="N1628" s="1205"/>
      <c r="O1628" s="25"/>
      <c r="P1628" s="982"/>
      <c r="R1628" s="955"/>
      <c r="S1628" s="955"/>
      <c r="AA1628" s="607"/>
    </row>
    <row r="1629" spans="2:27" ht="12.75" customHeight="1" x14ac:dyDescent="0.2">
      <c r="B1629" s="224"/>
      <c r="C1629" s="977"/>
      <c r="D1629" s="526" t="s">
        <v>6</v>
      </c>
      <c r="E1629" s="1745"/>
      <c r="F1629" s="1745"/>
      <c r="G1629" s="1745"/>
      <c r="H1629" s="82" t="str">
        <f>IF(E1629&lt;&gt;"",INDEX(EUconst_BMlistUnits,MATCH(E1629,EUconst_BMlistNames,0)),EUconst_Tons)</f>
        <v>tonnas</v>
      </c>
      <c r="I1629" s="334"/>
      <c r="J1629" s="334"/>
      <c r="K1629" s="334"/>
      <c r="L1629" s="334"/>
      <c r="M1629" s="334"/>
      <c r="N1629" s="1205"/>
      <c r="O1629" s="25"/>
      <c r="P1629" s="979" t="str">
        <f>EUconst_CNTR_IntermediateExport &amp; R1625 &amp; "_" &amp; I1464</f>
        <v>IntExp_1_</v>
      </c>
      <c r="R1629" s="979">
        <v>1</v>
      </c>
      <c r="S1629" s="955"/>
      <c r="U1629" s="522"/>
      <c r="V1629" s="522"/>
      <c r="AA1629" s="361" t="b">
        <f>AA1625</f>
        <v>0</v>
      </c>
    </row>
    <row r="1630" spans="2:27" ht="12.75" customHeight="1" x14ac:dyDescent="0.2">
      <c r="B1630" s="224"/>
      <c r="C1630" s="977"/>
      <c r="D1630" s="526" t="s">
        <v>303</v>
      </c>
      <c r="E1630" s="1746"/>
      <c r="F1630" s="1746"/>
      <c r="G1630" s="1746"/>
      <c r="H1630" s="74" t="str">
        <f>IF(E1630&lt;&gt;"",INDEX(EUconst_BMlistUnits,MATCH(E1630,EUconst_BMlistNames,0)),EUconst_Tons)</f>
        <v>tonnas</v>
      </c>
      <c r="I1630" s="333"/>
      <c r="J1630" s="333"/>
      <c r="K1630" s="333"/>
      <c r="L1630" s="333"/>
      <c r="M1630" s="333"/>
      <c r="N1630" s="1205"/>
      <c r="O1630" s="25"/>
      <c r="P1630" s="979" t="str">
        <f>EUconst_CNTR_IntermediateExport &amp; R1630 &amp; "_" &amp; I1464</f>
        <v>IntExp_2_</v>
      </c>
      <c r="R1630" s="979">
        <v>2</v>
      </c>
      <c r="S1630" s="955"/>
      <c r="U1630" s="522"/>
      <c r="V1630" s="522"/>
      <c r="AA1630" s="361" t="b">
        <f>AA1625</f>
        <v>0</v>
      </c>
    </row>
    <row r="1631" spans="2:27" ht="5.0999999999999996" customHeight="1" x14ac:dyDescent="0.2">
      <c r="B1631" s="224"/>
      <c r="C1631" s="977"/>
      <c r="D1631" s="695"/>
      <c r="E1631" s="695"/>
      <c r="F1631" s="695"/>
      <c r="G1631" s="695"/>
      <c r="H1631" s="695"/>
      <c r="I1631" s="695"/>
      <c r="J1631" s="695"/>
      <c r="K1631" s="695"/>
      <c r="L1631" s="695"/>
      <c r="M1631" s="695"/>
      <c r="N1631" s="1205"/>
      <c r="O1631" s="25"/>
      <c r="P1631" s="982"/>
      <c r="R1631" s="955"/>
      <c r="S1631" s="955"/>
      <c r="U1631" s="522"/>
      <c r="V1631" s="522"/>
      <c r="AA1631" s="607"/>
    </row>
    <row r="1632" spans="2:27" ht="12.75" customHeight="1" x14ac:dyDescent="0.2">
      <c r="B1632" s="224"/>
      <c r="C1632" s="977"/>
      <c r="D1632" s="526" t="s">
        <v>304</v>
      </c>
      <c r="E1632" s="1738" t="str">
        <f>Translations!$B$816</f>
        <v>Importēto vai eksportēto starpproduktu apraksts</v>
      </c>
      <c r="F1632" s="1738"/>
      <c r="G1632" s="1738"/>
      <c r="H1632" s="1738"/>
      <c r="I1632" s="1738"/>
      <c r="J1632" s="1738"/>
      <c r="K1632" s="1738"/>
      <c r="L1632" s="1738"/>
      <c r="M1632" s="1738"/>
      <c r="N1632" s="1205"/>
      <c r="O1632" s="25"/>
      <c r="P1632" s="982"/>
      <c r="R1632" s="955"/>
      <c r="S1632" s="955"/>
      <c r="U1632" s="522"/>
      <c r="V1632" s="522"/>
      <c r="AA1632" s="607"/>
    </row>
    <row r="1633" spans="2:27" ht="12.75" customHeight="1" x14ac:dyDescent="0.2">
      <c r="B1633" s="224"/>
      <c r="C1633" s="977"/>
      <c r="D1633" s="695"/>
      <c r="E1633" s="1739"/>
      <c r="F1633" s="1740"/>
      <c r="G1633" s="1740"/>
      <c r="H1633" s="1740"/>
      <c r="I1633" s="1740"/>
      <c r="J1633" s="1740"/>
      <c r="K1633" s="1740"/>
      <c r="L1633" s="1740"/>
      <c r="M1633" s="1741"/>
      <c r="N1633" s="1205"/>
      <c r="O1633" s="25"/>
      <c r="P1633" s="982"/>
      <c r="R1633" s="955"/>
      <c r="S1633" s="955"/>
      <c r="U1633" s="522"/>
      <c r="V1633" s="522"/>
      <c r="AA1633" s="361" t="b">
        <f>AA1625</f>
        <v>0</v>
      </c>
    </row>
    <row r="1634" spans="2:27" ht="12.75" customHeight="1" thickBot="1" x14ac:dyDescent="0.25">
      <c r="B1634" s="224"/>
      <c r="C1634" s="977"/>
      <c r="D1634" s="695"/>
      <c r="E1634" s="1742"/>
      <c r="F1634" s="1743"/>
      <c r="G1634" s="1743"/>
      <c r="H1634" s="1743"/>
      <c r="I1634" s="1743"/>
      <c r="J1634" s="1743"/>
      <c r="K1634" s="1743"/>
      <c r="L1634" s="1743"/>
      <c r="M1634" s="1744"/>
      <c r="N1634" s="1205"/>
      <c r="O1634" s="25"/>
      <c r="P1634" s="982"/>
      <c r="R1634" s="955"/>
      <c r="S1634" s="955"/>
      <c r="U1634" s="522"/>
      <c r="V1634" s="522"/>
      <c r="AA1634" s="186" t="b">
        <f>AA1625</f>
        <v>0</v>
      </c>
    </row>
    <row r="1635" spans="2:27" ht="12.75" customHeight="1" thickBot="1" x14ac:dyDescent="0.25">
      <c r="B1635" s="224"/>
      <c r="C1635" s="983"/>
      <c r="D1635" s="984"/>
      <c r="E1635" s="984"/>
      <c r="F1635" s="984"/>
      <c r="G1635" s="984"/>
      <c r="H1635" s="984"/>
      <c r="I1635" s="984"/>
      <c r="J1635" s="984"/>
      <c r="K1635" s="984"/>
      <c r="L1635" s="984"/>
      <c r="M1635" s="985"/>
      <c r="N1635" s="986"/>
      <c r="O1635" s="25"/>
      <c r="P1635" s="955"/>
      <c r="R1635" s="955"/>
      <c r="S1635" s="955"/>
    </row>
    <row r="1636" spans="2:27" ht="13.5" thickBot="1" x14ac:dyDescent="0.25">
      <c r="B1636" s="38"/>
      <c r="C1636" s="38"/>
      <c r="D1636" s="38"/>
      <c r="E1636" s="38"/>
      <c r="F1636" s="38"/>
      <c r="G1636" s="38"/>
      <c r="H1636" s="38"/>
      <c r="I1636" s="38"/>
      <c r="J1636" s="38"/>
      <c r="K1636" s="38"/>
      <c r="L1636" s="38"/>
      <c r="M1636" s="38"/>
      <c r="N1636" s="38"/>
      <c r="O1636" s="25"/>
      <c r="P1636" s="362" t="str">
        <f>IF(OR(AND(CNTR_ExistProductSubEntries=FALSE,P1464=1),AND(I1464&lt;&gt;"",COUNTIF(P1637:$P$1814,"PRINT")=0)),"PRINT","")</f>
        <v/>
      </c>
      <c r="Q1636" s="437" t="s">
        <v>481</v>
      </c>
      <c r="R1636" s="955"/>
      <c r="S1636" s="955"/>
    </row>
    <row r="1637" spans="2:27" ht="5.0999999999999996" customHeight="1" thickBot="1" x14ac:dyDescent="0.25">
      <c r="B1637" s="38"/>
      <c r="C1637" s="987"/>
      <c r="D1637" s="987"/>
      <c r="E1637" s="987"/>
      <c r="F1637" s="987"/>
      <c r="G1637" s="987"/>
      <c r="H1637" s="987"/>
      <c r="I1637" s="987"/>
      <c r="J1637" s="987"/>
      <c r="K1637" s="987"/>
      <c r="L1637" s="987"/>
      <c r="M1637" s="987"/>
      <c r="N1637" s="987"/>
      <c r="O1637" s="25"/>
      <c r="R1637" s="955"/>
      <c r="S1637" s="955"/>
    </row>
    <row r="1638" spans="2:27" ht="15.75" thickBot="1" x14ac:dyDescent="0.25">
      <c r="B1638" s="224"/>
      <c r="C1638" s="965">
        <f>C1464+1</f>
        <v>10</v>
      </c>
      <c r="D1638" s="1318" t="str">
        <f>EUconst_BMSubinst &amp; ":"</f>
        <v>Apakšiekārta ar produkta līmeņatzīmi:</v>
      </c>
      <c r="E1638" s="1251"/>
      <c r="F1638" s="1251"/>
      <c r="G1638" s="1251"/>
      <c r="H1638" s="1328"/>
      <c r="I1638" s="1701" t="str">
        <f>IF(INDEX(CNTR_SubInstListIsProdBM,$C1638),INDEX(CNTR_SubInstListNames,$C1638),"")</f>
        <v/>
      </c>
      <c r="J1638" s="1457"/>
      <c r="K1638" s="1457"/>
      <c r="L1638" s="1457"/>
      <c r="M1638" s="1457"/>
      <c r="N1638" s="1259"/>
      <c r="O1638" s="25"/>
      <c r="P1638" s="362">
        <f>C1638</f>
        <v>10</v>
      </c>
      <c r="Q1638" s="966" t="s">
        <v>225</v>
      </c>
      <c r="R1638" s="967" t="str">
        <f>IF(I1638="","",INDEX(CNTR_SubInstStartDate,MATCH($I1638,CNTR_SubInstListNames,0)))</f>
        <v/>
      </c>
      <c r="S1638" s="968" t="b">
        <f>IF($I1638="",FALSE,AND(I$1823,YEAR($R1638)&lt;I$1820))</f>
        <v>0</v>
      </c>
      <c r="T1638" s="968" t="b">
        <f>IF($I1638="",FALSE,AND(J$1823,YEAR($R1638)&lt;J$1820))</f>
        <v>0</v>
      </c>
      <c r="U1638" s="968" t="b">
        <f>IF($I1638="",FALSE,AND(K$1823,YEAR($R1638)&lt;K$1820))</f>
        <v>0</v>
      </c>
      <c r="V1638" s="968" t="b">
        <f>IF($I1638="",FALSE,AND(L$1823,YEAR($R1638)&lt;L$1820))</f>
        <v>0</v>
      </c>
      <c r="W1638" s="968" t="b">
        <f>IF($I1638="",FALSE,AND(M$1823,YEAR($R1638)&lt;M$1820))</f>
        <v>0</v>
      </c>
      <c r="Z1638" s="732" t="s">
        <v>529</v>
      </c>
      <c r="AA1638" s="734" t="b">
        <f>AND(CNTR_ExistSubInstEntries,I1638="")</f>
        <v>0</v>
      </c>
    </row>
    <row r="1639" spans="2:27" ht="5.0999999999999996" customHeight="1" x14ac:dyDescent="0.2">
      <c r="B1639" s="224"/>
      <c r="C1639" s="224"/>
      <c r="D1639" s="224"/>
      <c r="E1639" s="224"/>
      <c r="F1639" s="224"/>
      <c r="G1639" s="224"/>
      <c r="H1639" s="224"/>
      <c r="I1639" s="224"/>
      <c r="J1639" s="224"/>
      <c r="K1639" s="224"/>
      <c r="L1639" s="224"/>
      <c r="M1639" s="34"/>
      <c r="N1639" s="34"/>
      <c r="O1639" s="25"/>
      <c r="P1639" s="955"/>
      <c r="R1639" s="955"/>
      <c r="S1639" s="955"/>
    </row>
    <row r="1640" spans="2:27" ht="13.5" thickBot="1" x14ac:dyDescent="0.25">
      <c r="B1640" s="224"/>
      <c r="C1640" s="224"/>
      <c r="D1640" s="32" t="s">
        <v>165</v>
      </c>
      <c r="E1640" s="1250" t="str">
        <f>Translations!$B$670</f>
        <v>Vēsturiskie darbības līmeņi</v>
      </c>
      <c r="F1640" s="1251"/>
      <c r="G1640" s="1251"/>
      <c r="H1640" s="1251"/>
      <c r="I1640" s="1251"/>
      <c r="J1640" s="1251"/>
      <c r="K1640" s="1251"/>
      <c r="L1640" s="1251"/>
      <c r="M1640" s="1251"/>
      <c r="N1640" s="1251"/>
      <c r="O1640" s="25"/>
      <c r="P1640" s="955"/>
      <c r="R1640" s="955"/>
      <c r="S1640" s="955"/>
    </row>
    <row r="1641" spans="2:27" ht="13.5" customHeight="1" thickBot="1" x14ac:dyDescent="0.25">
      <c r="B1641" s="38"/>
      <c r="C1641" s="38"/>
      <c r="D1641" s="32"/>
      <c r="E1641" s="1320" t="str">
        <f>Translations!$B$676</f>
        <v>Gada darbības līmeņi:</v>
      </c>
      <c r="F1641" s="1320"/>
      <c r="G1641" s="1320"/>
      <c r="H1641" s="52" t="str">
        <f>EUconst_Unit</f>
        <v>Vienība</v>
      </c>
      <c r="I1641" s="412">
        <f>I$1820</f>
        <v>2019</v>
      </c>
      <c r="J1641" s="412">
        <f>J$1820</f>
        <v>2020</v>
      </c>
      <c r="K1641" s="412">
        <f>K$1820</f>
        <v>2021</v>
      </c>
      <c r="L1641" s="412">
        <f>L$1820</f>
        <v>2022</v>
      </c>
      <c r="M1641" s="412">
        <f>M$1820</f>
        <v>2023</v>
      </c>
      <c r="N1641" s="34"/>
      <c r="O1641" s="25"/>
      <c r="P1641" s="955"/>
      <c r="Q1641" s="439" t="s">
        <v>416</v>
      </c>
      <c r="R1641" s="289"/>
      <c r="S1641" s="289"/>
      <c r="T1641" s="289"/>
      <c r="U1641" s="289"/>
      <c r="V1641" s="289"/>
      <c r="W1641" s="290"/>
      <c r="AA1641" s="437" t="s">
        <v>262</v>
      </c>
    </row>
    <row r="1642" spans="2:27" ht="13.5" thickBot="1" x14ac:dyDescent="0.25">
      <c r="B1642" s="38"/>
      <c r="C1642" s="38"/>
      <c r="D1642" s="212" t="s">
        <v>2</v>
      </c>
      <c r="E1642" s="1716" t="str">
        <f>I1638</f>
        <v/>
      </c>
      <c r="F1642" s="1716"/>
      <c r="G1642" s="1716"/>
      <c r="H1642" s="116" t="str">
        <f>IF(INDEX(CNTR_SubInstListIsProdBM,$C1638),INDEX(CNTR_SubInstListHALUnit,$C1638),EUconst_Tons)</f>
        <v>tonnas</v>
      </c>
      <c r="I1642" s="595"/>
      <c r="J1642" s="595"/>
      <c r="K1642" s="595"/>
      <c r="L1642" s="595"/>
      <c r="M1642" s="595"/>
      <c r="N1642" s="34"/>
      <c r="O1642" s="25"/>
      <c r="P1642" s="182" t="s">
        <v>228</v>
      </c>
      <c r="Q1642" s="1023" t="s">
        <v>618</v>
      </c>
      <c r="R1642" s="204" t="s">
        <v>629</v>
      </c>
      <c r="S1642" s="454">
        <f>I1641</f>
        <v>2019</v>
      </c>
      <c r="T1642" s="455">
        <f>J1641</f>
        <v>2020</v>
      </c>
      <c r="U1642" s="455">
        <f>K1641</f>
        <v>2021</v>
      </c>
      <c r="V1642" s="455">
        <f>L1641</f>
        <v>2022</v>
      </c>
      <c r="W1642" s="456">
        <f>M1641</f>
        <v>2023</v>
      </c>
      <c r="Z1642" s="437"/>
      <c r="AA1642" s="643" t="b">
        <f>IF(CNTR_ExistSubInstEntries,AND(I1638&lt;&gt;"",Q1646),FALSE)</f>
        <v>0</v>
      </c>
    </row>
    <row r="1643" spans="2:27" ht="13.5" thickBot="1" x14ac:dyDescent="0.25">
      <c r="B1643" s="38"/>
      <c r="C1643" s="38"/>
      <c r="D1643" s="212" t="s">
        <v>3</v>
      </c>
      <c r="E1643" s="1716" t="str">
        <f>Translations!$B$677</f>
        <v>No lapas “H_SpecialBM”:</v>
      </c>
      <c r="F1643" s="1716"/>
      <c r="G1643" s="1716"/>
      <c r="H1643" s="116" t="str">
        <f>H1642</f>
        <v>tonnas</v>
      </c>
      <c r="I1643" s="336" t="str">
        <f>IF($I1638="","",IF($Q1646,SUMIF(H_SpecialBM!$P$9:$P$401,$P1643,H_SpecialBM!I$9:I$401),""))</f>
        <v/>
      </c>
      <c r="J1643" s="336" t="str">
        <f>IF($I1638="","",IF($Q1646,SUMIF(H_SpecialBM!$P$9:$P$401,$P1643,H_SpecialBM!J$9:J$401),""))</f>
        <v/>
      </c>
      <c r="K1643" s="336" t="str">
        <f>IF($I1638="","",IF($Q1646,SUMIF(H_SpecialBM!$P$9:$P$401,$P1643,H_SpecialBM!K$9:K$401),""))</f>
        <v/>
      </c>
      <c r="L1643" s="336" t="str">
        <f>IF($I1638="","",IF($Q1646,SUMIF(H_SpecialBM!$P$9:$P$401,$P1643,H_SpecialBM!L$9:L$401),""))</f>
        <v/>
      </c>
      <c r="M1643" s="336" t="str">
        <f>IF($I1638="","",IF($Q1646,SUMIF(H_SpecialBM!$P$9:$P$401,$P1643,H_SpecialBM!M$9:M$401),""))</f>
        <v/>
      </c>
      <c r="N1643" s="34"/>
      <c r="O1643" s="25"/>
      <c r="P1643" s="969" t="str">
        <f>EUconst_CNTR_HALspecial&amp;I1638</f>
        <v>HALspecial_</v>
      </c>
      <c r="Q1643" s="1093" t="str">
        <f>IF(COUNT($U1643:$V1643)&gt;0,SUM($U1643:$V1643),"")</f>
        <v/>
      </c>
      <c r="R1643" s="1094" t="str">
        <f>IF(COUNT(S1643:W1643)&gt;0,MEDIAN(S1643:W1643),"")</f>
        <v/>
      </c>
      <c r="S1643" s="1095" t="str">
        <f>IF(S1638,IF(ISNUMBER(I1643),I1643,""),"")</f>
        <v/>
      </c>
      <c r="T1643" s="1096" t="str">
        <f>IF(T1638,IF(ISNUMBER(J1643),J1643,""),"")</f>
        <v/>
      </c>
      <c r="U1643" s="1096" t="str">
        <f>IF(U1638,IF(ISNUMBER(K1643),K1643,""),"")</f>
        <v/>
      </c>
      <c r="V1643" s="1096" t="str">
        <f>IF(V1638,IF(ISNUMBER(L1643),L1643,""),"")</f>
        <v/>
      </c>
      <c r="W1643" s="1094" t="str">
        <f>IF(W1638,IF(ISNUMBER(M1643),M1643,""),"")</f>
        <v/>
      </c>
      <c r="AA1643" s="719" t="b">
        <f>Q1646=FALSE</f>
        <v>0</v>
      </c>
    </row>
    <row r="1644" spans="2:27" ht="13.5" thickBot="1" x14ac:dyDescent="0.25">
      <c r="B1644" s="38"/>
      <c r="C1644" s="38"/>
      <c r="D1644" s="212" t="s">
        <v>4</v>
      </c>
      <c r="E1644" s="1716" t="str">
        <f>Translations!$B$678</f>
        <v>Aprēķinā izmantotās vērtības:</v>
      </c>
      <c r="F1644" s="1716"/>
      <c r="G1644" s="1716"/>
      <c r="H1644" s="116" t="str">
        <f>H1643</f>
        <v>tonnas</v>
      </c>
      <c r="I1644" s="336" t="str">
        <f>IF($I1638="","",IF($Q1646=TRUE,IF(ISNUMBER(I1643),I1643,0),IF(ISNUMBER(I1642),I1642,0)))</f>
        <v/>
      </c>
      <c r="J1644" s="336" t="str">
        <f>IF($I1638="","",IF($Q1646=TRUE,IF(ISNUMBER(J1643),J1643,0),IF(ISNUMBER(J1642),J1642,0)))</f>
        <v/>
      </c>
      <c r="K1644" s="336" t="str">
        <f>IF($I1638="","",IF($Q1646=TRUE,IF(ISNUMBER(K1643),K1643,0),IF(ISNUMBER(K1642),K1642,0)))</f>
        <v/>
      </c>
      <c r="L1644" s="336" t="str">
        <f>IF($I1638="","",IF($Q1646=TRUE,IF(ISNUMBER(L1643),L1643,0),IF(ISNUMBER(L1642),L1642,0)))</f>
        <v/>
      </c>
      <c r="M1644" s="336" t="str">
        <f>IF($I1638="","",IF($Q1646=TRUE,IF(ISNUMBER(M1643),M1643,0),IF(ISNUMBER(M1642),M1642,0)))</f>
        <v/>
      </c>
      <c r="N1644" s="34"/>
      <c r="O1644" s="25"/>
      <c r="P1644" s="969" t="str">
        <f>EUconst_CNTR_HAL&amp;I1638</f>
        <v>HAL_</v>
      </c>
      <c r="Q1644" s="1097" t="str">
        <f>IF(COUNT($U1644:$V1644)&gt;0,SUM($U1644:$V1644),"")</f>
        <v/>
      </c>
      <c r="R1644" s="1098" t="str">
        <f>IF(COUNT(S1644:W1644)&gt;0,MEDIAN(S1644:W1644),"")</f>
        <v/>
      </c>
      <c r="S1644" s="1099" t="str">
        <f>IF(S1638,IF(ISNUMBER(I1644),I1644,""),"")</f>
        <v/>
      </c>
      <c r="T1644" s="1100" t="str">
        <f>IF(T1638,IF(ISNUMBER(J1644),J1644,""),"")</f>
        <v/>
      </c>
      <c r="U1644" s="1100" t="str">
        <f>IF(U1638,IF(ISNUMBER(K1644),K1644,""),"")</f>
        <v/>
      </c>
      <c r="V1644" s="1100" t="str">
        <f>IF(V1638,IF(ISNUMBER(L1644),L1644,""),"")</f>
        <v/>
      </c>
      <c r="W1644" s="1098" t="str">
        <f>IF(W1638,IF(ISNUMBER(M1644),M1644,""),"")</f>
        <v/>
      </c>
    </row>
    <row r="1645" spans="2:27" ht="5.0999999999999996" customHeight="1" x14ac:dyDescent="0.2">
      <c r="B1645" s="224"/>
      <c r="C1645" s="224"/>
      <c r="D1645" s="224"/>
      <c r="E1645" s="224"/>
      <c r="F1645" s="224"/>
      <c r="G1645" s="224"/>
      <c r="H1645" s="224"/>
      <c r="I1645" s="224"/>
      <c r="J1645" s="224"/>
      <c r="K1645" s="224"/>
      <c r="L1645" s="224"/>
      <c r="M1645" s="34"/>
      <c r="N1645" s="34"/>
      <c r="O1645" s="25"/>
      <c r="P1645" s="955"/>
      <c r="R1645" s="955"/>
      <c r="S1645" s="955"/>
    </row>
    <row r="1646" spans="2:27" x14ac:dyDescent="0.2">
      <c r="B1646" s="224"/>
      <c r="C1646" s="224"/>
      <c r="D1646" s="32" t="s">
        <v>339</v>
      </c>
      <c r="E1646" s="1250" t="str">
        <f>Translations!$B$679</f>
        <v>Īpašas ziņošanas prasības:</v>
      </c>
      <c r="F1646" s="1250"/>
      <c r="G1646" s="1524"/>
      <c r="H1646" s="1713" t="str">
        <f>IF(I1638="","",HYPERLINK(INDEX(EUconst_BMlistSpecialJumpTable,MATCH(I1638,EUconst_BMlistNames,0)),INDEX(EUconst_BMlistSpecialReporting,MATCH(I1638,EUconst_BMlistNames,0))))</f>
        <v/>
      </c>
      <c r="I1646" s="1718"/>
      <c r="J1646" s="1718"/>
      <c r="K1646" s="1718"/>
      <c r="L1646" s="1718"/>
      <c r="M1646" s="1718"/>
      <c r="N1646" s="1719"/>
      <c r="O1646" s="25"/>
      <c r="P1646" s="966" t="s">
        <v>37</v>
      </c>
      <c r="Q1646" s="134" t="str">
        <f>IF(I1638="","",IF(AND(INDEX(EUconst_BMlistSpecialJumpTable,MATCH(I1638,EUconst_BMlistNames,0))&lt;&gt;"",INDEX(EUconst_BMlistMainNumberOfBM,MATCH(I1638,EUconst_BMlistNames,0))&lt;&gt;47),TRUE,FALSE))</f>
        <v/>
      </c>
      <c r="R1646" s="966" t="s">
        <v>574</v>
      </c>
      <c r="S1646" s="134" t="b">
        <f>IF(I1638="",FALSE,INDEX(CNTR_SubInstLess1Year,MATCH(I1638,CNTR_SubInstListNames,0)))</f>
        <v>0</v>
      </c>
    </row>
    <row r="1647" spans="2:27" ht="5.0999999999999996" customHeight="1" x14ac:dyDescent="0.2">
      <c r="B1647" s="224"/>
      <c r="C1647" s="224"/>
      <c r="D1647" s="224"/>
      <c r="E1647" s="224"/>
      <c r="F1647" s="224"/>
      <c r="G1647" s="224"/>
      <c r="H1647" s="224"/>
      <c r="I1647" s="224"/>
      <c r="J1647" s="224"/>
      <c r="K1647" s="224"/>
      <c r="L1647" s="224"/>
      <c r="M1647" s="224"/>
      <c r="N1647" s="224"/>
      <c r="O1647" s="25"/>
      <c r="P1647" s="955"/>
      <c r="R1647" s="955"/>
      <c r="S1647" s="955"/>
    </row>
    <row r="1648" spans="2:27" ht="12.75" customHeight="1" x14ac:dyDescent="0.2">
      <c r="B1648" s="38"/>
      <c r="C1648" s="38"/>
      <c r="D1648" s="32" t="s">
        <v>11</v>
      </c>
      <c r="E1648" s="1717" t="str">
        <f>Translations!$B$1663</f>
        <v>Elektroenerģijas patēriņš</v>
      </c>
      <c r="F1648" s="1717"/>
      <c r="G1648" s="1717"/>
      <c r="H1648" s="1717"/>
      <c r="I1648" s="1717"/>
      <c r="J1648" s="1717"/>
      <c r="K1648" s="1717"/>
      <c r="L1648" s="1717"/>
      <c r="M1648" s="1717"/>
      <c r="N1648" s="1717"/>
      <c r="O1648" s="25"/>
      <c r="P1648" s="20" t="s">
        <v>192</v>
      </c>
      <c r="Q1648" s="362" t="str">
        <f>"#"&amp;ADDRESS(ROW(D1652),COLUMN(D1652))</f>
        <v>#$D$1652</v>
      </c>
      <c r="R1648" s="955"/>
      <c r="S1648" s="955"/>
      <c r="AA1648" s="955"/>
    </row>
    <row r="1649" spans="1:27" s="697" customFormat="1" ht="13.5" thickBot="1" x14ac:dyDescent="0.25">
      <c r="A1649" s="437"/>
      <c r="B1649" s="414"/>
      <c r="C1649" s="414"/>
      <c r="D1649" s="32"/>
      <c r="E1649" s="1320" t="str">
        <f>Translations!$B$686</f>
        <v>Parametrs</v>
      </c>
      <c r="F1649" s="1275"/>
      <c r="G1649" s="1275"/>
      <c r="H1649" s="52" t="str">
        <f>EUconst_Unit</f>
        <v>Vienība</v>
      </c>
      <c r="I1649" s="412">
        <f>I1641</f>
        <v>2019</v>
      </c>
      <c r="J1649" s="412">
        <f>J1641</f>
        <v>2020</v>
      </c>
      <c r="K1649" s="412">
        <f>K1641</f>
        <v>2021</v>
      </c>
      <c r="L1649" s="412">
        <f>L1641</f>
        <v>2022</v>
      </c>
      <c r="M1649" s="412">
        <f>M1641</f>
        <v>2023</v>
      </c>
      <c r="N1649" s="34"/>
      <c r="O1649" s="25"/>
      <c r="P1649" s="437"/>
      <c r="Q1649" s="437"/>
      <c r="R1649" s="955"/>
      <c r="S1649" s="955"/>
      <c r="T1649" s="955"/>
      <c r="U1649" s="955"/>
      <c r="V1649" s="955"/>
      <c r="W1649" s="955"/>
      <c r="X1649" s="20"/>
      <c r="Y1649" s="20"/>
      <c r="Z1649" s="437"/>
      <c r="AA1649" s="955" t="s">
        <v>633</v>
      </c>
    </row>
    <row r="1650" spans="1:27" s="697" customFormat="1" ht="12.75" customHeight="1" thickBot="1" x14ac:dyDescent="0.25">
      <c r="A1650" s="437"/>
      <c r="B1650" s="414"/>
      <c r="C1650" s="414"/>
      <c r="D1650" s="440"/>
      <c r="E1650" s="1711" t="str">
        <f>Translations!$B$689</f>
        <v>Relevantais elektroenerģijas patēriņš</v>
      </c>
      <c r="F1650" s="1712"/>
      <c r="G1650" s="1712"/>
      <c r="H1650" s="610" t="str">
        <f>EUconst_MWhpa</f>
        <v>MWh / gads</v>
      </c>
      <c r="I1650" s="1102"/>
      <c r="J1650" s="1102"/>
      <c r="K1650" s="1102"/>
      <c r="L1650" s="1102"/>
      <c r="M1650" s="1102"/>
      <c r="N1650" s="34"/>
      <c r="O1650" s="25"/>
      <c r="P1650" s="202" t="str">
        <f>EUconst_CNTR_HAL&amp;EUconst_CNTR_ELEXCH</f>
        <v>HAL_ELEXCH_</v>
      </c>
      <c r="Q1650" s="202" t="str">
        <f>EUconst_CNTR_HAL&amp;EUconst_CNTR_ELEXCH &amp; I1638</f>
        <v>HAL_ELEXCH_</v>
      </c>
      <c r="R1650" s="955"/>
      <c r="S1650" s="955"/>
      <c r="T1650" s="955"/>
      <c r="U1650" s="955"/>
      <c r="V1650" s="955"/>
      <c r="W1650" s="955"/>
      <c r="X1650" s="20"/>
      <c r="Y1650" s="20"/>
      <c r="Z1650" s="437"/>
      <c r="AA1650" s="885" t="b">
        <f>IF(CNTR_ExistSubInstEntries,IF(I1638&lt;&gt;"",IF(INDEX(EUconst_BMlistElExchangability,MATCH(I1638,EUconst_BMlistNames,0)),FALSE,TRUE),TRUE),FALSE)</f>
        <v>0</v>
      </c>
    </row>
    <row r="1651" spans="1:27" ht="5.0999999999999996" customHeight="1" x14ac:dyDescent="0.2">
      <c r="B1651" s="224"/>
      <c r="C1651" s="224"/>
      <c r="D1651" s="224"/>
      <c r="E1651" s="224"/>
      <c r="F1651" s="224"/>
      <c r="G1651" s="224"/>
      <c r="H1651" s="224"/>
      <c r="I1651" s="224"/>
      <c r="J1651" s="224"/>
      <c r="K1651" s="224"/>
      <c r="L1651" s="224"/>
      <c r="M1651" s="34"/>
      <c r="N1651" s="34"/>
      <c r="O1651" s="25"/>
      <c r="P1651" s="955"/>
    </row>
    <row r="1652" spans="1:27" x14ac:dyDescent="0.2">
      <c r="B1652" s="224"/>
      <c r="C1652" s="224"/>
      <c r="D1652" s="32" t="s">
        <v>342</v>
      </c>
      <c r="E1652" s="1250" t="str">
        <f>Translations!$B$692</f>
        <v>No ETS neaptvertām iekārtām vai vienībām importētais siltums:</v>
      </c>
      <c r="F1652" s="1250"/>
      <c r="G1652" s="1250"/>
      <c r="H1652" s="1250"/>
      <c r="I1652" s="1524"/>
      <c r="J1652" s="1713" t="str">
        <f>IF(I1638="","",HYPERLINK(Q1652,EUconst_MsgGoOnIfNotRelevant))</f>
        <v/>
      </c>
      <c r="K1652" s="1714"/>
      <c r="L1652" s="1714"/>
      <c r="M1652" s="1714"/>
      <c r="N1652" s="1715"/>
      <c r="O1652" s="25"/>
      <c r="P1652" s="20" t="s">
        <v>192</v>
      </c>
      <c r="Q1652" s="362" t="str">
        <f>"#"&amp;ADDRESS(ROW(D1659),COLUMN(D1659))</f>
        <v>#$D$1659</v>
      </c>
    </row>
    <row r="1653" spans="1:27" ht="5.0999999999999996" customHeight="1" x14ac:dyDescent="0.2">
      <c r="B1653" s="224"/>
      <c r="C1653" s="224"/>
      <c r="D1653" s="34"/>
      <c r="E1653" s="1319"/>
      <c r="F1653" s="1319"/>
      <c r="G1653" s="1319"/>
      <c r="H1653" s="1319"/>
      <c r="I1653" s="1319"/>
      <c r="J1653" s="1319"/>
      <c r="K1653" s="1319"/>
      <c r="L1653" s="1319"/>
      <c r="M1653" s="1319"/>
      <c r="N1653" s="1319"/>
      <c r="O1653" s="25"/>
      <c r="P1653" s="955"/>
      <c r="R1653" s="955"/>
      <c r="S1653" s="955"/>
    </row>
    <row r="1654" spans="1:27" ht="13.5" thickBot="1" x14ac:dyDescent="0.25">
      <c r="B1654" s="38"/>
      <c r="C1654" s="38"/>
      <c r="D1654" s="32"/>
      <c r="E1654" s="1320" t="str">
        <f>Translations!$B$686</f>
        <v>Parametrs</v>
      </c>
      <c r="F1654" s="1275"/>
      <c r="G1654" s="1275"/>
      <c r="H1654" s="52" t="str">
        <f>EUconst_Unit</f>
        <v>Vienība</v>
      </c>
      <c r="I1654" s="412">
        <f>I1641</f>
        <v>2019</v>
      </c>
      <c r="J1654" s="412">
        <f>J1641</f>
        <v>2020</v>
      </c>
      <c r="K1654" s="412">
        <f>K1641</f>
        <v>2021</v>
      </c>
      <c r="L1654" s="412">
        <f>L1641</f>
        <v>2022</v>
      </c>
      <c r="M1654" s="412">
        <f>M1641</f>
        <v>2023</v>
      </c>
      <c r="N1654" s="34"/>
      <c r="O1654" s="25"/>
      <c r="Q1654" s="63"/>
      <c r="R1654" s="955"/>
      <c r="S1654" s="63">
        <f>I1654</f>
        <v>2019</v>
      </c>
      <c r="T1654" s="63">
        <f>J1654</f>
        <v>2020</v>
      </c>
      <c r="U1654" s="63">
        <f>K1654</f>
        <v>2021</v>
      </c>
      <c r="V1654" s="63">
        <f>L1654</f>
        <v>2022</v>
      </c>
      <c r="W1654" s="63">
        <f>M1654</f>
        <v>2023</v>
      </c>
      <c r="Z1654" s="63"/>
      <c r="AA1654" s="437" t="s">
        <v>262</v>
      </c>
    </row>
    <row r="1655" spans="1:27" ht="13.5" thickBot="1" x14ac:dyDescent="0.25">
      <c r="B1655" s="38"/>
      <c r="C1655" s="38"/>
      <c r="D1655" s="212" t="s">
        <v>2</v>
      </c>
      <c r="E1655" s="1517" t="str">
        <f>Translations!$B$697</f>
        <v>No ETS neaptvertām iekārtām/vienībām importēts izmērāmais siltums</v>
      </c>
      <c r="F1655" s="1517"/>
      <c r="G1655" s="1517"/>
      <c r="H1655" s="66" t="str">
        <f>EUconst_TJpa</f>
        <v>TJ / gads</v>
      </c>
      <c r="I1655" s="330"/>
      <c r="J1655" s="330"/>
      <c r="K1655" s="330"/>
      <c r="L1655" s="330"/>
      <c r="M1655" s="330"/>
      <c r="N1655" s="34"/>
      <c r="O1655" s="25"/>
      <c r="P1655" s="134" t="str">
        <f>EUconst_CNTR_HAL&amp;EUconst_CNTR_nonETSMeasHeat</f>
        <v>HAL_ETS neaptverts izmērāmais siltums</v>
      </c>
      <c r="R1655" s="955"/>
      <c r="S1655" s="454" t="str">
        <f>IF(S1638,IF(ISNUMBER(I1655),I1655,0),"")</f>
        <v/>
      </c>
      <c r="T1655" s="455" t="str">
        <f>IF(T1638,IF(ISNUMBER(J1655),J1655,0),"")</f>
        <v/>
      </c>
      <c r="U1655" s="455" t="str">
        <f>IF(U1638,IF(ISNUMBER(K1655),K1655,0),"")</f>
        <v/>
      </c>
      <c r="V1655" s="455" t="str">
        <f>IF(V1638,IF(ISNUMBER(L1655),L1655,0),"")</f>
        <v/>
      </c>
      <c r="W1655" s="456" t="str">
        <f>IF(W1638,IF(ISNUMBER(M1655),M1655,0),"")</f>
        <v/>
      </c>
      <c r="AA1655" s="643" t="b">
        <f>AND(CNTR_ExistSubInstEntries,I1638="")</f>
        <v>0</v>
      </c>
    </row>
    <row r="1656" spans="1:27" ht="25.5" customHeight="1" thickBot="1" x14ac:dyDescent="0.25">
      <c r="B1656" s="38"/>
      <c r="C1656" s="38"/>
      <c r="D1656" s="212" t="s">
        <v>3</v>
      </c>
      <c r="E1656" s="1541" t="str">
        <f>Translations!$B$698</f>
        <v>Konsekvences pārbaude — saskanība ar lapu “E_Energy flows”:</v>
      </c>
      <c r="F1656" s="1541"/>
      <c r="G1656" s="1541"/>
      <c r="H1656" s="45" t="s">
        <v>393</v>
      </c>
      <c r="I1656" s="317" t="str">
        <f>IF(AND(ISNUMBER(I1655),ISNUMBER(E_EnergyFlows!I$120)), I1655/E_EnergyFlows!I$120*100,"")</f>
        <v/>
      </c>
      <c r="J1656" s="317" t="str">
        <f>IF(AND(ISNUMBER(J1655),ISNUMBER(E_EnergyFlows!J$120)), J1655/E_EnergyFlows!J$120*100,"")</f>
        <v/>
      </c>
      <c r="K1656" s="317" t="str">
        <f>IF(AND(ISNUMBER(K1655),ISNUMBER(E_EnergyFlows!K$120)), K1655/E_EnergyFlows!K$120*100,"")</f>
        <v/>
      </c>
      <c r="L1656" s="317" t="str">
        <f>IF(AND(ISNUMBER(L1655),ISNUMBER(E_EnergyFlows!L$120)), L1655/E_EnergyFlows!L$120*100,"")</f>
        <v/>
      </c>
      <c r="M1656" s="317" t="str">
        <f>IF(AND(ISNUMBER(M1655),ISNUMBER(E_EnergyFlows!M$120)), M1655/E_EnergyFlows!M$120*100,"")</f>
        <v/>
      </c>
      <c r="N1656" s="38"/>
      <c r="O1656" s="25"/>
      <c r="P1656" s="182" t="str">
        <f>EUconst_CNTR_HEAT &amp; I1638</f>
        <v>HEAT_</v>
      </c>
      <c r="Q1656" s="315" t="str">
        <f>IF(COUNT(S1655:X1655)&gt;0,AVERAGE(S1655:X1655)*EUconst_HeatBMvalue,EUconst_NA)</f>
        <v>NA</v>
      </c>
      <c r="R1656" s="955"/>
      <c r="S1656" s="955"/>
      <c r="AA1656" s="607"/>
    </row>
    <row r="1657" spans="1:27" x14ac:dyDescent="0.2">
      <c r="B1657" s="38"/>
      <c r="C1657" s="38"/>
      <c r="D1657" s="212" t="s">
        <v>4</v>
      </c>
      <c r="E1657" s="1373" t="str">
        <f>Translations!$B$699</f>
        <v>Konsekvences pārbaude — saskanība ar k) punkta i. apakšpunktu.</v>
      </c>
      <c r="F1657" s="1550"/>
      <c r="G1657" s="1550"/>
      <c r="H1657" s="48" t="s">
        <v>393</v>
      </c>
      <c r="I1657" s="316" t="str">
        <f>IF(AND(I1733&gt;0,ISNUMBER(I1655)), I1655/I1733*100,"")</f>
        <v/>
      </c>
      <c r="J1657" s="316" t="str">
        <f>IF(AND(J1733&gt;0,ISNUMBER(J1655)), J1655/J1733*100,"")</f>
        <v/>
      </c>
      <c r="K1657" s="316" t="str">
        <f>IF(AND(K1733&gt;0,ISNUMBER(K1655)), K1655/K1733*100,"")</f>
        <v/>
      </c>
      <c r="L1657" s="316" t="str">
        <f>IF(AND(L1733&gt;0,ISNUMBER(L1655)), L1655/L1733*100,"")</f>
        <v/>
      </c>
      <c r="M1657" s="316" t="str">
        <f>IF(AND(M1733&gt;0,ISNUMBER(M1655)), M1655/M1733*100,"")</f>
        <v/>
      </c>
      <c r="N1657" s="38"/>
      <c r="O1657" s="25"/>
      <c r="R1657" s="955"/>
      <c r="S1657" s="955"/>
      <c r="AA1657" s="607"/>
    </row>
    <row r="1658" spans="1:27" ht="12.75" customHeight="1" x14ac:dyDescent="0.2">
      <c r="B1658" s="38"/>
      <c r="C1658" s="38"/>
      <c r="D1658" s="38"/>
      <c r="E1658" s="38"/>
      <c r="F1658" s="38"/>
      <c r="G1658" s="38"/>
      <c r="H1658" s="38"/>
      <c r="I1658" s="125"/>
      <c r="J1658" s="38"/>
      <c r="K1658" s="38"/>
      <c r="L1658" s="38"/>
      <c r="M1658" s="38"/>
      <c r="N1658" s="38"/>
      <c r="O1658" s="25"/>
      <c r="P1658" s="157"/>
      <c r="R1658" s="955"/>
      <c r="S1658" s="955"/>
      <c r="AA1658" s="607"/>
    </row>
    <row r="1659" spans="1:27" ht="15" x14ac:dyDescent="0.2">
      <c r="B1659" s="38"/>
      <c r="C1659" s="972"/>
      <c r="D1659" s="1318" t="str">
        <f>Translations!$B$700</f>
        <v>Ražošanas dati</v>
      </c>
      <c r="E1659" s="1251"/>
      <c r="F1659" s="1251"/>
      <c r="G1659" s="1251"/>
      <c r="H1659" s="1251"/>
      <c r="I1659" s="1251"/>
      <c r="J1659" s="1251"/>
      <c r="K1659" s="1251"/>
      <c r="L1659" s="1251"/>
      <c r="M1659" s="1251"/>
      <c r="N1659" s="1251"/>
      <c r="O1659" s="25"/>
      <c r="R1659" s="955"/>
      <c r="S1659" s="955"/>
      <c r="AA1659" s="607"/>
    </row>
    <row r="1660" spans="1:27" ht="5.0999999999999996" customHeight="1" x14ac:dyDescent="0.2">
      <c r="B1660" s="224"/>
      <c r="C1660" s="224"/>
      <c r="D1660" s="224"/>
      <c r="E1660" s="224"/>
      <c r="F1660" s="224"/>
      <c r="G1660" s="224"/>
      <c r="H1660" s="224"/>
      <c r="I1660" s="224"/>
      <c r="J1660" s="224"/>
      <c r="K1660" s="224"/>
      <c r="L1660" s="224"/>
      <c r="M1660" s="224"/>
      <c r="N1660" s="224"/>
      <c r="O1660" s="25"/>
      <c r="P1660" s="955"/>
      <c r="Q1660" s="955"/>
      <c r="R1660" s="955"/>
      <c r="S1660" s="955"/>
      <c r="AA1660" s="607"/>
    </row>
    <row r="1661" spans="1:27" x14ac:dyDescent="0.2">
      <c r="B1661" s="224"/>
      <c r="C1661" s="32"/>
      <c r="D1661" s="32" t="s">
        <v>12</v>
      </c>
      <c r="E1661" s="1250" t="str">
        <f>Translations!$B$701</f>
        <v>Šajā produkta līmeņatzīmes apakšiekārtā ietverto produktu identificēšana</v>
      </c>
      <c r="F1661" s="1251"/>
      <c r="G1661" s="1251"/>
      <c r="H1661" s="1251"/>
      <c r="I1661" s="1251"/>
      <c r="J1661" s="1251"/>
      <c r="K1661" s="1251"/>
      <c r="L1661" s="1251"/>
      <c r="M1661" s="1251"/>
      <c r="N1661" s="1251"/>
      <c r="O1661" s="25"/>
      <c r="P1661" s="955"/>
      <c r="R1661" s="955"/>
      <c r="S1661" s="955"/>
      <c r="AA1661" s="607"/>
    </row>
    <row r="1662" spans="1:27" ht="5.0999999999999996" customHeight="1" x14ac:dyDescent="0.2">
      <c r="B1662" s="224"/>
      <c r="C1662" s="224"/>
      <c r="D1662" s="224"/>
      <c r="E1662" s="224"/>
      <c r="F1662" s="224"/>
      <c r="G1662" s="224"/>
      <c r="H1662" s="224"/>
      <c r="I1662" s="224"/>
      <c r="J1662" s="224"/>
      <c r="K1662" s="224"/>
      <c r="L1662" s="224"/>
      <c r="M1662" s="224"/>
      <c r="N1662" s="224"/>
      <c r="O1662" s="25"/>
      <c r="P1662" s="955"/>
      <c r="Q1662" s="955"/>
      <c r="R1662" s="955"/>
      <c r="S1662" s="955"/>
      <c r="AA1662" s="607"/>
    </row>
    <row r="1663" spans="1:27" x14ac:dyDescent="0.2">
      <c r="B1663" s="224"/>
      <c r="C1663" s="32"/>
      <c r="D1663" s="32" t="s">
        <v>13</v>
      </c>
      <c r="E1663" s="1250" t="str">
        <f>Translations!$B$706</f>
        <v>Šajā produkta līmeņatzīmes apakšiekārtā ietverto produktu atsevišķie ražošanas līmeņi</v>
      </c>
      <c r="F1663" s="1251"/>
      <c r="G1663" s="1251"/>
      <c r="H1663" s="1251"/>
      <c r="I1663" s="1251"/>
      <c r="J1663" s="1251"/>
      <c r="K1663" s="1251"/>
      <c r="L1663" s="1251"/>
      <c r="M1663" s="1251"/>
      <c r="N1663" s="1251"/>
      <c r="O1663" s="25"/>
      <c r="P1663" s="955"/>
      <c r="R1663" s="955"/>
      <c r="S1663" s="955"/>
      <c r="AA1663" s="607"/>
    </row>
    <row r="1664" spans="1:27" ht="5.0999999999999996" customHeight="1" x14ac:dyDescent="0.2">
      <c r="B1664" s="224"/>
      <c r="C1664" s="224"/>
      <c r="D1664" s="34"/>
      <c r="E1664" s="35"/>
      <c r="F1664" s="35"/>
      <c r="G1664" s="35"/>
      <c r="H1664" s="35"/>
      <c r="I1664" s="35"/>
      <c r="J1664" s="39"/>
      <c r="K1664" s="39"/>
      <c r="L1664" s="39"/>
      <c r="M1664" s="34"/>
      <c r="N1664" s="34"/>
      <c r="O1664" s="25"/>
      <c r="P1664" s="955"/>
      <c r="R1664" s="955"/>
      <c r="S1664" s="955"/>
      <c r="AA1664" s="607"/>
    </row>
    <row r="1665" spans="2:27" ht="25.5" customHeight="1" x14ac:dyDescent="0.2">
      <c r="B1665" s="38"/>
      <c r="C1665" s="38"/>
      <c r="D1665" s="360"/>
      <c r="E1665" s="1121" t="str">
        <f>Translations!$B$1668</f>
        <v>PRODCOM 2010</v>
      </c>
      <c r="F1665" s="1703" t="str">
        <f>Translations!$B$707</f>
        <v>Produkta vai produktu grupas nosaukums</v>
      </c>
      <c r="G1665" s="1704"/>
      <c r="H1665" s="1129" t="str">
        <f>EUconst_Unit</f>
        <v>Vienība</v>
      </c>
      <c r="I1665" s="1130">
        <f>I$1820</f>
        <v>2019</v>
      </c>
      <c r="J1665" s="1130">
        <f>J$1820</f>
        <v>2020</v>
      </c>
      <c r="K1665" s="1130">
        <f>K$1820</f>
        <v>2021</v>
      </c>
      <c r="L1665" s="1130">
        <f>L$1820</f>
        <v>2022</v>
      </c>
      <c r="M1665" s="1130">
        <f>M$1820</f>
        <v>2023</v>
      </c>
      <c r="N1665" s="1131" t="str">
        <f>Translations!$B$1669</f>
        <v>KN kodi</v>
      </c>
      <c r="O1665" s="25"/>
      <c r="R1665" s="955"/>
      <c r="S1665" s="955"/>
      <c r="AA1665" s="607"/>
    </row>
    <row r="1666" spans="2:27" x14ac:dyDescent="0.2">
      <c r="B1666" s="38"/>
      <c r="C1666" s="38"/>
      <c r="D1666" s="55">
        <v>1</v>
      </c>
      <c r="E1666" s="1199"/>
      <c r="F1666" s="1705"/>
      <c r="G1666" s="1706"/>
      <c r="H1666" s="800"/>
      <c r="I1666" s="484"/>
      <c r="J1666" s="484"/>
      <c r="K1666" s="484"/>
      <c r="L1666" s="484"/>
      <c r="M1666" s="484"/>
      <c r="N1666" s="1145"/>
      <c r="O1666" s="25"/>
      <c r="R1666" s="955"/>
      <c r="S1666" s="955"/>
      <c r="AA1666" s="361" t="b">
        <f>AA1655</f>
        <v>0</v>
      </c>
    </row>
    <row r="1667" spans="2:27" x14ac:dyDescent="0.2">
      <c r="B1667" s="38"/>
      <c r="C1667" s="38"/>
      <c r="D1667" s="56">
        <f>D1666+1</f>
        <v>2</v>
      </c>
      <c r="E1667" s="1200"/>
      <c r="F1667" s="1707"/>
      <c r="G1667" s="1708"/>
      <c r="H1667" s="573"/>
      <c r="I1667" s="557"/>
      <c r="J1667" s="557"/>
      <c r="K1667" s="557"/>
      <c r="L1667" s="557"/>
      <c r="M1667" s="557"/>
      <c r="N1667" s="1146"/>
      <c r="O1667" s="25"/>
      <c r="R1667" s="955"/>
      <c r="S1667" s="955"/>
      <c r="AA1667" s="361" t="b">
        <f>AA1666</f>
        <v>0</v>
      </c>
    </row>
    <row r="1668" spans="2:27" x14ac:dyDescent="0.2">
      <c r="B1668" s="38"/>
      <c r="C1668" s="38"/>
      <c r="D1668" s="56">
        <f t="shared" ref="D1668:D1675" si="18">D1667+1</f>
        <v>3</v>
      </c>
      <c r="E1668" s="1200"/>
      <c r="F1668" s="1691"/>
      <c r="G1668" s="1692"/>
      <c r="H1668" s="573"/>
      <c r="I1668" s="557"/>
      <c r="J1668" s="557"/>
      <c r="K1668" s="557"/>
      <c r="L1668" s="557"/>
      <c r="M1668" s="557"/>
      <c r="N1668" s="1147"/>
      <c r="O1668" s="25"/>
      <c r="R1668" s="955"/>
      <c r="S1668" s="955"/>
      <c r="AA1668" s="361" t="b">
        <f t="shared" ref="AA1668:AA1676" si="19">AA1667</f>
        <v>0</v>
      </c>
    </row>
    <row r="1669" spans="2:27" x14ac:dyDescent="0.2">
      <c r="B1669" s="38"/>
      <c r="C1669" s="38"/>
      <c r="D1669" s="56">
        <f t="shared" si="18"/>
        <v>4</v>
      </c>
      <c r="E1669" s="1200"/>
      <c r="F1669" s="1691"/>
      <c r="G1669" s="1692"/>
      <c r="H1669" s="573"/>
      <c r="I1669" s="557"/>
      <c r="J1669" s="557"/>
      <c r="K1669" s="557"/>
      <c r="L1669" s="557"/>
      <c r="M1669" s="557"/>
      <c r="N1669" s="1147"/>
      <c r="O1669" s="25"/>
      <c r="R1669" s="955"/>
      <c r="S1669" s="955"/>
      <c r="AA1669" s="361" t="b">
        <f t="shared" si="19"/>
        <v>0</v>
      </c>
    </row>
    <row r="1670" spans="2:27" x14ac:dyDescent="0.2">
      <c r="B1670" s="38"/>
      <c r="C1670" s="38"/>
      <c r="D1670" s="56">
        <f t="shared" si="18"/>
        <v>5</v>
      </c>
      <c r="E1670" s="1200"/>
      <c r="F1670" s="1691"/>
      <c r="G1670" s="1692"/>
      <c r="H1670" s="573"/>
      <c r="I1670" s="557"/>
      <c r="J1670" s="557"/>
      <c r="K1670" s="557"/>
      <c r="L1670" s="557"/>
      <c r="M1670" s="557"/>
      <c r="N1670" s="1147"/>
      <c r="O1670" s="25"/>
      <c r="R1670" s="955"/>
      <c r="S1670" s="955"/>
      <c r="AA1670" s="361" t="b">
        <f t="shared" si="19"/>
        <v>0</v>
      </c>
    </row>
    <row r="1671" spans="2:27" x14ac:dyDescent="0.2">
      <c r="B1671" s="38"/>
      <c r="C1671" s="38"/>
      <c r="D1671" s="56">
        <f t="shared" si="18"/>
        <v>6</v>
      </c>
      <c r="E1671" s="1200"/>
      <c r="F1671" s="1691"/>
      <c r="G1671" s="1692"/>
      <c r="H1671" s="573"/>
      <c r="I1671" s="557"/>
      <c r="J1671" s="557"/>
      <c r="K1671" s="557"/>
      <c r="L1671" s="557"/>
      <c r="M1671" s="557"/>
      <c r="N1671" s="1146"/>
      <c r="O1671" s="25"/>
      <c r="R1671" s="955"/>
      <c r="S1671" s="955"/>
      <c r="AA1671" s="361" t="b">
        <f t="shared" si="19"/>
        <v>0</v>
      </c>
    </row>
    <row r="1672" spans="2:27" x14ac:dyDescent="0.2">
      <c r="B1672" s="38"/>
      <c r="C1672" s="38"/>
      <c r="D1672" s="56">
        <f t="shared" si="18"/>
        <v>7</v>
      </c>
      <c r="E1672" s="1200"/>
      <c r="F1672" s="1691"/>
      <c r="G1672" s="1692"/>
      <c r="H1672" s="573"/>
      <c r="I1672" s="557"/>
      <c r="J1672" s="557"/>
      <c r="K1672" s="557"/>
      <c r="L1672" s="557"/>
      <c r="M1672" s="557"/>
      <c r="N1672" s="1147"/>
      <c r="O1672" s="25"/>
      <c r="R1672" s="955"/>
      <c r="S1672" s="955"/>
      <c r="AA1672" s="361" t="b">
        <f t="shared" si="19"/>
        <v>0</v>
      </c>
    </row>
    <row r="1673" spans="2:27" x14ac:dyDescent="0.2">
      <c r="B1673" s="38"/>
      <c r="C1673" s="38"/>
      <c r="D1673" s="56">
        <f t="shared" si="18"/>
        <v>8</v>
      </c>
      <c r="E1673" s="1200"/>
      <c r="F1673" s="1691"/>
      <c r="G1673" s="1692"/>
      <c r="H1673" s="573"/>
      <c r="I1673" s="557"/>
      <c r="J1673" s="557"/>
      <c r="K1673" s="557"/>
      <c r="L1673" s="557"/>
      <c r="M1673" s="557"/>
      <c r="N1673" s="1147"/>
      <c r="O1673" s="25"/>
      <c r="R1673" s="955"/>
      <c r="S1673" s="955"/>
      <c r="AA1673" s="361" t="b">
        <f t="shared" si="19"/>
        <v>0</v>
      </c>
    </row>
    <row r="1674" spans="2:27" x14ac:dyDescent="0.2">
      <c r="B1674" s="38"/>
      <c r="C1674" s="38"/>
      <c r="D1674" s="56">
        <f t="shared" si="18"/>
        <v>9</v>
      </c>
      <c r="E1674" s="1200"/>
      <c r="F1674" s="1691"/>
      <c r="G1674" s="1692"/>
      <c r="H1674" s="573"/>
      <c r="I1674" s="557"/>
      <c r="J1674" s="557"/>
      <c r="K1674" s="557"/>
      <c r="L1674" s="557"/>
      <c r="M1674" s="557"/>
      <c r="N1674" s="1147"/>
      <c r="O1674" s="25"/>
      <c r="R1674" s="955"/>
      <c r="S1674" s="955"/>
      <c r="AA1674" s="361" t="b">
        <f t="shared" si="19"/>
        <v>0</v>
      </c>
    </row>
    <row r="1675" spans="2:27" x14ac:dyDescent="0.2">
      <c r="B1675" s="38"/>
      <c r="C1675" s="38"/>
      <c r="D1675" s="59">
        <f t="shared" si="18"/>
        <v>10</v>
      </c>
      <c r="E1675" s="1201"/>
      <c r="F1675" s="1694"/>
      <c r="G1675" s="1695"/>
      <c r="H1675" s="574"/>
      <c r="I1675" s="458"/>
      <c r="J1675" s="458"/>
      <c r="K1675" s="458"/>
      <c r="L1675" s="458"/>
      <c r="M1675" s="458"/>
      <c r="N1675" s="1148"/>
      <c r="O1675" s="25"/>
      <c r="R1675" s="955"/>
      <c r="S1675" s="955"/>
      <c r="AA1675" s="361" t="b">
        <f t="shared" si="19"/>
        <v>0</v>
      </c>
    </row>
    <row r="1676" spans="2:27" ht="12.75" customHeight="1" thickBot="1" x14ac:dyDescent="0.25">
      <c r="B1676" s="38"/>
      <c r="C1676" s="38"/>
      <c r="D1676" s="115"/>
      <c r="E1676" s="1696" t="str">
        <f>Translations!$B$708</f>
        <v>Ražošanas līmeņu summa</v>
      </c>
      <c r="F1676" s="1696"/>
      <c r="G1676" s="1696"/>
      <c r="H1676" s="733"/>
      <c r="I1676" s="343" t="str">
        <f>IF(COUNT(I1666:I1675)&gt;0,SUM(I1666:I1675),"")</f>
        <v/>
      </c>
      <c r="J1676" s="343" t="str">
        <f>IF(COUNT(J1666:J1675)&gt;0,SUM(J1666:J1675),"")</f>
        <v/>
      </c>
      <c r="K1676" s="343" t="str">
        <f>IF(COUNT(K1666:K1675)&gt;0,SUM(K1666:K1675),"")</f>
        <v/>
      </c>
      <c r="L1676" s="343" t="str">
        <f>IF(COUNT(L1666:L1675)&gt;0,SUM(L1666:L1675),"")</f>
        <v/>
      </c>
      <c r="M1676" s="343" t="str">
        <f>IF(COUNT(M1666:M1675)&gt;0,SUM(M1666:M1675),"")</f>
        <v/>
      </c>
      <c r="N1676" s="34"/>
      <c r="O1676" s="25"/>
      <c r="R1676" s="955"/>
      <c r="S1676" s="955"/>
      <c r="AA1676" s="186" t="b">
        <f t="shared" si="19"/>
        <v>0</v>
      </c>
    </row>
    <row r="1677" spans="2:27" ht="12.75" customHeight="1" thickBot="1" x14ac:dyDescent="0.25">
      <c r="B1677" s="224"/>
      <c r="C1677" s="224"/>
      <c r="D1677" s="224"/>
      <c r="E1677" s="224"/>
      <c r="F1677" s="224"/>
      <c r="G1677" s="224"/>
      <c r="H1677" s="224"/>
      <c r="I1677" s="224"/>
      <c r="J1677" s="224"/>
      <c r="K1677" s="224"/>
      <c r="L1677" s="224"/>
      <c r="M1677" s="34"/>
      <c r="N1677" s="34"/>
      <c r="O1677" s="25"/>
      <c r="P1677" s="955"/>
      <c r="R1677" s="955"/>
      <c r="S1677" s="955"/>
    </row>
    <row r="1678" spans="2:27" ht="5.0999999999999996" customHeight="1" x14ac:dyDescent="0.2">
      <c r="B1678" s="224"/>
      <c r="C1678" s="973"/>
      <c r="D1678" s="974"/>
      <c r="E1678" s="974"/>
      <c r="F1678" s="974"/>
      <c r="G1678" s="974"/>
      <c r="H1678" s="974"/>
      <c r="I1678" s="974"/>
      <c r="J1678" s="974"/>
      <c r="K1678" s="974"/>
      <c r="L1678" s="974"/>
      <c r="M1678" s="975"/>
      <c r="N1678" s="976"/>
      <c r="O1678" s="25"/>
      <c r="P1678" s="955"/>
      <c r="R1678" s="955"/>
      <c r="S1678" s="955"/>
    </row>
    <row r="1679" spans="2:27" ht="15" customHeight="1" x14ac:dyDescent="0.2">
      <c r="B1679" s="38"/>
      <c r="C1679" s="977"/>
      <c r="D1679" s="1697" t="str">
        <f>Translations!$B$709</f>
        <v>Dati, kas vajadzīgi, lai noteiktu līmeņatzīmju uzlabošanas rādītāju saskaņā ar ES ETS direktīvas 10.a panta 2. punktu.</v>
      </c>
      <c r="E1679" s="1655"/>
      <c r="F1679" s="1655"/>
      <c r="G1679" s="1655"/>
      <c r="H1679" s="1655"/>
      <c r="I1679" s="1655"/>
      <c r="J1679" s="1655"/>
      <c r="K1679" s="1655"/>
      <c r="L1679" s="1655"/>
      <c r="M1679" s="1655"/>
      <c r="N1679" s="1656"/>
      <c r="O1679" s="25"/>
      <c r="R1679" s="955"/>
      <c r="S1679" s="955"/>
    </row>
    <row r="1680" spans="2:27" ht="5.0999999999999996" customHeight="1" x14ac:dyDescent="0.2">
      <c r="B1680" s="38"/>
      <c r="C1680" s="472"/>
      <c r="D1680" s="461"/>
      <c r="E1680" s="461"/>
      <c r="F1680" s="461"/>
      <c r="G1680" s="461"/>
      <c r="H1680" s="461"/>
      <c r="I1680" s="461"/>
      <c r="J1680" s="461"/>
      <c r="K1680" s="461"/>
      <c r="L1680" s="461"/>
      <c r="M1680" s="461"/>
      <c r="N1680" s="473"/>
      <c r="O1680" s="25"/>
      <c r="R1680" s="955"/>
      <c r="S1680" s="955"/>
    </row>
    <row r="1681" spans="2:23" ht="15" customHeight="1" x14ac:dyDescent="0.2">
      <c r="B1681" s="38"/>
      <c r="C1681" s="472"/>
      <c r="D1681" s="1698" t="str">
        <f>EUconst_BMSubinst &amp; ":"</f>
        <v>Apakšiekārta ar produkta līmeņatzīmi:</v>
      </c>
      <c r="E1681" s="1699"/>
      <c r="F1681" s="1699"/>
      <c r="G1681" s="1699"/>
      <c r="H1681" s="1700"/>
      <c r="I1681" s="1701" t="str">
        <f>I1638</f>
        <v/>
      </c>
      <c r="J1681" s="1457"/>
      <c r="K1681" s="1457"/>
      <c r="L1681" s="1457"/>
      <c r="M1681" s="1457"/>
      <c r="N1681" s="1702"/>
      <c r="O1681" s="25"/>
      <c r="R1681" s="955"/>
      <c r="S1681" s="955"/>
    </row>
    <row r="1682" spans="2:23" ht="5.0999999999999996" customHeight="1" x14ac:dyDescent="0.2">
      <c r="B1682" s="38"/>
      <c r="C1682" s="472"/>
      <c r="D1682" s="461"/>
      <c r="E1682" s="461"/>
      <c r="F1682" s="461"/>
      <c r="G1682" s="461"/>
      <c r="H1682" s="461"/>
      <c r="I1682" s="461"/>
      <c r="J1682" s="461"/>
      <c r="K1682" s="461"/>
      <c r="L1682" s="461"/>
      <c r="M1682" s="461"/>
      <c r="N1682" s="473"/>
      <c r="O1682" s="25"/>
      <c r="R1682" s="955"/>
      <c r="S1682" s="955"/>
    </row>
    <row r="1683" spans="2:23" ht="30" customHeight="1" x14ac:dyDescent="0.2">
      <c r="B1683" s="224"/>
      <c r="C1683" s="977"/>
      <c r="D1683" s="978"/>
      <c r="E1683" s="1670" t="str">
        <f>Translations!$B$710</f>
        <v>Šī apakšsadaļa attiecas uz tādu emisiju attiecināšanu, kas saistītas ar avota plūsmām, emisiju avotiem, izmērāma siltuma un atlikumgāzu importu un eksportu, arī siltuma zudumiem saskaņā ar FAR VII pielikuma 10. iedaļu.</v>
      </c>
      <c r="F1683" s="1670"/>
      <c r="G1683" s="1670"/>
      <c r="H1683" s="1670"/>
      <c r="I1683" s="1670"/>
      <c r="J1683" s="1670"/>
      <c r="K1683" s="1670"/>
      <c r="L1683" s="1670"/>
      <c r="M1683" s="1670"/>
      <c r="N1683" s="698"/>
      <c r="O1683" s="25"/>
      <c r="P1683" s="955"/>
    </row>
    <row r="1684" spans="2:23" ht="30" customHeight="1" x14ac:dyDescent="0.2">
      <c r="B1684" s="224"/>
      <c r="C1684" s="977"/>
      <c r="D1684" s="978"/>
      <c r="E1684" s="1670" t="str">
        <f>Translations!$B$711</f>
        <v xml:space="preserve">Ņemiet vērā, ka, lai gan ir sniegti daži norādījumi par katru no nākamajiem punktiem, papildu informācija būtu jāmeklē Norādījumu dokumentā Nr. 5 (“Monitoring and Reporting in relation to the FAR” — “Ar FAR saistītais monitorings un ziņošana”), kurā ietverti arī piemēri. </v>
      </c>
      <c r="F1684" s="1670"/>
      <c r="G1684" s="1670"/>
      <c r="H1684" s="1670"/>
      <c r="I1684" s="1670"/>
      <c r="J1684" s="1670"/>
      <c r="K1684" s="1670"/>
      <c r="L1684" s="1670"/>
      <c r="M1684" s="1670"/>
      <c r="N1684" s="698"/>
      <c r="O1684" s="25"/>
      <c r="P1684" s="955"/>
    </row>
    <row r="1685" spans="2:23" ht="12.75" customHeight="1" x14ac:dyDescent="0.2">
      <c r="B1685" s="224"/>
      <c r="C1685" s="977"/>
      <c r="D1685" s="978"/>
      <c r="E1685" s="1670" t="str">
        <f>Translations!$B$712</f>
        <v xml:space="preserve">Šos norādījumus var lejupielādēt šeit: </v>
      </c>
      <c r="F1685" s="1268"/>
      <c r="G1685" s="1268"/>
      <c r="H1685" s="1268"/>
      <c r="I1685" s="1268"/>
      <c r="J1685" s="1268"/>
      <c r="K1685" s="1268"/>
      <c r="L1685" s="1268"/>
      <c r="M1685" s="1268"/>
      <c r="N1685" s="698"/>
      <c r="O1685" s="25"/>
      <c r="P1685" s="955"/>
    </row>
    <row r="1686" spans="2:23" ht="15" customHeight="1" x14ac:dyDescent="0.2">
      <c r="B1686" s="224"/>
      <c r="C1686" s="977"/>
      <c r="D1686" s="978"/>
      <c r="E1686" s="1549" t="str">
        <f>Translations!$B$713</f>
        <v>https://ec.europa.eu/clima/policies/ets/allowances_en#tab-0-1</v>
      </c>
      <c r="F1686" s="1549"/>
      <c r="G1686" s="1549"/>
      <c r="H1686" s="1549"/>
      <c r="I1686" s="1549"/>
      <c r="J1686" s="1549"/>
      <c r="K1686" s="1549"/>
      <c r="L1686" s="1549"/>
      <c r="M1686" s="1549"/>
      <c r="N1686" s="698"/>
      <c r="O1686" s="25"/>
      <c r="P1686" s="955"/>
    </row>
    <row r="1687" spans="2:23" ht="5.0999999999999996" customHeight="1" x14ac:dyDescent="0.2">
      <c r="B1687" s="38"/>
      <c r="C1687" s="472"/>
      <c r="D1687" s="461"/>
      <c r="E1687" s="461"/>
      <c r="F1687" s="461"/>
      <c r="G1687" s="461"/>
      <c r="H1687" s="461"/>
      <c r="I1687" s="461"/>
      <c r="J1687" s="461"/>
      <c r="K1687" s="461"/>
      <c r="L1687" s="461"/>
      <c r="M1687" s="461"/>
      <c r="N1687" s="473"/>
      <c r="O1687" s="25"/>
      <c r="R1687" s="955"/>
      <c r="S1687" s="955"/>
    </row>
    <row r="1688" spans="2:23" ht="15" customHeight="1" x14ac:dyDescent="0.2">
      <c r="B1688" s="224"/>
      <c r="C1688" s="977"/>
      <c r="D1688" s="978"/>
      <c r="E1688" s="1693" t="str">
        <f>Translations!$B$714</f>
        <v>Balstoties uz tālāk izdarītajiem ierakstiem, attiecināmās emisijas tiek aprēķinātas kopsavilkuma lapas K III sadaļas 2. punktā.</v>
      </c>
      <c r="F1688" s="1693"/>
      <c r="G1688" s="1693"/>
      <c r="H1688" s="1693"/>
      <c r="I1688" s="1693"/>
      <c r="J1688" s="1693"/>
      <c r="K1688" s="1693"/>
      <c r="L1688" s="1693"/>
      <c r="M1688" s="1693"/>
      <c r="N1688" s="698"/>
      <c r="O1688" s="25"/>
      <c r="P1688" s="955"/>
    </row>
    <row r="1689" spans="2:23" ht="5.0999999999999996" customHeight="1" x14ac:dyDescent="0.2">
      <c r="B1689" s="38"/>
      <c r="C1689" s="472"/>
      <c r="D1689" s="461"/>
      <c r="E1689" s="461"/>
      <c r="F1689" s="461"/>
      <c r="G1689" s="461"/>
      <c r="H1689" s="461"/>
      <c r="I1689" s="461"/>
      <c r="J1689" s="461"/>
      <c r="K1689" s="461"/>
      <c r="L1689" s="461"/>
      <c r="M1689" s="461"/>
      <c r="N1689" s="473"/>
      <c r="O1689" s="25"/>
      <c r="R1689" s="955"/>
      <c r="S1689" s="955"/>
    </row>
    <row r="1690" spans="2:23" ht="12.75" customHeight="1" thickBot="1" x14ac:dyDescent="0.25">
      <c r="B1690" s="224"/>
      <c r="C1690" s="977"/>
      <c r="D1690" s="474" t="s">
        <v>81</v>
      </c>
      <c r="E1690" s="1654" t="str">
        <f>Translations!$B$715</f>
        <v>Uz šo apakšiekārtu tieši attiecināmas emisijas (DirEm* (MP avota plūsmas))</v>
      </c>
      <c r="F1690" s="1655"/>
      <c r="G1690" s="1655"/>
      <c r="H1690" s="1655"/>
      <c r="I1690" s="1655"/>
      <c r="J1690" s="1655"/>
      <c r="K1690" s="1655"/>
      <c r="L1690" s="1655"/>
      <c r="M1690" s="1655"/>
      <c r="N1690" s="1656"/>
      <c r="O1690" s="25"/>
      <c r="P1690" s="955"/>
      <c r="R1690" s="955"/>
      <c r="S1690" s="955"/>
    </row>
    <row r="1691" spans="2:23" ht="12.75" customHeight="1" x14ac:dyDescent="0.2">
      <c r="B1691" s="224"/>
      <c r="C1691" s="977"/>
      <c r="D1691" s="474"/>
      <c r="E1691" s="1653" t="str">
        <f>Translations!$B$725</f>
        <v>Tieši attiecināmās emisijas (DirEm*)</v>
      </c>
      <c r="F1691" s="1657"/>
      <c r="G1691" s="1657"/>
      <c r="H1691" s="462" t="str">
        <f>EUconst_Unit</f>
        <v>Vienība</v>
      </c>
      <c r="I1691" s="463">
        <f>I$1820</f>
        <v>2019</v>
      </c>
      <c r="J1691" s="463">
        <f>J$1820</f>
        <v>2020</v>
      </c>
      <c r="K1691" s="463">
        <f>K$1820</f>
        <v>2021</v>
      </c>
      <c r="L1691" s="463">
        <f>L$1820</f>
        <v>2022</v>
      </c>
      <c r="M1691" s="463">
        <f>M$1820</f>
        <v>2023</v>
      </c>
      <c r="N1691" s="661"/>
      <c r="O1691" s="25"/>
      <c r="P1691" s="955"/>
      <c r="R1691" s="970"/>
      <c r="S1691" s="809">
        <f>I1691</f>
        <v>2019</v>
      </c>
      <c r="T1691" s="809">
        <f>J1691</f>
        <v>2020</v>
      </c>
      <c r="U1691" s="809">
        <f>K1691</f>
        <v>2021</v>
      </c>
      <c r="V1691" s="809">
        <f>L1691</f>
        <v>2022</v>
      </c>
      <c r="W1691" s="810">
        <f>M1691</f>
        <v>2023</v>
      </c>
    </row>
    <row r="1692" spans="2:23" ht="12.75" customHeight="1" thickBot="1" x14ac:dyDescent="0.25">
      <c r="B1692" s="224"/>
      <c r="C1692" s="977"/>
      <c r="D1692" s="978"/>
      <c r="E1692" s="1689" t="str">
        <f>I1638</f>
        <v/>
      </c>
      <c r="F1692" s="1689"/>
      <c r="G1692" s="1689"/>
      <c r="H1692" s="464" t="str">
        <f>EUconst_tCO2epa</f>
        <v>t CO2e/gads</v>
      </c>
      <c r="I1692" s="330"/>
      <c r="J1692" s="330"/>
      <c r="K1692" s="330"/>
      <c r="L1692" s="330"/>
      <c r="M1692" s="330"/>
      <c r="N1692" s="661"/>
      <c r="O1692" s="25"/>
      <c r="P1692" s="979" t="str">
        <f>EUconst_CNTR_Emissions &amp; I1638</f>
        <v>DirEmissions_</v>
      </c>
      <c r="R1692" s="971" t="str">
        <f>EUconst_CNTR_AttributedEmissions &amp; I1638</f>
        <v>AttrEmissions_</v>
      </c>
      <c r="S1692" s="137" t="str">
        <f>IF(S1638,SUM(I1692),"")</f>
        <v/>
      </c>
      <c r="T1692" s="137" t="str">
        <f>IF(T1638,SUM(J1692),"")</f>
        <v/>
      </c>
      <c r="U1692" s="137" t="str">
        <f>IF(U1638,SUM(K1692),"")</f>
        <v/>
      </c>
      <c r="V1692" s="137" t="str">
        <f>IF(V1638,SUM(L1692),"")</f>
        <v/>
      </c>
      <c r="W1692" s="138" t="str">
        <f>IF(W1638,SUM(M1692),"")</f>
        <v/>
      </c>
    </row>
    <row r="1693" spans="2:23" ht="12.75" customHeight="1" x14ac:dyDescent="0.2">
      <c r="B1693" s="224"/>
      <c r="C1693" s="977"/>
      <c r="D1693" s="978"/>
      <c r="E1693" s="978"/>
      <c r="F1693" s="978"/>
      <c r="G1693" s="978"/>
      <c r="H1693" s="978"/>
      <c r="I1693" s="978"/>
      <c r="J1693" s="978"/>
      <c r="K1693" s="978"/>
      <c r="L1693" s="978"/>
      <c r="M1693" s="980"/>
      <c r="N1693" s="661"/>
      <c r="O1693" s="25"/>
      <c r="P1693" s="955"/>
      <c r="R1693" s="955"/>
    </row>
    <row r="1694" spans="2:23" ht="12.75" customHeight="1" x14ac:dyDescent="0.2">
      <c r="B1694" s="224"/>
      <c r="C1694" s="977"/>
      <c r="D1694" s="474" t="s">
        <v>82</v>
      </c>
      <c r="E1694" s="1663" t="str">
        <f>Translations!$B$1670</f>
        <v>Enerģijas ielaide šajā apakšiekārtā un relevantais emisijas faktors</v>
      </c>
      <c r="F1694" s="1663"/>
      <c r="G1694" s="1663"/>
      <c r="H1694" s="1663"/>
      <c r="I1694" s="1663"/>
      <c r="J1694" s="1663"/>
      <c r="K1694" s="1663"/>
      <c r="L1694" s="1663"/>
      <c r="M1694" s="1663"/>
      <c r="N1694" s="1690"/>
      <c r="O1694" s="25"/>
      <c r="P1694" s="955"/>
      <c r="Q1694" s="955"/>
      <c r="R1694" s="955"/>
    </row>
    <row r="1695" spans="2:23" ht="12.75" customHeight="1" x14ac:dyDescent="0.2">
      <c r="B1695" s="224"/>
      <c r="C1695" s="977"/>
      <c r="D1695" s="474"/>
      <c r="E1695" s="1653"/>
      <c r="F1695" s="1657"/>
      <c r="G1695" s="1657"/>
      <c r="H1695" s="462" t="str">
        <f>EUconst_Unit</f>
        <v>Vienība</v>
      </c>
      <c r="I1695" s="463">
        <f>I$1820</f>
        <v>2019</v>
      </c>
      <c r="J1695" s="463">
        <f>J$1820</f>
        <v>2020</v>
      </c>
      <c r="K1695" s="463">
        <f>K$1820</f>
        <v>2021</v>
      </c>
      <c r="L1695" s="463">
        <f>L$1820</f>
        <v>2022</v>
      </c>
      <c r="M1695" s="463">
        <f>M$1820</f>
        <v>2023</v>
      </c>
      <c r="N1695" s="661"/>
      <c r="O1695" s="25"/>
      <c r="P1695" s="955"/>
      <c r="R1695" s="955"/>
    </row>
    <row r="1696" spans="2:23" ht="12.75" customHeight="1" x14ac:dyDescent="0.2">
      <c r="B1696" s="224"/>
      <c r="C1696" s="977"/>
      <c r="D1696" s="695" t="s">
        <v>2</v>
      </c>
      <c r="E1696" s="1651" t="str">
        <f>Translations!$B$1672</f>
        <v>Enerģijas ielaide</v>
      </c>
      <c r="F1696" s="1652"/>
      <c r="G1696" s="1652"/>
      <c r="H1696" s="465" t="str">
        <f>EUconst_TJpa</f>
        <v>TJ / gads</v>
      </c>
      <c r="I1696" s="330"/>
      <c r="J1696" s="330"/>
      <c r="K1696" s="330"/>
      <c r="L1696" s="330"/>
      <c r="M1696" s="330"/>
      <c r="N1696" s="698"/>
      <c r="O1696" s="25"/>
      <c r="P1696" s="979" t="str">
        <f>EUconst_CNTR_FuelInput &amp; I1638</f>
        <v>FuelInput_</v>
      </c>
      <c r="R1696" s="955"/>
    </row>
    <row r="1697" spans="2:27" ht="12.75" customHeight="1" x14ac:dyDescent="0.2">
      <c r="B1697" s="224"/>
      <c r="C1697" s="977"/>
      <c r="D1697" s="695" t="s">
        <v>3</v>
      </c>
      <c r="E1697" s="1709" t="str">
        <f>Translations!$B$732</f>
        <v>Svērtais emisijas faktors</v>
      </c>
      <c r="F1697" s="1710"/>
      <c r="G1697" s="1710"/>
      <c r="H1697" s="577" t="str">
        <f>EUconst_tCO2pTJ</f>
        <v>t CO2 / TJ</v>
      </c>
      <c r="I1697" s="338"/>
      <c r="J1697" s="338"/>
      <c r="K1697" s="338"/>
      <c r="L1697" s="338"/>
      <c r="M1697" s="338"/>
      <c r="N1697" s="661"/>
      <c r="O1697" s="25"/>
      <c r="P1697" s="979" t="str">
        <f>EUconst_CNTR_FuelEF &amp; I1638</f>
        <v>FuelEF_</v>
      </c>
      <c r="R1697" s="955"/>
    </row>
    <row r="1698" spans="2:27" ht="12.75" customHeight="1" x14ac:dyDescent="0.2">
      <c r="B1698" s="224"/>
      <c r="C1698" s="977"/>
      <c r="D1698" s="978"/>
      <c r="E1698" s="978"/>
      <c r="F1698" s="978"/>
      <c r="G1698" s="978"/>
      <c r="H1698" s="978"/>
      <c r="I1698" s="978"/>
      <c r="J1698" s="978"/>
      <c r="K1698" s="978"/>
      <c r="L1698" s="978"/>
      <c r="M1698" s="980"/>
      <c r="N1698" s="661"/>
      <c r="O1698" s="25"/>
      <c r="P1698" s="955"/>
      <c r="R1698" s="955"/>
    </row>
    <row r="1699" spans="2:27" ht="12.75" customHeight="1" thickBot="1" x14ac:dyDescent="0.25">
      <c r="B1699" s="224"/>
      <c r="C1699" s="977"/>
      <c r="D1699" s="474" t="s">
        <v>83</v>
      </c>
      <c r="E1699" s="1663" t="str">
        <f>Translations!$B$733</f>
        <v>Citas iekšējās avota plūsmas, kas importētas uz šo apakšiekārtu vai eksportētas no tās</v>
      </c>
      <c r="F1699" s="1663"/>
      <c r="G1699" s="1663"/>
      <c r="H1699" s="1663"/>
      <c r="I1699" s="1663"/>
      <c r="J1699" s="1663"/>
      <c r="K1699" s="1663"/>
      <c r="L1699" s="1663"/>
      <c r="M1699" s="1663"/>
      <c r="N1699" s="1690"/>
      <c r="O1699" s="25"/>
      <c r="P1699" s="955"/>
      <c r="Q1699" s="955"/>
      <c r="R1699" s="955"/>
    </row>
    <row r="1700" spans="2:27" ht="12.75" customHeight="1" thickBot="1" x14ac:dyDescent="0.25">
      <c r="B1700" s="224"/>
      <c r="C1700" s="977"/>
      <c r="D1700" s="695" t="s">
        <v>2</v>
      </c>
      <c r="E1700" s="1732" t="str">
        <f>Translations!$B$739</f>
        <v>Vai šai apakšiekārtai ir relevantas vēl citas importētas vai eksportētas iekšējās avota plūsmas?</v>
      </c>
      <c r="F1700" s="1732"/>
      <c r="G1700" s="1732"/>
      <c r="H1700" s="1732"/>
      <c r="I1700" s="1732"/>
      <c r="J1700" s="1732"/>
      <c r="K1700" s="1733"/>
      <c r="L1700" s="527"/>
      <c r="M1700" s="1202"/>
      <c r="N1700" s="1203"/>
      <c r="O1700" s="25"/>
      <c r="P1700" s="955"/>
      <c r="R1700" s="955"/>
      <c r="W1700" s="966" t="s">
        <v>398</v>
      </c>
      <c r="X1700" s="964" t="b">
        <f>IF(AND(I1638&lt;&gt;"",ISBLANK(L1700)),EUconst_Error&amp;"BM"&amp;C1638,FALSE)</f>
        <v>0</v>
      </c>
    </row>
    <row r="1701" spans="2:27" ht="5.0999999999999996" customHeight="1" thickBot="1" x14ac:dyDescent="0.25">
      <c r="B1701" s="224"/>
      <c r="C1701" s="977"/>
      <c r="D1701" s="978"/>
      <c r="E1701" s="978"/>
      <c r="F1701" s="978"/>
      <c r="G1701" s="978"/>
      <c r="H1701" s="978"/>
      <c r="I1701" s="978"/>
      <c r="J1701" s="978"/>
      <c r="K1701" s="978"/>
      <c r="L1701" s="978"/>
      <c r="M1701" s="980"/>
      <c r="N1701" s="661"/>
      <c r="O1701" s="25"/>
      <c r="P1701" s="955"/>
      <c r="R1701" s="955"/>
    </row>
    <row r="1702" spans="2:27" ht="12.75" customHeight="1" x14ac:dyDescent="0.2">
      <c r="B1702" s="224"/>
      <c r="C1702" s="977"/>
      <c r="D1702" s="695" t="s">
        <v>3</v>
      </c>
      <c r="E1702" s="1663" t="str">
        <f>Translations!$B$741</f>
        <v>Citu avota plūsmu nosaukums, 1:</v>
      </c>
      <c r="F1702" s="1663"/>
      <c r="G1702" s="1663"/>
      <c r="H1702" s="1663"/>
      <c r="I1702" s="1664"/>
      <c r="J1702" s="1665"/>
      <c r="K1702" s="1665"/>
      <c r="L1702" s="1665"/>
      <c r="M1702" s="1666"/>
      <c r="N1702" s="660"/>
      <c r="O1702" s="25"/>
      <c r="P1702" s="955"/>
      <c r="R1702" s="955"/>
      <c r="AA1702" s="643" t="b">
        <f>IF(I1638&lt;&gt;"",AND(L1700&lt;&gt;"",L1700=FALSE),FALSE)</f>
        <v>0</v>
      </c>
    </row>
    <row r="1703" spans="2:27" ht="5.0999999999999996" customHeight="1" x14ac:dyDescent="0.2">
      <c r="B1703" s="224"/>
      <c r="C1703" s="977"/>
      <c r="D1703" s="978"/>
      <c r="E1703" s="1204"/>
      <c r="F1703" s="1202"/>
      <c r="G1703" s="1202"/>
      <c r="H1703" s="1202"/>
      <c r="I1703" s="1202"/>
      <c r="J1703" s="1202"/>
      <c r="K1703" s="1202"/>
      <c r="L1703" s="1202"/>
      <c r="M1703" s="1202"/>
      <c r="N1703" s="1203"/>
      <c r="O1703" s="25"/>
      <c r="P1703" s="955"/>
      <c r="R1703" s="955"/>
      <c r="AA1703" s="607"/>
    </row>
    <row r="1704" spans="2:27" ht="12.75" customHeight="1" x14ac:dyDescent="0.2">
      <c r="B1704" s="224"/>
      <c r="C1704" s="977"/>
      <c r="D1704" s="978"/>
      <c r="E1704" s="1653" t="str">
        <f>Translations!$B$742</f>
        <v>Citas avota plūsmas, 1:</v>
      </c>
      <c r="F1704" s="1657"/>
      <c r="G1704" s="1657"/>
      <c r="H1704" s="462" t="str">
        <f>EUconst_Unit</f>
        <v>Vienība</v>
      </c>
      <c r="I1704" s="463">
        <f>I$1820</f>
        <v>2019</v>
      </c>
      <c r="J1704" s="463">
        <f>J$1820</f>
        <v>2020</v>
      </c>
      <c r="K1704" s="463">
        <f>K$1820</f>
        <v>2021</v>
      </c>
      <c r="L1704" s="463">
        <f>L$1820</f>
        <v>2022</v>
      </c>
      <c r="M1704" s="463">
        <f>M$1820</f>
        <v>2023</v>
      </c>
      <c r="N1704" s="661"/>
      <c r="O1704" s="25"/>
      <c r="P1704" s="955"/>
      <c r="R1704" s="955"/>
      <c r="AA1704" s="607"/>
    </row>
    <row r="1705" spans="2:27" ht="12.75" customHeight="1" x14ac:dyDescent="0.2">
      <c r="B1705" s="224"/>
      <c r="C1705" s="977"/>
      <c r="D1705" s="695" t="s">
        <v>4</v>
      </c>
      <c r="E1705" s="1667" t="str">
        <f>Translations!$B$743</f>
        <v>Importētais vai eksportētais daudzums</v>
      </c>
      <c r="F1705" s="1660"/>
      <c r="G1705" s="1660"/>
      <c r="H1705" s="466" t="str">
        <f>EUconst_tpa</f>
        <v>t / gads</v>
      </c>
      <c r="I1705" s="348"/>
      <c r="J1705" s="348"/>
      <c r="K1705" s="348"/>
      <c r="L1705" s="348"/>
      <c r="M1705" s="348"/>
      <c r="N1705" s="661"/>
      <c r="O1705" s="25"/>
      <c r="P1705" s="955"/>
      <c r="R1705" s="955"/>
      <c r="AA1705" s="361" t="b">
        <f>AA1702</f>
        <v>0</v>
      </c>
    </row>
    <row r="1706" spans="2:27" ht="12.75" customHeight="1" x14ac:dyDescent="0.2">
      <c r="B1706" s="224"/>
      <c r="C1706" s="977"/>
      <c r="D1706" s="695" t="s">
        <v>6</v>
      </c>
      <c r="E1706" s="1658" t="str">
        <f>Translations!$B$744</f>
        <v>Zemākā siltumspēja (attiecīgā gadījumā)</v>
      </c>
      <c r="F1706" s="1658"/>
      <c r="G1706" s="1658"/>
      <c r="H1706" s="551" t="str">
        <f>EUconst_GJpt</f>
        <v>GJ / t</v>
      </c>
      <c r="I1706" s="347"/>
      <c r="J1706" s="347"/>
      <c r="K1706" s="347"/>
      <c r="L1706" s="347"/>
      <c r="M1706" s="347"/>
      <c r="N1706" s="661"/>
      <c r="O1706" s="25"/>
      <c r="P1706" s="955"/>
      <c r="R1706" s="955"/>
      <c r="AA1706" s="361" t="b">
        <f>AA1705</f>
        <v>0</v>
      </c>
    </row>
    <row r="1707" spans="2:27" ht="12.75" customHeight="1" thickBot="1" x14ac:dyDescent="0.25">
      <c r="B1707" s="224"/>
      <c r="C1707" s="977"/>
      <c r="D1707" s="695" t="s">
        <v>303</v>
      </c>
      <c r="E1707" s="1658" t="str">
        <f>Translations!$B$745</f>
        <v>Oglekļa saturs (masas %)</v>
      </c>
      <c r="F1707" s="1658"/>
      <c r="G1707" s="1658"/>
      <c r="H1707" s="552" t="s">
        <v>341</v>
      </c>
      <c r="I1707" s="347"/>
      <c r="J1707" s="347"/>
      <c r="K1707" s="347"/>
      <c r="L1707" s="347"/>
      <c r="M1707" s="347"/>
      <c r="N1707" s="661"/>
      <c r="O1707" s="25"/>
      <c r="P1707" s="955"/>
      <c r="R1707" s="955"/>
      <c r="AA1707" s="361" t="b">
        <f>AA1706</f>
        <v>0</v>
      </c>
    </row>
    <row r="1708" spans="2:27" ht="12.75" customHeight="1" x14ac:dyDescent="0.2">
      <c r="B1708" s="224"/>
      <c r="C1708" s="977"/>
      <c r="D1708" s="695" t="s">
        <v>304</v>
      </c>
      <c r="E1708" s="1659" t="str">
        <f>Translations!$B$746</f>
        <v>Biomasas saturs (kā oglekļa frakcija)</v>
      </c>
      <c r="F1708" s="1659"/>
      <c r="G1708" s="1659"/>
      <c r="H1708" s="485" t="s">
        <v>341</v>
      </c>
      <c r="I1708" s="345"/>
      <c r="J1708" s="345"/>
      <c r="K1708" s="345"/>
      <c r="L1708" s="345"/>
      <c r="M1708" s="345"/>
      <c r="N1708" s="661"/>
      <c r="O1708" s="25"/>
      <c r="P1708" s="955"/>
      <c r="R1708" s="970"/>
      <c r="S1708" s="809">
        <f>I1704</f>
        <v>2019</v>
      </c>
      <c r="T1708" s="809">
        <f>J1704</f>
        <v>2020</v>
      </c>
      <c r="U1708" s="809">
        <f>K1704</f>
        <v>2021</v>
      </c>
      <c r="V1708" s="809">
        <f>L1704</f>
        <v>2022</v>
      </c>
      <c r="W1708" s="810">
        <f>M1704</f>
        <v>2023</v>
      </c>
      <c r="AA1708" s="361" t="b">
        <f>AA1707</f>
        <v>0</v>
      </c>
    </row>
    <row r="1709" spans="2:27" ht="12.75" customHeight="1" thickBot="1" x14ac:dyDescent="0.25">
      <c r="B1709" s="224"/>
      <c r="C1709" s="977"/>
      <c r="D1709" s="695" t="s">
        <v>305</v>
      </c>
      <c r="E1709" s="1660" t="str">
        <f>Translations!$B$747</f>
        <v>Emisijas (no fosilajiem avotiem, aprēķinātās)</v>
      </c>
      <c r="F1709" s="1660"/>
      <c r="G1709" s="1660"/>
      <c r="H1709" s="553" t="str">
        <f>EUconst_tCO2pa</f>
        <v>t CO2 / gads</v>
      </c>
      <c r="I1709" s="341" t="str">
        <f>IF(AND(COUNT(I1705:I1708)&gt;0,I1712=""),3.664*I1705*(I1707/100)*(1-I1708/100),"")</f>
        <v/>
      </c>
      <c r="J1709" s="341" t="str">
        <f>IF(AND(COUNT(J1705:J1708)&gt;0,J1712=""),3.664*J1705*(J1707/100)*(1-J1708/100),"")</f>
        <v/>
      </c>
      <c r="K1709" s="341" t="str">
        <f>IF(AND(COUNT(K1705:K1708)&gt;0,K1712=""),3.664*K1705*(K1707/100)*(1-K1708/100),"")</f>
        <v/>
      </c>
      <c r="L1709" s="341" t="str">
        <f>IF(AND(COUNT(L1705:L1708)&gt;0,L1712=""),3.664*L1705*(L1707/100)*(1-L1708/100),"")</f>
        <v/>
      </c>
      <c r="M1709" s="341" t="str">
        <f>IF(AND(COUNT(M1705:M1708)&gt;0,M1712=""),3.664*M1705*(M1707/100)*(1-M1708/100),"")</f>
        <v/>
      </c>
      <c r="N1709" s="661"/>
      <c r="O1709" s="25"/>
      <c r="P1709" s="979" t="str">
        <f>EUconst_CNTR_EmissionsIntSource1 &amp; I1638</f>
        <v>EmInternalSource1_</v>
      </c>
      <c r="R1709" s="971" t="str">
        <f>EUconst_CNTR_AttributedEmissions &amp; I1638</f>
        <v>AttrEmissions_</v>
      </c>
      <c r="S1709" s="137" t="str">
        <f>IF(S1638,SUM(I1709),"")</f>
        <v/>
      </c>
      <c r="T1709" s="137" t="str">
        <f>IF(T1638,SUM(J1709),"")</f>
        <v/>
      </c>
      <c r="U1709" s="137" t="str">
        <f>IF(U1638,SUM(K1709),"")</f>
        <v/>
      </c>
      <c r="V1709" s="137" t="str">
        <f>IF(V1638,SUM(L1709),"")</f>
        <v/>
      </c>
      <c r="W1709" s="138" t="str">
        <f>IF(W1638,SUM(M1709),"")</f>
        <v/>
      </c>
      <c r="AA1709" s="607"/>
    </row>
    <row r="1710" spans="2:27" ht="12.75" customHeight="1" x14ac:dyDescent="0.2">
      <c r="B1710" s="224"/>
      <c r="C1710" s="977"/>
      <c r="D1710" s="695" t="s">
        <v>306</v>
      </c>
      <c r="E1710" s="1661" t="str">
        <f>Translations!$B$1617</f>
        <v>Nulles faktora biomasas emisijas</v>
      </c>
      <c r="F1710" s="1661"/>
      <c r="G1710" s="1661"/>
      <c r="H1710" s="554" t="str">
        <f>EUconst_tCO2pa</f>
        <v>t CO2 / gads</v>
      </c>
      <c r="I1710" s="340" t="str">
        <f>IF(ISNUMBER(I1709),3.664*I1705*(I1707/100)*(I1708/100),"")</f>
        <v/>
      </c>
      <c r="J1710" s="340" t="str">
        <f>IF(ISNUMBER(J1709),3.664*J1705*(J1707/100)*(J1708/100),"")</f>
        <v/>
      </c>
      <c r="K1710" s="340" t="str">
        <f>IF(ISNUMBER(K1709),3.664*K1705*(K1707/100)*(K1708/100),"")</f>
        <v/>
      </c>
      <c r="L1710" s="340" t="str">
        <f>IF(ISNUMBER(L1709),3.664*L1705*(L1707/100)*(L1708/100),"")</f>
        <v/>
      </c>
      <c r="M1710" s="340" t="str">
        <f>IF(ISNUMBER(M1709),3.664*M1705*(M1707/100)*(M1708/100),"")</f>
        <v/>
      </c>
      <c r="N1710" s="661"/>
      <c r="O1710" s="25"/>
      <c r="P1710" s="955"/>
      <c r="R1710" s="955"/>
      <c r="AA1710" s="607"/>
    </row>
    <row r="1711" spans="2:27" ht="12.75" customHeight="1" x14ac:dyDescent="0.2">
      <c r="B1711" s="224"/>
      <c r="C1711" s="977"/>
      <c r="D1711" s="695" t="s">
        <v>307</v>
      </c>
      <c r="E1711" s="1659" t="str">
        <f>Translations!$B$749</f>
        <v>Enerģētiskais saturs (aprēķinātais)</v>
      </c>
      <c r="F1711" s="1659"/>
      <c r="G1711" s="1659"/>
      <c r="H1711" s="555" t="str">
        <f>EUconst_TJpa</f>
        <v>TJ / gads</v>
      </c>
      <c r="I1711" s="343" t="str">
        <f>IF(COUNT(I1705:I1706)=2,I1705*I1706/1000,"")</f>
        <v/>
      </c>
      <c r="J1711" s="343" t="str">
        <f>IF(COUNT(J1705:J1706)=2,J1705*J1706/1000,"")</f>
        <v/>
      </c>
      <c r="K1711" s="343" t="str">
        <f>IF(COUNT(K1705:K1706)=2,K1705*K1706/1000,"")</f>
        <v/>
      </c>
      <c r="L1711" s="343" t="str">
        <f>IF(COUNT(L1705:L1706)=2,L1705*L1706/1000,"")</f>
        <v/>
      </c>
      <c r="M1711" s="343" t="str">
        <f>IF(COUNT(M1705:M1706)=2,M1705*M1706/1000,"")</f>
        <v/>
      </c>
      <c r="N1711" s="661"/>
      <c r="O1711" s="25"/>
      <c r="P1711" s="955"/>
      <c r="R1711" s="955"/>
      <c r="AA1711" s="607"/>
    </row>
    <row r="1712" spans="2:27" ht="12.75" customHeight="1" x14ac:dyDescent="0.2">
      <c r="B1712" s="224"/>
      <c r="C1712" s="977"/>
      <c r="D1712" s="695" t="s">
        <v>15</v>
      </c>
      <c r="E1712" s="1662" t="str">
        <f>Translations!$B$750</f>
        <v>Kļūdas ziņojumi (emisijas)</v>
      </c>
      <c r="F1712" s="1662"/>
      <c r="G1712" s="1662"/>
      <c r="H1712" s="556"/>
      <c r="I1712" s="662" t="str">
        <f>IF(COUNT(I1705,I1707:I1708)&gt;0,IF(COUNTIF(I1706:I1708,"&lt;0")&gt;0,EUconst_Negative,IF(COUNT(I1705,I1707:I1708)&lt;3,EUconst_Incomplete,"")),"")</f>
        <v/>
      </c>
      <c r="J1712" s="662" t="str">
        <f>IF(COUNT(J1705,J1707:J1708)&gt;0,IF(COUNTIF(J1706:J1708,"&lt;0")&gt;0,EUconst_Negative,IF(COUNT(J1705,J1707:J1708)&lt;3,EUconst_Incomplete,"")),"")</f>
        <v/>
      </c>
      <c r="K1712" s="662" t="str">
        <f>IF(COUNT(K1705,K1707:K1708)&gt;0,IF(COUNTIF(K1706:K1708,"&lt;0")&gt;0,EUconst_Negative,IF(COUNT(K1705,K1707:K1708)&lt;3,EUconst_Incomplete,"")),"")</f>
        <v/>
      </c>
      <c r="L1712" s="662" t="str">
        <f>IF(COUNT(L1705,L1707:L1708)&gt;0,IF(COUNTIF(L1706:L1708,"&lt;0")&gt;0,EUconst_Negative,IF(COUNT(L1705,L1707:L1708)&lt;3,EUconst_Incomplete,"")),"")</f>
        <v/>
      </c>
      <c r="M1712" s="662" t="str">
        <f>IF(COUNT(M1705,M1707:M1708)&gt;0,IF(COUNTIF(M1706:M1708,"&lt;0")&gt;0,EUconst_Negative,IF(COUNT(M1705,M1707:M1708)&lt;3,EUconst_Incomplete,"")),"")</f>
        <v/>
      </c>
      <c r="N1712" s="661"/>
      <c r="O1712" s="25"/>
      <c r="P1712" s="955"/>
      <c r="R1712" s="955"/>
      <c r="AA1712" s="607"/>
    </row>
    <row r="1713" spans="2:27" ht="5.0999999999999996" customHeight="1" x14ac:dyDescent="0.2">
      <c r="B1713" s="224"/>
      <c r="C1713" s="977"/>
      <c r="D1713" s="695"/>
      <c r="E1713" s="978"/>
      <c r="F1713" s="978"/>
      <c r="G1713" s="978"/>
      <c r="H1713" s="978"/>
      <c r="I1713" s="978"/>
      <c r="J1713" s="978"/>
      <c r="K1713" s="978"/>
      <c r="L1713" s="978"/>
      <c r="M1713" s="980"/>
      <c r="N1713" s="661"/>
      <c r="O1713" s="25"/>
      <c r="P1713" s="955"/>
      <c r="R1713" s="955"/>
      <c r="AA1713" s="607"/>
    </row>
    <row r="1714" spans="2:27" ht="12.75" customHeight="1" x14ac:dyDescent="0.2">
      <c r="B1714" s="224"/>
      <c r="C1714" s="977"/>
      <c r="D1714" s="695" t="s">
        <v>16</v>
      </c>
      <c r="E1714" s="1663" t="str">
        <f>Translations!$B$751</f>
        <v>Citu avota plūsmu nosaukums, 2:</v>
      </c>
      <c r="F1714" s="1663"/>
      <c r="G1714" s="1663"/>
      <c r="H1714" s="1663"/>
      <c r="I1714" s="1664"/>
      <c r="J1714" s="1665"/>
      <c r="K1714" s="1665"/>
      <c r="L1714" s="1665"/>
      <c r="M1714" s="1666"/>
      <c r="N1714" s="1203"/>
      <c r="O1714" s="25"/>
      <c r="P1714" s="955"/>
      <c r="R1714" s="955"/>
      <c r="AA1714" s="361" t="b">
        <f>AA1702</f>
        <v>0</v>
      </c>
    </row>
    <row r="1715" spans="2:27" ht="5.0999999999999996" customHeight="1" x14ac:dyDescent="0.2">
      <c r="B1715" s="224"/>
      <c r="C1715" s="977"/>
      <c r="D1715" s="978"/>
      <c r="E1715" s="1204"/>
      <c r="F1715" s="1202"/>
      <c r="G1715" s="1202"/>
      <c r="H1715" s="1202"/>
      <c r="I1715" s="1202"/>
      <c r="J1715" s="1202"/>
      <c r="K1715" s="1202"/>
      <c r="L1715" s="1202"/>
      <c r="M1715" s="1202"/>
      <c r="N1715" s="1203"/>
      <c r="O1715" s="25"/>
      <c r="P1715" s="955"/>
      <c r="R1715" s="955"/>
      <c r="AA1715" s="607"/>
    </row>
    <row r="1716" spans="2:27" ht="12.75" customHeight="1" x14ac:dyDescent="0.2">
      <c r="B1716" s="224"/>
      <c r="C1716" s="977"/>
      <c r="D1716" s="695"/>
      <c r="E1716" s="1653" t="str">
        <f>Translations!$B$752</f>
        <v>Citas avota plūsmas, 2:</v>
      </c>
      <c r="F1716" s="1657"/>
      <c r="G1716" s="1657"/>
      <c r="H1716" s="462" t="str">
        <f>EUconst_Unit</f>
        <v>Vienība</v>
      </c>
      <c r="I1716" s="463">
        <f>I$1820</f>
        <v>2019</v>
      </c>
      <c r="J1716" s="463">
        <f>J$1820</f>
        <v>2020</v>
      </c>
      <c r="K1716" s="463">
        <f>K$1820</f>
        <v>2021</v>
      </c>
      <c r="L1716" s="463">
        <f>L$1820</f>
        <v>2022</v>
      </c>
      <c r="M1716" s="463">
        <f>M$1820</f>
        <v>2023</v>
      </c>
      <c r="N1716" s="661"/>
      <c r="O1716" s="25"/>
      <c r="P1716" s="955"/>
      <c r="R1716" s="955"/>
      <c r="AA1716" s="607"/>
    </row>
    <row r="1717" spans="2:27" ht="12.75" customHeight="1" x14ac:dyDescent="0.2">
      <c r="B1717" s="224"/>
      <c r="C1717" s="977"/>
      <c r="D1717" s="695" t="s">
        <v>17</v>
      </c>
      <c r="E1717" s="1667" t="str">
        <f>Translations!$B$743</f>
        <v>Importētais vai eksportētais daudzums</v>
      </c>
      <c r="F1717" s="1660"/>
      <c r="G1717" s="1660"/>
      <c r="H1717" s="466" t="str">
        <f>EUconst_tpa</f>
        <v>t / gads</v>
      </c>
      <c r="I1717" s="348"/>
      <c r="J1717" s="348"/>
      <c r="K1717" s="348"/>
      <c r="L1717" s="348"/>
      <c r="M1717" s="348"/>
      <c r="N1717" s="661"/>
      <c r="O1717" s="25"/>
      <c r="P1717" s="955"/>
      <c r="R1717" s="955"/>
      <c r="AA1717" s="361" t="b">
        <f>AA1714</f>
        <v>0</v>
      </c>
    </row>
    <row r="1718" spans="2:27" ht="12.75" customHeight="1" x14ac:dyDescent="0.2">
      <c r="B1718" s="224"/>
      <c r="C1718" s="977"/>
      <c r="D1718" s="695" t="s">
        <v>438</v>
      </c>
      <c r="E1718" s="1658" t="str">
        <f>Translations!$B$744</f>
        <v>Zemākā siltumspēja (attiecīgā gadījumā)</v>
      </c>
      <c r="F1718" s="1658"/>
      <c r="G1718" s="1658"/>
      <c r="H1718" s="551" t="str">
        <f>EUconst_GJpt</f>
        <v>GJ / t</v>
      </c>
      <c r="I1718" s="347"/>
      <c r="J1718" s="347"/>
      <c r="K1718" s="347"/>
      <c r="L1718" s="347"/>
      <c r="M1718" s="347"/>
      <c r="N1718" s="661"/>
      <c r="O1718" s="25"/>
      <c r="P1718" s="955"/>
      <c r="R1718" s="955"/>
      <c r="AA1718" s="361" t="b">
        <f>AA1717</f>
        <v>0</v>
      </c>
    </row>
    <row r="1719" spans="2:27" ht="12.75" customHeight="1" thickBot="1" x14ac:dyDescent="0.25">
      <c r="B1719" s="224"/>
      <c r="C1719" s="977"/>
      <c r="D1719" s="695" t="s">
        <v>439</v>
      </c>
      <c r="E1719" s="1658" t="str">
        <f>Translations!$B$745</f>
        <v>Oglekļa saturs (masas %)</v>
      </c>
      <c r="F1719" s="1658"/>
      <c r="G1719" s="1658"/>
      <c r="H1719" s="552" t="s">
        <v>341</v>
      </c>
      <c r="I1719" s="347"/>
      <c r="J1719" s="347"/>
      <c r="K1719" s="347"/>
      <c r="L1719" s="347"/>
      <c r="M1719" s="347"/>
      <c r="N1719" s="661"/>
      <c r="O1719" s="25"/>
      <c r="P1719" s="955"/>
      <c r="R1719" s="955"/>
      <c r="AA1719" s="361" t="b">
        <f>AA1718</f>
        <v>0</v>
      </c>
    </row>
    <row r="1720" spans="2:27" ht="12.75" customHeight="1" thickBot="1" x14ac:dyDescent="0.25">
      <c r="B1720" s="224"/>
      <c r="C1720" s="977"/>
      <c r="D1720" s="695" t="s">
        <v>440</v>
      </c>
      <c r="E1720" s="1659" t="str">
        <f>Translations!$B$746</f>
        <v>Biomasas saturs (kā oglekļa frakcija)</v>
      </c>
      <c r="F1720" s="1659"/>
      <c r="G1720" s="1659"/>
      <c r="H1720" s="485" t="s">
        <v>341</v>
      </c>
      <c r="I1720" s="345"/>
      <c r="J1720" s="345"/>
      <c r="K1720" s="345"/>
      <c r="L1720" s="345"/>
      <c r="M1720" s="345"/>
      <c r="N1720" s="661"/>
      <c r="O1720" s="25"/>
      <c r="P1720" s="955"/>
      <c r="R1720" s="970"/>
      <c r="S1720" s="809">
        <f>I1716</f>
        <v>2019</v>
      </c>
      <c r="T1720" s="809">
        <f>J1716</f>
        <v>2020</v>
      </c>
      <c r="U1720" s="809">
        <f>K1716</f>
        <v>2021</v>
      </c>
      <c r="V1720" s="809">
        <f>L1716</f>
        <v>2022</v>
      </c>
      <c r="W1720" s="810">
        <f>M1716</f>
        <v>2023</v>
      </c>
      <c r="AA1720" s="186" t="b">
        <f>AA1719</f>
        <v>0</v>
      </c>
    </row>
    <row r="1721" spans="2:27" ht="12.75" customHeight="1" thickBot="1" x14ac:dyDescent="0.25">
      <c r="B1721" s="224"/>
      <c r="C1721" s="977"/>
      <c r="D1721" s="695" t="s">
        <v>441</v>
      </c>
      <c r="E1721" s="1660" t="str">
        <f>Translations!$B$747</f>
        <v>Emisijas (no fosilajiem avotiem, aprēķinātās)</v>
      </c>
      <c r="F1721" s="1660"/>
      <c r="G1721" s="1660"/>
      <c r="H1721" s="553" t="str">
        <f>EUconst_tCO2pa</f>
        <v>t CO2 / gads</v>
      </c>
      <c r="I1721" s="341" t="str">
        <f>IF(AND(COUNT(I1717:I1720)&gt;0,I1724=""),3.664*I1717*(I1719/100)*(1-I1720/100),"")</f>
        <v/>
      </c>
      <c r="J1721" s="341" t="str">
        <f>IF(AND(COUNT(J1717:J1720)&gt;0,J1724=""),3.664*J1717*(J1719/100)*(1-J1720/100),"")</f>
        <v/>
      </c>
      <c r="K1721" s="341" t="str">
        <f>IF(AND(COUNT(K1717:K1720)&gt;0,K1724=""),3.664*K1717*(K1719/100)*(1-K1720/100),"")</f>
        <v/>
      </c>
      <c r="L1721" s="341" t="str">
        <f>IF(AND(COUNT(L1717:L1720)&gt;0,L1724=""),3.664*L1717*(L1719/100)*(1-L1720/100),"")</f>
        <v/>
      </c>
      <c r="M1721" s="341" t="str">
        <f>IF(AND(COUNT(M1717:M1720)&gt;0,M1724=""),3.664*M1717*(M1719/100)*(1-M1720/100),"")</f>
        <v/>
      </c>
      <c r="N1721" s="661"/>
      <c r="O1721" s="25"/>
      <c r="P1721" s="979" t="str">
        <f>EUconst_CNTR_EmissionsIntSource2 &amp; I1638</f>
        <v>EmInternalSource2_</v>
      </c>
      <c r="R1721" s="971" t="str">
        <f>EUconst_CNTR_AttributedEmissions &amp; I1638</f>
        <v>AttrEmissions_</v>
      </c>
      <c r="S1721" s="137" t="str">
        <f>IF(S1638,SUM(I1721),"")</f>
        <v/>
      </c>
      <c r="T1721" s="137" t="str">
        <f>IF(T1638,SUM(J1721),"")</f>
        <v/>
      </c>
      <c r="U1721" s="137" t="str">
        <f>IF(U1638,SUM(K1721),"")</f>
        <v/>
      </c>
      <c r="V1721" s="137" t="str">
        <f>IF(V1638,SUM(L1721),"")</f>
        <v/>
      </c>
      <c r="W1721" s="138" t="str">
        <f>IF(W1638,SUM(M1721),"")</f>
        <v/>
      </c>
    </row>
    <row r="1722" spans="2:27" ht="12.75" customHeight="1" x14ac:dyDescent="0.2">
      <c r="B1722" s="224"/>
      <c r="C1722" s="977"/>
      <c r="D1722" s="695" t="s">
        <v>442</v>
      </c>
      <c r="E1722" s="1661" t="str">
        <f>Translations!$B$1617</f>
        <v>Nulles faktora biomasas emisijas</v>
      </c>
      <c r="F1722" s="1661"/>
      <c r="G1722" s="1661"/>
      <c r="H1722" s="554" t="str">
        <f>EUconst_tCO2pa</f>
        <v>t CO2 / gads</v>
      </c>
      <c r="I1722" s="340" t="str">
        <f>IF(ISNUMBER(I1721),3.664*I1717*(I1719/100)*(I1720/100),"")</f>
        <v/>
      </c>
      <c r="J1722" s="340" t="str">
        <f>IF(ISNUMBER(J1721),3.664*J1717*(J1719/100)*(J1720/100),"")</f>
        <v/>
      </c>
      <c r="K1722" s="340" t="str">
        <f>IF(ISNUMBER(K1721),3.664*K1717*(K1719/100)*(K1720/100),"")</f>
        <v/>
      </c>
      <c r="L1722" s="340" t="str">
        <f>IF(ISNUMBER(L1721),3.664*L1717*(L1719/100)*(L1720/100),"")</f>
        <v/>
      </c>
      <c r="M1722" s="340" t="str">
        <f>IF(ISNUMBER(M1721),3.664*M1717*(M1719/100)*(M1720/100),"")</f>
        <v/>
      </c>
      <c r="N1722" s="661"/>
      <c r="O1722" s="25"/>
      <c r="P1722" s="955"/>
      <c r="R1722" s="955"/>
    </row>
    <row r="1723" spans="2:27" ht="12.75" customHeight="1" x14ac:dyDescent="0.2">
      <c r="B1723" s="224"/>
      <c r="C1723" s="977"/>
      <c r="D1723" s="695" t="s">
        <v>443</v>
      </c>
      <c r="E1723" s="1659" t="str">
        <f>Translations!$B$749</f>
        <v>Enerģētiskais saturs (aprēķinātais)</v>
      </c>
      <c r="F1723" s="1659"/>
      <c r="G1723" s="1659"/>
      <c r="H1723" s="555" t="str">
        <f>EUconst_TJpa</f>
        <v>TJ / gads</v>
      </c>
      <c r="I1723" s="343" t="str">
        <f>IF(COUNT(I1717:I1718)=2,I1717*I1718/1000,"")</f>
        <v/>
      </c>
      <c r="J1723" s="343" t="str">
        <f>IF(COUNT(J1717:J1718)=2,J1717*J1718/1000,"")</f>
        <v/>
      </c>
      <c r="K1723" s="343" t="str">
        <f>IF(COUNT(K1717:K1718)=2,K1717*K1718/1000,"")</f>
        <v/>
      </c>
      <c r="L1723" s="343" t="str">
        <f>IF(COUNT(L1717:L1718)=2,L1717*L1718/1000,"")</f>
        <v/>
      </c>
      <c r="M1723" s="343" t="str">
        <f>IF(COUNT(M1717:M1718)=2,M1717*M1718/1000,"")</f>
        <v/>
      </c>
      <c r="N1723" s="661"/>
      <c r="O1723" s="25"/>
      <c r="P1723" s="955"/>
      <c r="R1723" s="955"/>
    </row>
    <row r="1724" spans="2:27" ht="12.75" customHeight="1" x14ac:dyDescent="0.2">
      <c r="B1724" s="224"/>
      <c r="C1724" s="977"/>
      <c r="D1724" s="695" t="s">
        <v>439</v>
      </c>
      <c r="E1724" s="1662" t="str">
        <f>Translations!$B$750</f>
        <v>Kļūdas ziņojumi (emisijas)</v>
      </c>
      <c r="F1724" s="1662"/>
      <c r="G1724" s="1662"/>
      <c r="H1724" s="556"/>
      <c r="I1724" s="662" t="str">
        <f>IF(COUNT(I1717,I1719:I1720)&gt;0,IF(COUNTIF(I1718:I1720,"&lt;0")&gt;0,EUconst_Negative,IF(COUNT(I1717,I1719:I1720)&lt;3,EUconst_Incomplete,"")),"")</f>
        <v/>
      </c>
      <c r="J1724" s="662" t="str">
        <f>IF(COUNT(J1717,J1719:J1720)&gt;0,IF(COUNTIF(J1718:J1720,"&lt;0")&gt;0,EUconst_Negative,IF(COUNT(J1717,J1719:J1720)&lt;3,EUconst_Incomplete,"")),"")</f>
        <v/>
      </c>
      <c r="K1724" s="662" t="str">
        <f>IF(COUNT(K1717,K1719:K1720)&gt;0,IF(COUNTIF(K1718:K1720,"&lt;0")&gt;0,EUconst_Negative,IF(COUNT(K1717,K1719:K1720)&lt;3,EUconst_Incomplete,"")),"")</f>
        <v/>
      </c>
      <c r="L1724" s="662" t="str">
        <f>IF(COUNT(L1717,L1719:L1720)&gt;0,IF(COUNTIF(L1718:L1720,"&lt;0")&gt;0,EUconst_Negative,IF(COUNT(L1717,L1719:L1720)&lt;3,EUconst_Incomplete,"")),"")</f>
        <v/>
      </c>
      <c r="M1724" s="662" t="str">
        <f>IF(COUNT(M1717,M1719:M1720)&gt;0,IF(COUNTIF(M1718:M1720,"&lt;0")&gt;0,EUconst_Negative,IF(COUNT(M1717,M1719:M1720)&lt;3,EUconst_Incomplete,"")),"")</f>
        <v/>
      </c>
      <c r="N1724" s="661"/>
      <c r="O1724" s="25"/>
      <c r="P1724" s="955"/>
      <c r="R1724" s="955"/>
    </row>
    <row r="1725" spans="2:27" ht="5.0999999999999996" customHeight="1" x14ac:dyDescent="0.2">
      <c r="B1725" s="224"/>
      <c r="C1725" s="977"/>
      <c r="D1725" s="978"/>
      <c r="E1725" s="978"/>
      <c r="F1725" s="978"/>
      <c r="G1725" s="978"/>
      <c r="H1725" s="978"/>
      <c r="I1725" s="978"/>
      <c r="J1725" s="978"/>
      <c r="K1725" s="978"/>
      <c r="L1725" s="978"/>
      <c r="M1725" s="980"/>
      <c r="N1725" s="661"/>
      <c r="O1725" s="25"/>
      <c r="P1725" s="955"/>
      <c r="R1725" s="955"/>
    </row>
    <row r="1726" spans="2:27" ht="12.75" customHeight="1" thickBot="1" x14ac:dyDescent="0.25">
      <c r="B1726" s="224"/>
      <c r="C1726" s="977"/>
      <c r="D1726" s="474" t="s">
        <v>211</v>
      </c>
      <c r="E1726" s="1654" t="str">
        <f>Translations!$B$753</f>
        <v>To SEG daudzums, kas importētas vai eksportētas kā ievadmateriāli</v>
      </c>
      <c r="F1726" s="1655"/>
      <c r="G1726" s="1655"/>
      <c r="H1726" s="1655"/>
      <c r="I1726" s="1655"/>
      <c r="J1726" s="1655"/>
      <c r="K1726" s="1655"/>
      <c r="L1726" s="1655"/>
      <c r="M1726" s="1655"/>
      <c r="N1726" s="1656"/>
      <c r="O1726" s="25"/>
      <c r="P1726" s="955"/>
      <c r="R1726" s="955"/>
    </row>
    <row r="1727" spans="2:27" ht="12.75" customHeight="1" x14ac:dyDescent="0.2">
      <c r="B1727" s="224"/>
      <c r="C1727" s="977"/>
      <c r="D1727" s="474"/>
      <c r="E1727" s="1653"/>
      <c r="F1727" s="1657"/>
      <c r="G1727" s="1657"/>
      <c r="H1727" s="462" t="str">
        <f>EUconst_Unit</f>
        <v>Vienība</v>
      </c>
      <c r="I1727" s="463">
        <f>I$1820</f>
        <v>2019</v>
      </c>
      <c r="J1727" s="463">
        <f>J$1820</f>
        <v>2020</v>
      </c>
      <c r="K1727" s="463">
        <f>K$1820</f>
        <v>2021</v>
      </c>
      <c r="L1727" s="463">
        <f>L$1820</f>
        <v>2022</v>
      </c>
      <c r="M1727" s="463">
        <f>M$1820</f>
        <v>2023</v>
      </c>
      <c r="N1727" s="661"/>
      <c r="O1727" s="25"/>
      <c r="P1727" s="955"/>
      <c r="R1727" s="970"/>
      <c r="S1727" s="809">
        <f>I1727</f>
        <v>2019</v>
      </c>
      <c r="T1727" s="809">
        <f>J1727</f>
        <v>2020</v>
      </c>
      <c r="U1727" s="809">
        <f>K1727</f>
        <v>2021</v>
      </c>
      <c r="V1727" s="809">
        <f>L1727</f>
        <v>2022</v>
      </c>
      <c r="W1727" s="810">
        <f>M1727</f>
        <v>2023</v>
      </c>
    </row>
    <row r="1728" spans="2:27" ht="12.75" customHeight="1" thickBot="1" x14ac:dyDescent="0.25">
      <c r="B1728" s="224"/>
      <c r="C1728" s="977"/>
      <c r="D1728" s="695"/>
      <c r="E1728" s="1651" t="str">
        <f>Translations!$B$756</f>
        <v>Importētās vai eksportētās SEG</v>
      </c>
      <c r="F1728" s="1652"/>
      <c r="G1728" s="1652"/>
      <c r="H1728" s="465" t="str">
        <f>EUconst_tCO2epa</f>
        <v>t CO2e/gads</v>
      </c>
      <c r="I1728" s="483"/>
      <c r="J1728" s="483"/>
      <c r="K1728" s="483"/>
      <c r="L1728" s="483"/>
      <c r="M1728" s="483"/>
      <c r="N1728" s="1205"/>
      <c r="O1728" s="25"/>
      <c r="P1728" s="979" t="str">
        <f>EUconst_CNTR_CO2Feedstock &amp; I1638</f>
        <v>EmCO2Feedstock_</v>
      </c>
      <c r="R1728" s="971" t="str">
        <f>EUconst_CNTR_AttributedEmissions &amp; I1638</f>
        <v>AttrEmissions_</v>
      </c>
      <c r="S1728" s="137" t="str">
        <f>IF(S1638,SUM(I1728),"")</f>
        <v/>
      </c>
      <c r="T1728" s="137" t="str">
        <f>IF(T1638,SUM(J1728),"")</f>
        <v/>
      </c>
      <c r="U1728" s="137" t="str">
        <f>IF(U1638,SUM(K1728),"")</f>
        <v/>
      </c>
      <c r="V1728" s="137" t="str">
        <f>IF(V1638,SUM(L1728),"")</f>
        <v/>
      </c>
      <c r="W1728" s="138" t="str">
        <f>IF(W1638,SUM(M1728),"")</f>
        <v/>
      </c>
    </row>
    <row r="1729" spans="2:24" ht="5.0999999999999996" customHeight="1" x14ac:dyDescent="0.2">
      <c r="B1729" s="224"/>
      <c r="C1729" s="977"/>
      <c r="D1729" s="978"/>
      <c r="E1729" s="978"/>
      <c r="F1729" s="978"/>
      <c r="G1729" s="978"/>
      <c r="H1729" s="978"/>
      <c r="I1729" s="978"/>
      <c r="J1729" s="978"/>
      <c r="K1729" s="978"/>
      <c r="L1729" s="978"/>
      <c r="M1729" s="980"/>
      <c r="N1729" s="661"/>
      <c r="O1729" s="25"/>
      <c r="P1729" s="955"/>
      <c r="R1729" s="955"/>
    </row>
    <row r="1730" spans="2:24" ht="12.75" customHeight="1" x14ac:dyDescent="0.2">
      <c r="B1730" s="224"/>
      <c r="C1730" s="977"/>
      <c r="D1730" s="474" t="s">
        <v>212</v>
      </c>
      <c r="E1730" s="1654" t="str">
        <f>Translations!$B$757</f>
        <v>Šajā apakšiekārtā importētais un no tās eksportētais izmērāmais siltums</v>
      </c>
      <c r="F1730" s="1655"/>
      <c r="G1730" s="1655"/>
      <c r="H1730" s="1655"/>
      <c r="I1730" s="1655"/>
      <c r="J1730" s="1655"/>
      <c r="K1730" s="1655"/>
      <c r="L1730" s="1655"/>
      <c r="M1730" s="1655"/>
      <c r="N1730" s="1656"/>
      <c r="O1730" s="25"/>
      <c r="P1730" s="955"/>
      <c r="R1730" s="955"/>
    </row>
    <row r="1731" spans="2:24" ht="12.75" customHeight="1" thickBot="1" x14ac:dyDescent="0.25">
      <c r="B1731" s="224"/>
      <c r="C1731" s="977"/>
      <c r="D1731" s="978"/>
      <c r="E1731" s="1628" t="str">
        <f>Translations!$B$762</f>
        <v>Lai uz siltuma ražošanu attiecinātu emisijas no koģenerācijas, jāizmanto koģenerācijas rīks šīs veidnes D. lapas III .sadaļā.</v>
      </c>
      <c r="F1731" s="1628"/>
      <c r="G1731" s="1628"/>
      <c r="H1731" s="1628"/>
      <c r="I1731" s="1628"/>
      <c r="J1731" s="1628"/>
      <c r="K1731" s="1628"/>
      <c r="L1731" s="1628"/>
      <c r="M1731" s="1628"/>
      <c r="N1731" s="1205"/>
      <c r="O1731" s="25"/>
      <c r="P1731" s="955"/>
    </row>
    <row r="1732" spans="2:24" ht="12.75" customHeight="1" x14ac:dyDescent="0.2">
      <c r="B1732" s="224"/>
      <c r="C1732" s="977"/>
      <c r="D1732" s="978"/>
      <c r="E1732" s="1653" t="str">
        <f>Translations!$B$763</f>
        <v>Kopējais importētais siltums</v>
      </c>
      <c r="F1732" s="1657"/>
      <c r="G1732" s="1657"/>
      <c r="H1732" s="462" t="str">
        <f>EUconst_Unit</f>
        <v>Vienība</v>
      </c>
      <c r="I1732" s="463">
        <f>I$1820</f>
        <v>2019</v>
      </c>
      <c r="J1732" s="463">
        <f>J$1820</f>
        <v>2020</v>
      </c>
      <c r="K1732" s="463">
        <f>K$1820</f>
        <v>2021</v>
      </c>
      <c r="L1732" s="463">
        <f>L$1820</f>
        <v>2022</v>
      </c>
      <c r="M1732" s="463">
        <f>M$1820</f>
        <v>2023</v>
      </c>
      <c r="N1732" s="1205"/>
      <c r="O1732" s="25"/>
      <c r="P1732" s="955"/>
      <c r="R1732" s="970"/>
      <c r="S1732" s="809">
        <f>I1732</f>
        <v>2019</v>
      </c>
      <c r="T1732" s="809">
        <f>J1732</f>
        <v>2020</v>
      </c>
      <c r="U1732" s="809">
        <f>K1732</f>
        <v>2021</v>
      </c>
      <c r="V1732" s="809">
        <f>L1732</f>
        <v>2022</v>
      </c>
      <c r="W1732" s="810">
        <f>M1732</f>
        <v>2023</v>
      </c>
    </row>
    <row r="1733" spans="2:24" ht="12.75" customHeight="1" x14ac:dyDescent="0.2">
      <c r="B1733" s="224"/>
      <c r="C1733" s="977"/>
      <c r="D1733" s="695" t="s">
        <v>2</v>
      </c>
      <c r="E1733" s="1651" t="str">
        <f>Translations!$B$764</f>
        <v>Neto importētais siltums</v>
      </c>
      <c r="F1733" s="1652"/>
      <c r="G1733" s="1652"/>
      <c r="H1733" s="465" t="str">
        <f>EUconst_TJpa</f>
        <v>TJ / gads</v>
      </c>
      <c r="I1733" s="483"/>
      <c r="J1733" s="483"/>
      <c r="K1733" s="483"/>
      <c r="L1733" s="483"/>
      <c r="M1733" s="483"/>
      <c r="N1733" s="698"/>
      <c r="O1733" s="25"/>
      <c r="P1733" s="979" t="str">
        <f>EUconst_CNTR_HeatImport &amp; I1638</f>
        <v>HeatIm_</v>
      </c>
      <c r="R1733" s="981" t="str">
        <f>EUconst_ERR_AttrEmBMapplied &amp; I1638</f>
        <v>ERR_AttrEmBM_ </v>
      </c>
      <c r="S1733" s="134">
        <f>IF(AND(I1733&lt;&gt;0,I1734="",EUconst_StatusOfDataCollection=""),1,0)</f>
        <v>0</v>
      </c>
      <c r="T1733" s="134">
        <f>IF(AND(J1733&lt;&gt;0,J1734="",EUconst_StatusOfDataCollection=""),1,0)</f>
        <v>0</v>
      </c>
      <c r="U1733" s="134">
        <f>IF(AND(K1733&lt;&gt;0,K1734="",EUconst_StatusOfDataCollection=""),1,0)</f>
        <v>0</v>
      </c>
      <c r="V1733" s="134">
        <f>IF(AND(L1733&lt;&gt;0,L1734="",EUconst_StatusOfDataCollection=""),1,0)</f>
        <v>0</v>
      </c>
      <c r="W1733" s="135">
        <f>IF(AND(M1733&lt;&gt;0,M1734="",EUconst_StatusOfDataCollection=""),1,0)</f>
        <v>0</v>
      </c>
      <c r="X1733" s="63"/>
    </row>
    <row r="1734" spans="2:24" ht="12.75" customHeight="1" thickBot="1" x14ac:dyDescent="0.25">
      <c r="B1734" s="224"/>
      <c r="C1734" s="977"/>
      <c r="D1734" s="695" t="s">
        <v>3</v>
      </c>
      <c r="E1734" s="1651" t="str">
        <f>Translations!$B$765</f>
        <v>Īpatnējais EF (importētais siltums)</v>
      </c>
      <c r="F1734" s="1652"/>
      <c r="G1734" s="1652"/>
      <c r="H1734" s="465" t="str">
        <f>EUconst_tCO2pTJ</f>
        <v>t CO2 / TJ</v>
      </c>
      <c r="I1734" s="760"/>
      <c r="J1734" s="760"/>
      <c r="K1734" s="760"/>
      <c r="L1734" s="760"/>
      <c r="M1734" s="760"/>
      <c r="N1734" s="661"/>
      <c r="O1734" s="25"/>
      <c r="P1734" s="979" t="str">
        <f>EUconst_CNTR_HeatImportEF &amp; I1638</f>
        <v>HeatImEF_</v>
      </c>
      <c r="R1734" s="971" t="str">
        <f>EUconst_CNTR_AttributedEmissions &amp; I1638</f>
        <v>AttrEmissions_</v>
      </c>
      <c r="S1734" s="137" t="str">
        <f>IF(S1638,SUM(I1733)*IF(ISNUMBER(I1734),I1734,EUconst_HeatBMvalueForBM),"")</f>
        <v/>
      </c>
      <c r="T1734" s="137" t="str">
        <f>IF(T1638,SUM(J1733)*IF(ISNUMBER(J1734),J1734,EUconst_HeatBMvalueForBM),"")</f>
        <v/>
      </c>
      <c r="U1734" s="137" t="str">
        <f>IF(U1638,SUM(K1733)*IF(ISNUMBER(K1734),K1734,EUconst_HeatBMvalueForBM),"")</f>
        <v/>
      </c>
      <c r="V1734" s="137" t="str">
        <f>IF(V1638,SUM(L1733)*IF(ISNUMBER(L1734),L1734,EUconst_HeatBMvalueForBM),"")</f>
        <v/>
      </c>
      <c r="W1734" s="138" t="str">
        <f>IF(W1638,SUM(M1733)*IF(ISNUMBER(M1734),M1734,EUconst_HeatBMvalueForBM),"")</f>
        <v/>
      </c>
    </row>
    <row r="1735" spans="2:24" ht="5.0999999999999996" customHeight="1" x14ac:dyDescent="0.2">
      <c r="B1735" s="224"/>
      <c r="C1735" s="977"/>
      <c r="D1735" s="978"/>
      <c r="E1735" s="978"/>
      <c r="F1735" s="978"/>
      <c r="G1735" s="978"/>
      <c r="H1735" s="978"/>
      <c r="I1735" s="978"/>
      <c r="J1735" s="978"/>
      <c r="K1735" s="978"/>
      <c r="L1735" s="978"/>
      <c r="M1735" s="980"/>
      <c r="N1735" s="661"/>
      <c r="O1735" s="25"/>
      <c r="P1735" s="955"/>
      <c r="R1735" s="955"/>
      <c r="S1735" s="955"/>
    </row>
    <row r="1736" spans="2:24" ht="12.75" customHeight="1" x14ac:dyDescent="0.2">
      <c r="B1736" s="224"/>
      <c r="C1736" s="977"/>
      <c r="D1736" s="978"/>
      <c r="E1736" s="1653" t="str">
        <f>Translations!$B$766</f>
        <v>Īpašs importētais siltums</v>
      </c>
      <c r="F1736" s="1653"/>
      <c r="G1736" s="1653"/>
      <c r="H1736" s="462" t="str">
        <f>EUconst_Unit</f>
        <v>Vienība</v>
      </c>
      <c r="I1736" s="463">
        <f>I$1820</f>
        <v>2019</v>
      </c>
      <c r="J1736" s="463">
        <f>J$1820</f>
        <v>2020</v>
      </c>
      <c r="K1736" s="463">
        <f>K$1820</f>
        <v>2021</v>
      </c>
      <c r="L1736" s="463">
        <f>L$1820</f>
        <v>2022</v>
      </c>
      <c r="M1736" s="463">
        <f>M$1820</f>
        <v>2023</v>
      </c>
      <c r="N1736" s="1205"/>
      <c r="O1736" s="25"/>
      <c r="P1736" s="955"/>
      <c r="R1736" s="955"/>
      <c r="S1736" s="955"/>
    </row>
    <row r="1737" spans="2:24" ht="12.75" customHeight="1" x14ac:dyDescent="0.2">
      <c r="B1737" s="224"/>
      <c r="C1737" s="977"/>
      <c r="D1737" s="695" t="s">
        <v>4</v>
      </c>
      <c r="E1737" s="1651" t="str">
        <f>Translations!$B$767</f>
        <v>No pulpas apakšiekārtām importētais neto siltums</v>
      </c>
      <c r="F1737" s="1652"/>
      <c r="G1737" s="1652"/>
      <c r="H1737" s="465" t="str">
        <f>EUconst_TJpa</f>
        <v>TJ / gads</v>
      </c>
      <c r="I1737" s="550"/>
      <c r="J1737" s="550"/>
      <c r="K1737" s="550"/>
      <c r="L1737" s="550"/>
      <c r="M1737" s="550"/>
      <c r="N1737" s="698"/>
      <c r="O1737" s="25"/>
      <c r="P1737" s="979" t="str">
        <f>EUconst_CNTR_HeatImportPulp &amp; I1638</f>
        <v>HeatImPulp_</v>
      </c>
      <c r="R1737" s="955"/>
      <c r="S1737" s="955"/>
    </row>
    <row r="1738" spans="2:24" ht="25.5" customHeight="1" x14ac:dyDescent="0.2">
      <c r="B1738" s="224"/>
      <c r="C1738" s="977"/>
      <c r="D1738" s="695" t="s">
        <v>6</v>
      </c>
      <c r="E1738" s="1651" t="str">
        <f>Translations!$B$768</f>
        <v>No slāpekļskābes apakšiekārtas importētais neto siltums</v>
      </c>
      <c r="F1738" s="1652"/>
      <c r="G1738" s="1652"/>
      <c r="H1738" s="465" t="str">
        <f>EUconst_TJpa</f>
        <v>TJ / gads</v>
      </c>
      <c r="I1738" s="483"/>
      <c r="J1738" s="483"/>
      <c r="K1738" s="483"/>
      <c r="L1738" s="483"/>
      <c r="M1738" s="483"/>
      <c r="N1738" s="698"/>
      <c r="O1738" s="25"/>
      <c r="P1738" s="979" t="str">
        <f>EUconst_CNTR_HeatImportNitric &amp; I1638</f>
        <v>HeatImNitric_</v>
      </c>
      <c r="R1738" s="955"/>
      <c r="S1738" s="955"/>
    </row>
    <row r="1739" spans="2:24" ht="5.0999999999999996" customHeight="1" thickBot="1" x14ac:dyDescent="0.25">
      <c r="B1739" s="224"/>
      <c r="C1739" s="977"/>
      <c r="D1739" s="978"/>
      <c r="E1739" s="978"/>
      <c r="F1739" s="978"/>
      <c r="G1739" s="978"/>
      <c r="H1739" s="978"/>
      <c r="I1739" s="978"/>
      <c r="J1739" s="978"/>
      <c r="K1739" s="978"/>
      <c r="L1739" s="978"/>
      <c r="M1739" s="980"/>
      <c r="N1739" s="661"/>
      <c r="O1739" s="25"/>
      <c r="P1739" s="955"/>
      <c r="R1739" s="955"/>
      <c r="S1739" s="955"/>
    </row>
    <row r="1740" spans="2:24" ht="12.75" customHeight="1" x14ac:dyDescent="0.2">
      <c r="B1740" s="224"/>
      <c r="C1740" s="977"/>
      <c r="D1740" s="978"/>
      <c r="E1740" s="1653" t="str">
        <f>Translations!$B$769</f>
        <v>Kopējais eksportētais siltums</v>
      </c>
      <c r="F1740" s="1653"/>
      <c r="G1740" s="1653"/>
      <c r="H1740" s="462" t="str">
        <f>EUconst_Unit</f>
        <v>Vienība</v>
      </c>
      <c r="I1740" s="463">
        <f>I$1820</f>
        <v>2019</v>
      </c>
      <c r="J1740" s="463">
        <f>J$1820</f>
        <v>2020</v>
      </c>
      <c r="K1740" s="463">
        <f>K$1820</f>
        <v>2021</v>
      </c>
      <c r="L1740" s="463">
        <f>L$1820</f>
        <v>2022</v>
      </c>
      <c r="M1740" s="463">
        <f>M$1820</f>
        <v>2023</v>
      </c>
      <c r="N1740" s="1205"/>
      <c r="O1740" s="25"/>
      <c r="P1740" s="955"/>
      <c r="R1740" s="970"/>
      <c r="S1740" s="809">
        <f>I1740</f>
        <v>2019</v>
      </c>
      <c r="T1740" s="809">
        <f>J1740</f>
        <v>2020</v>
      </c>
      <c r="U1740" s="809">
        <f>K1740</f>
        <v>2021</v>
      </c>
      <c r="V1740" s="809">
        <f>L1740</f>
        <v>2022</v>
      </c>
      <c r="W1740" s="810">
        <f>M1740</f>
        <v>2023</v>
      </c>
    </row>
    <row r="1741" spans="2:24" ht="12.75" customHeight="1" x14ac:dyDescent="0.2">
      <c r="B1741" s="224"/>
      <c r="C1741" s="977"/>
      <c r="D1741" s="695" t="s">
        <v>303</v>
      </c>
      <c r="E1741" s="1651" t="str">
        <f>Translations!$B$770</f>
        <v>Neto eksportētais siltums</v>
      </c>
      <c r="F1741" s="1652"/>
      <c r="G1741" s="1652"/>
      <c r="H1741" s="465" t="str">
        <f>EUconst_TJpa</f>
        <v>TJ / gads</v>
      </c>
      <c r="I1741" s="483"/>
      <c r="J1741" s="483"/>
      <c r="K1741" s="483"/>
      <c r="L1741" s="483"/>
      <c r="M1741" s="483"/>
      <c r="N1741" s="698"/>
      <c r="O1741" s="25"/>
      <c r="P1741" s="979" t="str">
        <f>EUconst_CNTR_HeatExport &amp; I1638</f>
        <v>HeatEx_</v>
      </c>
      <c r="R1741" s="981" t="str">
        <f>EUconst_ERR_AttrEmBMapplied &amp; I1638</f>
        <v>ERR_AttrEmBM_ </v>
      </c>
      <c r="S1741" s="134">
        <f>IF(AND(I1741&lt;&gt;0,I1742="",EUconst_StatusOfDataCollection=""),1,0)</f>
        <v>0</v>
      </c>
      <c r="T1741" s="134">
        <f>IF(AND(J1741&lt;&gt;0,J1742="",EUconst_StatusOfDataCollection=""),1,0)</f>
        <v>0</v>
      </c>
      <c r="U1741" s="134">
        <f>IF(AND(K1741&lt;&gt;0,K1742="",EUconst_StatusOfDataCollection=""),1,0)</f>
        <v>0</v>
      </c>
      <c r="V1741" s="134">
        <f>IF(AND(L1741&lt;&gt;0,L1742="",EUconst_StatusOfDataCollection=""),1,0)</f>
        <v>0</v>
      </c>
      <c r="W1741" s="135">
        <f>IF(AND(M1741&lt;&gt;0,M1742="",EUconst_StatusOfDataCollection=""),1,0)</f>
        <v>0</v>
      </c>
    </row>
    <row r="1742" spans="2:24" ht="12.75" customHeight="1" thickBot="1" x14ac:dyDescent="0.25">
      <c r="B1742" s="224"/>
      <c r="C1742" s="977"/>
      <c r="D1742" s="695" t="s">
        <v>304</v>
      </c>
      <c r="E1742" s="1651" t="str">
        <f>Translations!$B$771</f>
        <v>Īpatnējais EF (eksportētais siltums)</v>
      </c>
      <c r="F1742" s="1652"/>
      <c r="G1742" s="1652"/>
      <c r="H1742" s="465" t="str">
        <f>EUconst_tCO2pTJ</f>
        <v>t CO2 / TJ</v>
      </c>
      <c r="I1742" s="760"/>
      <c r="J1742" s="760"/>
      <c r="K1742" s="760"/>
      <c r="L1742" s="760"/>
      <c r="M1742" s="760"/>
      <c r="N1742" s="661"/>
      <c r="O1742" s="25"/>
      <c r="P1742" s="979" t="str">
        <f>EUconst_CNTR_HeatExportEF &amp; I1638</f>
        <v>HeatExEF_</v>
      </c>
      <c r="R1742" s="971" t="str">
        <f>EUconst_CNTR_AttributedEmissions &amp; I1638</f>
        <v>AttrEmissions_</v>
      </c>
      <c r="S1742" s="137" t="str">
        <f>IF(S1638,-SUM(I1741)*IF(INDEX(EUconst_BMlistMainNumberOfBM,MATCH($I1638,EUconst_BMlistNames,0))=39,0,IF(ISNUMBER(I1742),I1742,EUconst_HeatBMvalueForBM)),"")</f>
        <v/>
      </c>
      <c r="T1742" s="137" t="str">
        <f>IF(T1638,-SUM(J1741)*IF(INDEX(EUconst_BMlistMainNumberOfBM,MATCH($I1638,EUconst_BMlistNames,0))=39,0,IF(ISNUMBER(J1742),J1742,EUconst_HeatBMvalueForBM)),"")</f>
        <v/>
      </c>
      <c r="U1742" s="137" t="str">
        <f>IF(U1638,-SUM(K1741)*IF(INDEX(EUconst_BMlistMainNumberOfBM,MATCH($I1638,EUconst_BMlistNames,0))=39,0,IF(ISNUMBER(K1742),K1742,EUconst_HeatBMvalueForBM)),"")</f>
        <v/>
      </c>
      <c r="V1742" s="137" t="str">
        <f>IF(V1638,-SUM(L1741)*IF(INDEX(EUconst_BMlistMainNumberOfBM,MATCH($I1638,EUconst_BMlistNames,0))=39,0,IF(ISNUMBER(L1742),L1742,EUconst_HeatBMvalueForBM)),"")</f>
        <v/>
      </c>
      <c r="W1742" s="138" t="str">
        <f>IF(W1638,-SUM(M1741)*IF(INDEX(EUconst_BMlistMainNumberOfBM,MATCH($I1638,EUconst_BMlistNames,0))=39,0,IF(ISNUMBER(M1742),M1742,EUconst_HeatBMvalueForBM)),"")</f>
        <v/>
      </c>
    </row>
    <row r="1743" spans="2:24" ht="5.0999999999999996" customHeight="1" x14ac:dyDescent="0.2">
      <c r="B1743" s="224"/>
      <c r="C1743" s="977"/>
      <c r="D1743" s="978"/>
      <c r="E1743" s="978"/>
      <c r="F1743" s="978"/>
      <c r="G1743" s="978"/>
      <c r="H1743" s="978"/>
      <c r="I1743" s="978"/>
      <c r="J1743" s="978"/>
      <c r="K1743" s="978"/>
      <c r="L1743" s="978"/>
      <c r="M1743" s="980"/>
      <c r="N1743" s="661"/>
      <c r="O1743" s="25"/>
      <c r="P1743" s="955"/>
      <c r="R1743" s="955"/>
      <c r="S1743" s="955"/>
    </row>
    <row r="1744" spans="2:24" ht="12.75" customHeight="1" x14ac:dyDescent="0.2">
      <c r="B1744" s="224"/>
      <c r="C1744" s="977"/>
      <c r="D1744" s="474" t="s">
        <v>213</v>
      </c>
      <c r="E1744" s="1654" t="str">
        <f>Translations!$B$772</f>
        <v>Šīs apakšiekārtas atlikumgāzu bilance</v>
      </c>
      <c r="F1744" s="1655"/>
      <c r="G1744" s="1655"/>
      <c r="H1744" s="1655"/>
      <c r="I1744" s="1655"/>
      <c r="J1744" s="1655"/>
      <c r="K1744" s="1655"/>
      <c r="L1744" s="1655"/>
      <c r="M1744" s="1655"/>
      <c r="N1744" s="1656"/>
      <c r="O1744" s="25"/>
      <c r="P1744" s="955"/>
      <c r="R1744" s="955"/>
      <c r="S1744" s="955"/>
    </row>
    <row r="1745" spans="2:27" ht="5.0999999999999996" customHeight="1" thickBot="1" x14ac:dyDescent="0.25">
      <c r="B1745" s="224"/>
      <c r="C1745" s="977"/>
      <c r="D1745" s="978"/>
      <c r="E1745" s="1727"/>
      <c r="F1745" s="1727"/>
      <c r="G1745" s="1727"/>
      <c r="H1745" s="1727"/>
      <c r="I1745" s="1727"/>
      <c r="J1745" s="1727"/>
      <c r="K1745" s="1727"/>
      <c r="L1745" s="1727"/>
      <c r="M1745" s="1727"/>
      <c r="N1745" s="1734"/>
      <c r="O1745" s="25"/>
      <c r="P1745" s="955"/>
      <c r="R1745" s="955"/>
      <c r="S1745" s="955"/>
    </row>
    <row r="1746" spans="2:27" ht="12.75" customHeight="1" thickBot="1" x14ac:dyDescent="0.25">
      <c r="B1746" s="224"/>
      <c r="C1746" s="977"/>
      <c r="D1746" s="695" t="s">
        <v>2</v>
      </c>
      <c r="E1746" s="1735" t="str">
        <f>Translations!$B$773</f>
        <v>Vai atlikumgāzes ir šai apakšiekārtai relevantas?</v>
      </c>
      <c r="F1746" s="1735"/>
      <c r="G1746" s="1735"/>
      <c r="H1746" s="1735"/>
      <c r="I1746" s="1735"/>
      <c r="J1746" s="1735"/>
      <c r="K1746" s="1736"/>
      <c r="L1746" s="527"/>
      <c r="M1746" s="1202"/>
      <c r="N1746" s="1203"/>
      <c r="O1746" s="25"/>
      <c r="P1746" s="955"/>
      <c r="R1746" s="955"/>
      <c r="W1746" s="966" t="s">
        <v>398</v>
      </c>
      <c r="X1746" s="964" t="b">
        <f>IF(AND(I1638&lt;&gt;"",ISBLANK(L1746)),EUconst_Error&amp;"BM"&amp;C1638,FALSE)</f>
        <v>0</v>
      </c>
    </row>
    <row r="1747" spans="2:27" ht="5.0999999999999996" customHeight="1" thickBot="1" x14ac:dyDescent="0.25">
      <c r="B1747" s="224"/>
      <c r="C1747" s="977"/>
      <c r="D1747" s="978"/>
      <c r="E1747" s="978"/>
      <c r="F1747" s="978"/>
      <c r="G1747" s="978"/>
      <c r="H1747" s="978"/>
      <c r="I1747" s="978"/>
      <c r="J1747" s="978"/>
      <c r="K1747" s="978"/>
      <c r="L1747" s="978"/>
      <c r="M1747" s="980"/>
      <c r="N1747" s="661"/>
      <c r="O1747" s="25"/>
      <c r="P1747" s="955"/>
      <c r="R1747" s="955"/>
    </row>
    <row r="1748" spans="2:27" ht="12.75" customHeight="1" x14ac:dyDescent="0.2">
      <c r="B1748" s="224"/>
      <c r="C1748" s="977"/>
      <c r="D1748" s="695" t="s">
        <v>3</v>
      </c>
      <c r="E1748" s="1663" t="str">
        <f>Translations!$B$775</f>
        <v>Radušos atlikumgāzu veidi:</v>
      </c>
      <c r="F1748" s="1663"/>
      <c r="G1748" s="1663"/>
      <c r="H1748" s="1663"/>
      <c r="I1748" s="1664"/>
      <c r="J1748" s="1665"/>
      <c r="K1748" s="1665"/>
      <c r="L1748" s="1665"/>
      <c r="M1748" s="1666"/>
      <c r="N1748" s="1203"/>
      <c r="O1748" s="25"/>
      <c r="P1748" s="955"/>
      <c r="R1748" s="955"/>
      <c r="AA1748" s="643" t="b">
        <f>IF(I1638&lt;&gt;"",AND(L1746&lt;&gt;"",L1746=FALSE),FALSE)</f>
        <v>0</v>
      </c>
    </row>
    <row r="1749" spans="2:27" ht="5.0999999999999996" customHeight="1" x14ac:dyDescent="0.2">
      <c r="B1749" s="224"/>
      <c r="C1749" s="977"/>
      <c r="D1749" s="978"/>
      <c r="E1749" s="978"/>
      <c r="F1749" s="978"/>
      <c r="G1749" s="978"/>
      <c r="H1749" s="978"/>
      <c r="I1749" s="978"/>
      <c r="J1749" s="978"/>
      <c r="K1749" s="978"/>
      <c r="L1749" s="978"/>
      <c r="M1749" s="980"/>
      <c r="N1749" s="661"/>
      <c r="O1749" s="25"/>
      <c r="P1749" s="955"/>
      <c r="R1749" s="955"/>
    </row>
    <row r="1750" spans="2:27" ht="12.75" customHeight="1" x14ac:dyDescent="0.2">
      <c r="B1750" s="224"/>
      <c r="C1750" s="977"/>
      <c r="D1750" s="978"/>
      <c r="E1750" s="1653"/>
      <c r="F1750" s="1657"/>
      <c r="G1750" s="1657"/>
      <c r="H1750" s="462" t="str">
        <f>EUconst_Unit</f>
        <v>Vienība</v>
      </c>
      <c r="I1750" s="463">
        <f>I$1820</f>
        <v>2019</v>
      </c>
      <c r="J1750" s="463">
        <f>J$1820</f>
        <v>2020</v>
      </c>
      <c r="K1750" s="463">
        <f>K$1820</f>
        <v>2021</v>
      </c>
      <c r="L1750" s="463">
        <f>L$1820</f>
        <v>2022</v>
      </c>
      <c r="M1750" s="463">
        <f>M$1820</f>
        <v>2023</v>
      </c>
      <c r="N1750" s="1205"/>
      <c r="O1750" s="25"/>
      <c r="P1750" s="955"/>
      <c r="R1750" s="955"/>
      <c r="S1750" s="955"/>
      <c r="AA1750" s="607"/>
    </row>
    <row r="1751" spans="2:27" ht="12.75" customHeight="1" x14ac:dyDescent="0.2">
      <c r="B1751" s="224"/>
      <c r="C1751" s="977"/>
      <c r="D1751" s="695" t="s">
        <v>4</v>
      </c>
      <c r="E1751" s="1667" t="str">
        <f>Translations!$B$777</f>
        <v>Radušies daudzumi</v>
      </c>
      <c r="F1751" s="1660"/>
      <c r="G1751" s="1660"/>
      <c r="H1751" s="245" t="s">
        <v>249</v>
      </c>
      <c r="I1751" s="484"/>
      <c r="J1751" s="484"/>
      <c r="K1751" s="484"/>
      <c r="L1751" s="484"/>
      <c r="M1751" s="484"/>
      <c r="N1751" s="1205"/>
      <c r="O1751" s="25"/>
      <c r="P1751" s="955"/>
      <c r="R1751" s="955"/>
      <c r="S1751" s="955"/>
      <c r="AA1751" s="361" t="b">
        <f>AA1748</f>
        <v>0</v>
      </c>
    </row>
    <row r="1752" spans="2:27" ht="12.75" customHeight="1" x14ac:dyDescent="0.2">
      <c r="B1752" s="224"/>
      <c r="C1752" s="977"/>
      <c r="D1752" s="695" t="s">
        <v>6</v>
      </c>
      <c r="E1752" s="1737" t="str">
        <f>Translations!$B$470</f>
        <v>Zemākā siltumspēja</v>
      </c>
      <c r="F1752" s="1659"/>
      <c r="G1752" s="1659"/>
      <c r="H1752" s="74" t="e">
        <f>IF(ISBLANK(H1751),EUconst_GJperUnit,INDEX(EUconst_GJperTorKNm3,MATCH(H1751,EUconst_TonnesOrkNm3pa,0)))</f>
        <v>#N/A</v>
      </c>
      <c r="I1752" s="458"/>
      <c r="J1752" s="458"/>
      <c r="K1752" s="458"/>
      <c r="L1752" s="458"/>
      <c r="M1752" s="458"/>
      <c r="N1752" s="1205"/>
      <c r="O1752" s="25"/>
      <c r="R1752" s="955"/>
      <c r="S1752" s="955"/>
      <c r="T1752" s="955"/>
      <c r="U1752" s="955"/>
      <c r="V1752" s="955"/>
      <c r="W1752" s="955"/>
      <c r="AA1752" s="361" t="b">
        <f>AA1751</f>
        <v>0</v>
      </c>
    </row>
    <row r="1753" spans="2:27" ht="12.75" customHeight="1" x14ac:dyDescent="0.2">
      <c r="B1753" s="224"/>
      <c r="C1753" s="977"/>
      <c r="D1753" s="695" t="s">
        <v>303</v>
      </c>
      <c r="E1753" s="1651" t="str">
        <f>Translations!$B$778</f>
        <v>Radusies atlikumgāze</v>
      </c>
      <c r="F1753" s="1652"/>
      <c r="G1753" s="1652"/>
      <c r="H1753" s="465" t="str">
        <f>EUconst_TJpa</f>
        <v>TJ / gads</v>
      </c>
      <c r="I1753" s="523" t="str">
        <f>IF(COUNT(I1751:I1752)=2,I1751*I1752/1000,"")</f>
        <v/>
      </c>
      <c r="J1753" s="523" t="str">
        <f>IF(COUNT(J1751:J1752)=2,J1751*J1752/1000,"")</f>
        <v/>
      </c>
      <c r="K1753" s="523" t="str">
        <f>IF(COUNT(K1751:K1752)=2,K1751*K1752/1000,"")</f>
        <v/>
      </c>
      <c r="L1753" s="523" t="str">
        <f>IF(COUNT(L1751:L1752)=2,L1751*L1752/1000,"")</f>
        <v/>
      </c>
      <c r="M1753" s="523" t="str">
        <f>IF(COUNT(M1751:M1752)=2,M1751*M1752/1000,"")</f>
        <v/>
      </c>
      <c r="N1753" s="1205"/>
      <c r="O1753" s="25"/>
      <c r="P1753" s="979" t="str">
        <f>EUconst_CNTR_WGProduced &amp; I1638</f>
        <v>WasteGasProd_</v>
      </c>
      <c r="R1753" s="955"/>
      <c r="S1753" s="955"/>
      <c r="T1753" s="955"/>
      <c r="U1753" s="955"/>
      <c r="V1753" s="955"/>
      <c r="W1753" s="955"/>
      <c r="AA1753" s="607"/>
    </row>
    <row r="1754" spans="2:27" ht="12.75" customHeight="1" x14ac:dyDescent="0.2">
      <c r="B1754" s="224"/>
      <c r="C1754" s="977"/>
      <c r="D1754" s="695" t="s">
        <v>304</v>
      </c>
      <c r="E1754" s="1651" t="str">
        <f>Translations!$B$779</f>
        <v>Īpatnējais EF (radusies atlikumgāze)</v>
      </c>
      <c r="F1754" s="1652"/>
      <c r="G1754" s="1652"/>
      <c r="H1754" s="465" t="str">
        <f>EUconst_tCO2pTJ</f>
        <v>t CO2 / TJ</v>
      </c>
      <c r="I1754" s="483"/>
      <c r="J1754" s="483"/>
      <c r="K1754" s="483"/>
      <c r="L1754" s="483"/>
      <c r="M1754" s="483"/>
      <c r="N1754" s="661"/>
      <c r="O1754" s="25"/>
      <c r="P1754" s="979" t="str">
        <f>EUconst_CNTR_WGProducedEF &amp; I1638</f>
        <v>WasteGasProdEF_</v>
      </c>
      <c r="R1754" s="955"/>
      <c r="S1754" s="955"/>
      <c r="T1754" s="955"/>
      <c r="U1754" s="955"/>
      <c r="V1754" s="955"/>
      <c r="W1754" s="955"/>
      <c r="AA1754" s="361" t="b">
        <f>AA1752</f>
        <v>0</v>
      </c>
    </row>
    <row r="1755" spans="2:27" ht="5.0999999999999996" customHeight="1" x14ac:dyDescent="0.2">
      <c r="B1755" s="224"/>
      <c r="C1755" s="977"/>
      <c r="D1755" s="978"/>
      <c r="E1755" s="978"/>
      <c r="F1755" s="978"/>
      <c r="G1755" s="978"/>
      <c r="H1755" s="978"/>
      <c r="I1755" s="978"/>
      <c r="J1755" s="978"/>
      <c r="K1755" s="978"/>
      <c r="L1755" s="978"/>
      <c r="M1755" s="980"/>
      <c r="N1755" s="661"/>
      <c r="O1755" s="25"/>
      <c r="P1755" s="955"/>
      <c r="R1755" s="955"/>
      <c r="S1755" s="955"/>
      <c r="T1755" s="955"/>
      <c r="U1755" s="955"/>
      <c r="V1755" s="955"/>
      <c r="W1755" s="955"/>
      <c r="AA1755" s="607"/>
    </row>
    <row r="1756" spans="2:27" ht="12.75" customHeight="1" x14ac:dyDescent="0.2">
      <c r="B1756" s="224"/>
      <c r="C1756" s="977"/>
      <c r="D1756" s="695" t="s">
        <v>305</v>
      </c>
      <c r="E1756" s="1663" t="str">
        <f>Translations!$B$780</f>
        <v>Patērēto atlikumgāzu veidi:</v>
      </c>
      <c r="F1756" s="1663"/>
      <c r="G1756" s="1663"/>
      <c r="H1756" s="1663"/>
      <c r="I1756" s="1664"/>
      <c r="J1756" s="1665"/>
      <c r="K1756" s="1665"/>
      <c r="L1756" s="1665"/>
      <c r="M1756" s="1666"/>
      <c r="N1756" s="1203"/>
      <c r="O1756" s="25"/>
      <c r="P1756" s="955"/>
      <c r="R1756" s="955"/>
      <c r="S1756" s="955"/>
      <c r="T1756" s="955"/>
      <c r="U1756" s="955"/>
      <c r="V1756" s="955"/>
      <c r="W1756" s="955"/>
      <c r="AA1756" s="361" t="b">
        <f>AA1754</f>
        <v>0</v>
      </c>
    </row>
    <row r="1757" spans="2:27" ht="5.0999999999999996" customHeight="1" x14ac:dyDescent="0.2">
      <c r="B1757" s="224"/>
      <c r="C1757" s="977"/>
      <c r="D1757" s="978"/>
      <c r="E1757" s="978"/>
      <c r="F1757" s="978"/>
      <c r="G1757" s="978"/>
      <c r="H1757" s="978"/>
      <c r="I1757" s="978"/>
      <c r="J1757" s="978"/>
      <c r="K1757" s="978"/>
      <c r="L1757" s="978"/>
      <c r="M1757" s="980"/>
      <c r="N1757" s="661"/>
      <c r="O1757" s="25"/>
      <c r="P1757" s="955"/>
      <c r="R1757" s="955"/>
    </row>
    <row r="1758" spans="2:27" ht="12.75" customHeight="1" x14ac:dyDescent="0.2">
      <c r="B1758" s="224"/>
      <c r="C1758" s="977"/>
      <c r="D1758" s="978"/>
      <c r="E1758" s="1653"/>
      <c r="F1758" s="1657"/>
      <c r="G1758" s="1657"/>
      <c r="H1758" s="462" t="str">
        <f>EUconst_Unit</f>
        <v>Vienība</v>
      </c>
      <c r="I1758" s="463">
        <f>I$1820</f>
        <v>2019</v>
      </c>
      <c r="J1758" s="463">
        <f>J$1820</f>
        <v>2020</v>
      </c>
      <c r="K1758" s="463">
        <f>K$1820</f>
        <v>2021</v>
      </c>
      <c r="L1758" s="463">
        <f>L$1820</f>
        <v>2022</v>
      </c>
      <c r="M1758" s="463">
        <f>M$1820</f>
        <v>2023</v>
      </c>
      <c r="N1758" s="1205"/>
      <c r="O1758" s="25"/>
      <c r="P1758" s="955"/>
      <c r="R1758" s="955"/>
      <c r="S1758" s="955"/>
      <c r="T1758" s="955"/>
      <c r="U1758" s="955"/>
      <c r="V1758" s="955"/>
      <c r="W1758" s="955"/>
      <c r="AA1758" s="607"/>
    </row>
    <row r="1759" spans="2:27" ht="12.75" customHeight="1" x14ac:dyDescent="0.2">
      <c r="B1759" s="224"/>
      <c r="C1759" s="977"/>
      <c r="D1759" s="695" t="s">
        <v>306</v>
      </c>
      <c r="E1759" s="1667" t="str">
        <f>Translations!$B$782</f>
        <v>Patērētie daudzumi</v>
      </c>
      <c r="F1759" s="1660"/>
      <c r="G1759" s="1660"/>
      <c r="H1759" s="245" t="s">
        <v>249</v>
      </c>
      <c r="I1759" s="484"/>
      <c r="J1759" s="484"/>
      <c r="K1759" s="484"/>
      <c r="L1759" s="484"/>
      <c r="M1759" s="484"/>
      <c r="N1759" s="1205"/>
      <c r="O1759" s="25"/>
      <c r="P1759" s="955"/>
      <c r="R1759" s="955"/>
      <c r="S1759" s="955"/>
      <c r="T1759" s="955"/>
      <c r="U1759" s="955"/>
      <c r="V1759" s="955"/>
      <c r="W1759" s="955"/>
      <c r="AA1759" s="361" t="b">
        <f>AA1756</f>
        <v>0</v>
      </c>
    </row>
    <row r="1760" spans="2:27" ht="12.75" customHeight="1" x14ac:dyDescent="0.2">
      <c r="B1760" s="224"/>
      <c r="C1760" s="977"/>
      <c r="D1760" s="695" t="s">
        <v>307</v>
      </c>
      <c r="E1760" s="1737" t="str">
        <f>Translations!$B$470</f>
        <v>Zemākā siltumspēja</v>
      </c>
      <c r="F1760" s="1659"/>
      <c r="G1760" s="1659"/>
      <c r="H1760" s="74" t="e">
        <f>IF(ISBLANK(H1759),EUconst_GJperUnit,INDEX(EUconst_GJperTorKNm3,MATCH(H1759,EUconst_TonnesOrkNm3pa,0)))</f>
        <v>#N/A</v>
      </c>
      <c r="I1760" s="458"/>
      <c r="J1760" s="458"/>
      <c r="K1760" s="458"/>
      <c r="L1760" s="458"/>
      <c r="M1760" s="458"/>
      <c r="N1760" s="1205"/>
      <c r="O1760" s="25"/>
      <c r="R1760" s="955"/>
      <c r="S1760" s="955"/>
      <c r="T1760" s="955"/>
      <c r="U1760" s="955"/>
      <c r="V1760" s="955"/>
      <c r="W1760" s="955"/>
      <c r="AA1760" s="361" t="b">
        <f>AA1759</f>
        <v>0</v>
      </c>
    </row>
    <row r="1761" spans="2:27" ht="12.75" customHeight="1" x14ac:dyDescent="0.2">
      <c r="B1761" s="224"/>
      <c r="C1761" s="977"/>
      <c r="D1761" s="695" t="s">
        <v>15</v>
      </c>
      <c r="E1761" s="1651" t="str">
        <f>Translations!$B$783</f>
        <v>Patērētā atlikumgāze</v>
      </c>
      <c r="F1761" s="1652"/>
      <c r="G1761" s="1652"/>
      <c r="H1761" s="465" t="str">
        <f>EUconst_TJpa</f>
        <v>TJ / gads</v>
      </c>
      <c r="I1761" s="523" t="str">
        <f>IF(COUNT(I1759:I1760)=2,I1759*I1760/1000,"")</f>
        <v/>
      </c>
      <c r="J1761" s="523" t="str">
        <f>IF(COUNT(J1759:J1760)=2,J1759*J1760/1000,"")</f>
        <v/>
      </c>
      <c r="K1761" s="523" t="str">
        <f>IF(COUNT(K1759:K1760)=2,K1759*K1760/1000,"")</f>
        <v/>
      </c>
      <c r="L1761" s="523" t="str">
        <f>IF(COUNT(L1759:L1760)=2,L1759*L1760/1000,"")</f>
        <v/>
      </c>
      <c r="M1761" s="523" t="str">
        <f>IF(COUNT(M1759:M1760)=2,M1759*M1760/1000,"")</f>
        <v/>
      </c>
      <c r="N1761" s="1205"/>
      <c r="O1761" s="25"/>
      <c r="P1761" s="979" t="str">
        <f>EUconst_CNTR_WGConsumed &amp; I1638</f>
        <v>WasteGasCons_</v>
      </c>
      <c r="R1761" s="955"/>
      <c r="S1761" s="955"/>
      <c r="T1761" s="955"/>
      <c r="U1761" s="955"/>
      <c r="V1761" s="955"/>
      <c r="W1761" s="955"/>
      <c r="AA1761" s="607"/>
    </row>
    <row r="1762" spans="2:27" ht="12.75" customHeight="1" x14ac:dyDescent="0.2">
      <c r="B1762" s="224"/>
      <c r="C1762" s="977"/>
      <c r="D1762" s="695" t="s">
        <v>16</v>
      </c>
      <c r="E1762" s="1651" t="str">
        <f>Translations!$B$784</f>
        <v>Īpatnējais EF (patērētā atlikumgāze)</v>
      </c>
      <c r="F1762" s="1652"/>
      <c r="G1762" s="1652"/>
      <c r="H1762" s="465" t="str">
        <f>EUconst_tCO2pTJ</f>
        <v>t CO2 / TJ</v>
      </c>
      <c r="I1762" s="483"/>
      <c r="J1762" s="483"/>
      <c r="K1762" s="483"/>
      <c r="L1762" s="483"/>
      <c r="M1762" s="483"/>
      <c r="N1762" s="661"/>
      <c r="O1762" s="25"/>
      <c r="P1762" s="979" t="str">
        <f>EUconst_CNTR_WGConsumedEF &amp; I1638</f>
        <v>WasteGasConsEF_</v>
      </c>
      <c r="R1762" s="955"/>
      <c r="S1762" s="955"/>
      <c r="T1762" s="955"/>
      <c r="U1762" s="955"/>
      <c r="V1762" s="955"/>
      <c r="W1762" s="955"/>
      <c r="AA1762" s="361" t="b">
        <f>AA1760</f>
        <v>0</v>
      </c>
    </row>
    <row r="1763" spans="2:27" ht="5.0999999999999996" customHeight="1" x14ac:dyDescent="0.2">
      <c r="B1763" s="224"/>
      <c r="C1763" s="977"/>
      <c r="D1763" s="978"/>
      <c r="E1763" s="978"/>
      <c r="F1763" s="978"/>
      <c r="G1763" s="978"/>
      <c r="H1763" s="978"/>
      <c r="I1763" s="978"/>
      <c r="J1763" s="978"/>
      <c r="K1763" s="978"/>
      <c r="L1763" s="978"/>
      <c r="M1763" s="980"/>
      <c r="N1763" s="661"/>
      <c r="O1763" s="25"/>
      <c r="P1763" s="955"/>
      <c r="R1763" s="955"/>
      <c r="S1763" s="955"/>
      <c r="AA1763" s="607"/>
    </row>
    <row r="1764" spans="2:27" ht="12.75" customHeight="1" x14ac:dyDescent="0.2">
      <c r="B1764" s="224"/>
      <c r="C1764" s="977"/>
      <c r="D1764" s="695" t="s">
        <v>17</v>
      </c>
      <c r="E1764" s="1663" t="str">
        <f>Translations!$B$785</f>
        <v>Lāpā sadedzināto atlikumgāzu veidi:</v>
      </c>
      <c r="F1764" s="1663"/>
      <c r="G1764" s="1663"/>
      <c r="H1764" s="1663"/>
      <c r="I1764" s="1664"/>
      <c r="J1764" s="1665"/>
      <c r="K1764" s="1665"/>
      <c r="L1764" s="1665"/>
      <c r="M1764" s="1666"/>
      <c r="N1764" s="1203"/>
      <c r="O1764" s="25"/>
      <c r="P1764" s="955"/>
      <c r="R1764" s="955"/>
      <c r="AA1764" s="361" t="b">
        <f>AA1754</f>
        <v>0</v>
      </c>
    </row>
    <row r="1765" spans="2:27" ht="5.0999999999999996" customHeight="1" x14ac:dyDescent="0.2">
      <c r="B1765" s="224"/>
      <c r="C1765" s="977"/>
      <c r="D1765" s="978"/>
      <c r="E1765" s="978"/>
      <c r="F1765" s="978"/>
      <c r="G1765" s="978"/>
      <c r="H1765" s="978"/>
      <c r="I1765" s="978"/>
      <c r="J1765" s="978"/>
      <c r="K1765" s="978"/>
      <c r="L1765" s="978"/>
      <c r="M1765" s="980"/>
      <c r="N1765" s="661"/>
      <c r="O1765" s="25"/>
      <c r="P1765" s="955"/>
      <c r="R1765" s="955"/>
    </row>
    <row r="1766" spans="2:27" ht="12.75" customHeight="1" x14ac:dyDescent="0.2">
      <c r="B1766" s="224"/>
      <c r="C1766" s="977"/>
      <c r="D1766" s="978"/>
      <c r="E1766" s="1653"/>
      <c r="F1766" s="1657"/>
      <c r="G1766" s="1657"/>
      <c r="H1766" s="462" t="str">
        <f>EUconst_Unit</f>
        <v>Vienība</v>
      </c>
      <c r="I1766" s="463">
        <f>I$1820</f>
        <v>2019</v>
      </c>
      <c r="J1766" s="463">
        <f>J$1820</f>
        <v>2020</v>
      </c>
      <c r="K1766" s="463">
        <f>K$1820</f>
        <v>2021</v>
      </c>
      <c r="L1766" s="463">
        <f>L$1820</f>
        <v>2022</v>
      </c>
      <c r="M1766" s="463">
        <f>M$1820</f>
        <v>2023</v>
      </c>
      <c r="N1766" s="1205"/>
      <c r="O1766" s="25"/>
      <c r="P1766" s="955"/>
      <c r="AA1766" s="607"/>
    </row>
    <row r="1767" spans="2:27" ht="12.75" customHeight="1" thickBot="1" x14ac:dyDescent="0.25">
      <c r="B1767" s="224"/>
      <c r="C1767" s="977"/>
      <c r="D1767" s="695" t="s">
        <v>438</v>
      </c>
      <c r="E1767" s="1667" t="str">
        <f>Translations!$B$789</f>
        <v>Lāpā sadedzinātie daudzumi</v>
      </c>
      <c r="F1767" s="1660"/>
      <c r="G1767" s="1660"/>
      <c r="H1767" s="245" t="s">
        <v>249</v>
      </c>
      <c r="I1767" s="484"/>
      <c r="J1767" s="484"/>
      <c r="K1767" s="484"/>
      <c r="L1767" s="484"/>
      <c r="M1767" s="484"/>
      <c r="N1767" s="1205"/>
      <c r="O1767" s="25"/>
      <c r="P1767" s="955"/>
      <c r="R1767" s="955" t="s">
        <v>525</v>
      </c>
      <c r="AA1767" s="361" t="b">
        <f>AA1764</f>
        <v>0</v>
      </c>
    </row>
    <row r="1768" spans="2:27" ht="12.75" customHeight="1" thickBot="1" x14ac:dyDescent="0.25">
      <c r="B1768" s="224"/>
      <c r="C1768" s="977"/>
      <c r="D1768" s="695" t="s">
        <v>439</v>
      </c>
      <c r="E1768" s="1737" t="str">
        <f>Translations!$B$470</f>
        <v>Zemākā siltumspēja</v>
      </c>
      <c r="F1768" s="1659"/>
      <c r="G1768" s="1659"/>
      <c r="H1768" s="74" t="e">
        <f>IF(ISBLANK(H1767),EUconst_GJperUnit,INDEX(EUconst_GJperTorKNm3,MATCH(H1767,EUconst_TonnesOrkNm3pa,0)))</f>
        <v>#N/A</v>
      </c>
      <c r="I1768" s="458"/>
      <c r="J1768" s="458"/>
      <c r="K1768" s="458"/>
      <c r="L1768" s="458"/>
      <c r="M1768" s="458"/>
      <c r="N1768" s="1205"/>
      <c r="O1768" s="25"/>
      <c r="R1768" s="708" t="s">
        <v>421</v>
      </c>
      <c r="S1768" s="705">
        <f>I1766</f>
        <v>2019</v>
      </c>
      <c r="T1768" s="706">
        <f>J1766</f>
        <v>2020</v>
      </c>
      <c r="U1768" s="706">
        <f>K1766</f>
        <v>2021</v>
      </c>
      <c r="V1768" s="706">
        <f>L1766</f>
        <v>2022</v>
      </c>
      <c r="W1768" s="707">
        <f>M1766</f>
        <v>2023</v>
      </c>
      <c r="AA1768" s="361" t="b">
        <f>AA1767</f>
        <v>0</v>
      </c>
    </row>
    <row r="1769" spans="2:27" ht="12.75" customHeight="1" thickBot="1" x14ac:dyDescent="0.25">
      <c r="B1769" s="224"/>
      <c r="C1769" s="977"/>
      <c r="D1769" s="695" t="s">
        <v>440</v>
      </c>
      <c r="E1769" s="1651" t="str">
        <f>Translations!$B$790</f>
        <v>Lāpā sadedzinātā atlikumgāze</v>
      </c>
      <c r="F1769" s="1652"/>
      <c r="G1769" s="1652"/>
      <c r="H1769" s="465" t="str">
        <f>EUconst_TJpa</f>
        <v>TJ / gads</v>
      </c>
      <c r="I1769" s="523" t="str">
        <f>IF(COUNT(I1767:I1768)=2,I1767*I1768/1000,"")</f>
        <v/>
      </c>
      <c r="J1769" s="523" t="str">
        <f>IF(COUNT(J1767:J1768)=2,J1767*J1768/1000,"")</f>
        <v/>
      </c>
      <c r="K1769" s="523" t="str">
        <f>IF(COUNT(K1767:K1768)=2,K1767*K1768/1000,"")</f>
        <v/>
      </c>
      <c r="L1769" s="523" t="str">
        <f>IF(COUNT(L1767:L1768)=2,L1767*L1768/1000,"")</f>
        <v/>
      </c>
      <c r="M1769" s="523" t="str">
        <f>IF(COUNT(M1767:M1768)=2,M1767*M1768/1000,"")</f>
        <v/>
      </c>
      <c r="N1769" s="1205"/>
      <c r="O1769" s="25"/>
      <c r="P1769" s="979" t="str">
        <f>EUconst_CNTR_WGFlared &amp; I1638</f>
        <v>WasteGasFlare_</v>
      </c>
      <c r="R1769" s="363" t="str">
        <f>IF(COUNT(S1769:W1769)&gt;0,AVERAGE(S1769:W1769),"")</f>
        <v/>
      </c>
      <c r="S1769" s="454" t="str">
        <f>IF(S1638,IF(ISNUMBER(I1769),I1769,0),"")</f>
        <v/>
      </c>
      <c r="T1769" s="455" t="str">
        <f>IF(T1638,IF(ISNUMBER(J1769),J1769,0),"")</f>
        <v/>
      </c>
      <c r="U1769" s="455" t="str">
        <f>IF(U1638,IF(ISNUMBER(K1769),K1769,0),"")</f>
        <v/>
      </c>
      <c r="V1769" s="455" t="str">
        <f>IF(V1638,IF(ISNUMBER(L1769),L1769,0),"")</f>
        <v/>
      </c>
      <c r="W1769" s="456" t="str">
        <f>IF(W1638,IF(ISNUMBER(M1769),M1769,0),"")</f>
        <v/>
      </c>
      <c r="AA1769" s="607"/>
    </row>
    <row r="1770" spans="2:27" ht="12.75" customHeight="1" thickBot="1" x14ac:dyDescent="0.25">
      <c r="B1770" s="224"/>
      <c r="C1770" s="977"/>
      <c r="D1770" s="695" t="s">
        <v>441</v>
      </c>
      <c r="E1770" s="1651" t="str">
        <f>Translations!$B$791</f>
        <v>Īpatnējais EF (lāpā sadedzinātā atlikumgāze)</v>
      </c>
      <c r="F1770" s="1652"/>
      <c r="G1770" s="1652"/>
      <c r="H1770" s="465" t="str">
        <f>EUconst_tCO2pTJ</f>
        <v>t CO2 / TJ</v>
      </c>
      <c r="I1770" s="483"/>
      <c r="J1770" s="483"/>
      <c r="K1770" s="483"/>
      <c r="L1770" s="483"/>
      <c r="M1770" s="483"/>
      <c r="N1770" s="661"/>
      <c r="O1770" s="25"/>
      <c r="P1770" s="979" t="str">
        <f>EUconst_CNTR_WGFlaredEF &amp; I1638</f>
        <v>WasteGasFlareEF_</v>
      </c>
      <c r="R1770" s="843" t="str">
        <f>IF(COUNT(S1770:W1770)&gt;0,AVERAGE(S1770:W1770),"")</f>
        <v/>
      </c>
      <c r="S1770" s="454" t="str">
        <f>IF(S1638,SUM(I1769)*SUM(I1770),"")</f>
        <v/>
      </c>
      <c r="T1770" s="455" t="str">
        <f>IF(T1638,SUM(J1769)*SUM(J1770),"")</f>
        <v/>
      </c>
      <c r="U1770" s="455" t="str">
        <f>IF(U1638,SUM(K1769)*SUM(K1770),"")</f>
        <v/>
      </c>
      <c r="V1770" s="455" t="str">
        <f>IF(V1638,SUM(L1769)*SUM(L1770),"")</f>
        <v/>
      </c>
      <c r="W1770" s="456" t="str">
        <f>IF(W1638,SUM(M1769)*SUM(M1770),"")</f>
        <v/>
      </c>
      <c r="AA1770" s="361" t="b">
        <f>AA1768</f>
        <v>0</v>
      </c>
    </row>
    <row r="1771" spans="2:27" ht="5.0999999999999996" customHeight="1" x14ac:dyDescent="0.2">
      <c r="B1771" s="224"/>
      <c r="C1771" s="977"/>
      <c r="D1771" s="978"/>
      <c r="E1771" s="978"/>
      <c r="F1771" s="978"/>
      <c r="G1771" s="978"/>
      <c r="H1771" s="978"/>
      <c r="I1771" s="978"/>
      <c r="J1771" s="978"/>
      <c r="K1771" s="978"/>
      <c r="L1771" s="978"/>
      <c r="M1771" s="980"/>
      <c r="N1771" s="661"/>
      <c r="O1771" s="25"/>
      <c r="P1771" s="955"/>
      <c r="R1771" s="955"/>
      <c r="S1771" s="955"/>
      <c r="AA1771" s="607"/>
    </row>
    <row r="1772" spans="2:27" ht="12.75" customHeight="1" x14ac:dyDescent="0.2">
      <c r="B1772" s="224"/>
      <c r="C1772" s="977"/>
      <c r="D1772" s="695" t="s">
        <v>442</v>
      </c>
      <c r="E1772" s="1663" t="str">
        <f>Translations!$B$792</f>
        <v>Importēto atlikumgāzu veidi:</v>
      </c>
      <c r="F1772" s="1663"/>
      <c r="G1772" s="1663"/>
      <c r="H1772" s="1663"/>
      <c r="I1772" s="1664"/>
      <c r="J1772" s="1665"/>
      <c r="K1772" s="1665"/>
      <c r="L1772" s="1665"/>
      <c r="M1772" s="1666"/>
      <c r="N1772" s="661"/>
      <c r="O1772" s="25"/>
      <c r="P1772" s="955"/>
      <c r="R1772" s="955"/>
      <c r="AA1772" s="361" t="b">
        <f>AA1752</f>
        <v>0</v>
      </c>
    </row>
    <row r="1773" spans="2:27" ht="5.0999999999999996" customHeight="1" x14ac:dyDescent="0.2">
      <c r="B1773" s="224"/>
      <c r="C1773" s="977"/>
      <c r="D1773" s="978"/>
      <c r="E1773" s="978"/>
      <c r="F1773" s="978"/>
      <c r="G1773" s="978"/>
      <c r="H1773" s="978"/>
      <c r="I1773" s="978"/>
      <c r="J1773" s="978"/>
      <c r="K1773" s="978"/>
      <c r="L1773" s="978"/>
      <c r="M1773" s="980"/>
      <c r="N1773" s="661"/>
      <c r="O1773" s="25"/>
      <c r="P1773" s="955"/>
      <c r="R1773" s="955"/>
    </row>
    <row r="1774" spans="2:27" ht="12.75" customHeight="1" x14ac:dyDescent="0.2">
      <c r="B1774" s="224"/>
      <c r="C1774" s="977"/>
      <c r="D1774" s="978"/>
      <c r="E1774" s="1653"/>
      <c r="F1774" s="1657"/>
      <c r="G1774" s="1657"/>
      <c r="H1774" s="462" t="str">
        <f>EUconst_Unit</f>
        <v>Vienība</v>
      </c>
      <c r="I1774" s="463">
        <f>I$1820</f>
        <v>2019</v>
      </c>
      <c r="J1774" s="463">
        <f>J$1820</f>
        <v>2020</v>
      </c>
      <c r="K1774" s="463">
        <f>K$1820</f>
        <v>2021</v>
      </c>
      <c r="L1774" s="463">
        <f>L$1820</f>
        <v>2022</v>
      </c>
      <c r="M1774" s="463">
        <f>M$1820</f>
        <v>2023</v>
      </c>
      <c r="N1774" s="1205"/>
      <c r="O1774" s="25"/>
      <c r="P1774" s="955"/>
      <c r="R1774" s="955"/>
      <c r="S1774" s="955"/>
      <c r="AA1774" s="607"/>
    </row>
    <row r="1775" spans="2:27" ht="12.75" customHeight="1" thickBot="1" x14ac:dyDescent="0.25">
      <c r="B1775" s="224"/>
      <c r="C1775" s="977"/>
      <c r="D1775" s="695" t="s">
        <v>443</v>
      </c>
      <c r="E1775" s="1667" t="str">
        <f>Translations!$B$795</f>
        <v>Importētie daudzumi</v>
      </c>
      <c r="F1775" s="1660"/>
      <c r="G1775" s="1660"/>
      <c r="H1775" s="245" t="s">
        <v>249</v>
      </c>
      <c r="I1775" s="484"/>
      <c r="J1775" s="484"/>
      <c r="K1775" s="484"/>
      <c r="L1775" s="484"/>
      <c r="M1775" s="484"/>
      <c r="N1775" s="1205"/>
      <c r="O1775" s="25"/>
      <c r="P1775" s="955"/>
      <c r="R1775" s="955"/>
      <c r="S1775" s="955"/>
      <c r="AA1775" s="361" t="b">
        <f>AA1772</f>
        <v>0</v>
      </c>
    </row>
    <row r="1776" spans="2:27" ht="12.75" customHeight="1" x14ac:dyDescent="0.2">
      <c r="B1776" s="224"/>
      <c r="C1776" s="977"/>
      <c r="D1776" s="695" t="s">
        <v>444</v>
      </c>
      <c r="E1776" s="1737" t="str">
        <f>Translations!$B$470</f>
        <v>Zemākā siltumspēja</v>
      </c>
      <c r="F1776" s="1659"/>
      <c r="G1776" s="1659"/>
      <c r="H1776" s="74" t="e">
        <f>IF(ISBLANK(H1775),EUconst_GJperUnit,INDEX(EUconst_GJperTorKNm3,MATCH(H1775,EUconst_TonnesOrkNm3pa,0)))</f>
        <v>#N/A</v>
      </c>
      <c r="I1776" s="458"/>
      <c r="J1776" s="458"/>
      <c r="K1776" s="458"/>
      <c r="L1776" s="458"/>
      <c r="M1776" s="458"/>
      <c r="N1776" s="1205"/>
      <c r="O1776" s="25"/>
      <c r="P1776" s="982"/>
      <c r="R1776" s="970"/>
      <c r="S1776" s="809">
        <f>I1774</f>
        <v>2019</v>
      </c>
      <c r="T1776" s="809">
        <f>J1774</f>
        <v>2020</v>
      </c>
      <c r="U1776" s="809">
        <f>K1774</f>
        <v>2021</v>
      </c>
      <c r="V1776" s="809">
        <f>L1774</f>
        <v>2022</v>
      </c>
      <c r="W1776" s="810">
        <f>M1774</f>
        <v>2023</v>
      </c>
      <c r="AA1776" s="361" t="b">
        <f>AA1775</f>
        <v>0</v>
      </c>
    </row>
    <row r="1777" spans="1:27" ht="12.75" customHeight="1" x14ac:dyDescent="0.2">
      <c r="B1777" s="224"/>
      <c r="C1777" s="977"/>
      <c r="D1777" s="695" t="s">
        <v>445</v>
      </c>
      <c r="E1777" s="1651" t="str">
        <f>Translations!$B$796</f>
        <v>Importētā atlikumgāze</v>
      </c>
      <c r="F1777" s="1652"/>
      <c r="G1777" s="1652"/>
      <c r="H1777" s="465" t="str">
        <f>EUconst_TJpa</f>
        <v>TJ / gads</v>
      </c>
      <c r="I1777" s="448" t="str">
        <f>IF(COUNT(I1775:I1776)=2,I1775*I1776/1000,"")</f>
        <v/>
      </c>
      <c r="J1777" s="448" t="str">
        <f>IF(COUNT(J1775:J1776)=2,J1775*J1776/1000,"")</f>
        <v/>
      </c>
      <c r="K1777" s="448" t="str">
        <f>IF(COUNT(K1775:K1776)=2,K1775*K1776/1000,"")</f>
        <v/>
      </c>
      <c r="L1777" s="448" t="str">
        <f>IF(COUNT(L1775:L1776)=2,L1775*L1776/1000,"")</f>
        <v/>
      </c>
      <c r="M1777" s="448" t="str">
        <f>IF(COUNT(M1775:M1776)=2,M1775*M1776/1000,"")</f>
        <v/>
      </c>
      <c r="N1777" s="1205"/>
      <c r="O1777" s="25"/>
      <c r="P1777" s="979" t="str">
        <f>EUconst_CNTR_WGImport &amp; I1638</f>
        <v>WasteGasIm_</v>
      </c>
      <c r="R1777" s="981" t="str">
        <f>EUconst_ERR_AttrEmBMapplied &amp; I1638</f>
        <v>ERR_AttrEmBM_ </v>
      </c>
      <c r="S1777" s="134">
        <f>IF(AND(I1777&lt;&gt;"",EUconst_StatusOfDataCollection=""),1,0)</f>
        <v>0</v>
      </c>
      <c r="T1777" s="134">
        <f>IF(AND(J1777&lt;&gt;"",EUconst_StatusOfDataCollection=""),1,0)</f>
        <v>0</v>
      </c>
      <c r="U1777" s="134">
        <f>IF(AND(K1777&lt;&gt;"",EUconst_StatusOfDataCollection=""),1,0)</f>
        <v>0</v>
      </c>
      <c r="V1777" s="134">
        <f>IF(AND(L1777&lt;&gt;"",EUconst_StatusOfDataCollection=""),1,0)</f>
        <v>0</v>
      </c>
      <c r="W1777" s="135">
        <f>IF(AND(M1777&lt;&gt;"",EUconst_StatusOfDataCollection=""),1,0)</f>
        <v>0</v>
      </c>
      <c r="AA1777" s="607"/>
    </row>
    <row r="1778" spans="1:27" s="697" customFormat="1" ht="12.75" customHeight="1" thickBot="1" x14ac:dyDescent="0.25">
      <c r="A1778" s="437"/>
      <c r="B1778" s="224"/>
      <c r="C1778" s="977"/>
      <c r="D1778" s="695" t="s">
        <v>446</v>
      </c>
      <c r="E1778" s="1651" t="str">
        <f>Translations!$B$797</f>
        <v>Īpatnējais EF (importētā atlikumgāze)</v>
      </c>
      <c r="F1778" s="1651"/>
      <c r="G1778" s="1651"/>
      <c r="H1778" s="464" t="str">
        <f>EUconst_tCO2pTJ</f>
        <v>t CO2 / TJ</v>
      </c>
      <c r="I1778" s="761"/>
      <c r="J1778" s="761"/>
      <c r="K1778" s="761"/>
      <c r="L1778" s="761"/>
      <c r="M1778" s="761"/>
      <c r="N1778" s="661"/>
      <c r="O1778" s="25"/>
      <c r="P1778" s="979" t="str">
        <f>EUconst_CNTR_WGImportEF &amp; I1638</f>
        <v>WasteGasImEF_</v>
      </c>
      <c r="Q1778" s="437"/>
      <c r="R1778" s="971" t="str">
        <f>EUconst_CNTR_AttributedEmissions &amp; I1638</f>
        <v>AttrEmissions_</v>
      </c>
      <c r="S1778" s="137" t="str">
        <f>IF(S1638,SUM(I1777)*EUconst_FuelBMvalueForBM,"")</f>
        <v/>
      </c>
      <c r="T1778" s="137" t="str">
        <f>IF(T1638,SUM(J1777)*EUconst_FuelBMvalueForBM,"")</f>
        <v/>
      </c>
      <c r="U1778" s="137" t="str">
        <f>IF(U1638,SUM(K1777)*EUconst_FuelBMvalueForBM,"")</f>
        <v/>
      </c>
      <c r="V1778" s="137" t="str">
        <f>IF(V1638,SUM(L1777)*EUconst_FuelBMvalueForBM,"")</f>
        <v/>
      </c>
      <c r="W1778" s="138" t="str">
        <f>IF(W1638,SUM(M1777)*EUconst_FuelBMvalueForBM,"")</f>
        <v/>
      </c>
      <c r="X1778" s="437"/>
      <c r="Y1778" s="437"/>
      <c r="Z1778" s="437"/>
      <c r="AA1778" s="361" t="b">
        <f>AA1776</f>
        <v>0</v>
      </c>
    </row>
    <row r="1779" spans="1:27" ht="5.0999999999999996" customHeight="1" x14ac:dyDescent="0.2">
      <c r="B1779" s="224"/>
      <c r="C1779" s="977"/>
      <c r="D1779" s="978"/>
      <c r="E1779" s="978"/>
      <c r="F1779" s="978"/>
      <c r="G1779" s="978"/>
      <c r="H1779" s="978"/>
      <c r="I1779" s="978"/>
      <c r="J1779" s="978"/>
      <c r="K1779" s="978"/>
      <c r="L1779" s="978"/>
      <c r="M1779" s="980"/>
      <c r="N1779" s="661"/>
      <c r="O1779" s="25"/>
      <c r="P1779" s="955"/>
      <c r="R1779" s="955"/>
      <c r="S1779" s="955"/>
      <c r="AA1779" s="607"/>
    </row>
    <row r="1780" spans="1:27" ht="12.75" customHeight="1" x14ac:dyDescent="0.2">
      <c r="B1780" s="224"/>
      <c r="C1780" s="977"/>
      <c r="D1780" s="695" t="s">
        <v>447</v>
      </c>
      <c r="E1780" s="1663" t="str">
        <f>Translations!$B$798</f>
        <v>Eksportēto atlikumgāzu veidi:</v>
      </c>
      <c r="F1780" s="1663"/>
      <c r="G1780" s="1663"/>
      <c r="H1780" s="1663"/>
      <c r="I1780" s="1664"/>
      <c r="J1780" s="1665"/>
      <c r="K1780" s="1665"/>
      <c r="L1780" s="1665"/>
      <c r="M1780" s="1666"/>
      <c r="N1780" s="1203"/>
      <c r="O1780" s="25"/>
      <c r="P1780" s="955"/>
      <c r="R1780" s="955"/>
      <c r="AA1780" s="361" t="b">
        <f>AA1775</f>
        <v>0</v>
      </c>
    </row>
    <row r="1781" spans="1:27" ht="5.0999999999999996" customHeight="1" x14ac:dyDescent="0.2">
      <c r="B1781" s="224"/>
      <c r="C1781" s="977"/>
      <c r="D1781" s="978"/>
      <c r="E1781" s="978"/>
      <c r="F1781" s="978"/>
      <c r="G1781" s="978"/>
      <c r="H1781" s="978"/>
      <c r="I1781" s="978"/>
      <c r="J1781" s="978"/>
      <c r="K1781" s="978"/>
      <c r="L1781" s="978"/>
      <c r="M1781" s="980"/>
      <c r="N1781" s="661"/>
      <c r="O1781" s="25"/>
      <c r="P1781" s="955"/>
      <c r="R1781" s="955"/>
    </row>
    <row r="1782" spans="1:27" ht="12.75" customHeight="1" x14ac:dyDescent="0.2">
      <c r="B1782" s="224"/>
      <c r="C1782" s="977"/>
      <c r="D1782" s="978"/>
      <c r="E1782" s="1653"/>
      <c r="F1782" s="1657"/>
      <c r="G1782" s="1657"/>
      <c r="H1782" s="462" t="str">
        <f>EUconst_Unit</f>
        <v>Vienība</v>
      </c>
      <c r="I1782" s="463">
        <f>I$1820</f>
        <v>2019</v>
      </c>
      <c r="J1782" s="463">
        <f>J$1820</f>
        <v>2020</v>
      </c>
      <c r="K1782" s="463">
        <f>K$1820</f>
        <v>2021</v>
      </c>
      <c r="L1782" s="463">
        <f>L$1820</f>
        <v>2022</v>
      </c>
      <c r="M1782" s="463">
        <f>M$1820</f>
        <v>2023</v>
      </c>
      <c r="N1782" s="1205"/>
      <c r="O1782" s="25"/>
      <c r="P1782" s="955"/>
      <c r="R1782" s="955"/>
      <c r="S1782" s="955"/>
      <c r="AA1782" s="607"/>
    </row>
    <row r="1783" spans="1:27" ht="12.75" customHeight="1" x14ac:dyDescent="0.2">
      <c r="B1783" s="224"/>
      <c r="C1783" s="977"/>
      <c r="D1783" s="695" t="s">
        <v>448</v>
      </c>
      <c r="E1783" s="1667" t="str">
        <f>Translations!$B$800</f>
        <v>Eksportētie daudzumi</v>
      </c>
      <c r="F1783" s="1660"/>
      <c r="G1783" s="1660"/>
      <c r="H1783" s="245" t="s">
        <v>249</v>
      </c>
      <c r="I1783" s="484"/>
      <c r="J1783" s="484"/>
      <c r="K1783" s="484"/>
      <c r="L1783" s="484"/>
      <c r="M1783" s="484"/>
      <c r="N1783" s="1205"/>
      <c r="O1783" s="25"/>
      <c r="P1783" s="955"/>
      <c r="R1783" s="955"/>
      <c r="S1783" s="955"/>
      <c r="AA1783" s="361" t="b">
        <f>AA1780</f>
        <v>0</v>
      </c>
    </row>
    <row r="1784" spans="1:27" ht="12.75" customHeight="1" thickBot="1" x14ac:dyDescent="0.25">
      <c r="B1784" s="224"/>
      <c r="C1784" s="977"/>
      <c r="D1784" s="695" t="s">
        <v>612</v>
      </c>
      <c r="E1784" s="1737" t="str">
        <f>Translations!$B$470</f>
        <v>Zemākā siltumspēja</v>
      </c>
      <c r="F1784" s="1659"/>
      <c r="G1784" s="1659"/>
      <c r="H1784" s="74" t="e">
        <f>IF(ISBLANK(H1783),EUconst_GJperUnit,INDEX(EUconst_GJperTorKNm3,MATCH(H1783,EUconst_TonnesOrkNm3pa,0)))</f>
        <v>#N/A</v>
      </c>
      <c r="I1784" s="458"/>
      <c r="J1784" s="458"/>
      <c r="K1784" s="458"/>
      <c r="L1784" s="458"/>
      <c r="M1784" s="458"/>
      <c r="N1784" s="1205"/>
      <c r="O1784" s="25"/>
      <c r="P1784" s="982"/>
      <c r="R1784" s="955"/>
      <c r="S1784" s="955"/>
      <c r="AA1784" s="361" t="b">
        <f>AA1783</f>
        <v>0</v>
      </c>
    </row>
    <row r="1785" spans="1:27" ht="12.75" customHeight="1" x14ac:dyDescent="0.2">
      <c r="B1785" s="224"/>
      <c r="C1785" s="977"/>
      <c r="D1785" s="695" t="s">
        <v>613</v>
      </c>
      <c r="E1785" s="1651" t="str">
        <f>Translations!$B$801</f>
        <v>Eksportētā atlikumgāze</v>
      </c>
      <c r="F1785" s="1652"/>
      <c r="G1785" s="1652"/>
      <c r="H1785" s="465" t="str">
        <f>EUconst_TJpa</f>
        <v>TJ / gads</v>
      </c>
      <c r="I1785" s="448" t="str">
        <f>IF(COUNT(I1783:I1784)=2,I1783*I1784/1000,"")</f>
        <v/>
      </c>
      <c r="J1785" s="448" t="str">
        <f>IF(COUNT(J1783:J1784)=2,J1783*J1784/1000,"")</f>
        <v/>
      </c>
      <c r="K1785" s="448" t="str">
        <f>IF(COUNT(K1783:K1784)=2,K1783*K1784/1000,"")</f>
        <v/>
      </c>
      <c r="L1785" s="448" t="str">
        <f>IF(COUNT(L1783:L1784)=2,L1783*L1784/1000,"")</f>
        <v/>
      </c>
      <c r="M1785" s="448" t="str">
        <f>IF(COUNT(M1783:M1784)=2,M1783*M1784/1000,"")</f>
        <v/>
      </c>
      <c r="N1785" s="698"/>
      <c r="O1785" s="25"/>
      <c r="P1785" s="979" t="str">
        <f>EUconst_CNTR_WGExport &amp; I1638</f>
        <v>WasteGasEx_</v>
      </c>
      <c r="R1785" s="970"/>
      <c r="S1785" s="809">
        <f>I1782</f>
        <v>2019</v>
      </c>
      <c r="T1785" s="809">
        <f>J1782</f>
        <v>2020</v>
      </c>
      <c r="U1785" s="809">
        <f>K1782</f>
        <v>2021</v>
      </c>
      <c r="V1785" s="809">
        <f>L1782</f>
        <v>2022</v>
      </c>
      <c r="W1785" s="810">
        <f>M1782</f>
        <v>2023</v>
      </c>
      <c r="AA1785" s="607"/>
    </row>
    <row r="1786" spans="1:27" s="697" customFormat="1" ht="12.75" customHeight="1" thickBot="1" x14ac:dyDescent="0.25">
      <c r="A1786" s="20"/>
      <c r="B1786" s="224"/>
      <c r="C1786" s="977"/>
      <c r="D1786" s="695" t="s">
        <v>614</v>
      </c>
      <c r="E1786" s="1651" t="str">
        <f>Translations!$B$802</f>
        <v>Īpatnējais EF (eksportētā atlikumgāze)</v>
      </c>
      <c r="F1786" s="1651"/>
      <c r="G1786" s="1651"/>
      <c r="H1786" s="464" t="str">
        <f>EUconst_tCO2pTJ</f>
        <v>t CO2 / TJ</v>
      </c>
      <c r="I1786" s="761"/>
      <c r="J1786" s="761"/>
      <c r="K1786" s="761"/>
      <c r="L1786" s="761"/>
      <c r="M1786" s="761"/>
      <c r="N1786" s="661"/>
      <c r="O1786" s="25"/>
      <c r="P1786" s="979" t="str">
        <f>EUconst_CNTR_WGExportEF &amp; I1638</f>
        <v>WasteGasExEF_</v>
      </c>
      <c r="Q1786" s="437"/>
      <c r="R1786" s="971" t="str">
        <f>EUconst_CNTR_AttributedEmissions &amp; I1638</f>
        <v>AttrEmissions_</v>
      </c>
      <c r="S1786" s="137" t="str">
        <f>IF(S1638,-SUM(I1785)*EUconst_NGEFvalue*EUconst_WasteGasCorrFactor,"")</f>
        <v/>
      </c>
      <c r="T1786" s="137" t="str">
        <f>IF(T1638,-SUM(J1785)*EUconst_NGEFvalue*EUconst_WasteGasCorrFactor,"")</f>
        <v/>
      </c>
      <c r="U1786" s="137" t="str">
        <f>IF(U1638,-SUM(K1785)*EUconst_NGEFvalue*EUconst_WasteGasCorrFactor,"")</f>
        <v/>
      </c>
      <c r="V1786" s="137" t="str">
        <f>IF(V1638,-SUM(L1785)*EUconst_NGEFvalue*EUconst_WasteGasCorrFactor,"")</f>
        <v/>
      </c>
      <c r="W1786" s="138" t="str">
        <f>IF(W1638,-SUM(M1785)*EUconst_NGEFvalue*EUconst_WasteGasCorrFactor,"")</f>
        <v/>
      </c>
      <c r="X1786" s="437"/>
      <c r="Y1786" s="437"/>
      <c r="Z1786" s="437"/>
      <c r="AA1786" s="186" t="b">
        <f>AA1784</f>
        <v>0</v>
      </c>
    </row>
    <row r="1787" spans="1:27" ht="5.0999999999999996" customHeight="1" x14ac:dyDescent="0.2">
      <c r="B1787" s="224"/>
      <c r="C1787" s="977"/>
      <c r="D1787" s="978"/>
      <c r="E1787" s="978"/>
      <c r="F1787" s="978"/>
      <c r="G1787" s="978"/>
      <c r="H1787" s="978"/>
      <c r="I1787" s="978"/>
      <c r="J1787" s="978"/>
      <c r="K1787" s="978"/>
      <c r="L1787" s="978"/>
      <c r="M1787" s="980"/>
      <c r="N1787" s="661"/>
      <c r="O1787" s="25"/>
      <c r="P1787" s="955"/>
      <c r="R1787" s="955"/>
    </row>
    <row r="1788" spans="1:27" ht="12.75" customHeight="1" thickBot="1" x14ac:dyDescent="0.25">
      <c r="B1788" s="224"/>
      <c r="C1788" s="977"/>
      <c r="D1788" s="474" t="s">
        <v>214</v>
      </c>
      <c r="E1788" s="1654" t="str">
        <f>Translations!$B$420</f>
        <v>Elektroenerģijas ražošana</v>
      </c>
      <c r="F1788" s="1655"/>
      <c r="G1788" s="1655"/>
      <c r="H1788" s="1655"/>
      <c r="I1788" s="1655"/>
      <c r="J1788" s="1655"/>
      <c r="K1788" s="1655"/>
      <c r="L1788" s="1655"/>
      <c r="M1788" s="1655"/>
      <c r="N1788" s="1656"/>
      <c r="O1788" s="25"/>
      <c r="P1788" s="955"/>
      <c r="R1788" s="955"/>
    </row>
    <row r="1789" spans="1:27" ht="12.75" customHeight="1" x14ac:dyDescent="0.2">
      <c r="B1789" s="224"/>
      <c r="C1789" s="977"/>
      <c r="D1789" s="474"/>
      <c r="E1789" s="1653"/>
      <c r="F1789" s="1657"/>
      <c r="G1789" s="1657"/>
      <c r="H1789" s="462" t="str">
        <f>EUconst_Unit</f>
        <v>Vienība</v>
      </c>
      <c r="I1789" s="463">
        <f>I$1820</f>
        <v>2019</v>
      </c>
      <c r="J1789" s="463">
        <f>J$1820</f>
        <v>2020</v>
      </c>
      <c r="K1789" s="463">
        <f>K$1820</f>
        <v>2021</v>
      </c>
      <c r="L1789" s="463">
        <f>L$1820</f>
        <v>2022</v>
      </c>
      <c r="M1789" s="463">
        <f>M$1820</f>
        <v>2023</v>
      </c>
      <c r="N1789" s="661"/>
      <c r="O1789" s="25"/>
      <c r="P1789" s="955"/>
      <c r="R1789" s="970"/>
      <c r="S1789" s="809">
        <f>I1789</f>
        <v>2019</v>
      </c>
      <c r="T1789" s="809">
        <f>J1789</f>
        <v>2020</v>
      </c>
      <c r="U1789" s="809">
        <f>K1789</f>
        <v>2021</v>
      </c>
      <c r="V1789" s="809">
        <f>L1789</f>
        <v>2022</v>
      </c>
      <c r="W1789" s="810">
        <f>M1789</f>
        <v>2023</v>
      </c>
    </row>
    <row r="1790" spans="1:27" ht="12.75" customHeight="1" thickBot="1" x14ac:dyDescent="0.25">
      <c r="B1790" s="224"/>
      <c r="C1790" s="977"/>
      <c r="D1790" s="695"/>
      <c r="E1790" s="1651" t="str">
        <f>Translations!$B$805</f>
        <v>Saražotā elektroenerģija</v>
      </c>
      <c r="F1790" s="1652"/>
      <c r="G1790" s="1652"/>
      <c r="H1790" s="465" t="str">
        <f>EUconst_MWhpa</f>
        <v>MWh / gads</v>
      </c>
      <c r="I1790" s="483"/>
      <c r="J1790" s="483"/>
      <c r="K1790" s="483"/>
      <c r="L1790" s="483"/>
      <c r="M1790" s="483"/>
      <c r="N1790" s="1205"/>
      <c r="O1790" s="25"/>
      <c r="P1790" s="979" t="str">
        <f>EUconst_CNTR_ElectricityExported &amp; I1638</f>
        <v>ElecEx_</v>
      </c>
      <c r="R1790" s="971" t="str">
        <f>EUconst_CNTR_AttributedEmissions &amp; I1638</f>
        <v>AttrEmissions_</v>
      </c>
      <c r="S1790" s="137" t="str">
        <f>IF(S1638,-SUM(I1790)*EUconst_ElBM,"")</f>
        <v/>
      </c>
      <c r="T1790" s="137" t="str">
        <f>IF(T1638,-SUM(J1790)*EUconst_ElBM,"")</f>
        <v/>
      </c>
      <c r="U1790" s="137" t="str">
        <f>IF(U1638,-SUM(K1790)*EUconst_ElBM,"")</f>
        <v/>
      </c>
      <c r="V1790" s="137" t="str">
        <f>IF(V1638,-SUM(L1790)*EUconst_ElBM,"")</f>
        <v/>
      </c>
      <c r="W1790" s="138" t="str">
        <f>IF(W1638,-SUM(M1790)*EUconst_ElBM,"")</f>
        <v/>
      </c>
    </row>
    <row r="1791" spans="1:27" ht="5.0999999999999996" customHeight="1" x14ac:dyDescent="0.2">
      <c r="B1791" s="224"/>
      <c r="C1791" s="977"/>
      <c r="D1791" s="978"/>
      <c r="E1791" s="978"/>
      <c r="F1791" s="978"/>
      <c r="G1791" s="978"/>
      <c r="H1791" s="978"/>
      <c r="I1791" s="978"/>
      <c r="J1791" s="978"/>
      <c r="K1791" s="978"/>
      <c r="L1791" s="978"/>
      <c r="M1791" s="980"/>
      <c r="N1791" s="661"/>
      <c r="O1791" s="25"/>
      <c r="P1791" s="955"/>
      <c r="R1791" s="955"/>
      <c r="S1791" s="955"/>
    </row>
    <row r="1792" spans="1:27" ht="12.75" customHeight="1" thickBot="1" x14ac:dyDescent="0.25">
      <c r="B1792" s="224"/>
      <c r="C1792" s="977"/>
      <c r="D1792" s="474" t="s">
        <v>77</v>
      </c>
      <c r="E1792" s="1663" t="str">
        <f>Translations!$B$806</f>
        <v>Kopējais saražotās pulpas daudzums</v>
      </c>
      <c r="F1792" s="1663"/>
      <c r="G1792" s="1663"/>
      <c r="H1792" s="1663"/>
      <c r="I1792" s="1663"/>
      <c r="J1792" s="1663"/>
      <c r="K1792" s="1663"/>
      <c r="L1792" s="1663"/>
      <c r="M1792" s="1663"/>
      <c r="N1792" s="1690"/>
      <c r="O1792" s="25"/>
      <c r="S1792" s="955"/>
    </row>
    <row r="1793" spans="2:27" ht="12.75" customHeight="1" thickBot="1" x14ac:dyDescent="0.25">
      <c r="B1793" s="224"/>
      <c r="C1793" s="977"/>
      <c r="D1793" s="695"/>
      <c r="E1793" s="1689" t="str">
        <f>IF(I1638="","",IF(INDEX(EUconst_BMlistPulp,MATCH(I1638,EUconst_BMlistNames,0)),I1638,""))</f>
        <v/>
      </c>
      <c r="F1793" s="1689"/>
      <c r="G1793" s="1689"/>
      <c r="H1793" s="465" t="str">
        <f>EUconst_Tons</f>
        <v>tonnas</v>
      </c>
      <c r="I1793" s="483"/>
      <c r="J1793" s="483"/>
      <c r="K1793" s="483"/>
      <c r="L1793" s="483"/>
      <c r="M1793" s="483"/>
      <c r="N1793" s="1205"/>
      <c r="O1793" s="25"/>
      <c r="P1793" s="979" t="str">
        <f>EUconst_CNTR_HALPulpTotal &amp; I1638</f>
        <v>HALPulpTotal_</v>
      </c>
      <c r="R1793" s="955"/>
      <c r="AA1793" s="734" t="b">
        <f>IF(I1638&lt;&gt;"",IF(INDEX(EUconst_BMlistPulp,MATCH(I1638,EUconst_BMlistNames,0))=TRUE,FALSE,TRUE),FALSE)</f>
        <v>0</v>
      </c>
    </row>
    <row r="1794" spans="2:27" ht="5.0999999999999996" customHeight="1" x14ac:dyDescent="0.2">
      <c r="B1794" s="224"/>
      <c r="C1794" s="977"/>
      <c r="D1794" s="695"/>
      <c r="E1794" s="695"/>
      <c r="F1794" s="695"/>
      <c r="G1794" s="695"/>
      <c r="H1794" s="695"/>
      <c r="I1794" s="695"/>
      <c r="J1794" s="695"/>
      <c r="K1794" s="695"/>
      <c r="L1794" s="695"/>
      <c r="M1794" s="695"/>
      <c r="N1794" s="1205"/>
      <c r="O1794" s="25"/>
      <c r="P1794" s="982"/>
      <c r="R1794" s="955"/>
      <c r="S1794" s="955"/>
    </row>
    <row r="1795" spans="2:27" ht="12.75" customHeight="1" thickBot="1" x14ac:dyDescent="0.25">
      <c r="B1795" s="224"/>
      <c r="C1795" s="977"/>
      <c r="D1795" s="474" t="s">
        <v>322</v>
      </c>
      <c r="E1795" s="1654" t="str">
        <f>Translations!$B$810</f>
        <v>Produktu līmeņatzīmju aptverto starpproduktu imports vai eksports</v>
      </c>
      <c r="F1795" s="1655"/>
      <c r="G1795" s="1655"/>
      <c r="H1795" s="1655"/>
      <c r="I1795" s="1655"/>
      <c r="J1795" s="1655"/>
      <c r="K1795" s="1655"/>
      <c r="L1795" s="1655"/>
      <c r="M1795" s="1655"/>
      <c r="N1795" s="1656"/>
      <c r="O1795" s="25"/>
      <c r="P1795" s="955"/>
      <c r="R1795" s="955"/>
      <c r="S1795" s="955"/>
    </row>
    <row r="1796" spans="2:27" ht="12.75" customHeight="1" thickBot="1" x14ac:dyDescent="0.25">
      <c r="B1796" s="38"/>
      <c r="C1796" s="977"/>
      <c r="D1796" s="695" t="s">
        <v>2</v>
      </c>
      <c r="E1796" s="1732" t="str">
        <f>Translations!$B$813</f>
        <v>Vai notiek produktu līmeņatzīmju aptverto starpproduktu imports vai eksports?</v>
      </c>
      <c r="F1796" s="1732"/>
      <c r="G1796" s="1732"/>
      <c r="H1796" s="1732"/>
      <c r="I1796" s="1732"/>
      <c r="J1796" s="1732"/>
      <c r="K1796" s="1733"/>
      <c r="L1796" s="527"/>
      <c r="M1796" s="461"/>
      <c r="N1796" s="698"/>
      <c r="O1796" s="25"/>
      <c r="W1796" s="966" t="s">
        <v>398</v>
      </c>
      <c r="X1796" s="964" t="b">
        <f>IF(AND(I1638&lt;&gt;"",ISBLANK(L1796)),EUconst_Error&amp;"BM"&amp;C1638,FALSE)</f>
        <v>0</v>
      </c>
    </row>
    <row r="1797" spans="2:27" ht="5.0999999999999996" customHeight="1" x14ac:dyDescent="0.2">
      <c r="B1797" s="224"/>
      <c r="C1797" s="977"/>
      <c r="D1797" s="695"/>
      <c r="E1797" s="695"/>
      <c r="F1797" s="695"/>
      <c r="G1797" s="695"/>
      <c r="H1797" s="695"/>
      <c r="I1797" s="695"/>
      <c r="J1797" s="695"/>
      <c r="K1797" s="695"/>
      <c r="L1797" s="695"/>
      <c r="M1797" s="695"/>
      <c r="N1797" s="1205"/>
      <c r="O1797" s="25"/>
      <c r="P1797" s="982"/>
      <c r="R1797" s="955"/>
      <c r="S1797" s="955"/>
    </row>
    <row r="1798" spans="2:27" ht="12.75" customHeight="1" thickBot="1" x14ac:dyDescent="0.25">
      <c r="B1798" s="224"/>
      <c r="C1798" s="977"/>
      <c r="D1798" s="524"/>
      <c r="E1798" s="1653" t="str">
        <f>Translations!$B$814</f>
        <v>Importētie daudzumi:</v>
      </c>
      <c r="F1798" s="1657"/>
      <c r="G1798" s="1657"/>
      <c r="H1798" s="525" t="str">
        <f>EUconst_Unit</f>
        <v>Vienība</v>
      </c>
      <c r="I1798" s="463">
        <f>I$1820</f>
        <v>2019</v>
      </c>
      <c r="J1798" s="463">
        <f>J$1820</f>
        <v>2020</v>
      </c>
      <c r="K1798" s="463">
        <f>K$1820</f>
        <v>2021</v>
      </c>
      <c r="L1798" s="463">
        <f>L$1820</f>
        <v>2022</v>
      </c>
      <c r="M1798" s="463">
        <f>M$1820</f>
        <v>2023</v>
      </c>
      <c r="N1798" s="1205"/>
      <c r="O1798" s="25"/>
      <c r="P1798" s="982"/>
      <c r="R1798" s="955"/>
      <c r="S1798" s="955"/>
      <c r="AA1798" s="437" t="s">
        <v>262</v>
      </c>
    </row>
    <row r="1799" spans="2:27" ht="12.75" customHeight="1" x14ac:dyDescent="0.2">
      <c r="B1799" s="224"/>
      <c r="C1799" s="977"/>
      <c r="D1799" s="526" t="s">
        <v>3</v>
      </c>
      <c r="E1799" s="1745"/>
      <c r="F1799" s="1745"/>
      <c r="G1799" s="1745"/>
      <c r="H1799" s="82" t="str">
        <f>IF(E1799&lt;&gt;"",INDEX(EUconst_BMlistUnits,MATCH(E1799,EUconst_BMlistNames,0)),EUconst_Tons)</f>
        <v>tonnas</v>
      </c>
      <c r="I1799" s="334"/>
      <c r="J1799" s="334"/>
      <c r="K1799" s="334"/>
      <c r="L1799" s="334"/>
      <c r="M1799" s="334"/>
      <c r="N1799" s="1205"/>
      <c r="O1799" s="25"/>
      <c r="P1799" s="979" t="str">
        <f>EUconst_CNTR_IntermediateImport &amp; R1799 &amp; "_" &amp; I1638</f>
        <v>IntImp_1_</v>
      </c>
      <c r="R1799" s="979">
        <v>1</v>
      </c>
      <c r="S1799" s="955"/>
      <c r="AA1799" s="643" t="b">
        <f>AND(NOT(ISBLANK(L1796)),L1796=FALSE)</f>
        <v>0</v>
      </c>
    </row>
    <row r="1800" spans="2:27" ht="12.75" customHeight="1" x14ac:dyDescent="0.2">
      <c r="B1800" s="224"/>
      <c r="C1800" s="977"/>
      <c r="D1800" s="526" t="s">
        <v>4</v>
      </c>
      <c r="E1800" s="1746"/>
      <c r="F1800" s="1746"/>
      <c r="G1800" s="1746"/>
      <c r="H1800" s="74" t="str">
        <f>IF(E1800&lt;&gt;"",INDEX(EUconst_BMlistUnits,MATCH(E1800,EUconst_BMlistNames,0)),EUconst_Tons)</f>
        <v>tonnas</v>
      </c>
      <c r="I1800" s="333"/>
      <c r="J1800" s="333"/>
      <c r="K1800" s="333"/>
      <c r="L1800" s="333"/>
      <c r="M1800" s="333"/>
      <c r="N1800" s="1205"/>
      <c r="O1800" s="25"/>
      <c r="P1800" s="979" t="str">
        <f>EUconst_CNTR_IntermediateImport &amp; R1800 &amp; "_" &amp; I1638</f>
        <v>IntImp_2_</v>
      </c>
      <c r="R1800" s="979">
        <v>2</v>
      </c>
      <c r="S1800" s="955"/>
      <c r="AA1800" s="361" t="b">
        <f>AA1799</f>
        <v>0</v>
      </c>
    </row>
    <row r="1801" spans="2:27" ht="5.0999999999999996" customHeight="1" x14ac:dyDescent="0.2">
      <c r="B1801" s="224"/>
      <c r="C1801" s="977"/>
      <c r="D1801" s="695"/>
      <c r="E1801" s="695"/>
      <c r="F1801" s="695"/>
      <c r="G1801" s="695"/>
      <c r="H1801" s="695"/>
      <c r="I1801" s="695"/>
      <c r="J1801" s="695"/>
      <c r="K1801" s="695"/>
      <c r="L1801" s="695"/>
      <c r="M1801" s="695"/>
      <c r="N1801" s="1205"/>
      <c r="O1801" s="25"/>
      <c r="P1801" s="982"/>
      <c r="R1801" s="955"/>
      <c r="S1801" s="955"/>
      <c r="AA1801" s="607"/>
    </row>
    <row r="1802" spans="2:27" ht="12.75" customHeight="1" x14ac:dyDescent="0.2">
      <c r="B1802" s="224"/>
      <c r="C1802" s="977"/>
      <c r="D1802" s="524"/>
      <c r="E1802" s="1653" t="str">
        <f>Translations!$B$815</f>
        <v>Eksportētie daudzumi:</v>
      </c>
      <c r="F1802" s="1657"/>
      <c r="G1802" s="1657"/>
      <c r="H1802" s="525" t="str">
        <f>EUconst_Unit</f>
        <v>Vienība</v>
      </c>
      <c r="I1802" s="463">
        <f>I$1820</f>
        <v>2019</v>
      </c>
      <c r="J1802" s="463">
        <f>J$1820</f>
        <v>2020</v>
      </c>
      <c r="K1802" s="463">
        <f>K$1820</f>
        <v>2021</v>
      </c>
      <c r="L1802" s="463">
        <f>L$1820</f>
        <v>2022</v>
      </c>
      <c r="M1802" s="463">
        <f>M$1820</f>
        <v>2023</v>
      </c>
      <c r="N1802" s="1205"/>
      <c r="O1802" s="25"/>
      <c r="P1802" s="982"/>
      <c r="R1802" s="955"/>
      <c r="S1802" s="955"/>
      <c r="AA1802" s="607"/>
    </row>
    <row r="1803" spans="2:27" ht="12.75" customHeight="1" x14ac:dyDescent="0.2">
      <c r="B1803" s="224"/>
      <c r="C1803" s="977"/>
      <c r="D1803" s="526" t="s">
        <v>6</v>
      </c>
      <c r="E1803" s="1745"/>
      <c r="F1803" s="1745"/>
      <c r="G1803" s="1745"/>
      <c r="H1803" s="82" t="str">
        <f>IF(E1803&lt;&gt;"",INDEX(EUconst_BMlistUnits,MATCH(E1803,EUconst_BMlistNames,0)),EUconst_Tons)</f>
        <v>tonnas</v>
      </c>
      <c r="I1803" s="334"/>
      <c r="J1803" s="334"/>
      <c r="K1803" s="334"/>
      <c r="L1803" s="334"/>
      <c r="M1803" s="334"/>
      <c r="N1803" s="1205"/>
      <c r="O1803" s="25"/>
      <c r="P1803" s="979" t="str">
        <f>EUconst_CNTR_IntermediateExport &amp; R1799 &amp; "_" &amp; I1638</f>
        <v>IntExp_1_</v>
      </c>
      <c r="R1803" s="979">
        <v>1</v>
      </c>
      <c r="S1803" s="955"/>
      <c r="U1803" s="522"/>
      <c r="V1803" s="522"/>
      <c r="AA1803" s="361" t="b">
        <f>AA1799</f>
        <v>0</v>
      </c>
    </row>
    <row r="1804" spans="2:27" ht="12.75" customHeight="1" x14ac:dyDescent="0.2">
      <c r="B1804" s="224"/>
      <c r="C1804" s="977"/>
      <c r="D1804" s="526" t="s">
        <v>303</v>
      </c>
      <c r="E1804" s="1746"/>
      <c r="F1804" s="1746"/>
      <c r="G1804" s="1746"/>
      <c r="H1804" s="74" t="str">
        <f>IF(E1804&lt;&gt;"",INDEX(EUconst_BMlistUnits,MATCH(E1804,EUconst_BMlistNames,0)),EUconst_Tons)</f>
        <v>tonnas</v>
      </c>
      <c r="I1804" s="333"/>
      <c r="J1804" s="333"/>
      <c r="K1804" s="333"/>
      <c r="L1804" s="333"/>
      <c r="M1804" s="333"/>
      <c r="N1804" s="1205"/>
      <c r="O1804" s="25"/>
      <c r="P1804" s="979" t="str">
        <f>EUconst_CNTR_IntermediateExport &amp; R1804 &amp; "_" &amp; I1638</f>
        <v>IntExp_2_</v>
      </c>
      <c r="R1804" s="979">
        <v>2</v>
      </c>
      <c r="S1804" s="955"/>
      <c r="U1804" s="522"/>
      <c r="V1804" s="522"/>
      <c r="AA1804" s="361" t="b">
        <f>AA1799</f>
        <v>0</v>
      </c>
    </row>
    <row r="1805" spans="2:27" ht="5.0999999999999996" customHeight="1" x14ac:dyDescent="0.2">
      <c r="B1805" s="224"/>
      <c r="C1805" s="977"/>
      <c r="D1805" s="695"/>
      <c r="E1805" s="695"/>
      <c r="F1805" s="695"/>
      <c r="G1805" s="695"/>
      <c r="H1805" s="695"/>
      <c r="I1805" s="695"/>
      <c r="J1805" s="695"/>
      <c r="K1805" s="695"/>
      <c r="L1805" s="695"/>
      <c r="M1805" s="695"/>
      <c r="N1805" s="1205"/>
      <c r="O1805" s="25"/>
      <c r="P1805" s="982"/>
      <c r="R1805" s="955"/>
      <c r="S1805" s="955"/>
      <c r="U1805" s="522"/>
      <c r="V1805" s="522"/>
      <c r="AA1805" s="607"/>
    </row>
    <row r="1806" spans="2:27" ht="12.75" customHeight="1" x14ac:dyDescent="0.2">
      <c r="B1806" s="224"/>
      <c r="C1806" s="977"/>
      <c r="D1806" s="526" t="s">
        <v>304</v>
      </c>
      <c r="E1806" s="1738" t="str">
        <f>Translations!$B$816</f>
        <v>Importēto vai eksportēto starpproduktu apraksts</v>
      </c>
      <c r="F1806" s="1738"/>
      <c r="G1806" s="1738"/>
      <c r="H1806" s="1738"/>
      <c r="I1806" s="1738"/>
      <c r="J1806" s="1738"/>
      <c r="K1806" s="1738"/>
      <c r="L1806" s="1738"/>
      <c r="M1806" s="1738"/>
      <c r="N1806" s="1205"/>
      <c r="O1806" s="25"/>
      <c r="P1806" s="982"/>
      <c r="R1806" s="955"/>
      <c r="S1806" s="955"/>
      <c r="U1806" s="522"/>
      <c r="V1806" s="522"/>
      <c r="AA1806" s="607"/>
    </row>
    <row r="1807" spans="2:27" ht="12.75" customHeight="1" x14ac:dyDescent="0.2">
      <c r="B1807" s="224"/>
      <c r="C1807" s="977"/>
      <c r="D1807" s="695"/>
      <c r="E1807" s="1739"/>
      <c r="F1807" s="1740"/>
      <c r="G1807" s="1740"/>
      <c r="H1807" s="1740"/>
      <c r="I1807" s="1740"/>
      <c r="J1807" s="1740"/>
      <c r="K1807" s="1740"/>
      <c r="L1807" s="1740"/>
      <c r="M1807" s="1741"/>
      <c r="N1807" s="1205"/>
      <c r="O1807" s="25"/>
      <c r="P1807" s="982"/>
      <c r="R1807" s="955"/>
      <c r="S1807" s="955"/>
      <c r="U1807" s="522"/>
      <c r="V1807" s="522"/>
      <c r="AA1807" s="361" t="b">
        <f>AA1799</f>
        <v>0</v>
      </c>
    </row>
    <row r="1808" spans="2:27" ht="12.75" customHeight="1" thickBot="1" x14ac:dyDescent="0.25">
      <c r="B1808" s="224"/>
      <c r="C1808" s="977"/>
      <c r="D1808" s="695"/>
      <c r="E1808" s="1742"/>
      <c r="F1808" s="1743"/>
      <c r="G1808" s="1743"/>
      <c r="H1808" s="1743"/>
      <c r="I1808" s="1743"/>
      <c r="J1808" s="1743"/>
      <c r="K1808" s="1743"/>
      <c r="L1808" s="1743"/>
      <c r="M1808" s="1744"/>
      <c r="N1808" s="1205"/>
      <c r="O1808" s="25"/>
      <c r="P1808" s="982"/>
      <c r="R1808" s="955"/>
      <c r="S1808" s="955"/>
      <c r="U1808" s="522"/>
      <c r="V1808" s="522"/>
      <c r="AA1808" s="186" t="b">
        <f>AA1799</f>
        <v>0</v>
      </c>
    </row>
    <row r="1809" spans="1:27" ht="12.75" customHeight="1" thickBot="1" x14ac:dyDescent="0.25">
      <c r="B1809" s="224"/>
      <c r="C1809" s="983"/>
      <c r="D1809" s="984"/>
      <c r="E1809" s="984"/>
      <c r="F1809" s="984"/>
      <c r="G1809" s="984"/>
      <c r="H1809" s="984"/>
      <c r="I1809" s="984"/>
      <c r="J1809" s="984"/>
      <c r="K1809" s="984"/>
      <c r="L1809" s="984"/>
      <c r="M1809" s="985"/>
      <c r="N1809" s="986"/>
      <c r="O1809" s="25"/>
      <c r="P1809" s="955"/>
      <c r="R1809" s="955"/>
      <c r="S1809" s="955"/>
    </row>
    <row r="1810" spans="1:27" ht="13.5" thickBot="1" x14ac:dyDescent="0.25">
      <c r="B1810" s="38"/>
      <c r="C1810" s="38"/>
      <c r="D1810" s="38"/>
      <c r="E1810" s="38"/>
      <c r="F1810" s="38"/>
      <c r="G1810" s="38"/>
      <c r="H1810" s="38"/>
      <c r="I1810" s="38"/>
      <c r="J1810" s="38"/>
      <c r="K1810" s="38"/>
      <c r="L1810" s="38"/>
      <c r="M1810" s="38"/>
      <c r="N1810" s="38"/>
      <c r="O1810" s="25"/>
      <c r="P1810" s="362" t="str">
        <f>IF(OR(AND(CNTR_ExistProductSubEntries=FALSE,P1638=1),AND(I1638&lt;&gt;"",COUNTIF(P1811:$P$1814,"PRINT")=0)),"PRINT","")</f>
        <v/>
      </c>
      <c r="Q1810" s="437" t="s">
        <v>481</v>
      </c>
      <c r="R1810" s="955"/>
      <c r="S1810" s="955"/>
    </row>
    <row r="1811" spans="1:27" ht="5.0999999999999996" customHeight="1" x14ac:dyDescent="0.2">
      <c r="B1811" s="38"/>
      <c r="C1811" s="987"/>
      <c r="D1811" s="987"/>
      <c r="E1811" s="987"/>
      <c r="F1811" s="987"/>
      <c r="G1811" s="987"/>
      <c r="H1811" s="987"/>
      <c r="I1811" s="987"/>
      <c r="J1811" s="987"/>
      <c r="K1811" s="987"/>
      <c r="L1811" s="987"/>
      <c r="M1811" s="987"/>
      <c r="N1811" s="987"/>
      <c r="O1811" s="25"/>
      <c r="R1811" s="955"/>
      <c r="S1811" s="955"/>
    </row>
    <row r="1812" spans="1:27" x14ac:dyDescent="0.2">
      <c r="B1812" s="38"/>
      <c r="C1812" s="38"/>
      <c r="D1812" s="1519" t="str">
        <f>Translations!$B$73</f>
        <v xml:space="preserve">&lt;&lt;&lt; Lai pārietu uz nākamo lapu, klikšķiniet šeit &gt;&gt;&gt; </v>
      </c>
      <c r="E1812" s="1519"/>
      <c r="F1812" s="1519"/>
      <c r="G1812" s="1519"/>
      <c r="H1812" s="1519"/>
      <c r="I1812" s="1519"/>
      <c r="J1812" s="1519"/>
      <c r="K1812" s="1519"/>
      <c r="L1812" s="1519"/>
      <c r="M1812" s="1519"/>
      <c r="N1812" s="1519"/>
      <c r="O1812" s="25"/>
      <c r="R1812" s="955"/>
      <c r="S1812" s="955"/>
    </row>
    <row r="1813" spans="1:27" x14ac:dyDescent="0.2">
      <c r="B1813" s="38"/>
      <c r="C1813" s="38"/>
      <c r="D1813" s="38"/>
      <c r="E1813" s="38"/>
      <c r="F1813" s="38"/>
      <c r="G1813" s="38"/>
      <c r="H1813" s="38"/>
      <c r="I1813" s="38"/>
      <c r="J1813" s="38"/>
      <c r="K1813" s="38"/>
      <c r="L1813" s="38"/>
      <c r="M1813" s="38"/>
      <c r="N1813" s="38"/>
      <c r="O1813" s="25"/>
      <c r="R1813" s="955"/>
      <c r="S1813" s="955"/>
    </row>
    <row r="1814" spans="1:27" hidden="1" x14ac:dyDescent="0.2">
      <c r="A1814" s="20" t="s">
        <v>93</v>
      </c>
      <c r="B1814" s="20" t="s">
        <v>336</v>
      </c>
      <c r="C1814" s="20" t="s">
        <v>336</v>
      </c>
      <c r="D1814" s="20" t="s">
        <v>336</v>
      </c>
      <c r="E1814" s="20" t="s">
        <v>336</v>
      </c>
      <c r="F1814" s="20" t="s">
        <v>336</v>
      </c>
      <c r="G1814" s="20"/>
      <c r="H1814" s="20" t="s">
        <v>336</v>
      </c>
      <c r="I1814" s="20" t="s">
        <v>336</v>
      </c>
      <c r="J1814" s="20" t="s">
        <v>336</v>
      </c>
      <c r="K1814" s="20" t="s">
        <v>336</v>
      </c>
      <c r="L1814" s="20" t="s">
        <v>336</v>
      </c>
      <c r="M1814" s="20" t="s">
        <v>336</v>
      </c>
      <c r="N1814" s="20" t="s">
        <v>336</v>
      </c>
      <c r="O1814" s="20" t="s">
        <v>336</v>
      </c>
      <c r="P1814" s="20" t="s">
        <v>336</v>
      </c>
      <c r="Q1814" s="20" t="s">
        <v>336</v>
      </c>
      <c r="R1814" s="20" t="s">
        <v>336</v>
      </c>
      <c r="S1814" s="20" t="s">
        <v>336</v>
      </c>
      <c r="T1814" s="20" t="s">
        <v>336</v>
      </c>
      <c r="U1814" s="20" t="s">
        <v>336</v>
      </c>
      <c r="V1814" s="20" t="s">
        <v>336</v>
      </c>
      <c r="W1814" s="20" t="s">
        <v>336</v>
      </c>
      <c r="X1814" s="20" t="s">
        <v>336</v>
      </c>
      <c r="Y1814" s="20" t="s">
        <v>336</v>
      </c>
      <c r="Z1814" s="20" t="s">
        <v>336</v>
      </c>
      <c r="AA1814" s="20" t="s">
        <v>336</v>
      </c>
    </row>
    <row r="1815" spans="1:27" hidden="1" x14ac:dyDescent="0.2">
      <c r="A1815" s="20" t="s">
        <v>93</v>
      </c>
      <c r="R1815" s="955"/>
      <c r="S1815" s="955"/>
    </row>
    <row r="1816" spans="1:27" ht="13.5" hidden="1" thickBot="1" x14ac:dyDescent="0.25">
      <c r="A1816" s="20" t="s">
        <v>93</v>
      </c>
      <c r="B1816" s="20"/>
      <c r="C1816" s="20"/>
      <c r="D1816" s="63" t="s">
        <v>337</v>
      </c>
      <c r="E1816" s="20"/>
      <c r="F1816" s="20"/>
      <c r="G1816" s="20"/>
      <c r="H1816" s="20"/>
      <c r="I1816" s="20"/>
      <c r="J1816" s="20"/>
      <c r="K1816" s="20"/>
      <c r="L1816" s="20"/>
      <c r="M1816" s="20"/>
      <c r="N1816" s="20"/>
      <c r="O1816" s="20"/>
      <c r="R1816" s="955"/>
      <c r="S1816" s="955"/>
    </row>
    <row r="1817" spans="1:27" hidden="1" x14ac:dyDescent="0.2">
      <c r="A1817" s="20" t="s">
        <v>93</v>
      </c>
      <c r="E1817" s="180" t="s">
        <v>227</v>
      </c>
      <c r="F1817" s="84"/>
      <c r="G1817" s="84"/>
      <c r="H1817" s="84"/>
      <c r="I1817" s="84"/>
      <c r="J1817" s="84"/>
      <c r="K1817" s="84"/>
      <c r="L1817" s="84"/>
      <c r="M1817" s="84"/>
      <c r="N1817" s="86"/>
      <c r="R1817" s="955"/>
      <c r="S1817" s="955"/>
    </row>
    <row r="1818" spans="1:27" hidden="1" x14ac:dyDescent="0.2">
      <c r="A1818" s="20" t="s">
        <v>93</v>
      </c>
      <c r="E1818" s="119" t="s">
        <v>340</v>
      </c>
      <c r="F1818" s="41"/>
      <c r="G1818" s="41"/>
      <c r="H1818" s="41"/>
      <c r="I1818" s="170">
        <v>1</v>
      </c>
      <c r="J1818" s="170">
        <v>2</v>
      </c>
      <c r="K1818" s="170">
        <v>3</v>
      </c>
      <c r="L1818" s="170">
        <v>4</v>
      </c>
      <c r="M1818" s="170">
        <v>5</v>
      </c>
      <c r="N1818" s="173"/>
      <c r="R1818" s="955"/>
      <c r="S1818" s="955"/>
    </row>
    <row r="1819" spans="1:27" hidden="1" x14ac:dyDescent="0.2">
      <c r="A1819" s="20" t="s">
        <v>93</v>
      </c>
      <c r="E1819" s="174" t="s">
        <v>457</v>
      </c>
      <c r="F1819" s="41"/>
      <c r="G1819" s="41"/>
      <c r="H1819" s="41"/>
      <c r="I1819" s="170">
        <f>INDEX(EUconst_ReportingYears,I1818)</f>
        <v>2014</v>
      </c>
      <c r="J1819" s="170">
        <f>INDEX(EUconst_ReportingYears,J1818)</f>
        <v>2015</v>
      </c>
      <c r="K1819" s="170">
        <f>INDEX(EUconst_ReportingYears,K1818)</f>
        <v>2016</v>
      </c>
      <c r="L1819" s="170">
        <f>INDEX(EUconst_ReportingYears,L1818)</f>
        <v>2017</v>
      </c>
      <c r="M1819" s="170">
        <f>INDEX(EUconst_ReportingYears,M1818)</f>
        <v>2018</v>
      </c>
      <c r="N1819" s="173"/>
      <c r="R1819" s="955"/>
      <c r="S1819" s="955"/>
    </row>
    <row r="1820" spans="1:27" hidden="1" x14ac:dyDescent="0.2">
      <c r="A1820" s="20" t="s">
        <v>93</v>
      </c>
      <c r="E1820" s="174" t="s">
        <v>456</v>
      </c>
      <c r="F1820" s="171"/>
      <c r="G1820" s="171"/>
      <c r="H1820" s="171"/>
      <c r="I1820" s="172">
        <f>IF(CNTR_BaselinePeriod=EUconst_NA,I1819,INDEX(EUconst_ReportingYears,I1818)+(CNTR_BaselinePeriod-1)*5)</f>
        <v>2019</v>
      </c>
      <c r="J1820" s="172">
        <f>IF(CNTR_BaselinePeriod=EUconst_NA,J1819,INDEX(EUconst_ReportingYears,J1818)+(CNTR_BaselinePeriod-1)*5)</f>
        <v>2020</v>
      </c>
      <c r="K1820" s="172">
        <f>IF(CNTR_BaselinePeriod=EUconst_NA,K1819,INDEX(EUconst_ReportingYears,K1818)+(CNTR_BaselinePeriod-1)*5)</f>
        <v>2021</v>
      </c>
      <c r="L1820" s="172">
        <f>IF(CNTR_BaselinePeriod=EUconst_NA,L1819,INDEX(EUconst_ReportingYears,L1818)+(CNTR_BaselinePeriod-1)*5)</f>
        <v>2022</v>
      </c>
      <c r="M1820" s="172">
        <f>IF(CNTR_BaselinePeriod=EUconst_NA,M1819,INDEX(EUconst_ReportingYears,M1818)+(CNTR_BaselinePeriod-1)*5)</f>
        <v>2023</v>
      </c>
      <c r="N1820" s="175"/>
      <c r="O1820" s="38"/>
      <c r="R1820" s="955"/>
      <c r="S1820" s="955"/>
    </row>
    <row r="1821" spans="1:27" hidden="1" x14ac:dyDescent="0.2">
      <c r="A1821" s="20" t="s">
        <v>93</v>
      </c>
      <c r="E1821" s="174" t="s">
        <v>226</v>
      </c>
      <c r="F1821" s="171"/>
      <c r="G1821" s="171"/>
      <c r="H1821" s="171"/>
      <c r="I1821" s="172">
        <v>1</v>
      </c>
      <c r="J1821" s="172">
        <v>1</v>
      </c>
      <c r="K1821" s="172">
        <v>1</v>
      </c>
      <c r="L1821" s="172">
        <v>1</v>
      </c>
      <c r="M1821" s="172">
        <v>1</v>
      </c>
      <c r="N1821" s="175"/>
      <c r="R1821" s="955"/>
      <c r="S1821" s="955"/>
    </row>
    <row r="1822" spans="1:27" hidden="1" x14ac:dyDescent="0.2">
      <c r="A1822" s="20" t="s">
        <v>93</v>
      </c>
      <c r="E1822" s="174" t="s">
        <v>224</v>
      </c>
      <c r="F1822" s="171"/>
      <c r="G1822" s="171"/>
      <c r="H1822" s="171"/>
      <c r="I1822" s="171" t="b">
        <f>(I1821=CNTR_BaselinePeriod)</f>
        <v>0</v>
      </c>
      <c r="J1822" s="171" t="b">
        <f>(J1821=CNTR_BaselinePeriod)</f>
        <v>0</v>
      </c>
      <c r="K1822" s="171" t="b">
        <f>(K1821=CNTR_BaselinePeriod)</f>
        <v>0</v>
      </c>
      <c r="L1822" s="171" t="b">
        <f>(L1821=CNTR_BaselinePeriod)</f>
        <v>0</v>
      </c>
      <c r="M1822" s="171" t="b">
        <f>(M1821=CNTR_BaselinePeriod)</f>
        <v>0</v>
      </c>
      <c r="N1822" s="176"/>
      <c r="R1822" s="955"/>
      <c r="S1822" s="955"/>
    </row>
    <row r="1823" spans="1:27" ht="13.5" hidden="1" thickBot="1" x14ac:dyDescent="0.25">
      <c r="A1823" s="20" t="s">
        <v>93</v>
      </c>
      <c r="E1823" s="177" t="s">
        <v>225</v>
      </c>
      <c r="F1823" s="178"/>
      <c r="G1823" s="178"/>
      <c r="H1823" s="178"/>
      <c r="I1823" s="178">
        <f>INDEX(CNTR_BaslineYearRelevant,I1818)</f>
        <v>0</v>
      </c>
      <c r="J1823" s="178">
        <f>INDEX(CNTR_BaslineYearRelevant,J1818)</f>
        <v>0</v>
      </c>
      <c r="K1823" s="178">
        <f>INDEX(CNTR_BaslineYearRelevant,K1818)</f>
        <v>0</v>
      </c>
      <c r="L1823" s="178">
        <f>INDEX(CNTR_BaslineYearRelevant,L1818)</f>
        <v>0</v>
      </c>
      <c r="M1823" s="178">
        <f>INDEX(CNTR_BaslineYearRelevant,M1818)</f>
        <v>0</v>
      </c>
      <c r="N1823" s="179"/>
      <c r="R1823" s="955"/>
      <c r="S1823" s="955"/>
    </row>
    <row r="1824" spans="1:27" hidden="1" x14ac:dyDescent="0.2">
      <c r="A1824" s="20" t="s">
        <v>93</v>
      </c>
      <c r="R1824" s="955"/>
      <c r="S1824" s="955"/>
    </row>
    <row r="1825" spans="1:23" hidden="1" x14ac:dyDescent="0.2">
      <c r="A1825" s="20" t="s">
        <v>93</v>
      </c>
      <c r="E1825" s="64" t="str">
        <f>Translations!$B$1673</f>
        <v>No ETS neaptvertām iekārtām/vienībām importētā izmērāmā siltuma summa tālākai izmantošanai lapā “E_EnergyFlows”:</v>
      </c>
      <c r="R1825" s="955"/>
      <c r="S1825" s="955"/>
    </row>
    <row r="1826" spans="1:23" ht="13.5" hidden="1" thickBot="1" x14ac:dyDescent="0.25">
      <c r="A1826" s="20" t="s">
        <v>93</v>
      </c>
      <c r="E1826" s="41"/>
      <c r="F1826" s="41"/>
      <c r="G1826" s="41"/>
      <c r="H1826" s="41"/>
      <c r="I1826" s="41">
        <f>I$1820</f>
        <v>2019</v>
      </c>
      <c r="J1826" s="41">
        <f>J$1820</f>
        <v>2020</v>
      </c>
      <c r="K1826" s="41">
        <f>K$1820</f>
        <v>2021</v>
      </c>
      <c r="L1826" s="41">
        <f>L$1820</f>
        <v>2022</v>
      </c>
      <c r="M1826" s="41">
        <f>M$1820</f>
        <v>2023</v>
      </c>
      <c r="P1826" s="20" t="s">
        <v>296</v>
      </c>
      <c r="R1826" s="955"/>
      <c r="S1826" s="955"/>
    </row>
    <row r="1827" spans="1:23" ht="13.5" hidden="1" thickBot="1" x14ac:dyDescent="0.25">
      <c r="A1827" s="20" t="s">
        <v>93</v>
      </c>
      <c r="E1827" s="205" t="s">
        <v>295</v>
      </c>
      <c r="F1827" s="205"/>
      <c r="G1827" s="205"/>
      <c r="H1827" s="205"/>
      <c r="I1827" s="205">
        <f t="array" ref="I1827">SUM(IF(($P$11:$P$1814=$P1827)*ISNUMBER(I$11:I$1814),1,0))</f>
        <v>0</v>
      </c>
      <c r="J1827" s="205">
        <f t="array" ref="J1827">SUM(IF(($P$11:$P$1814=$P1827)*ISNUMBER(J$11:J$1814),1,0))</f>
        <v>0</v>
      </c>
      <c r="K1827" s="205">
        <f t="array" ref="K1827">SUM(IF(($P$11:$P$1814=$P1827)*ISNUMBER(K$11:K$1814),1,0))</f>
        <v>0</v>
      </c>
      <c r="L1827" s="205">
        <f t="array" ref="L1827">SUM(IF(($P$11:$P$1814=$P1827)*ISNUMBER(L$11:L$1814),1,0))</f>
        <v>0</v>
      </c>
      <c r="M1827" s="205">
        <f t="array" ref="M1827">SUM(IF(($P$11:$P$1814=$P1827)*ISNUMBER(M$11:M$1814),1,0))</f>
        <v>0</v>
      </c>
      <c r="P1827" s="204" t="str">
        <f>EUconst_CNTR_HAL&amp;EUconst_CNTR_nonETSMeasHeat</f>
        <v>HAL_ETS neaptverts izmērāmais siltums</v>
      </c>
      <c r="R1827" s="955"/>
      <c r="S1827" s="955"/>
    </row>
    <row r="1828" spans="1:23" ht="13.5" hidden="1" thickBot="1" x14ac:dyDescent="0.25">
      <c r="A1828" s="20" t="s">
        <v>93</v>
      </c>
      <c r="E1828" s="206" t="str">
        <f>Translations!$B$1674</f>
        <v>Izmērāmais siltums (agregēts)</v>
      </c>
      <c r="F1828" s="207"/>
      <c r="G1828" s="207"/>
      <c r="H1828" s="208" t="str">
        <f>EUconst_TJpa</f>
        <v>TJ / gads</v>
      </c>
      <c r="I1828" s="209" t="str">
        <f>IF(I1827&gt;0,SUMIF($P$11:$P$1814,$P1827,I$11:I$1814),"")</f>
        <v/>
      </c>
      <c r="J1828" s="209" t="str">
        <f>IF(J1827&gt;0,SUMIF($P$11:$P$1814,$P1827,J$11:J$1814),"")</f>
        <v/>
      </c>
      <c r="K1828" s="209" t="str">
        <f>IF(K1827&gt;0,SUMIF($P$11:$P$1814,$P1827,K$11:K$1814),"")</f>
        <v/>
      </c>
      <c r="L1828" s="209" t="str">
        <f>IF(L1827&gt;0,SUMIF($P$11:$P$1814,$P1827,L$11:L$1814),"")</f>
        <v/>
      </c>
      <c r="M1828" s="210" t="str">
        <f>IF(M1827&gt;0,SUMIF($P$11:$P$1814,$P1827,M$11:M$1814),"")</f>
        <v/>
      </c>
      <c r="P1828" s="20" t="s">
        <v>298</v>
      </c>
      <c r="R1828" s="955"/>
      <c r="S1828" s="955"/>
    </row>
    <row r="1829" spans="1:23" hidden="1" x14ac:dyDescent="0.2">
      <c r="A1829" s="20" t="s">
        <v>93</v>
      </c>
      <c r="R1829" s="955"/>
      <c r="S1829" s="955"/>
    </row>
    <row r="1830" spans="1:23" hidden="1" x14ac:dyDescent="0.2">
      <c r="A1830" s="20" t="s">
        <v>93</v>
      </c>
      <c r="E1830" s="64" t="str">
        <f>Translations!$B$1675</f>
        <v>Apmaināmās elektroenerģijas summa apstiprināšanai lapā “E_EnergyFlows”:</v>
      </c>
      <c r="R1830" s="955"/>
      <c r="S1830" s="955"/>
    </row>
    <row r="1831" spans="1:23" ht="13.5" hidden="1" thickBot="1" x14ac:dyDescent="0.25">
      <c r="A1831" s="20" t="s">
        <v>93</v>
      </c>
      <c r="E1831" s="41"/>
      <c r="F1831" s="41"/>
      <c r="G1831" s="41"/>
      <c r="H1831" s="41"/>
      <c r="I1831" s="41">
        <f>I$1820</f>
        <v>2019</v>
      </c>
      <c r="J1831" s="41">
        <f>J$1820</f>
        <v>2020</v>
      </c>
      <c r="K1831" s="41">
        <f>K$1820</f>
        <v>2021</v>
      </c>
      <c r="L1831" s="41">
        <f>L$1820</f>
        <v>2022</v>
      </c>
      <c r="M1831" s="41">
        <f>M$1820</f>
        <v>2023</v>
      </c>
      <c r="P1831" s="20" t="s">
        <v>296</v>
      </c>
      <c r="R1831" s="955"/>
      <c r="S1831" s="955"/>
    </row>
    <row r="1832" spans="1:23" ht="13.5" hidden="1" thickBot="1" x14ac:dyDescent="0.25">
      <c r="A1832" s="20" t="s">
        <v>93</v>
      </c>
      <c r="E1832" s="205" t="s">
        <v>295</v>
      </c>
      <c r="F1832" s="205"/>
      <c r="G1832" s="205"/>
      <c r="H1832" s="205"/>
      <c r="I1832" s="205">
        <f t="array" ref="I1832">SUM(IF(($P$11:$P$1814=$P1832)*ISNUMBER(I$11:I$1814),1,0))</f>
        <v>0</v>
      </c>
      <c r="J1832" s="205">
        <f t="array" ref="J1832">SUM(IF(($P$11:$P$1814=$P1832)*ISNUMBER(J$11:J$1814),1,0))</f>
        <v>0</v>
      </c>
      <c r="K1832" s="205">
        <f t="array" ref="K1832">SUM(IF(($P$11:$P$1814=$P1832)*ISNUMBER(K$11:K$1814),1,0))</f>
        <v>0</v>
      </c>
      <c r="L1832" s="205">
        <f t="array" ref="L1832">SUM(IF(($P$11:$P$1814=$P1832)*ISNUMBER(L$11:L$1814),1,0))</f>
        <v>0</v>
      </c>
      <c r="M1832" s="205">
        <f t="array" ref="M1832">SUM(IF(($P$11:$P$1814=$P1832)*ISNUMBER(M$11:M$1814),1,0))</f>
        <v>0</v>
      </c>
      <c r="P1832" s="204" t="str">
        <f>EUconst_CNTR_HAL&amp;EUconst_CNTR_ELEXCH</f>
        <v>HAL_ELEXCH_</v>
      </c>
      <c r="R1832" s="955"/>
      <c r="S1832" s="955"/>
    </row>
    <row r="1833" spans="1:23" ht="13.5" hidden="1" thickBot="1" x14ac:dyDescent="0.25">
      <c r="A1833" s="20" t="s">
        <v>93</v>
      </c>
      <c r="E1833" s="206" t="str">
        <f>Translations!$B$1674</f>
        <v>Izmērāmais siltums (agregēts)</v>
      </c>
      <c r="F1833" s="207"/>
      <c r="G1833" s="207"/>
      <c r="H1833" s="208" t="str">
        <f>EUconst_TJpa</f>
        <v>TJ / gads</v>
      </c>
      <c r="I1833" s="209" t="str">
        <f>IF(I1832&gt;0,SUMIF($P$11:$P$1814,$P1832,I$11:I$1814),"")</f>
        <v/>
      </c>
      <c r="J1833" s="209" t="str">
        <f>IF(J1832&gt;0,SUMIF($P$11:$P$1814,$P1832,J$11:J$1814),"")</f>
        <v/>
      </c>
      <c r="K1833" s="209" t="str">
        <f>IF(K1832&gt;0,SUMIF($P$11:$P$1814,$P1832,K$11:K$1814),"")</f>
        <v/>
      </c>
      <c r="L1833" s="209" t="str">
        <f>IF(L1832&gt;0,SUMIF($P$11:$P$1814,$P1832,L$11:L$1814),"")</f>
        <v/>
      </c>
      <c r="M1833" s="210" t="str">
        <f>IF(M1832&gt;0,SUMIF($P$11:$P$1814,$P1832,M$11:M$1814),"")</f>
        <v/>
      </c>
      <c r="P1833" s="20" t="s">
        <v>236</v>
      </c>
      <c r="R1833" s="955"/>
      <c r="S1833" s="955"/>
    </row>
    <row r="1834" spans="1:23" ht="13.5" hidden="1" thickBot="1" x14ac:dyDescent="0.25">
      <c r="A1834" s="20" t="s">
        <v>93</v>
      </c>
      <c r="R1834" s="955"/>
      <c r="S1834" s="955"/>
    </row>
    <row r="1835" spans="1:23" hidden="1" x14ac:dyDescent="0.2">
      <c r="A1835" s="20" t="s">
        <v>93</v>
      </c>
      <c r="E1835" s="583" t="s">
        <v>654</v>
      </c>
      <c r="R1835" s="970"/>
      <c r="S1835" s="809">
        <f>I1820</f>
        <v>2019</v>
      </c>
      <c r="T1835" s="809">
        <f>J1820</f>
        <v>2020</v>
      </c>
      <c r="U1835" s="809">
        <f>K1820</f>
        <v>2021</v>
      </c>
      <c r="V1835" s="809">
        <f>L1820</f>
        <v>2022</v>
      </c>
      <c r="W1835" s="810">
        <f>M1820</f>
        <v>2023</v>
      </c>
    </row>
    <row r="1836" spans="1:23" ht="13.5" hidden="1" thickBot="1" x14ac:dyDescent="0.25">
      <c r="A1836" s="20" t="s">
        <v>93</v>
      </c>
      <c r="E1836" s="1133" t="str">
        <f>INDEX(EUconst_BMlistNames,MATCH(50,EUconst_BMlistMainNumberOfBM,0))</f>
        <v>Ūdeņradis</v>
      </c>
      <c r="F1836" s="1134"/>
      <c r="G1836" s="1134"/>
      <c r="H1836" s="1134"/>
      <c r="I1836" s="1134"/>
      <c r="J1836" s="1134"/>
      <c r="K1836" s="1134"/>
      <c r="L1836" s="1134"/>
      <c r="M1836" s="1135"/>
      <c r="P1836" s="134" t="str">
        <f>EUconst_CNTR_H2AdditionalEmissions</f>
        <v>H2AddEm_</v>
      </c>
      <c r="R1836" s="971" t="str">
        <f>EUconst_CNTR_AttributedEmissions &amp; E1836</f>
        <v>AttrEmissions_Ūdeņradis</v>
      </c>
      <c r="S1836" s="1100">
        <f>SUMIFS(K_Summary!I:I,K_Summary!$P:$P,$P1836)</f>
        <v>0</v>
      </c>
      <c r="T1836" s="1100">
        <f>SUMIFS(K_Summary!J:J,K_Summary!$P:$P,$P1836)</f>
        <v>0</v>
      </c>
      <c r="U1836" s="1100">
        <f>SUMIFS(K_Summary!K:K,K_Summary!$P:$P,$P1836)</f>
        <v>0</v>
      </c>
      <c r="V1836" s="1100">
        <f>SUMIFS(K_Summary!L:L,K_Summary!$P:$P,$P1836)</f>
        <v>0</v>
      </c>
      <c r="W1836" s="1098">
        <f>SUMIFS(K_Summary!M:M,K_Summary!$P:$P,$P1836)</f>
        <v>0</v>
      </c>
    </row>
    <row r="1837" spans="1:23" ht="13.5" hidden="1" thickBot="1" x14ac:dyDescent="0.25">
      <c r="A1837" s="20" t="s">
        <v>93</v>
      </c>
      <c r="E1837" s="1136" t="str">
        <f>INDEX(EUconst_BMlistNames,MATCH(42,EUconst_BMlistMainNumberOfBM,0))</f>
        <v>Tvaika krekings</v>
      </c>
      <c r="M1837" s="110"/>
      <c r="P1837" s="134" t="str">
        <f>EUconst_CNTR_HVC</f>
        <v>HVC_</v>
      </c>
      <c r="R1837" s="971" t="str">
        <f>EUconst_CNTR_AttributedEmissions &amp; E1837</f>
        <v>AttrEmissions_Tvaika krekings</v>
      </c>
      <c r="S1837" s="1100">
        <f>SUMIFS(K_Summary!I:I,K_Summary!$P:$P,$P1837)</f>
        <v>0</v>
      </c>
      <c r="T1837" s="1100">
        <f>SUMIFS(K_Summary!J:J,K_Summary!$P:$P,$P1837)</f>
        <v>0</v>
      </c>
      <c r="U1837" s="1100">
        <f>SUMIFS(K_Summary!K:K,K_Summary!$P:$P,$P1837)</f>
        <v>0</v>
      </c>
      <c r="V1837" s="1100">
        <f>SUMIFS(K_Summary!L:L,K_Summary!$P:$P,$P1837)</f>
        <v>0</v>
      </c>
      <c r="W1837" s="1098">
        <f>SUMIFS(K_Summary!M:M,K_Summary!$P:$P,$P1837)</f>
        <v>0</v>
      </c>
    </row>
    <row r="1838" spans="1:23" ht="13.5" hidden="1" thickBot="1" x14ac:dyDescent="0.25">
      <c r="A1838" s="20" t="s">
        <v>93</v>
      </c>
      <c r="E1838" s="1137" t="str">
        <f>INDEX(EUconst_BMlistNames,MATCH(47,EUconst_BMlistMainNumberOfBM,0))</f>
        <v>Vinilhlorīda monomērs</v>
      </c>
      <c r="F1838" s="1138"/>
      <c r="G1838" s="1138"/>
      <c r="H1838" s="1138"/>
      <c r="I1838" s="1138"/>
      <c r="J1838" s="1138"/>
      <c r="K1838" s="1138"/>
      <c r="L1838" s="1138"/>
      <c r="M1838" s="1139"/>
      <c r="P1838" s="769" t="str">
        <f>EUconst_CNTR_VCM</f>
        <v>VCM_</v>
      </c>
      <c r="R1838" s="971" t="str">
        <f>EUconst_CNTR_AttributedEmissions &amp; E1838</f>
        <v>AttrEmissions_Vinilhlorīda monomērs</v>
      </c>
      <c r="S1838" s="1100">
        <f>SUMIFS(K_Summary!I:I,K_Summary!$P:$P,$P1838)/EUconst_HeatBMvalue*EUconst_HeatBMvalueForBM</f>
        <v>0</v>
      </c>
      <c r="T1838" s="1100">
        <f>SUMIFS(K_Summary!J:J,K_Summary!$P:$P,$P1838)/EUconst_HeatBMvalue*EUconst_HeatBMvalueForBM</f>
        <v>0</v>
      </c>
      <c r="U1838" s="1100">
        <f>SUMIFS(K_Summary!K:K,K_Summary!$P:$P,$P1838)/EUconst_HeatBMvalue*EUconst_HeatBMvalueForBM</f>
        <v>0</v>
      </c>
      <c r="V1838" s="1100">
        <f>SUMIFS(K_Summary!L:L,K_Summary!$P:$P,$P1838)/EUconst_HeatBMvalue*EUconst_HeatBMvalueForBM</f>
        <v>0</v>
      </c>
      <c r="W1838" s="1098">
        <f>SUMIFS(K_Summary!M:M,K_Summary!$P:$P,$P1838)/EUconst_HeatBMvalue*EUconst_HeatBMvalueForBM</f>
        <v>0</v>
      </c>
    </row>
    <row r="1839" spans="1:23" hidden="1" x14ac:dyDescent="0.2">
      <c r="A1839" s="20" t="s">
        <v>93</v>
      </c>
      <c r="R1839" s="955"/>
      <c r="S1839" s="955"/>
    </row>
    <row r="1840" spans="1:23" hidden="1" x14ac:dyDescent="0.2">
      <c r="A1840" s="20" t="s">
        <v>93</v>
      </c>
      <c r="E1840" s="19" t="s">
        <v>312</v>
      </c>
      <c r="R1840" s="955"/>
      <c r="S1840" s="955"/>
    </row>
    <row r="1841" spans="1:19" hidden="1" x14ac:dyDescent="0.2">
      <c r="A1841" s="20" t="s">
        <v>93</v>
      </c>
      <c r="F1841" s="19" t="s">
        <v>399</v>
      </c>
      <c r="G1841" s="67" t="b">
        <f t="shared" ref="G1841:G1850" si="20">(COUNTIF($X$11:$X$1814,EUconst_Error&amp;F1841)&gt;0)</f>
        <v>0</v>
      </c>
      <c r="R1841" s="955"/>
      <c r="S1841" s="955"/>
    </row>
    <row r="1842" spans="1:19" hidden="1" x14ac:dyDescent="0.2">
      <c r="A1842" s="20" t="s">
        <v>93</v>
      </c>
      <c r="F1842" s="19" t="s">
        <v>400</v>
      </c>
      <c r="G1842" s="67" t="b">
        <f t="shared" si="20"/>
        <v>0</v>
      </c>
      <c r="R1842" s="955"/>
      <c r="S1842" s="955"/>
    </row>
    <row r="1843" spans="1:19" hidden="1" x14ac:dyDescent="0.2">
      <c r="A1843" s="20" t="s">
        <v>93</v>
      </c>
      <c r="F1843" s="19" t="s">
        <v>401</v>
      </c>
      <c r="G1843" s="67" t="b">
        <f t="shared" si="20"/>
        <v>0</v>
      </c>
      <c r="R1843" s="955"/>
      <c r="S1843" s="955"/>
    </row>
    <row r="1844" spans="1:19" hidden="1" x14ac:dyDescent="0.2">
      <c r="A1844" s="20" t="s">
        <v>93</v>
      </c>
      <c r="F1844" s="19" t="s">
        <v>402</v>
      </c>
      <c r="G1844" s="67" t="b">
        <f t="shared" si="20"/>
        <v>0</v>
      </c>
      <c r="R1844" s="955"/>
      <c r="S1844" s="955"/>
    </row>
    <row r="1845" spans="1:19" hidden="1" x14ac:dyDescent="0.2">
      <c r="A1845" s="20" t="s">
        <v>93</v>
      </c>
      <c r="F1845" s="19" t="s">
        <v>403</v>
      </c>
      <c r="G1845" s="67" t="b">
        <f t="shared" si="20"/>
        <v>0</v>
      </c>
      <c r="R1845" s="955"/>
      <c r="S1845" s="955"/>
    </row>
    <row r="1846" spans="1:19" hidden="1" x14ac:dyDescent="0.2">
      <c r="A1846" s="20" t="s">
        <v>93</v>
      </c>
      <c r="F1846" s="19" t="s">
        <v>404</v>
      </c>
      <c r="G1846" s="67" t="b">
        <f t="shared" si="20"/>
        <v>0</v>
      </c>
      <c r="R1846" s="955"/>
      <c r="S1846" s="955"/>
    </row>
    <row r="1847" spans="1:19" hidden="1" x14ac:dyDescent="0.2">
      <c r="A1847" s="20" t="s">
        <v>93</v>
      </c>
      <c r="F1847" s="19" t="s">
        <v>405</v>
      </c>
      <c r="G1847" s="67" t="b">
        <f t="shared" si="20"/>
        <v>0</v>
      </c>
      <c r="R1847" s="955"/>
      <c r="S1847" s="955"/>
    </row>
    <row r="1848" spans="1:19" hidden="1" x14ac:dyDescent="0.2">
      <c r="A1848" s="20" t="s">
        <v>93</v>
      </c>
      <c r="F1848" s="19" t="s">
        <v>406</v>
      </c>
      <c r="G1848" s="67" t="b">
        <f t="shared" si="20"/>
        <v>0</v>
      </c>
      <c r="R1848" s="955"/>
      <c r="S1848" s="955"/>
    </row>
    <row r="1849" spans="1:19" hidden="1" x14ac:dyDescent="0.2">
      <c r="A1849" s="20" t="s">
        <v>93</v>
      </c>
      <c r="F1849" s="19" t="s">
        <v>407</v>
      </c>
      <c r="G1849" s="67" t="b">
        <f t="shared" si="20"/>
        <v>0</v>
      </c>
      <c r="R1849" s="955"/>
      <c r="S1849" s="955"/>
    </row>
    <row r="1850" spans="1:19" ht="13.5" hidden="1" thickBot="1" x14ac:dyDescent="0.25">
      <c r="A1850" s="20" t="s">
        <v>93</v>
      </c>
      <c r="F1850" s="19" t="s">
        <v>408</v>
      </c>
      <c r="G1850" s="67" t="b">
        <f t="shared" si="20"/>
        <v>0</v>
      </c>
      <c r="R1850" s="955"/>
      <c r="S1850" s="955"/>
    </row>
    <row r="1851" spans="1:19" ht="13.5" hidden="1" thickBot="1" x14ac:dyDescent="0.25">
      <c r="A1851" s="20" t="s">
        <v>93</v>
      </c>
      <c r="F1851" s="64" t="s">
        <v>313</v>
      </c>
      <c r="G1851" s="286" t="b">
        <f>OR(G1841:G1850)</f>
        <v>0</v>
      </c>
      <c r="R1851" s="955"/>
      <c r="S1851" s="955"/>
    </row>
    <row r="1852" spans="1:19" hidden="1" x14ac:dyDescent="0.2">
      <c r="A1852" s="20" t="s">
        <v>93</v>
      </c>
      <c r="R1852" s="955"/>
      <c r="S1852" s="955"/>
    </row>
    <row r="1853" spans="1:19" hidden="1" x14ac:dyDescent="0.2">
      <c r="A1853" s="20" t="s">
        <v>93</v>
      </c>
      <c r="C1853" s="826">
        <v>11</v>
      </c>
      <c r="D1853" s="583" t="s">
        <v>597</v>
      </c>
      <c r="E1853" s="583"/>
      <c r="R1853" s="955"/>
      <c r="S1853" s="955"/>
    </row>
    <row r="1854" spans="1:19" hidden="1" x14ac:dyDescent="0.2">
      <c r="A1854" s="20" t="s">
        <v>93</v>
      </c>
      <c r="R1854" s="955"/>
      <c r="S1854" s="955"/>
    </row>
  </sheetData>
  <sheetCalcPr fullCalcOnLoad="1"/>
  <sheetProtection sheet="1" objects="1" scenarios="1" formatCells="0" formatColumns="0" formatRows="0"/>
  <mergeCells count="1511">
    <mergeCell ref="E1804:G1804"/>
    <mergeCell ref="E1806:M1806"/>
    <mergeCell ref="E1807:M1807"/>
    <mergeCell ref="E1808:M1808"/>
    <mergeCell ref="E1796:K1796"/>
    <mergeCell ref="E1798:G1798"/>
    <mergeCell ref="E1799:G1799"/>
    <mergeCell ref="E1800:G1800"/>
    <mergeCell ref="E1802:G1802"/>
    <mergeCell ref="E1803:G1803"/>
    <mergeCell ref="E1788:N1788"/>
    <mergeCell ref="E1789:G1789"/>
    <mergeCell ref="E1790:G1790"/>
    <mergeCell ref="E1792:N1792"/>
    <mergeCell ref="E1793:G1793"/>
    <mergeCell ref="E1795:N1795"/>
    <mergeCell ref="I1780:M1780"/>
    <mergeCell ref="E1782:G1782"/>
    <mergeCell ref="E1783:G1783"/>
    <mergeCell ref="E1784:G1784"/>
    <mergeCell ref="E1785:G1785"/>
    <mergeCell ref="E1786:G1786"/>
    <mergeCell ref="E1774:G1774"/>
    <mergeCell ref="E1775:G1775"/>
    <mergeCell ref="E1776:G1776"/>
    <mergeCell ref="E1777:G1777"/>
    <mergeCell ref="E1778:G1778"/>
    <mergeCell ref="E1780:H1780"/>
    <mergeCell ref="E1767:G1767"/>
    <mergeCell ref="E1768:G1768"/>
    <mergeCell ref="E1769:G1769"/>
    <mergeCell ref="E1770:G1770"/>
    <mergeCell ref="E1772:H1772"/>
    <mergeCell ref="I1772:M1772"/>
    <mergeCell ref="E1760:G1760"/>
    <mergeCell ref="E1761:G1761"/>
    <mergeCell ref="E1762:G1762"/>
    <mergeCell ref="E1764:H1764"/>
    <mergeCell ref="I1764:M1764"/>
    <mergeCell ref="E1766:G1766"/>
    <mergeCell ref="E1753:G1753"/>
    <mergeCell ref="E1754:G1754"/>
    <mergeCell ref="E1756:H1756"/>
    <mergeCell ref="I1756:M1756"/>
    <mergeCell ref="E1758:G1758"/>
    <mergeCell ref="E1759:G1759"/>
    <mergeCell ref="E1746:K1746"/>
    <mergeCell ref="E1748:H1748"/>
    <mergeCell ref="I1748:M1748"/>
    <mergeCell ref="E1750:G1750"/>
    <mergeCell ref="E1751:G1751"/>
    <mergeCell ref="E1752:G1752"/>
    <mergeCell ref="E1738:G1738"/>
    <mergeCell ref="E1740:G1740"/>
    <mergeCell ref="E1741:G1741"/>
    <mergeCell ref="E1742:G1742"/>
    <mergeCell ref="E1744:N1744"/>
    <mergeCell ref="E1745:N1745"/>
    <mergeCell ref="E1731:M1731"/>
    <mergeCell ref="E1732:G1732"/>
    <mergeCell ref="E1733:G1733"/>
    <mergeCell ref="E1734:G1734"/>
    <mergeCell ref="E1736:G1736"/>
    <mergeCell ref="E1737:G1737"/>
    <mergeCell ref="E1723:G1723"/>
    <mergeCell ref="E1724:G1724"/>
    <mergeCell ref="E1726:N1726"/>
    <mergeCell ref="E1727:G1727"/>
    <mergeCell ref="E1728:G1728"/>
    <mergeCell ref="E1730:N1730"/>
    <mergeCell ref="E1717:G1717"/>
    <mergeCell ref="E1718:G1718"/>
    <mergeCell ref="E1719:G1719"/>
    <mergeCell ref="E1720:G1720"/>
    <mergeCell ref="E1721:G1721"/>
    <mergeCell ref="E1722:G1722"/>
    <mergeCell ref="E1710:G1710"/>
    <mergeCell ref="E1711:G1711"/>
    <mergeCell ref="E1712:G1712"/>
    <mergeCell ref="E1714:H1714"/>
    <mergeCell ref="I1714:M1714"/>
    <mergeCell ref="E1716:G1716"/>
    <mergeCell ref="E1704:G1704"/>
    <mergeCell ref="E1705:G1705"/>
    <mergeCell ref="E1706:G1706"/>
    <mergeCell ref="E1707:G1707"/>
    <mergeCell ref="E1708:G1708"/>
    <mergeCell ref="E1709:G1709"/>
    <mergeCell ref="E1696:G1696"/>
    <mergeCell ref="E1697:G1697"/>
    <mergeCell ref="E1699:N1699"/>
    <mergeCell ref="E1700:K1700"/>
    <mergeCell ref="E1702:H1702"/>
    <mergeCell ref="I1702:M1702"/>
    <mergeCell ref="E1688:M1688"/>
    <mergeCell ref="E1690:N1690"/>
    <mergeCell ref="E1691:G1691"/>
    <mergeCell ref="E1692:G1692"/>
    <mergeCell ref="E1694:N1694"/>
    <mergeCell ref="E1695:G1695"/>
    <mergeCell ref="D1681:H1681"/>
    <mergeCell ref="I1681:N1681"/>
    <mergeCell ref="E1683:M1683"/>
    <mergeCell ref="E1684:M1684"/>
    <mergeCell ref="E1685:M1685"/>
    <mergeCell ref="E1686:M1686"/>
    <mergeCell ref="F1672:G1672"/>
    <mergeCell ref="F1673:G1673"/>
    <mergeCell ref="F1674:G1674"/>
    <mergeCell ref="F1675:G1675"/>
    <mergeCell ref="E1676:G1676"/>
    <mergeCell ref="D1679:N1679"/>
    <mergeCell ref="F1666:G1666"/>
    <mergeCell ref="F1667:G1667"/>
    <mergeCell ref="F1668:G1668"/>
    <mergeCell ref="F1669:G1669"/>
    <mergeCell ref="F1670:G1670"/>
    <mergeCell ref="F1671:G1671"/>
    <mergeCell ref="E1656:G1656"/>
    <mergeCell ref="E1657:G1657"/>
    <mergeCell ref="D1659:N1659"/>
    <mergeCell ref="E1661:N1661"/>
    <mergeCell ref="E1663:N1663"/>
    <mergeCell ref="F1665:G1665"/>
    <mergeCell ref="E1650:G1650"/>
    <mergeCell ref="E1652:I1652"/>
    <mergeCell ref="J1652:N1652"/>
    <mergeCell ref="E1653:N1653"/>
    <mergeCell ref="E1654:G1654"/>
    <mergeCell ref="E1655:G1655"/>
    <mergeCell ref="E1643:G1643"/>
    <mergeCell ref="E1644:G1644"/>
    <mergeCell ref="E1646:G1646"/>
    <mergeCell ref="H1646:N1646"/>
    <mergeCell ref="E1648:N1648"/>
    <mergeCell ref="E1649:G1649"/>
    <mergeCell ref="E1634:M1634"/>
    <mergeCell ref="D1638:H1638"/>
    <mergeCell ref="I1638:N1638"/>
    <mergeCell ref="E1640:N1640"/>
    <mergeCell ref="E1641:G1641"/>
    <mergeCell ref="E1642:G1642"/>
    <mergeCell ref="E1626:G1626"/>
    <mergeCell ref="E1628:G1628"/>
    <mergeCell ref="E1629:G1629"/>
    <mergeCell ref="E1630:G1630"/>
    <mergeCell ref="E1632:M1632"/>
    <mergeCell ref="E1633:M1633"/>
    <mergeCell ref="E1618:N1618"/>
    <mergeCell ref="E1619:G1619"/>
    <mergeCell ref="E1621:N1621"/>
    <mergeCell ref="E1622:K1622"/>
    <mergeCell ref="E1624:G1624"/>
    <mergeCell ref="E1625:G1625"/>
    <mergeCell ref="E1610:G1610"/>
    <mergeCell ref="E1611:G1611"/>
    <mergeCell ref="E1612:G1612"/>
    <mergeCell ref="E1614:N1614"/>
    <mergeCell ref="E1615:G1615"/>
    <mergeCell ref="E1616:G1616"/>
    <mergeCell ref="E1603:G1603"/>
    <mergeCell ref="E1604:G1604"/>
    <mergeCell ref="E1606:H1606"/>
    <mergeCell ref="I1606:M1606"/>
    <mergeCell ref="E1608:G1608"/>
    <mergeCell ref="E1609:G1609"/>
    <mergeCell ref="E1596:G1596"/>
    <mergeCell ref="E1598:H1598"/>
    <mergeCell ref="I1598:M1598"/>
    <mergeCell ref="E1600:G1600"/>
    <mergeCell ref="E1601:G1601"/>
    <mergeCell ref="E1602:G1602"/>
    <mergeCell ref="E1590:H1590"/>
    <mergeCell ref="I1590:M1590"/>
    <mergeCell ref="E1592:G1592"/>
    <mergeCell ref="E1593:G1593"/>
    <mergeCell ref="E1594:G1594"/>
    <mergeCell ref="E1595:G1595"/>
    <mergeCell ref="I1582:M1582"/>
    <mergeCell ref="E1584:G1584"/>
    <mergeCell ref="E1585:G1585"/>
    <mergeCell ref="E1586:G1586"/>
    <mergeCell ref="E1587:G1587"/>
    <mergeCell ref="E1588:G1588"/>
    <mergeCell ref="E1576:G1576"/>
    <mergeCell ref="E1577:G1577"/>
    <mergeCell ref="E1578:G1578"/>
    <mergeCell ref="E1579:G1579"/>
    <mergeCell ref="E1580:G1580"/>
    <mergeCell ref="E1582:H1582"/>
    <mergeCell ref="E1567:G1567"/>
    <mergeCell ref="E1568:G1568"/>
    <mergeCell ref="E1570:N1570"/>
    <mergeCell ref="E1571:N1571"/>
    <mergeCell ref="E1572:K1572"/>
    <mergeCell ref="E1574:H1574"/>
    <mergeCell ref="I1574:M1574"/>
    <mergeCell ref="E1559:G1559"/>
    <mergeCell ref="E1560:G1560"/>
    <mergeCell ref="E1562:G1562"/>
    <mergeCell ref="E1563:G1563"/>
    <mergeCell ref="E1564:G1564"/>
    <mergeCell ref="E1566:G1566"/>
    <mergeCell ref="E1552:N1552"/>
    <mergeCell ref="E1553:G1553"/>
    <mergeCell ref="E1554:G1554"/>
    <mergeCell ref="E1556:N1556"/>
    <mergeCell ref="E1557:M1557"/>
    <mergeCell ref="E1558:G1558"/>
    <mergeCell ref="E1545:G1545"/>
    <mergeCell ref="E1546:G1546"/>
    <mergeCell ref="E1547:G1547"/>
    <mergeCell ref="E1548:G1548"/>
    <mergeCell ref="E1549:G1549"/>
    <mergeCell ref="E1550:G1550"/>
    <mergeCell ref="E1538:G1538"/>
    <mergeCell ref="E1540:H1540"/>
    <mergeCell ref="I1540:M1540"/>
    <mergeCell ref="E1542:G1542"/>
    <mergeCell ref="E1543:G1543"/>
    <mergeCell ref="E1544:G1544"/>
    <mergeCell ref="E1532:G1532"/>
    <mergeCell ref="E1533:G1533"/>
    <mergeCell ref="E1534:G1534"/>
    <mergeCell ref="E1535:G1535"/>
    <mergeCell ref="E1536:G1536"/>
    <mergeCell ref="E1537:G1537"/>
    <mergeCell ref="E1525:N1525"/>
    <mergeCell ref="E1526:K1526"/>
    <mergeCell ref="E1528:H1528"/>
    <mergeCell ref="I1528:M1528"/>
    <mergeCell ref="E1530:G1530"/>
    <mergeCell ref="E1531:G1531"/>
    <mergeCell ref="E1517:G1517"/>
    <mergeCell ref="E1518:G1518"/>
    <mergeCell ref="E1520:N1520"/>
    <mergeCell ref="E1521:G1521"/>
    <mergeCell ref="E1522:G1522"/>
    <mergeCell ref="E1523:G1523"/>
    <mergeCell ref="E1509:M1509"/>
    <mergeCell ref="E1510:M1510"/>
    <mergeCell ref="E1511:M1511"/>
    <mergeCell ref="E1512:M1512"/>
    <mergeCell ref="E1514:M1514"/>
    <mergeCell ref="E1516:N1516"/>
    <mergeCell ref="F1499:G1499"/>
    <mergeCell ref="F1500:G1500"/>
    <mergeCell ref="F1501:G1501"/>
    <mergeCell ref="E1502:G1502"/>
    <mergeCell ref="D1505:N1505"/>
    <mergeCell ref="D1507:H1507"/>
    <mergeCell ref="I1507:N1507"/>
    <mergeCell ref="F1493:G1493"/>
    <mergeCell ref="F1494:G1494"/>
    <mergeCell ref="F1495:G1495"/>
    <mergeCell ref="F1496:G1496"/>
    <mergeCell ref="F1497:G1497"/>
    <mergeCell ref="F1498:G1498"/>
    <mergeCell ref="E1483:G1483"/>
    <mergeCell ref="D1485:N1485"/>
    <mergeCell ref="E1487:N1487"/>
    <mergeCell ref="E1489:N1489"/>
    <mergeCell ref="F1491:G1491"/>
    <mergeCell ref="F1492:G1492"/>
    <mergeCell ref="E1478:I1478"/>
    <mergeCell ref="J1478:N1478"/>
    <mergeCell ref="E1479:N1479"/>
    <mergeCell ref="E1480:G1480"/>
    <mergeCell ref="E1481:G1481"/>
    <mergeCell ref="E1482:G1482"/>
    <mergeCell ref="E1470:G1470"/>
    <mergeCell ref="E1472:G1472"/>
    <mergeCell ref="H1472:N1472"/>
    <mergeCell ref="E1474:N1474"/>
    <mergeCell ref="E1475:G1475"/>
    <mergeCell ref="E1476:G1476"/>
    <mergeCell ref="D1464:H1464"/>
    <mergeCell ref="I1464:N1464"/>
    <mergeCell ref="E1466:N1466"/>
    <mergeCell ref="E1467:G1467"/>
    <mergeCell ref="E1468:G1468"/>
    <mergeCell ref="E1469:G1469"/>
    <mergeCell ref="E1454:G1454"/>
    <mergeCell ref="E1455:G1455"/>
    <mergeCell ref="E1456:G1456"/>
    <mergeCell ref="E1458:M1458"/>
    <mergeCell ref="E1459:M1459"/>
    <mergeCell ref="E1460:M1460"/>
    <mergeCell ref="E1445:G1445"/>
    <mergeCell ref="E1447:N1447"/>
    <mergeCell ref="E1448:K1448"/>
    <mergeCell ref="E1450:G1450"/>
    <mergeCell ref="E1451:G1451"/>
    <mergeCell ref="E1452:G1452"/>
    <mergeCell ref="E1437:G1437"/>
    <mergeCell ref="E1438:G1438"/>
    <mergeCell ref="E1440:N1440"/>
    <mergeCell ref="E1441:G1441"/>
    <mergeCell ref="E1442:G1442"/>
    <mergeCell ref="E1444:N1444"/>
    <mergeCell ref="E1430:G1430"/>
    <mergeCell ref="E1432:H1432"/>
    <mergeCell ref="I1432:M1432"/>
    <mergeCell ref="E1434:G1434"/>
    <mergeCell ref="E1435:G1435"/>
    <mergeCell ref="E1436:G1436"/>
    <mergeCell ref="E1424:H1424"/>
    <mergeCell ref="I1424:M1424"/>
    <mergeCell ref="E1426:G1426"/>
    <mergeCell ref="E1427:G1427"/>
    <mergeCell ref="E1428:G1428"/>
    <mergeCell ref="E1429:G1429"/>
    <mergeCell ref="I1416:M1416"/>
    <mergeCell ref="E1418:G1418"/>
    <mergeCell ref="E1419:G1419"/>
    <mergeCell ref="E1420:G1420"/>
    <mergeCell ref="E1421:G1421"/>
    <mergeCell ref="E1422:G1422"/>
    <mergeCell ref="E1410:G1410"/>
    <mergeCell ref="E1411:G1411"/>
    <mergeCell ref="E1412:G1412"/>
    <mergeCell ref="E1413:G1413"/>
    <mergeCell ref="E1414:G1414"/>
    <mergeCell ref="E1416:H1416"/>
    <mergeCell ref="E1403:G1403"/>
    <mergeCell ref="E1404:G1404"/>
    <mergeCell ref="E1405:G1405"/>
    <mergeCell ref="E1406:G1406"/>
    <mergeCell ref="E1408:H1408"/>
    <mergeCell ref="I1408:M1408"/>
    <mergeCell ref="E1396:N1396"/>
    <mergeCell ref="E1397:N1397"/>
    <mergeCell ref="E1398:K1398"/>
    <mergeCell ref="E1400:H1400"/>
    <mergeCell ref="I1400:M1400"/>
    <mergeCell ref="E1402:G1402"/>
    <mergeCell ref="E1388:G1388"/>
    <mergeCell ref="E1389:G1389"/>
    <mergeCell ref="E1390:G1390"/>
    <mergeCell ref="E1392:G1392"/>
    <mergeCell ref="E1393:G1393"/>
    <mergeCell ref="E1394:G1394"/>
    <mergeCell ref="E1380:G1380"/>
    <mergeCell ref="E1382:N1382"/>
    <mergeCell ref="E1383:M1383"/>
    <mergeCell ref="E1384:G1384"/>
    <mergeCell ref="E1385:G1385"/>
    <mergeCell ref="E1386:G1386"/>
    <mergeCell ref="E1373:G1373"/>
    <mergeCell ref="E1374:G1374"/>
    <mergeCell ref="E1375:G1375"/>
    <mergeCell ref="E1376:G1376"/>
    <mergeCell ref="E1378:N1378"/>
    <mergeCell ref="E1379:G1379"/>
    <mergeCell ref="I1366:M1366"/>
    <mergeCell ref="E1368:G1368"/>
    <mergeCell ref="E1369:G1369"/>
    <mergeCell ref="E1370:G1370"/>
    <mergeCell ref="E1371:G1371"/>
    <mergeCell ref="E1372:G1372"/>
    <mergeCell ref="E1360:G1360"/>
    <mergeCell ref="E1361:G1361"/>
    <mergeCell ref="E1362:G1362"/>
    <mergeCell ref="E1363:G1363"/>
    <mergeCell ref="E1364:G1364"/>
    <mergeCell ref="E1366:H1366"/>
    <mergeCell ref="E1354:H1354"/>
    <mergeCell ref="I1354:M1354"/>
    <mergeCell ref="E1356:G1356"/>
    <mergeCell ref="E1357:G1357"/>
    <mergeCell ref="E1358:G1358"/>
    <mergeCell ref="E1359:G1359"/>
    <mergeCell ref="E1346:N1346"/>
    <mergeCell ref="E1347:G1347"/>
    <mergeCell ref="E1348:G1348"/>
    <mergeCell ref="E1349:G1349"/>
    <mergeCell ref="E1351:N1351"/>
    <mergeCell ref="E1352:K1352"/>
    <mergeCell ref="E1337:M1337"/>
    <mergeCell ref="E1338:M1338"/>
    <mergeCell ref="E1340:M1340"/>
    <mergeCell ref="E1342:N1342"/>
    <mergeCell ref="E1343:G1343"/>
    <mergeCell ref="E1344:G1344"/>
    <mergeCell ref="E1328:G1328"/>
    <mergeCell ref="D1331:N1331"/>
    <mergeCell ref="D1333:H1333"/>
    <mergeCell ref="I1333:N1333"/>
    <mergeCell ref="E1335:M1335"/>
    <mergeCell ref="E1336:M1336"/>
    <mergeCell ref="F1322:G1322"/>
    <mergeCell ref="F1323:G1323"/>
    <mergeCell ref="F1324:G1324"/>
    <mergeCell ref="F1325:G1325"/>
    <mergeCell ref="F1326:G1326"/>
    <mergeCell ref="F1327:G1327"/>
    <mergeCell ref="E1315:N1315"/>
    <mergeCell ref="F1317:G1317"/>
    <mergeCell ref="F1318:G1318"/>
    <mergeCell ref="F1319:G1319"/>
    <mergeCell ref="F1320:G1320"/>
    <mergeCell ref="F1321:G1321"/>
    <mergeCell ref="E1306:G1306"/>
    <mergeCell ref="E1307:G1307"/>
    <mergeCell ref="E1308:G1308"/>
    <mergeCell ref="E1309:G1309"/>
    <mergeCell ref="D1311:N1311"/>
    <mergeCell ref="E1313:N1313"/>
    <mergeCell ref="E1300:N1300"/>
    <mergeCell ref="E1301:G1301"/>
    <mergeCell ref="E1302:G1302"/>
    <mergeCell ref="E1304:I1304"/>
    <mergeCell ref="J1304:N1304"/>
    <mergeCell ref="E1305:N1305"/>
    <mergeCell ref="E1292:N1292"/>
    <mergeCell ref="E1293:G1293"/>
    <mergeCell ref="E1294:G1294"/>
    <mergeCell ref="E1295:G1295"/>
    <mergeCell ref="E1296:G1296"/>
    <mergeCell ref="E1298:G1298"/>
    <mergeCell ref="H1298:N1298"/>
    <mergeCell ref="E1282:G1282"/>
    <mergeCell ref="E1284:M1284"/>
    <mergeCell ref="E1285:M1285"/>
    <mergeCell ref="E1286:M1286"/>
    <mergeCell ref="D1290:H1290"/>
    <mergeCell ref="I1290:N1290"/>
    <mergeCell ref="E1274:K1274"/>
    <mergeCell ref="E1276:G1276"/>
    <mergeCell ref="E1277:G1277"/>
    <mergeCell ref="E1278:G1278"/>
    <mergeCell ref="E1280:G1280"/>
    <mergeCell ref="E1281:G1281"/>
    <mergeCell ref="E1266:N1266"/>
    <mergeCell ref="E1267:G1267"/>
    <mergeCell ref="E1268:G1268"/>
    <mergeCell ref="E1270:N1270"/>
    <mergeCell ref="E1271:G1271"/>
    <mergeCell ref="E1273:N1273"/>
    <mergeCell ref="I1258:M1258"/>
    <mergeCell ref="E1260:G1260"/>
    <mergeCell ref="E1261:G1261"/>
    <mergeCell ref="E1262:G1262"/>
    <mergeCell ref="E1263:G1263"/>
    <mergeCell ref="E1264:G1264"/>
    <mergeCell ref="E1252:G1252"/>
    <mergeCell ref="E1253:G1253"/>
    <mergeCell ref="E1254:G1254"/>
    <mergeCell ref="E1255:G1255"/>
    <mergeCell ref="E1256:G1256"/>
    <mergeCell ref="E1258:H1258"/>
    <mergeCell ref="E1245:G1245"/>
    <mergeCell ref="E1246:G1246"/>
    <mergeCell ref="E1247:G1247"/>
    <mergeCell ref="E1248:G1248"/>
    <mergeCell ref="E1250:H1250"/>
    <mergeCell ref="I1250:M1250"/>
    <mergeCell ref="E1238:G1238"/>
    <mergeCell ref="E1239:G1239"/>
    <mergeCell ref="E1240:G1240"/>
    <mergeCell ref="E1242:H1242"/>
    <mergeCell ref="I1242:M1242"/>
    <mergeCell ref="E1244:G1244"/>
    <mergeCell ref="E1231:G1231"/>
    <mergeCell ref="E1232:G1232"/>
    <mergeCell ref="E1234:H1234"/>
    <mergeCell ref="I1234:M1234"/>
    <mergeCell ref="E1236:G1236"/>
    <mergeCell ref="E1237:G1237"/>
    <mergeCell ref="E1224:K1224"/>
    <mergeCell ref="E1226:H1226"/>
    <mergeCell ref="I1226:M1226"/>
    <mergeCell ref="E1228:G1228"/>
    <mergeCell ref="E1229:G1229"/>
    <mergeCell ref="E1230:G1230"/>
    <mergeCell ref="E1216:G1216"/>
    <mergeCell ref="E1218:G1218"/>
    <mergeCell ref="E1219:G1219"/>
    <mergeCell ref="E1220:G1220"/>
    <mergeCell ref="E1222:N1222"/>
    <mergeCell ref="E1223:N1223"/>
    <mergeCell ref="E1209:M1209"/>
    <mergeCell ref="E1210:G1210"/>
    <mergeCell ref="E1211:G1211"/>
    <mergeCell ref="E1212:G1212"/>
    <mergeCell ref="E1214:G1214"/>
    <mergeCell ref="E1215:G1215"/>
    <mergeCell ref="E1201:G1201"/>
    <mergeCell ref="E1202:G1202"/>
    <mergeCell ref="E1204:N1204"/>
    <mergeCell ref="E1205:G1205"/>
    <mergeCell ref="E1206:G1206"/>
    <mergeCell ref="E1208:N1208"/>
    <mergeCell ref="E1195:G1195"/>
    <mergeCell ref="E1196:G1196"/>
    <mergeCell ref="E1197:G1197"/>
    <mergeCell ref="E1198:G1198"/>
    <mergeCell ref="E1199:G1199"/>
    <mergeCell ref="E1200:G1200"/>
    <mergeCell ref="E1188:G1188"/>
    <mergeCell ref="E1189:G1189"/>
    <mergeCell ref="E1190:G1190"/>
    <mergeCell ref="E1192:H1192"/>
    <mergeCell ref="I1192:M1192"/>
    <mergeCell ref="E1194:G1194"/>
    <mergeCell ref="E1182:G1182"/>
    <mergeCell ref="E1183:G1183"/>
    <mergeCell ref="E1184:G1184"/>
    <mergeCell ref="E1185:G1185"/>
    <mergeCell ref="E1186:G1186"/>
    <mergeCell ref="E1187:G1187"/>
    <mergeCell ref="E1174:G1174"/>
    <mergeCell ref="E1175:G1175"/>
    <mergeCell ref="E1177:N1177"/>
    <mergeCell ref="E1178:K1178"/>
    <mergeCell ref="E1180:H1180"/>
    <mergeCell ref="I1180:M1180"/>
    <mergeCell ref="E1166:M1166"/>
    <mergeCell ref="E1168:N1168"/>
    <mergeCell ref="E1169:G1169"/>
    <mergeCell ref="E1170:G1170"/>
    <mergeCell ref="E1172:N1172"/>
    <mergeCell ref="E1173:G1173"/>
    <mergeCell ref="D1159:H1159"/>
    <mergeCell ref="I1159:N1159"/>
    <mergeCell ref="E1161:M1161"/>
    <mergeCell ref="E1162:M1162"/>
    <mergeCell ref="E1163:M1163"/>
    <mergeCell ref="E1164:M1164"/>
    <mergeCell ref="F1150:G1150"/>
    <mergeCell ref="F1151:G1151"/>
    <mergeCell ref="F1152:G1152"/>
    <mergeCell ref="F1153:G1153"/>
    <mergeCell ref="E1154:G1154"/>
    <mergeCell ref="D1157:N1157"/>
    <mergeCell ref="F1144:G1144"/>
    <mergeCell ref="F1145:G1145"/>
    <mergeCell ref="F1146:G1146"/>
    <mergeCell ref="F1147:G1147"/>
    <mergeCell ref="F1148:G1148"/>
    <mergeCell ref="F1149:G1149"/>
    <mergeCell ref="E1134:G1134"/>
    <mergeCell ref="E1135:G1135"/>
    <mergeCell ref="D1137:N1137"/>
    <mergeCell ref="E1139:N1139"/>
    <mergeCell ref="E1141:N1141"/>
    <mergeCell ref="F1143:G1143"/>
    <mergeCell ref="E1128:G1128"/>
    <mergeCell ref="E1130:I1130"/>
    <mergeCell ref="J1130:N1130"/>
    <mergeCell ref="E1131:N1131"/>
    <mergeCell ref="E1132:G1132"/>
    <mergeCell ref="E1133:G1133"/>
    <mergeCell ref="E1121:G1121"/>
    <mergeCell ref="E1122:G1122"/>
    <mergeCell ref="E1124:G1124"/>
    <mergeCell ref="H1124:N1124"/>
    <mergeCell ref="E1126:N1126"/>
    <mergeCell ref="E1127:G1127"/>
    <mergeCell ref="E1112:M1112"/>
    <mergeCell ref="D1116:H1116"/>
    <mergeCell ref="I1116:N1116"/>
    <mergeCell ref="E1118:N1118"/>
    <mergeCell ref="E1119:G1119"/>
    <mergeCell ref="E1120:G1120"/>
    <mergeCell ref="E1104:G1104"/>
    <mergeCell ref="E1106:G1106"/>
    <mergeCell ref="E1107:G1107"/>
    <mergeCell ref="E1108:G1108"/>
    <mergeCell ref="E1110:M1110"/>
    <mergeCell ref="E1111:M1111"/>
    <mergeCell ref="E1096:N1096"/>
    <mergeCell ref="E1097:G1097"/>
    <mergeCell ref="E1099:N1099"/>
    <mergeCell ref="E1100:K1100"/>
    <mergeCell ref="E1102:G1102"/>
    <mergeCell ref="E1103:G1103"/>
    <mergeCell ref="E1088:G1088"/>
    <mergeCell ref="E1089:G1089"/>
    <mergeCell ref="E1090:G1090"/>
    <mergeCell ref="E1092:N1092"/>
    <mergeCell ref="E1093:G1093"/>
    <mergeCell ref="E1094:G1094"/>
    <mergeCell ref="E1081:G1081"/>
    <mergeCell ref="E1082:G1082"/>
    <mergeCell ref="E1084:H1084"/>
    <mergeCell ref="I1084:M1084"/>
    <mergeCell ref="E1086:G1086"/>
    <mergeCell ref="E1087:G1087"/>
    <mergeCell ref="E1074:G1074"/>
    <mergeCell ref="E1076:H1076"/>
    <mergeCell ref="I1076:M1076"/>
    <mergeCell ref="E1078:G1078"/>
    <mergeCell ref="E1079:G1079"/>
    <mergeCell ref="E1080:G1080"/>
    <mergeCell ref="E1068:H1068"/>
    <mergeCell ref="I1068:M1068"/>
    <mergeCell ref="E1070:G1070"/>
    <mergeCell ref="E1071:G1071"/>
    <mergeCell ref="E1072:G1072"/>
    <mergeCell ref="E1073:G1073"/>
    <mergeCell ref="I1060:M1060"/>
    <mergeCell ref="E1062:G1062"/>
    <mergeCell ref="E1063:G1063"/>
    <mergeCell ref="E1064:G1064"/>
    <mergeCell ref="E1065:G1065"/>
    <mergeCell ref="E1066:G1066"/>
    <mergeCell ref="E1054:G1054"/>
    <mergeCell ref="E1055:G1055"/>
    <mergeCell ref="E1056:G1056"/>
    <mergeCell ref="E1057:G1057"/>
    <mergeCell ref="E1058:G1058"/>
    <mergeCell ref="E1060:H1060"/>
    <mergeCell ref="E1045:G1045"/>
    <mergeCell ref="E1046:G1046"/>
    <mergeCell ref="E1048:N1048"/>
    <mergeCell ref="E1049:N1049"/>
    <mergeCell ref="E1050:K1050"/>
    <mergeCell ref="E1052:H1052"/>
    <mergeCell ref="I1052:M1052"/>
    <mergeCell ref="E1037:G1037"/>
    <mergeCell ref="E1038:G1038"/>
    <mergeCell ref="E1040:G1040"/>
    <mergeCell ref="E1041:G1041"/>
    <mergeCell ref="E1042:G1042"/>
    <mergeCell ref="E1044:G1044"/>
    <mergeCell ref="E1030:N1030"/>
    <mergeCell ref="E1031:G1031"/>
    <mergeCell ref="E1032:G1032"/>
    <mergeCell ref="E1034:N1034"/>
    <mergeCell ref="E1035:M1035"/>
    <mergeCell ref="E1036:G1036"/>
    <mergeCell ref="E1023:G1023"/>
    <mergeCell ref="E1024:G1024"/>
    <mergeCell ref="E1025:G1025"/>
    <mergeCell ref="E1026:G1026"/>
    <mergeCell ref="E1027:G1027"/>
    <mergeCell ref="E1028:G1028"/>
    <mergeCell ref="E1016:G1016"/>
    <mergeCell ref="E1018:H1018"/>
    <mergeCell ref="I1018:M1018"/>
    <mergeCell ref="E1020:G1020"/>
    <mergeCell ref="E1021:G1021"/>
    <mergeCell ref="E1022:G1022"/>
    <mergeCell ref="E1010:G1010"/>
    <mergeCell ref="E1011:G1011"/>
    <mergeCell ref="E1012:G1012"/>
    <mergeCell ref="E1013:G1013"/>
    <mergeCell ref="E1014:G1014"/>
    <mergeCell ref="E1015:G1015"/>
    <mergeCell ref="E1003:N1003"/>
    <mergeCell ref="E1004:K1004"/>
    <mergeCell ref="E1006:H1006"/>
    <mergeCell ref="I1006:M1006"/>
    <mergeCell ref="E1008:G1008"/>
    <mergeCell ref="E1009:G1009"/>
    <mergeCell ref="E995:G995"/>
    <mergeCell ref="E996:G996"/>
    <mergeCell ref="E998:N998"/>
    <mergeCell ref="E999:G999"/>
    <mergeCell ref="E1000:G1000"/>
    <mergeCell ref="E1001:G1001"/>
    <mergeCell ref="E987:M987"/>
    <mergeCell ref="E988:M988"/>
    <mergeCell ref="E989:M989"/>
    <mergeCell ref="E990:M990"/>
    <mergeCell ref="E992:M992"/>
    <mergeCell ref="E994:N994"/>
    <mergeCell ref="F977:G977"/>
    <mergeCell ref="F978:G978"/>
    <mergeCell ref="F979:G979"/>
    <mergeCell ref="E980:G980"/>
    <mergeCell ref="D983:N983"/>
    <mergeCell ref="D985:H985"/>
    <mergeCell ref="I985:N985"/>
    <mergeCell ref="F971:G971"/>
    <mergeCell ref="F972:G972"/>
    <mergeCell ref="F973:G973"/>
    <mergeCell ref="F974:G974"/>
    <mergeCell ref="F975:G975"/>
    <mergeCell ref="F976:G976"/>
    <mergeCell ref="E961:G961"/>
    <mergeCell ref="D963:N963"/>
    <mergeCell ref="E965:N965"/>
    <mergeCell ref="E967:N967"/>
    <mergeCell ref="F969:G969"/>
    <mergeCell ref="F970:G970"/>
    <mergeCell ref="E956:I956"/>
    <mergeCell ref="J956:N956"/>
    <mergeCell ref="E957:N957"/>
    <mergeCell ref="E958:G958"/>
    <mergeCell ref="E959:G959"/>
    <mergeCell ref="E960:G960"/>
    <mergeCell ref="E948:G948"/>
    <mergeCell ref="E950:G950"/>
    <mergeCell ref="H950:N950"/>
    <mergeCell ref="E952:N952"/>
    <mergeCell ref="E953:G953"/>
    <mergeCell ref="E954:G954"/>
    <mergeCell ref="D942:H942"/>
    <mergeCell ref="I942:N942"/>
    <mergeCell ref="E944:N944"/>
    <mergeCell ref="E945:G945"/>
    <mergeCell ref="E946:G946"/>
    <mergeCell ref="E947:G947"/>
    <mergeCell ref="E932:G932"/>
    <mergeCell ref="E933:G933"/>
    <mergeCell ref="E934:G934"/>
    <mergeCell ref="E936:M936"/>
    <mergeCell ref="E937:M937"/>
    <mergeCell ref="E938:M938"/>
    <mergeCell ref="E923:G923"/>
    <mergeCell ref="E925:N925"/>
    <mergeCell ref="E926:K926"/>
    <mergeCell ref="E928:G928"/>
    <mergeCell ref="E929:G929"/>
    <mergeCell ref="E930:G930"/>
    <mergeCell ref="E915:G915"/>
    <mergeCell ref="E916:G916"/>
    <mergeCell ref="E918:N918"/>
    <mergeCell ref="E919:G919"/>
    <mergeCell ref="E920:G920"/>
    <mergeCell ref="E922:N922"/>
    <mergeCell ref="E908:G908"/>
    <mergeCell ref="E910:H910"/>
    <mergeCell ref="I910:M910"/>
    <mergeCell ref="E912:G912"/>
    <mergeCell ref="E913:G913"/>
    <mergeCell ref="E914:G914"/>
    <mergeCell ref="E902:H902"/>
    <mergeCell ref="I902:M902"/>
    <mergeCell ref="E904:G904"/>
    <mergeCell ref="E905:G905"/>
    <mergeCell ref="E906:G906"/>
    <mergeCell ref="E907:G907"/>
    <mergeCell ref="I894:M894"/>
    <mergeCell ref="E896:G896"/>
    <mergeCell ref="E897:G897"/>
    <mergeCell ref="E898:G898"/>
    <mergeCell ref="E899:G899"/>
    <mergeCell ref="E900:G900"/>
    <mergeCell ref="E888:G888"/>
    <mergeCell ref="E889:G889"/>
    <mergeCell ref="E890:G890"/>
    <mergeCell ref="E891:G891"/>
    <mergeCell ref="E892:G892"/>
    <mergeCell ref="E894:H894"/>
    <mergeCell ref="E881:G881"/>
    <mergeCell ref="E882:G882"/>
    <mergeCell ref="E883:G883"/>
    <mergeCell ref="E884:G884"/>
    <mergeCell ref="E886:H886"/>
    <mergeCell ref="I886:M886"/>
    <mergeCell ref="E874:N874"/>
    <mergeCell ref="E875:N875"/>
    <mergeCell ref="E876:K876"/>
    <mergeCell ref="E878:H878"/>
    <mergeCell ref="I878:M878"/>
    <mergeCell ref="E880:G880"/>
    <mergeCell ref="E866:G866"/>
    <mergeCell ref="E867:G867"/>
    <mergeCell ref="E868:G868"/>
    <mergeCell ref="E870:G870"/>
    <mergeCell ref="E871:G871"/>
    <mergeCell ref="E872:G872"/>
    <mergeCell ref="E858:G858"/>
    <mergeCell ref="E860:N860"/>
    <mergeCell ref="E861:M861"/>
    <mergeCell ref="E862:G862"/>
    <mergeCell ref="E863:G863"/>
    <mergeCell ref="E864:G864"/>
    <mergeCell ref="E851:G851"/>
    <mergeCell ref="E852:G852"/>
    <mergeCell ref="E853:G853"/>
    <mergeCell ref="E854:G854"/>
    <mergeCell ref="E856:N856"/>
    <mergeCell ref="E857:G857"/>
    <mergeCell ref="I844:M844"/>
    <mergeCell ref="E846:G846"/>
    <mergeCell ref="E847:G847"/>
    <mergeCell ref="E848:G848"/>
    <mergeCell ref="E849:G849"/>
    <mergeCell ref="E850:G850"/>
    <mergeCell ref="E838:G838"/>
    <mergeCell ref="E839:G839"/>
    <mergeCell ref="E840:G840"/>
    <mergeCell ref="E841:G841"/>
    <mergeCell ref="E842:G842"/>
    <mergeCell ref="E844:H844"/>
    <mergeCell ref="E832:H832"/>
    <mergeCell ref="I832:M832"/>
    <mergeCell ref="E834:G834"/>
    <mergeCell ref="E835:G835"/>
    <mergeCell ref="E836:G836"/>
    <mergeCell ref="E837:G837"/>
    <mergeCell ref="E824:N824"/>
    <mergeCell ref="E825:G825"/>
    <mergeCell ref="E826:G826"/>
    <mergeCell ref="E827:G827"/>
    <mergeCell ref="E829:N829"/>
    <mergeCell ref="E830:K830"/>
    <mergeCell ref="E815:M815"/>
    <mergeCell ref="E816:M816"/>
    <mergeCell ref="E818:M818"/>
    <mergeCell ref="E820:N820"/>
    <mergeCell ref="E821:G821"/>
    <mergeCell ref="E822:G822"/>
    <mergeCell ref="E806:G806"/>
    <mergeCell ref="D809:N809"/>
    <mergeCell ref="D811:H811"/>
    <mergeCell ref="I811:N811"/>
    <mergeCell ref="E813:M813"/>
    <mergeCell ref="E814:M814"/>
    <mergeCell ref="F800:G800"/>
    <mergeCell ref="F801:G801"/>
    <mergeCell ref="F802:G802"/>
    <mergeCell ref="F803:G803"/>
    <mergeCell ref="F804:G804"/>
    <mergeCell ref="F805:G805"/>
    <mergeCell ref="E793:N793"/>
    <mergeCell ref="F795:G795"/>
    <mergeCell ref="F796:G796"/>
    <mergeCell ref="F797:G797"/>
    <mergeCell ref="F798:G798"/>
    <mergeCell ref="F799:G799"/>
    <mergeCell ref="E784:G784"/>
    <mergeCell ref="E785:G785"/>
    <mergeCell ref="E786:G786"/>
    <mergeCell ref="E787:G787"/>
    <mergeCell ref="D789:N789"/>
    <mergeCell ref="E791:N791"/>
    <mergeCell ref="E778:N778"/>
    <mergeCell ref="E779:G779"/>
    <mergeCell ref="E780:G780"/>
    <mergeCell ref="E782:I782"/>
    <mergeCell ref="J782:N782"/>
    <mergeCell ref="E783:N783"/>
    <mergeCell ref="E770:N770"/>
    <mergeCell ref="E771:G771"/>
    <mergeCell ref="E772:G772"/>
    <mergeCell ref="E773:G773"/>
    <mergeCell ref="E774:G774"/>
    <mergeCell ref="E776:G776"/>
    <mergeCell ref="H776:N776"/>
    <mergeCell ref="E760:G760"/>
    <mergeCell ref="E762:M762"/>
    <mergeCell ref="E763:M763"/>
    <mergeCell ref="E764:M764"/>
    <mergeCell ref="D768:H768"/>
    <mergeCell ref="I768:N768"/>
    <mergeCell ref="E752:K752"/>
    <mergeCell ref="E754:G754"/>
    <mergeCell ref="E755:G755"/>
    <mergeCell ref="E756:G756"/>
    <mergeCell ref="E758:G758"/>
    <mergeCell ref="E759:G759"/>
    <mergeCell ref="E744:N744"/>
    <mergeCell ref="E745:G745"/>
    <mergeCell ref="E746:G746"/>
    <mergeCell ref="E748:N748"/>
    <mergeCell ref="E749:G749"/>
    <mergeCell ref="E751:N751"/>
    <mergeCell ref="I736:M736"/>
    <mergeCell ref="E738:G738"/>
    <mergeCell ref="E739:G739"/>
    <mergeCell ref="E740:G740"/>
    <mergeCell ref="E741:G741"/>
    <mergeCell ref="E742:G742"/>
    <mergeCell ref="E730:G730"/>
    <mergeCell ref="E731:G731"/>
    <mergeCell ref="E732:G732"/>
    <mergeCell ref="E733:G733"/>
    <mergeCell ref="E734:G734"/>
    <mergeCell ref="E736:H736"/>
    <mergeCell ref="E723:G723"/>
    <mergeCell ref="E724:G724"/>
    <mergeCell ref="E725:G725"/>
    <mergeCell ref="E726:G726"/>
    <mergeCell ref="E728:H728"/>
    <mergeCell ref="I728:M728"/>
    <mergeCell ref="E716:G716"/>
    <mergeCell ref="E717:G717"/>
    <mergeCell ref="E718:G718"/>
    <mergeCell ref="E720:H720"/>
    <mergeCell ref="I720:M720"/>
    <mergeCell ref="E722:G722"/>
    <mergeCell ref="E709:G709"/>
    <mergeCell ref="E710:G710"/>
    <mergeCell ref="E712:H712"/>
    <mergeCell ref="I712:M712"/>
    <mergeCell ref="E714:G714"/>
    <mergeCell ref="E715:G715"/>
    <mergeCell ref="E702:K702"/>
    <mergeCell ref="E704:H704"/>
    <mergeCell ref="I704:M704"/>
    <mergeCell ref="E706:G706"/>
    <mergeCell ref="E707:G707"/>
    <mergeCell ref="E708:G708"/>
    <mergeCell ref="E694:G694"/>
    <mergeCell ref="E696:G696"/>
    <mergeCell ref="E697:G697"/>
    <mergeCell ref="E698:G698"/>
    <mergeCell ref="E700:N700"/>
    <mergeCell ref="E701:N701"/>
    <mergeCell ref="E687:M687"/>
    <mergeCell ref="E688:G688"/>
    <mergeCell ref="E689:G689"/>
    <mergeCell ref="E690:G690"/>
    <mergeCell ref="E692:G692"/>
    <mergeCell ref="E693:G693"/>
    <mergeCell ref="E679:G679"/>
    <mergeCell ref="E680:G680"/>
    <mergeCell ref="E682:N682"/>
    <mergeCell ref="E683:G683"/>
    <mergeCell ref="E684:G684"/>
    <mergeCell ref="E686:N686"/>
    <mergeCell ref="E673:G673"/>
    <mergeCell ref="E674:G674"/>
    <mergeCell ref="E675:G675"/>
    <mergeCell ref="E676:G676"/>
    <mergeCell ref="E677:G677"/>
    <mergeCell ref="E678:G678"/>
    <mergeCell ref="E666:G666"/>
    <mergeCell ref="E667:G667"/>
    <mergeCell ref="E668:G668"/>
    <mergeCell ref="E670:H670"/>
    <mergeCell ref="I670:M670"/>
    <mergeCell ref="E672:G672"/>
    <mergeCell ref="E660:G660"/>
    <mergeCell ref="E661:G661"/>
    <mergeCell ref="E662:G662"/>
    <mergeCell ref="E663:G663"/>
    <mergeCell ref="E664:G664"/>
    <mergeCell ref="E665:G665"/>
    <mergeCell ref="E651:G651"/>
    <mergeCell ref="E652:G652"/>
    <mergeCell ref="E653:G653"/>
    <mergeCell ref="E655:N655"/>
    <mergeCell ref="E656:K656"/>
    <mergeCell ref="E658:H658"/>
    <mergeCell ref="I658:M658"/>
    <mergeCell ref="E642:M642"/>
    <mergeCell ref="E644:M644"/>
    <mergeCell ref="E646:N646"/>
    <mergeCell ref="E647:G647"/>
    <mergeCell ref="E648:G648"/>
    <mergeCell ref="E650:N650"/>
    <mergeCell ref="D635:N635"/>
    <mergeCell ref="D637:H637"/>
    <mergeCell ref="I637:N637"/>
    <mergeCell ref="E639:M639"/>
    <mergeCell ref="E640:M640"/>
    <mergeCell ref="E641:M641"/>
    <mergeCell ref="F627:G627"/>
    <mergeCell ref="F628:G628"/>
    <mergeCell ref="F629:G629"/>
    <mergeCell ref="F630:G630"/>
    <mergeCell ref="F631:G631"/>
    <mergeCell ref="E632:G632"/>
    <mergeCell ref="F621:G621"/>
    <mergeCell ref="F622:G622"/>
    <mergeCell ref="F623:G623"/>
    <mergeCell ref="F624:G624"/>
    <mergeCell ref="F625:G625"/>
    <mergeCell ref="F626:G626"/>
    <mergeCell ref="E611:G611"/>
    <mergeCell ref="E612:G612"/>
    <mergeCell ref="E613:G613"/>
    <mergeCell ref="D615:N615"/>
    <mergeCell ref="E617:N617"/>
    <mergeCell ref="E619:N619"/>
    <mergeCell ref="E605:G605"/>
    <mergeCell ref="E606:G606"/>
    <mergeCell ref="E608:I608"/>
    <mergeCell ref="J608:N608"/>
    <mergeCell ref="E609:N609"/>
    <mergeCell ref="E610:G610"/>
    <mergeCell ref="E598:G598"/>
    <mergeCell ref="E599:G599"/>
    <mergeCell ref="E600:G600"/>
    <mergeCell ref="E602:G602"/>
    <mergeCell ref="H602:N602"/>
    <mergeCell ref="E604:N604"/>
    <mergeCell ref="E416:M416"/>
    <mergeCell ref="D594:H594"/>
    <mergeCell ref="I594:N594"/>
    <mergeCell ref="E596:N596"/>
    <mergeCell ref="E597:G597"/>
    <mergeCell ref="E479:G479"/>
    <mergeCell ref="E482:K482"/>
    <mergeCell ref="E484:H484"/>
    <mergeCell ref="I484:M484"/>
    <mergeCell ref="E489:G489"/>
    <mergeCell ref="E394:G394"/>
    <mergeCell ref="E397:G397"/>
    <mergeCell ref="E398:G398"/>
    <mergeCell ref="E400:N400"/>
    <mergeCell ref="E401:G401"/>
    <mergeCell ref="E415:M415"/>
    <mergeCell ref="E404:K404"/>
    <mergeCell ref="E406:G406"/>
    <mergeCell ref="E407:G407"/>
    <mergeCell ref="E403:N403"/>
    <mergeCell ref="E388:H388"/>
    <mergeCell ref="I388:M388"/>
    <mergeCell ref="E390:G390"/>
    <mergeCell ref="E391:G391"/>
    <mergeCell ref="E392:G392"/>
    <mergeCell ref="E393:G393"/>
    <mergeCell ref="E378:G378"/>
    <mergeCell ref="E380:H380"/>
    <mergeCell ref="I380:M380"/>
    <mergeCell ref="E382:G382"/>
    <mergeCell ref="E386:G386"/>
    <mergeCell ref="E383:G383"/>
    <mergeCell ref="E384:G384"/>
    <mergeCell ref="E385:G385"/>
    <mergeCell ref="E368:G368"/>
    <mergeCell ref="E369:G369"/>
    <mergeCell ref="E370:G370"/>
    <mergeCell ref="E372:H372"/>
    <mergeCell ref="E376:G376"/>
    <mergeCell ref="E377:G377"/>
    <mergeCell ref="E374:G374"/>
    <mergeCell ref="E375:G375"/>
    <mergeCell ref="E361:G361"/>
    <mergeCell ref="E362:G362"/>
    <mergeCell ref="E364:H364"/>
    <mergeCell ref="I364:M364"/>
    <mergeCell ref="E366:G366"/>
    <mergeCell ref="E367:G367"/>
    <mergeCell ref="E354:K354"/>
    <mergeCell ref="E356:H356"/>
    <mergeCell ref="I356:M356"/>
    <mergeCell ref="E358:G358"/>
    <mergeCell ref="E359:G359"/>
    <mergeCell ref="E360:G360"/>
    <mergeCell ref="E345:G345"/>
    <mergeCell ref="E346:G346"/>
    <mergeCell ref="E348:G348"/>
    <mergeCell ref="E349:G349"/>
    <mergeCell ref="E352:N352"/>
    <mergeCell ref="E353:N353"/>
    <mergeCell ref="E350:G350"/>
    <mergeCell ref="E338:N338"/>
    <mergeCell ref="E339:M339"/>
    <mergeCell ref="E340:G340"/>
    <mergeCell ref="E341:G341"/>
    <mergeCell ref="E342:G342"/>
    <mergeCell ref="E344:G344"/>
    <mergeCell ref="E329:G329"/>
    <mergeCell ref="E330:G330"/>
    <mergeCell ref="E331:G331"/>
    <mergeCell ref="E332:G332"/>
    <mergeCell ref="E334:N334"/>
    <mergeCell ref="E336:G336"/>
    <mergeCell ref="E291:M291"/>
    <mergeCell ref="E292:M292"/>
    <mergeCell ref="E293:M293"/>
    <mergeCell ref="E294:M294"/>
    <mergeCell ref="E296:M296"/>
    <mergeCell ref="E298:N298"/>
    <mergeCell ref="F282:G282"/>
    <mergeCell ref="F283:G283"/>
    <mergeCell ref="E284:G284"/>
    <mergeCell ref="D287:N287"/>
    <mergeCell ref="D289:H289"/>
    <mergeCell ref="I289:N289"/>
    <mergeCell ref="D267:N267"/>
    <mergeCell ref="E269:N269"/>
    <mergeCell ref="F273:G273"/>
    <mergeCell ref="F274:G274"/>
    <mergeCell ref="F275:G275"/>
    <mergeCell ref="E271:N271"/>
    <mergeCell ref="E490:G490"/>
    <mergeCell ref="E491:G491"/>
    <mergeCell ref="D420:H420"/>
    <mergeCell ref="I420:N420"/>
    <mergeCell ref="E423:G423"/>
    <mergeCell ref="E424:G424"/>
    <mergeCell ref="E426:G426"/>
    <mergeCell ref="E428:G428"/>
    <mergeCell ref="H428:N428"/>
    <mergeCell ref="E430:N430"/>
    <mergeCell ref="E486:G486"/>
    <mergeCell ref="E487:G487"/>
    <mergeCell ref="E488:G488"/>
    <mergeCell ref="E312:G312"/>
    <mergeCell ref="E313:G313"/>
    <mergeCell ref="E314:G314"/>
    <mergeCell ref="E315:G315"/>
    <mergeCell ref="E481:N481"/>
    <mergeCell ref="E328:G328"/>
    <mergeCell ref="E396:N396"/>
    <mergeCell ref="E307:N307"/>
    <mergeCell ref="E308:K308"/>
    <mergeCell ref="E310:H310"/>
    <mergeCell ref="I310:M310"/>
    <mergeCell ref="E327:G327"/>
    <mergeCell ref="E316:G316"/>
    <mergeCell ref="E317:G317"/>
    <mergeCell ref="E318:G318"/>
    <mergeCell ref="E319:G319"/>
    <mergeCell ref="E326:G326"/>
    <mergeCell ref="F276:G276"/>
    <mergeCell ref="F277:G277"/>
    <mergeCell ref="F278:G278"/>
    <mergeCell ref="F279:G279"/>
    <mergeCell ref="D246:H246"/>
    <mergeCell ref="I246:N246"/>
    <mergeCell ref="E257:G257"/>
    <mergeCell ref="E249:G249"/>
    <mergeCell ref="E250:G250"/>
    <mergeCell ref="E265:G265"/>
    <mergeCell ref="E585:G585"/>
    <mergeCell ref="E586:G586"/>
    <mergeCell ref="E588:M588"/>
    <mergeCell ref="E589:M589"/>
    <mergeCell ref="E590:M590"/>
    <mergeCell ref="E578:K578"/>
    <mergeCell ref="E580:G580"/>
    <mergeCell ref="E581:G581"/>
    <mergeCell ref="E582:G582"/>
    <mergeCell ref="E584:G584"/>
    <mergeCell ref="E575:G575"/>
    <mergeCell ref="E577:N577"/>
    <mergeCell ref="E410:G410"/>
    <mergeCell ref="E411:G411"/>
    <mergeCell ref="E412:G412"/>
    <mergeCell ref="E414:M414"/>
    <mergeCell ref="E570:N570"/>
    <mergeCell ref="E571:G571"/>
    <mergeCell ref="E492:G492"/>
    <mergeCell ref="E574:N574"/>
    <mergeCell ref="E564:G564"/>
    <mergeCell ref="E565:G565"/>
    <mergeCell ref="E566:G566"/>
    <mergeCell ref="E567:G567"/>
    <mergeCell ref="E568:G568"/>
    <mergeCell ref="E548:G548"/>
    <mergeCell ref="E549:G549"/>
    <mergeCell ref="E550:G550"/>
    <mergeCell ref="E551:G551"/>
    <mergeCell ref="E552:G552"/>
    <mergeCell ref="E572:G572"/>
    <mergeCell ref="E562:H562"/>
    <mergeCell ref="I562:M562"/>
    <mergeCell ref="E554:H554"/>
    <mergeCell ref="I554:M554"/>
    <mergeCell ref="E556:G556"/>
    <mergeCell ref="E557:G557"/>
    <mergeCell ref="E558:G558"/>
    <mergeCell ref="E559:G559"/>
    <mergeCell ref="E560:G560"/>
    <mergeCell ref="E543:G543"/>
    <mergeCell ref="E544:G544"/>
    <mergeCell ref="E546:H546"/>
    <mergeCell ref="I546:M546"/>
    <mergeCell ref="I538:M538"/>
    <mergeCell ref="E540:G540"/>
    <mergeCell ref="E541:G541"/>
    <mergeCell ref="E408:G408"/>
    <mergeCell ref="E542:G542"/>
    <mergeCell ref="E532:G532"/>
    <mergeCell ref="E533:G533"/>
    <mergeCell ref="E534:G534"/>
    <mergeCell ref="E535:G535"/>
    <mergeCell ref="E536:G536"/>
    <mergeCell ref="E538:H538"/>
    <mergeCell ref="E528:K528"/>
    <mergeCell ref="E530:H530"/>
    <mergeCell ref="I530:M530"/>
    <mergeCell ref="E520:G520"/>
    <mergeCell ref="E522:G522"/>
    <mergeCell ref="E523:G523"/>
    <mergeCell ref="E524:G524"/>
    <mergeCell ref="E526:N526"/>
    <mergeCell ref="E527:N527"/>
    <mergeCell ref="E239:M239"/>
    <mergeCell ref="E240:N240"/>
    <mergeCell ref="E241:M241"/>
    <mergeCell ref="E242:M242"/>
    <mergeCell ref="E231:G231"/>
    <mergeCell ref="E232:G232"/>
    <mergeCell ref="E233:G233"/>
    <mergeCell ref="E235:G235"/>
    <mergeCell ref="E236:G236"/>
    <mergeCell ref="E237:G237"/>
    <mergeCell ref="E223:N223"/>
    <mergeCell ref="E224:G224"/>
    <mergeCell ref="E226:N226"/>
    <mergeCell ref="E227:N227"/>
    <mergeCell ref="E228:N228"/>
    <mergeCell ref="E229:K229"/>
    <mergeCell ref="E216:N216"/>
    <mergeCell ref="E217:G217"/>
    <mergeCell ref="E218:G218"/>
    <mergeCell ref="E220:N220"/>
    <mergeCell ref="E221:N221"/>
    <mergeCell ref="E222:N222"/>
    <mergeCell ref="E209:G209"/>
    <mergeCell ref="E210:G210"/>
    <mergeCell ref="E211:G211"/>
    <mergeCell ref="E212:G212"/>
    <mergeCell ref="E214:N214"/>
    <mergeCell ref="E215:N215"/>
    <mergeCell ref="E203:G203"/>
    <mergeCell ref="E205:H205"/>
    <mergeCell ref="I205:M205"/>
    <mergeCell ref="E206:N206"/>
    <mergeCell ref="E207:N207"/>
    <mergeCell ref="E208:G208"/>
    <mergeCell ref="E197:N197"/>
    <mergeCell ref="E198:N198"/>
    <mergeCell ref="E199:G199"/>
    <mergeCell ref="E200:G200"/>
    <mergeCell ref="E201:G201"/>
    <mergeCell ref="E202:G202"/>
    <mergeCell ref="E191:G191"/>
    <mergeCell ref="E192:G192"/>
    <mergeCell ref="E193:G193"/>
    <mergeCell ref="E194:G194"/>
    <mergeCell ref="E196:H196"/>
    <mergeCell ref="I196:M196"/>
    <mergeCell ref="E186:H186"/>
    <mergeCell ref="I186:M186"/>
    <mergeCell ref="E187:N187"/>
    <mergeCell ref="E188:N188"/>
    <mergeCell ref="E189:N189"/>
    <mergeCell ref="E190:G190"/>
    <mergeCell ref="E179:N179"/>
    <mergeCell ref="E180:G180"/>
    <mergeCell ref="E181:G181"/>
    <mergeCell ref="E182:G182"/>
    <mergeCell ref="E183:G183"/>
    <mergeCell ref="E184:G184"/>
    <mergeCell ref="E173:G173"/>
    <mergeCell ref="E174:G174"/>
    <mergeCell ref="E175:G175"/>
    <mergeCell ref="E177:H177"/>
    <mergeCell ref="I177:M177"/>
    <mergeCell ref="E178:N178"/>
    <mergeCell ref="E168:H168"/>
    <mergeCell ref="I168:M168"/>
    <mergeCell ref="E169:N169"/>
    <mergeCell ref="E170:N170"/>
    <mergeCell ref="E171:G171"/>
    <mergeCell ref="E172:G172"/>
    <mergeCell ref="E161:G161"/>
    <mergeCell ref="E162:G162"/>
    <mergeCell ref="E164:N164"/>
    <mergeCell ref="E165:N165"/>
    <mergeCell ref="E166:K166"/>
    <mergeCell ref="E167:N167"/>
    <mergeCell ref="E153:G153"/>
    <mergeCell ref="E154:G154"/>
    <mergeCell ref="E156:G156"/>
    <mergeCell ref="E157:G157"/>
    <mergeCell ref="E158:G158"/>
    <mergeCell ref="E160:G160"/>
    <mergeCell ref="E147:N147"/>
    <mergeCell ref="E148:N148"/>
    <mergeCell ref="E149:N149"/>
    <mergeCell ref="E150:N150"/>
    <mergeCell ref="E151:M151"/>
    <mergeCell ref="E152:G152"/>
    <mergeCell ref="E140:N140"/>
    <mergeCell ref="E141:N141"/>
    <mergeCell ref="E142:N142"/>
    <mergeCell ref="E143:G143"/>
    <mergeCell ref="E144:G144"/>
    <mergeCell ref="E146:N146"/>
    <mergeCell ref="E133:G133"/>
    <mergeCell ref="E134:G134"/>
    <mergeCell ref="E135:G135"/>
    <mergeCell ref="E136:G136"/>
    <mergeCell ref="E137:G137"/>
    <mergeCell ref="E139:N139"/>
    <mergeCell ref="E127:H127"/>
    <mergeCell ref="I127:M127"/>
    <mergeCell ref="E129:G129"/>
    <mergeCell ref="E130:G130"/>
    <mergeCell ref="E131:G131"/>
    <mergeCell ref="E132:G132"/>
    <mergeCell ref="E120:G120"/>
    <mergeCell ref="E121:G121"/>
    <mergeCell ref="E122:G122"/>
    <mergeCell ref="E123:G123"/>
    <mergeCell ref="E124:G124"/>
    <mergeCell ref="E125:G125"/>
    <mergeCell ref="E114:N114"/>
    <mergeCell ref="E115:H115"/>
    <mergeCell ref="I115:M115"/>
    <mergeCell ref="E117:G117"/>
    <mergeCell ref="E118:G118"/>
    <mergeCell ref="E119:G119"/>
    <mergeCell ref="E108:N108"/>
    <mergeCell ref="E109:N109"/>
    <mergeCell ref="E110:N110"/>
    <mergeCell ref="E111:N111"/>
    <mergeCell ref="E112:N112"/>
    <mergeCell ref="E113:K113"/>
    <mergeCell ref="E101:N101"/>
    <mergeCell ref="E102:G102"/>
    <mergeCell ref="E103:G103"/>
    <mergeCell ref="E104:G104"/>
    <mergeCell ref="E106:N106"/>
    <mergeCell ref="E107:N107"/>
    <mergeCell ref="E94:G94"/>
    <mergeCell ref="E95:G95"/>
    <mergeCell ref="E97:N97"/>
    <mergeCell ref="E98:N98"/>
    <mergeCell ref="E99:N99"/>
    <mergeCell ref="E100:N100"/>
    <mergeCell ref="F88:N88"/>
    <mergeCell ref="F89:N89"/>
    <mergeCell ref="F90:N90"/>
    <mergeCell ref="F91:N91"/>
    <mergeCell ref="F92:N92"/>
    <mergeCell ref="F93:N93"/>
    <mergeCell ref="E80:M80"/>
    <mergeCell ref="E82:M82"/>
    <mergeCell ref="E84:N84"/>
    <mergeCell ref="E85:N85"/>
    <mergeCell ref="E86:N86"/>
    <mergeCell ref="F87:N87"/>
    <mergeCell ref="D73:N73"/>
    <mergeCell ref="D75:H75"/>
    <mergeCell ref="I75:N75"/>
    <mergeCell ref="E77:M77"/>
    <mergeCell ref="E78:M78"/>
    <mergeCell ref="E79:M79"/>
    <mergeCell ref="F65:G65"/>
    <mergeCell ref="F66:G66"/>
    <mergeCell ref="F67:G67"/>
    <mergeCell ref="F68:G68"/>
    <mergeCell ref="F69:G69"/>
    <mergeCell ref="E70:G70"/>
    <mergeCell ref="F59:G59"/>
    <mergeCell ref="F60:G60"/>
    <mergeCell ref="F61:G61"/>
    <mergeCell ref="F62:G62"/>
    <mergeCell ref="F63:G63"/>
    <mergeCell ref="F64:G64"/>
    <mergeCell ref="E49:N49"/>
    <mergeCell ref="E50:N50"/>
    <mergeCell ref="E51:N51"/>
    <mergeCell ref="E52:N52"/>
    <mergeCell ref="E53:N53"/>
    <mergeCell ref="E57:N57"/>
    <mergeCell ref="E54:N54"/>
    <mergeCell ref="E55:N55"/>
    <mergeCell ref="E41:N41"/>
    <mergeCell ref="E42:G42"/>
    <mergeCell ref="E43:G43"/>
    <mergeCell ref="E44:G44"/>
    <mergeCell ref="E45:G45"/>
    <mergeCell ref="D47:N47"/>
    <mergeCell ref="E37:I37"/>
    <mergeCell ref="J37:N37"/>
    <mergeCell ref="E38:N38"/>
    <mergeCell ref="E39:N39"/>
    <mergeCell ref="E40:N40"/>
    <mergeCell ref="E34:G34"/>
    <mergeCell ref="E35:G35"/>
    <mergeCell ref="E30:N30"/>
    <mergeCell ref="E33:N33"/>
    <mergeCell ref="E32:N32"/>
    <mergeCell ref="E24:G24"/>
    <mergeCell ref="E25:G25"/>
    <mergeCell ref="E26:G26"/>
    <mergeCell ref="E27:G27"/>
    <mergeCell ref="E29:G29"/>
    <mergeCell ref="H29:N29"/>
    <mergeCell ref="E21:N21"/>
    <mergeCell ref="E22:N22"/>
    <mergeCell ref="E23:N23"/>
    <mergeCell ref="D13:H13"/>
    <mergeCell ref="I13:N13"/>
    <mergeCell ref="E14:N14"/>
    <mergeCell ref="E15:N15"/>
    <mergeCell ref="F16:N16"/>
    <mergeCell ref="F17:N17"/>
    <mergeCell ref="E19:N19"/>
    <mergeCell ref="E248:N248"/>
    <mergeCell ref="E422:N422"/>
    <mergeCell ref="E251:G251"/>
    <mergeCell ref="E252:G252"/>
    <mergeCell ref="E254:G254"/>
    <mergeCell ref="H254:N254"/>
    <mergeCell ref="E303:G303"/>
    <mergeCell ref="E320:G320"/>
    <mergeCell ref="E322:H322"/>
    <mergeCell ref="I372:M372"/>
    <mergeCell ref="E20:N20"/>
    <mergeCell ref="E425:G425"/>
    <mergeCell ref="E256:N256"/>
    <mergeCell ref="E258:G258"/>
    <mergeCell ref="E260:I260"/>
    <mergeCell ref="J260:N260"/>
    <mergeCell ref="F281:G281"/>
    <mergeCell ref="E299:G299"/>
    <mergeCell ref="E300:G300"/>
    <mergeCell ref="E302:N302"/>
    <mergeCell ref="E431:G431"/>
    <mergeCell ref="E432:G432"/>
    <mergeCell ref="E434:I434"/>
    <mergeCell ref="J434:N434"/>
    <mergeCell ref="E435:N435"/>
    <mergeCell ref="E436:G436"/>
    <mergeCell ref="E437:G437"/>
    <mergeCell ref="E438:G438"/>
    <mergeCell ref="E439:G439"/>
    <mergeCell ref="E261:N261"/>
    <mergeCell ref="E262:G262"/>
    <mergeCell ref="E263:G263"/>
    <mergeCell ref="E264:G264"/>
    <mergeCell ref="F280:G280"/>
    <mergeCell ref="E304:G304"/>
    <mergeCell ref="E305:G305"/>
    <mergeCell ref="D441:N441"/>
    <mergeCell ref="E443:N443"/>
    <mergeCell ref="E445:N445"/>
    <mergeCell ref="F447:G447"/>
    <mergeCell ref="F448:G448"/>
    <mergeCell ref="F449:G449"/>
    <mergeCell ref="E458:G458"/>
    <mergeCell ref="D461:N461"/>
    <mergeCell ref="D463:H463"/>
    <mergeCell ref="I463:N463"/>
    <mergeCell ref="E465:M465"/>
    <mergeCell ref="F454:G454"/>
    <mergeCell ref="F455:G455"/>
    <mergeCell ref="F450:G450"/>
    <mergeCell ref="F451:G451"/>
    <mergeCell ref="F452:G452"/>
    <mergeCell ref="F453:G453"/>
    <mergeCell ref="E477:G477"/>
    <mergeCell ref="E468:M468"/>
    <mergeCell ref="E470:M470"/>
    <mergeCell ref="E472:N472"/>
    <mergeCell ref="F456:G456"/>
    <mergeCell ref="F457:G457"/>
    <mergeCell ref="E478:G478"/>
    <mergeCell ref="E335:G335"/>
    <mergeCell ref="I322:M322"/>
    <mergeCell ref="E324:G324"/>
    <mergeCell ref="E325:G325"/>
    <mergeCell ref="E473:G473"/>
    <mergeCell ref="E474:G474"/>
    <mergeCell ref="E476:N476"/>
    <mergeCell ref="E467:M467"/>
    <mergeCell ref="E466:M466"/>
    <mergeCell ref="G2:H2"/>
    <mergeCell ref="M2:N2"/>
    <mergeCell ref="K2:L2"/>
    <mergeCell ref="M4:N4"/>
    <mergeCell ref="E4:F4"/>
    <mergeCell ref="K4:L4"/>
    <mergeCell ref="D1812:N1812"/>
    <mergeCell ref="V5:W5"/>
    <mergeCell ref="T4:U4"/>
    <mergeCell ref="V4:W4"/>
    <mergeCell ref="P4:Q4"/>
    <mergeCell ref="R3:S3"/>
    <mergeCell ref="V3:W3"/>
    <mergeCell ref="P3:Q3"/>
    <mergeCell ref="T3:U3"/>
    <mergeCell ref="R5:S5"/>
    <mergeCell ref="P5:Q5"/>
    <mergeCell ref="T5:U5"/>
    <mergeCell ref="M3:N3"/>
    <mergeCell ref="G4:H4"/>
    <mergeCell ref="G3:H3"/>
    <mergeCell ref="I3:J3"/>
    <mergeCell ref="I4:J4"/>
    <mergeCell ref="G5:H5"/>
    <mergeCell ref="R4:S4"/>
    <mergeCell ref="K3:L3"/>
    <mergeCell ref="D7:N7"/>
    <mergeCell ref="E3:F3"/>
    <mergeCell ref="E493:G493"/>
    <mergeCell ref="M5:N5"/>
    <mergeCell ref="I5:J5"/>
    <mergeCell ref="D11:N11"/>
    <mergeCell ref="E9:M9"/>
    <mergeCell ref="K5:L5"/>
    <mergeCell ref="B2:D4"/>
    <mergeCell ref="I2:J2"/>
    <mergeCell ref="E494:G494"/>
    <mergeCell ref="E496:H496"/>
    <mergeCell ref="I496:M496"/>
    <mergeCell ref="E498:G498"/>
    <mergeCell ref="E499:G499"/>
    <mergeCell ref="E500:G500"/>
    <mergeCell ref="E501:G501"/>
    <mergeCell ref="E502:G502"/>
    <mergeCell ref="E503:G503"/>
    <mergeCell ref="E504:G504"/>
    <mergeCell ref="E505:G505"/>
    <mergeCell ref="E506:G506"/>
    <mergeCell ref="E515:G515"/>
    <mergeCell ref="E516:G516"/>
    <mergeCell ref="E518:G518"/>
    <mergeCell ref="E519:G519"/>
    <mergeCell ref="E508:N508"/>
    <mergeCell ref="E509:G509"/>
    <mergeCell ref="E510:G510"/>
    <mergeCell ref="E512:N512"/>
    <mergeCell ref="E513:M513"/>
    <mergeCell ref="E514:G514"/>
  </mergeCells>
  <phoneticPr fontId="34" type="noConversion"/>
  <conditionalFormatting sqref="B2:D4">
    <cfRule type="expression" dxfId="300" priority="346" stopIfTrue="1">
      <formula>$G$1851</formula>
    </cfRule>
  </conditionalFormatting>
  <conditionalFormatting sqref="G3:N5">
    <cfRule type="expression" dxfId="299" priority="276" stopIfTrue="1">
      <formula>INDEX($G$1841:$G$1850,MATCH("BM"&amp;P3,$F$1841:$F$1850,0))</formula>
    </cfRule>
  </conditionalFormatting>
  <conditionalFormatting sqref="I224:M225 E241:M242 I236:M237 E236:G237 I232:M233 E232:G233 E60:F69 I127:M127 I118:M121 I115:M115 I172:M173 I175:M175 I196 I200:M201 I203:M203 I205 I209:M210 I212:M212 I191:M192 I194:M194 I181:M182 I184:M184 H60:N69">
    <cfRule type="expression" dxfId="298" priority="107" stopIfTrue="1">
      <formula>$AA60</formula>
    </cfRule>
  </conditionalFormatting>
  <conditionalFormatting sqref="I35:M35">
    <cfRule type="expression" dxfId="297" priority="260" stopIfTrue="1">
      <formula>$AA35</formula>
    </cfRule>
  </conditionalFormatting>
  <conditionalFormatting sqref="I130:M133">
    <cfRule type="expression" dxfId="296" priority="103" stopIfTrue="1">
      <formula>$AA130</formula>
    </cfRule>
  </conditionalFormatting>
  <conditionalFormatting sqref="I168">
    <cfRule type="expression" dxfId="295" priority="102" stopIfTrue="1">
      <formula>$AA168</formula>
    </cfRule>
  </conditionalFormatting>
  <conditionalFormatting sqref="I186">
    <cfRule type="expression" dxfId="294" priority="101" stopIfTrue="1">
      <formula>$AA186</formula>
    </cfRule>
  </conditionalFormatting>
  <conditionalFormatting sqref="I177">
    <cfRule type="expression" dxfId="293" priority="100" stopIfTrue="1">
      <formula>$AA177</formula>
    </cfRule>
  </conditionalFormatting>
  <conditionalFormatting sqref="I25:M26">
    <cfRule type="expression" dxfId="292" priority="99" stopIfTrue="1">
      <formula>$AA25</formula>
    </cfRule>
  </conditionalFormatting>
  <conditionalFormatting sqref="I43:M43">
    <cfRule type="expression" dxfId="291" priority="98" stopIfTrue="1">
      <formula>$AA43</formula>
    </cfRule>
  </conditionalFormatting>
  <conditionalFormatting sqref="I575:M576 E589:M590 I585:M586 E585:G586 I581:M582 E581:G582 E448:F457 I496:M496 I487:M490 I484:M484 I533:M534 I536:M536 I554 I557:M558 I560:M560 I562 I565:M566 I568:M568 I549:M550 I552:M552 I541:M542 I544:M544 H448:N457">
    <cfRule type="expression" dxfId="290" priority="86" stopIfTrue="1">
      <formula>$AA448</formula>
    </cfRule>
  </conditionalFormatting>
  <conditionalFormatting sqref="I432:M432">
    <cfRule type="expression" dxfId="289" priority="88" stopIfTrue="1">
      <formula>$AA432</formula>
    </cfRule>
  </conditionalFormatting>
  <conditionalFormatting sqref="I499:M502">
    <cfRule type="expression" dxfId="288" priority="85" stopIfTrue="1">
      <formula>$AA499</formula>
    </cfRule>
  </conditionalFormatting>
  <conditionalFormatting sqref="I530">
    <cfRule type="expression" dxfId="287" priority="84" stopIfTrue="1">
      <formula>$AA530</formula>
    </cfRule>
  </conditionalFormatting>
  <conditionalFormatting sqref="I546">
    <cfRule type="expression" dxfId="286" priority="83" stopIfTrue="1">
      <formula>$AA546</formula>
    </cfRule>
  </conditionalFormatting>
  <conditionalFormatting sqref="I538">
    <cfRule type="expression" dxfId="285" priority="82" stopIfTrue="1">
      <formula>$AA538</formula>
    </cfRule>
  </conditionalFormatting>
  <conditionalFormatting sqref="I424:M425">
    <cfRule type="expression" dxfId="284" priority="81" stopIfTrue="1">
      <formula>$AA424</formula>
    </cfRule>
  </conditionalFormatting>
  <conditionalFormatting sqref="I437:M437">
    <cfRule type="expression" dxfId="283" priority="80" stopIfTrue="1">
      <formula>$AA437</formula>
    </cfRule>
  </conditionalFormatting>
  <conditionalFormatting sqref="C421:N591 C247:N417 C595:N765 C769:N939 C943:N1113 C1117:N1287 C1291:N1461 C1465:N1635 C1639:N1809 C14:N243">
    <cfRule type="expression" dxfId="282" priority="1" stopIfTrue="1">
      <formula>INDEX($AA:$AA,MATCH(MAX(INDIRECT(ADDRESS(1,3)&amp;":"&amp;ADDRESS(ROW(D14),3))),$C:$C,0))</formula>
    </cfRule>
  </conditionalFormatting>
  <conditionalFormatting sqref="I401:M402 E415:M416 I411:M412 E411:G412 I407:M408 E407:G408 E274:F283 I322:M322 I313:M316 I310:M310 I359:M360 I362:M362 I380 I383:M384 I386:M386 I388 I391:M392 I394:M394 I375:M376 I378:M378 I367:M368 I370:M370 H274:N283">
    <cfRule type="expression" dxfId="281" priority="71" stopIfTrue="1">
      <formula>$AA274</formula>
    </cfRule>
  </conditionalFormatting>
  <conditionalFormatting sqref="I258:M258">
    <cfRule type="expression" dxfId="280" priority="72" stopIfTrue="1">
      <formula>$AA258</formula>
    </cfRule>
  </conditionalFormatting>
  <conditionalFormatting sqref="I325:M328">
    <cfRule type="expression" dxfId="279" priority="70" stopIfTrue="1">
      <formula>$AA325</formula>
    </cfRule>
  </conditionalFormatting>
  <conditionalFormatting sqref="I356">
    <cfRule type="expression" dxfId="278" priority="69" stopIfTrue="1">
      <formula>$AA356</formula>
    </cfRule>
  </conditionalFormatting>
  <conditionalFormatting sqref="I372">
    <cfRule type="expression" dxfId="277" priority="68" stopIfTrue="1">
      <formula>$AA372</formula>
    </cfRule>
  </conditionalFormatting>
  <conditionalFormatting sqref="I364">
    <cfRule type="expression" dxfId="276" priority="67" stopIfTrue="1">
      <formula>$AA364</formula>
    </cfRule>
  </conditionalFormatting>
  <conditionalFormatting sqref="I250:M251">
    <cfRule type="expression" dxfId="275" priority="66" stopIfTrue="1">
      <formula>$AA250</formula>
    </cfRule>
  </conditionalFormatting>
  <conditionalFormatting sqref="I263:M263">
    <cfRule type="expression" dxfId="274" priority="65" stopIfTrue="1">
      <formula>$AA263</formula>
    </cfRule>
  </conditionalFormatting>
  <conditionalFormatting sqref="I749:M750 E763:M764 I759:M760 E759:G760 I755:M756 E755:G756 E622:F631 I670:M670 I661:M664 I658:M658 I707:M708 I710:M710 I728 I731:M732 I734:M734 I736 I739:M740 I742:M742 I723:M724 I726:M726 I715:M716 I718:M718 H622:N631">
    <cfRule type="expression" dxfId="273" priority="62" stopIfTrue="1">
      <formula>$AA622</formula>
    </cfRule>
  </conditionalFormatting>
  <conditionalFormatting sqref="I606:M606">
    <cfRule type="expression" dxfId="272" priority="73" stopIfTrue="1">
      <formula>$AA606</formula>
    </cfRule>
  </conditionalFormatting>
  <conditionalFormatting sqref="I673:M676">
    <cfRule type="expression" dxfId="271" priority="61" stopIfTrue="1">
      <formula>$AA673</formula>
    </cfRule>
  </conditionalFormatting>
  <conditionalFormatting sqref="I704">
    <cfRule type="expression" dxfId="270" priority="60" stopIfTrue="1">
      <formula>$AA704</formula>
    </cfRule>
  </conditionalFormatting>
  <conditionalFormatting sqref="I720">
    <cfRule type="expression" dxfId="269" priority="59" stopIfTrue="1">
      <formula>$AA720</formula>
    </cfRule>
  </conditionalFormatting>
  <conditionalFormatting sqref="I712">
    <cfRule type="expression" dxfId="268" priority="58" stopIfTrue="1">
      <formula>$AA712</formula>
    </cfRule>
  </conditionalFormatting>
  <conditionalFormatting sqref="I598:M599">
    <cfRule type="expression" dxfId="267" priority="57" stopIfTrue="1">
      <formula>$AA598</formula>
    </cfRule>
  </conditionalFormatting>
  <conditionalFormatting sqref="I611:M611">
    <cfRule type="expression" dxfId="266" priority="56" stopIfTrue="1">
      <formula>$AA611</formula>
    </cfRule>
  </conditionalFormatting>
  <conditionalFormatting sqref="I923:M924 E937:M938 I933:M934 E933:G934 I929:M930 E929:G930 E796:F805 I844:M844 I835:M838 I832:M832 I881:M882 I884:M884 I902 I905:M906 I908:M908 I910 I913:M914 I916:M916 I897:M898 I900:M900 I889:M890 I892:M892 H796:N805">
    <cfRule type="expression" dxfId="265" priority="54" stopIfTrue="1">
      <formula>$AA796</formula>
    </cfRule>
  </conditionalFormatting>
  <conditionalFormatting sqref="I780:M780">
    <cfRule type="expression" dxfId="264" priority="63" stopIfTrue="1">
      <formula>$AA780</formula>
    </cfRule>
  </conditionalFormatting>
  <conditionalFormatting sqref="I847:M850">
    <cfRule type="expression" dxfId="263" priority="52" stopIfTrue="1">
      <formula>$AA847</formula>
    </cfRule>
  </conditionalFormatting>
  <conditionalFormatting sqref="I878">
    <cfRule type="expression" dxfId="262" priority="51" stopIfTrue="1">
      <formula>$AA878</formula>
    </cfRule>
  </conditionalFormatting>
  <conditionalFormatting sqref="I894">
    <cfRule type="expression" dxfId="261" priority="50" stopIfTrue="1">
      <formula>$AA894</formula>
    </cfRule>
  </conditionalFormatting>
  <conditionalFormatting sqref="I886">
    <cfRule type="expression" dxfId="260" priority="49" stopIfTrue="1">
      <formula>$AA886</formula>
    </cfRule>
  </conditionalFormatting>
  <conditionalFormatting sqref="I772:M773">
    <cfRule type="expression" dxfId="259" priority="48" stopIfTrue="1">
      <formula>$AA772</formula>
    </cfRule>
  </conditionalFormatting>
  <conditionalFormatting sqref="I785:M785">
    <cfRule type="expression" dxfId="258" priority="47" stopIfTrue="1">
      <formula>$AA785</formula>
    </cfRule>
  </conditionalFormatting>
  <conditionalFormatting sqref="I1097:M1098 E1111:M1112 I1107:M1108 E1107:G1108 I1103:M1104 E1103:G1104 E970:F979 I1018:M1018 I1009:M1012 I1006:M1006 I1055:M1056 I1058:M1058 I1076 I1079:M1080 I1082:M1082 I1084 I1087:M1088 I1090:M1090 I1071:M1072 I1074:M1074 I1063:M1064 I1066:M1066 H970:N979">
    <cfRule type="expression" dxfId="257" priority="44" stopIfTrue="1">
      <formula>$AA970</formula>
    </cfRule>
  </conditionalFormatting>
  <conditionalFormatting sqref="I954:M954">
    <cfRule type="expression" dxfId="256" priority="46" stopIfTrue="1">
      <formula>$AA954</formula>
    </cfRule>
  </conditionalFormatting>
  <conditionalFormatting sqref="I1021:M1024">
    <cfRule type="expression" dxfId="255" priority="43" stopIfTrue="1">
      <formula>$AA1021</formula>
    </cfRule>
  </conditionalFormatting>
  <conditionalFormatting sqref="I1052">
    <cfRule type="expression" dxfId="254" priority="42" stopIfTrue="1">
      <formula>$AA1052</formula>
    </cfRule>
  </conditionalFormatting>
  <conditionalFormatting sqref="I1068">
    <cfRule type="expression" dxfId="253" priority="41" stopIfTrue="1">
      <formula>$AA1068</formula>
    </cfRule>
  </conditionalFormatting>
  <conditionalFormatting sqref="I1060">
    <cfRule type="expression" dxfId="252" priority="40" stopIfTrue="1">
      <formula>$AA1060</formula>
    </cfRule>
  </conditionalFormatting>
  <conditionalFormatting sqref="I946:M947">
    <cfRule type="expression" dxfId="251" priority="39" stopIfTrue="1">
      <formula>$AA946</formula>
    </cfRule>
  </conditionalFormatting>
  <conditionalFormatting sqref="I959:M959">
    <cfRule type="expression" dxfId="250" priority="38" stopIfTrue="1">
      <formula>$AA959</formula>
    </cfRule>
  </conditionalFormatting>
  <conditionalFormatting sqref="I1271:M1272 E1285:M1286 I1281:M1282 E1281:G1282 I1277:M1278 E1277:G1278 E1144:F1153 I1192:M1192 I1183:M1186 I1180:M1180 I1229:M1230 I1232:M1232 I1250 I1253:M1254 I1256:M1256 I1258 I1261:M1262 I1264:M1264 I1245:M1246 I1248:M1248 I1237:M1238 I1240:M1240 H1144:N1153">
    <cfRule type="expression" dxfId="249" priority="35" stopIfTrue="1">
      <formula>$AA1144</formula>
    </cfRule>
  </conditionalFormatting>
  <conditionalFormatting sqref="I1128:M1128">
    <cfRule type="expression" dxfId="248" priority="37" stopIfTrue="1">
      <formula>$AA1128</formula>
    </cfRule>
  </conditionalFormatting>
  <conditionalFormatting sqref="I1195:M1198">
    <cfRule type="expression" dxfId="247" priority="34" stopIfTrue="1">
      <formula>$AA1195</formula>
    </cfRule>
  </conditionalFormatting>
  <conditionalFormatting sqref="I1226">
    <cfRule type="expression" dxfId="246" priority="33" stopIfTrue="1">
      <formula>$AA1226</formula>
    </cfRule>
  </conditionalFormatting>
  <conditionalFormatting sqref="I1242">
    <cfRule type="expression" dxfId="245" priority="32" stopIfTrue="1">
      <formula>$AA1242</formula>
    </cfRule>
  </conditionalFormatting>
  <conditionalFormatting sqref="I1234">
    <cfRule type="expression" dxfId="244" priority="31" stopIfTrue="1">
      <formula>$AA1234</formula>
    </cfRule>
  </conditionalFormatting>
  <conditionalFormatting sqref="I1120:M1121">
    <cfRule type="expression" dxfId="243" priority="30" stopIfTrue="1">
      <formula>$AA1120</formula>
    </cfRule>
  </conditionalFormatting>
  <conditionalFormatting sqref="I1133:M1133">
    <cfRule type="expression" dxfId="242" priority="29" stopIfTrue="1">
      <formula>$AA1133</formula>
    </cfRule>
  </conditionalFormatting>
  <conditionalFormatting sqref="I1445:M1446 E1459:M1460 I1455:M1456 E1455:G1456 I1451:M1452 E1451:G1452 E1318:F1327 I1366:M1366 I1357:M1360 I1354:M1354 I1403:M1404 I1406:M1406 I1424 I1427:M1428 I1430:M1430 I1432 I1435:M1436 I1438:M1438 I1419:M1420 I1422:M1422 I1411:M1412 I1414:M1414 H1318:N1327">
    <cfRule type="expression" dxfId="241" priority="26" stopIfTrue="1">
      <formula>$AA1318</formula>
    </cfRule>
  </conditionalFormatting>
  <conditionalFormatting sqref="I1302:M1302">
    <cfRule type="expression" dxfId="240" priority="28" stopIfTrue="1">
      <formula>$AA1302</formula>
    </cfRule>
  </conditionalFormatting>
  <conditionalFormatting sqref="I1369:M1372">
    <cfRule type="expression" dxfId="239" priority="25" stopIfTrue="1">
      <formula>$AA1369</formula>
    </cfRule>
  </conditionalFormatting>
  <conditionalFormatting sqref="I1400">
    <cfRule type="expression" dxfId="238" priority="24" stopIfTrue="1">
      <formula>$AA1400</formula>
    </cfRule>
  </conditionalFormatting>
  <conditionalFormatting sqref="I1416">
    <cfRule type="expression" dxfId="237" priority="23" stopIfTrue="1">
      <formula>$AA1416</formula>
    </cfRule>
  </conditionalFormatting>
  <conditionalFormatting sqref="I1408">
    <cfRule type="expression" dxfId="236" priority="22" stopIfTrue="1">
      <formula>$AA1408</formula>
    </cfRule>
  </conditionalFormatting>
  <conditionalFormatting sqref="I1294:M1295">
    <cfRule type="expression" dxfId="235" priority="21" stopIfTrue="1">
      <formula>$AA1294</formula>
    </cfRule>
  </conditionalFormatting>
  <conditionalFormatting sqref="I1307:M1307">
    <cfRule type="expression" dxfId="234" priority="20" stopIfTrue="1">
      <formula>$AA1307</formula>
    </cfRule>
  </conditionalFormatting>
  <conditionalFormatting sqref="I1619:M1620 E1633:M1634 I1629:M1630 E1629:G1630 I1625:M1626 E1625:G1626 E1492:F1501 I1540:M1540 I1531:M1534 I1528:M1528 I1577:M1578 I1580:M1580 I1598 I1601:M1602 I1604:M1604 I1606 I1609:M1610 I1612:M1612 I1593:M1594 I1596:M1596 I1585:M1586 I1588:M1588 H1492:N1501">
    <cfRule type="expression" dxfId="233" priority="17" stopIfTrue="1">
      <formula>$AA1492</formula>
    </cfRule>
  </conditionalFormatting>
  <conditionalFormatting sqref="I1476:M1476">
    <cfRule type="expression" dxfId="232" priority="19" stopIfTrue="1">
      <formula>$AA1476</formula>
    </cfRule>
  </conditionalFormatting>
  <conditionalFormatting sqref="I1543:M1546">
    <cfRule type="expression" dxfId="231" priority="16" stopIfTrue="1">
      <formula>$AA1543</formula>
    </cfRule>
  </conditionalFormatting>
  <conditionalFormatting sqref="I1574">
    <cfRule type="expression" dxfId="230" priority="15" stopIfTrue="1">
      <formula>$AA1574</formula>
    </cfRule>
  </conditionalFormatting>
  <conditionalFormatting sqref="I1590">
    <cfRule type="expression" dxfId="229" priority="14" stopIfTrue="1">
      <formula>$AA1590</formula>
    </cfRule>
  </conditionalFormatting>
  <conditionalFormatting sqref="I1582">
    <cfRule type="expression" dxfId="228" priority="13" stopIfTrue="1">
      <formula>$AA1582</formula>
    </cfRule>
  </conditionalFormatting>
  <conditionalFormatting sqref="I1468:M1469">
    <cfRule type="expression" dxfId="227" priority="12" stopIfTrue="1">
      <formula>$AA1468</formula>
    </cfRule>
  </conditionalFormatting>
  <conditionalFormatting sqref="I1481:M1481">
    <cfRule type="expression" dxfId="226" priority="11" stopIfTrue="1">
      <formula>$AA1481</formula>
    </cfRule>
  </conditionalFormatting>
  <conditionalFormatting sqref="I1793:M1794 E1807:M1808 I1803:M1804 E1803:G1804 I1799:M1800 E1799:G1800 E1666:F1675 I1714:M1714 I1705:M1708 I1702:M1702 I1751:M1752 I1754:M1754 I1772 I1775:M1776 I1778:M1778 I1780 I1783:M1784 I1786:M1786 I1767:M1768 I1770:M1770 I1759:M1760 I1762:M1762 H1666:N1675">
    <cfRule type="expression" dxfId="225" priority="8" stopIfTrue="1">
      <formula>$AA1666</formula>
    </cfRule>
  </conditionalFormatting>
  <conditionalFormatting sqref="I1650:M1650">
    <cfRule type="expression" dxfId="224" priority="10" stopIfTrue="1">
      <formula>$AA1650</formula>
    </cfRule>
  </conditionalFormatting>
  <conditionalFormatting sqref="I1717:M1720">
    <cfRule type="expression" dxfId="223" priority="7" stopIfTrue="1">
      <formula>$AA1717</formula>
    </cfRule>
  </conditionalFormatting>
  <conditionalFormatting sqref="I1748">
    <cfRule type="expression" dxfId="222" priority="6" stopIfTrue="1">
      <formula>$AA1748</formula>
    </cfRule>
  </conditionalFormatting>
  <conditionalFormatting sqref="I1764">
    <cfRule type="expression" dxfId="221" priority="5" stopIfTrue="1">
      <formula>$AA1764</formula>
    </cfRule>
  </conditionalFormatting>
  <conditionalFormatting sqref="I1756">
    <cfRule type="expression" dxfId="220" priority="4" stopIfTrue="1">
      <formula>$AA1756</formula>
    </cfRule>
  </conditionalFormatting>
  <conditionalFormatting sqref="I1642:M1643">
    <cfRule type="expression" dxfId="219" priority="3" stopIfTrue="1">
      <formula>$AA1642</formula>
    </cfRule>
  </conditionalFormatting>
  <conditionalFormatting sqref="I1655:M1655">
    <cfRule type="expression" dxfId="218" priority="2" stopIfTrue="1">
      <formula>$AA1655</formula>
    </cfRule>
  </conditionalFormatting>
  <dataValidations count="5">
    <dataValidation type="list" allowBlank="1" showInputMessage="1" showErrorMessage="1" sqref="L166 L113 L229 L578 L528 L482 L404 L354 L308 L752 L702 L656 L926 L876 L830 L1100 L1050 L1004 L1274 L1224 L1178 L1448 L1398 L1352 L1622 L1572 L1526 L1796 L1746 L1700">
      <formula1>Euconst_TrueFalse</formula1>
    </dataValidation>
    <dataValidation type="list" allowBlank="1" showInputMessage="1" showErrorMessage="1" sqref="H172 H200 H209 H191 H181 H533 H557 H565 H549 H541 H359 H383 H391 H375 H367 H707 H731 H739 H723 H715 H881 H905 H913 H897 H889 H1055 H1079 H1087 H1071 H1063 H1229 H1253 H1261 H1245 H1237 H1403 H1427 H1435 H1419 H1411 H1577 H1601 H1609 H1593 H1585 H1751 H1775 H1783 H1767 H1759">
      <formula1>EUconst_TonnesOrkNm3pa</formula1>
    </dataValidation>
    <dataValidation type="list" allowBlank="1" showInputMessage="1" showErrorMessage="1" sqref="E232:G233 E236:G237 E581:G582 E585:G586 E407:G408 E411:G412 E755:G756 E759:G760 E929:G930 E933:G934 E1103:G1104 E1107:G1108 E1277:G1278 E1281:G1282 E1451:G1452 E1455:G1456 E1625:G1626 E1629:G1630 E1799:G1800 E1803:G1804">
      <formula1>EUconst_BMlistNames</formula1>
    </dataValidation>
    <dataValidation type="decimal" operator="greaterThanOrEqual" allowBlank="1" showInputMessage="1" showErrorMessage="1" errorTitle="Value &lt; 0" error="Values have to be &gt;= 0" sqref="I161:M161 I523:M523 I349:M349 I697:M697 I871:M871 I1045:M1045 I1219:M1219 I1393:M1393 I1567:M1567 I1741:M1741">
      <formula1>0</formula1>
    </dataValidation>
    <dataValidation type="decimal" operator="greaterThanOrEqual" allowBlank="1" showInputMessage="1" showErrorMessage="1" errorTitle="Values &lt; 0" error="Values have to be &gt;= 0 " sqref="I209:M209 I236:M237 I565:M565 I585:M586 I391:M391 I411:M412 I739:M739 I759:M760 I913:M913 I933:M934 I1087:M1087 I1107:M1108 I1261:M1261 I1281:M1282 I1435:M1435 I1455:M1456 I1609:M1609 I1629:M1630 I1783:M1783 I1803:M1804">
      <formula1>0</formula1>
    </dataValidation>
  </dataValidations>
  <hyperlinks>
    <hyperlink ref="G2:H2" location="JUMP_TOC_Home" display="Table of contents"/>
    <hyperlink ref="M2:N2" location="JUMP_K_I" display="Summary"/>
    <hyperlink ref="E3:F3" location="JUMP_F_Top" display="Top of sheet"/>
    <hyperlink ref="I2:J2" location="JUMP_E_Top" display="Previous sheet"/>
    <hyperlink ref="E4:F4" location="JUMP_F_Bottom" display="End of sheet"/>
    <hyperlink ref="D1812:N1812" location="JUMP_G_Top" display="&lt;&lt;&lt; Click here to proceed to next sheet &gt;&gt;&gt; "/>
    <hyperlink ref="K2:L2" location="JUMP_G_Top" display="Next sheet"/>
    <hyperlink ref="E53" r:id="rId1" display="https://eur-lex.europa.eu/eli/reg/2010/860/oj"/>
    <hyperlink ref="E151:M151" location="JUMP_D_III" display="For attributing emissions from cogeneration (CHP) to production of heat and electricity, the &quot;CHP tool&quot; in section D.III. has to be used."/>
    <hyperlink ref="E82:M82" location="JUMP_K_III2" display="Upon entries made below, the attributable emissions are calculated in section K.III.2 of the summary sheet."/>
    <hyperlink ref="E80:M80" r:id="rId2" location="tab-0-1" display="tab-0-1"/>
    <hyperlink ref="E55" r:id="rId3" display="https://eur-lex.europa.eu/eli/reg/1987/2658/2023-06-17"/>
    <hyperlink ref="E513:M513" location="JUMP_D_III" display="For attributing emissions from cogeneration (CHP) to production of heat and electricity, the &quot;CHP tool&quot; in section D.III. has to be used."/>
    <hyperlink ref="E470:M470" location="JUMP_K_III2" display="Upon entries made below, the attributable emissions are calculated in section K.III.2 of the summary sheet."/>
    <hyperlink ref="E468:M468" r:id="rId4" location="tab-0-1" display="https://ec.europa.eu/clima/policies/ets/allowances_en - tab-0-1"/>
    <hyperlink ref="E339:M339" location="JUMP_D_III" display="For attributing emissions from cogeneration (CHP) to production of heat and electricity, the &quot;CHP tool&quot; in section D.III. has to be used."/>
    <hyperlink ref="E296:M296" location="JUMP_K_III2" display="Upon entries made below, the attributable emissions are calculated in section K.III.2 of the summary sheet."/>
    <hyperlink ref="E294:M294" r:id="rId5" location="tab-0-1" display="https://ec.europa.eu/clima/policies/ets/allowances_en - tab-0-1"/>
    <hyperlink ref="E687:M687" location="JUMP_D_III" display="For attributing emissions from cogeneration (CHP) to production of heat and electricity, the &quot;CHP tool&quot; in section D.III. has to be used."/>
    <hyperlink ref="E644:M644" location="JUMP_K_III2" display="Upon entries made below, the attributable emissions are calculated in section K.III.2 of the summary sheet."/>
    <hyperlink ref="E642:M642" r:id="rId6" location="tab-0-1" display="https://ec.europa.eu/clima/policies/ets/allowances_en - tab-0-1"/>
    <hyperlink ref="E861:M861" location="JUMP_D_III" display="For attributing emissions from cogeneration (CHP) to production of heat and electricity, the &quot;CHP tool&quot; in section D.III. has to be used."/>
    <hyperlink ref="E818:M818" location="JUMP_K_III2" display="Upon entries made below, the attributable emissions are calculated in section K.III.2 of the summary sheet."/>
    <hyperlink ref="E816:M816" r:id="rId7" location="tab-0-1" display="https://ec.europa.eu/clima/policies/ets/allowances_en - tab-0-1"/>
    <hyperlink ref="E1035:M1035" location="JUMP_D_III" display="For attributing emissions from cogeneration (CHP) to production of heat and electricity, the &quot;CHP tool&quot; in section D.III. has to be used."/>
    <hyperlink ref="E992:M992" location="JUMP_K_III2" display="Upon entries made below, the attributable emissions are calculated in section K.III.2 of the summary sheet."/>
    <hyperlink ref="E990:M990" r:id="rId8" location="tab-0-1" display="https://ec.europa.eu/clima/policies/ets/allowances_en - tab-0-1"/>
    <hyperlink ref="E1209:M1209" location="JUMP_D_III" display="For attributing emissions from cogeneration (CHP) to production of heat and electricity, the &quot;CHP tool&quot; in section D.III. has to be used."/>
    <hyperlink ref="E1166:M1166" location="JUMP_K_III2" display="Upon entries made below, the attributable emissions are calculated in section K.III.2 of the summary sheet."/>
    <hyperlink ref="E1164:M1164" r:id="rId9" location="tab-0-1" display="https://ec.europa.eu/clima/policies/ets/allowances_en - tab-0-1"/>
    <hyperlink ref="E1383:M1383" location="JUMP_D_III" display="For attributing emissions from cogeneration (CHP) to production of heat and electricity, the &quot;CHP tool&quot; in section D.III. has to be used."/>
    <hyperlink ref="E1340:M1340" location="JUMP_K_III2" display="Upon entries made below, the attributable emissions are calculated in section K.III.2 of the summary sheet."/>
    <hyperlink ref="E1338:M1338" r:id="rId10" location="tab-0-1" display="https://ec.europa.eu/clima/policies/ets/allowances_en - tab-0-1"/>
    <hyperlink ref="E1557:M1557" location="JUMP_D_III" display="For attributing emissions from cogeneration (CHP) to production of heat and electricity, the &quot;CHP tool&quot; in section D.III. has to be used."/>
    <hyperlink ref="E1514:M1514" location="JUMP_K_III2" display="Upon entries made below, the attributable emissions are calculated in section K.III.2 of the summary sheet."/>
    <hyperlink ref="E1512:M1512" r:id="rId11" location="tab-0-1" display="https://ec.europa.eu/clima/policies/ets/allowances_en - tab-0-1"/>
    <hyperlink ref="E1731:M1731" location="JUMP_D_III" display="For attributing emissions from cogeneration (CHP) to production of heat and electricity, the &quot;CHP tool&quot; in section D.III. has to be used."/>
    <hyperlink ref="E1688:M1688" location="JUMP_K_III2" display="Upon entries made below, the attributable emissions are calculated in section K.III.2 of the summary sheet."/>
    <hyperlink ref="E1686:M1686" r:id="rId12" location="tab-0-1" display="https://ec.europa.eu/clima/policies/ets/allowances_en - tab-0-1"/>
  </hyperlinks>
  <pageMargins left="0.78740157480314965" right="0.78740157480314965" top="0.78740157480314965" bottom="0.78740157480314965" header="0.51181102362204722" footer="0.51181102362204722"/>
  <pageSetup paperSize="9" scale="59" fitToHeight="40" orientation="portrait" r:id="rId13"/>
  <headerFooter alignWithMargins="0">
    <oddHeader>&amp;L&amp;F; &amp;A&amp;R&amp;D; &amp;T</oddHeader>
    <oddFooter>&amp;C&amp;P / &amp;N</oddFooter>
  </headerFooter>
  <legacyDrawing r:id="rId1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tabColor indexed="48"/>
    <pageSetUpPr fitToPage="1"/>
  </sheetPr>
  <dimension ref="A1:AC812"/>
  <sheetViews>
    <sheetView zoomScaleNormal="100" workbookViewId="0">
      <pane ySplit="5" topLeftCell="A6" activePane="bottomLeft" state="frozen"/>
      <selection sqref="B2:D4"/>
      <selection pane="bottomLeft" sqref="B2:D4"/>
    </sheetView>
  </sheetViews>
  <sheetFormatPr defaultColWidth="11.42578125" defaultRowHeight="12.75" x14ac:dyDescent="0.2"/>
  <cols>
    <col min="1" max="1" width="5.42578125" style="445" hidden="1" customWidth="1"/>
    <col min="2" max="2" width="2.7109375" style="19" customWidth="1"/>
    <col min="3" max="4" width="4.7109375" style="19" customWidth="1"/>
    <col min="5" max="14" width="12.7109375" style="19" customWidth="1"/>
    <col min="15" max="15" width="4.7109375" style="19" customWidth="1"/>
    <col min="16" max="23" width="12.7109375" style="20" hidden="1" customWidth="1"/>
    <col min="24" max="24" width="12.7109375" style="445" hidden="1" customWidth="1"/>
    <col min="25" max="29" width="11.42578125" style="445" hidden="1" customWidth="1"/>
    <col min="30" max="16384" width="11.42578125" style="696"/>
  </cols>
  <sheetData>
    <row r="1" spans="1:29" s="20" customFormat="1" ht="13.5" hidden="1" thickBot="1" x14ac:dyDescent="0.25">
      <c r="A1" s="445" t="s">
        <v>93</v>
      </c>
      <c r="P1" s="20" t="s">
        <v>93</v>
      </c>
      <c r="Q1" s="20" t="s">
        <v>93</v>
      </c>
      <c r="R1" s="20" t="s">
        <v>93</v>
      </c>
      <c r="S1" s="20" t="s">
        <v>93</v>
      </c>
      <c r="T1" s="20" t="s">
        <v>93</v>
      </c>
      <c r="U1" s="20" t="s">
        <v>93</v>
      </c>
      <c r="V1" s="20" t="s">
        <v>93</v>
      </c>
      <c r="W1" s="20" t="s">
        <v>93</v>
      </c>
      <c r="X1" s="445" t="s">
        <v>93</v>
      </c>
      <c r="Y1" s="445" t="s">
        <v>93</v>
      </c>
      <c r="Z1" s="445" t="s">
        <v>93</v>
      </c>
      <c r="AA1" s="445" t="s">
        <v>93</v>
      </c>
      <c r="AB1" s="445" t="s">
        <v>93</v>
      </c>
      <c r="AC1" s="445" t="s">
        <v>93</v>
      </c>
    </row>
    <row r="2" spans="1:29" ht="13.5" thickBot="1" x14ac:dyDescent="0.25">
      <c r="B2" s="1405" t="str">
        <f>Translations!$B$821</f>
        <v>G. Alternatīvās pieejas</v>
      </c>
      <c r="C2" s="1406"/>
      <c r="D2" s="1407"/>
      <c r="E2" s="786" t="str">
        <f>Translations!$B$2</f>
        <v>Navigācijas josla:</v>
      </c>
      <c r="F2" s="787"/>
      <c r="G2" s="1388" t="str">
        <f>Translations!$B$18</f>
        <v>Saturs</v>
      </c>
      <c r="H2" s="7"/>
      <c r="I2" s="7" t="str">
        <f>Translations!$B$19</f>
        <v>Iepriekšējā lapa</v>
      </c>
      <c r="J2" s="7"/>
      <c r="K2" s="7" t="str">
        <f>Translations!$B$3</f>
        <v>Nākamā lapa</v>
      </c>
      <c r="L2" s="7"/>
      <c r="M2" s="7" t="str">
        <f>Translations!$B$4</f>
        <v>Kopsavilkums</v>
      </c>
      <c r="N2" s="7"/>
      <c r="O2" s="25"/>
      <c r="P2" s="26"/>
      <c r="Q2" s="26"/>
      <c r="R2" s="26"/>
      <c r="S2" s="26"/>
      <c r="T2" s="26"/>
      <c r="U2" s="26"/>
      <c r="V2" s="26"/>
      <c r="W2" s="26"/>
      <c r="X2" s="624"/>
      <c r="Y2" s="1183"/>
      <c r="Z2" s="1183"/>
      <c r="AA2" s="1183"/>
      <c r="AB2" s="1183"/>
      <c r="AC2" s="624"/>
    </row>
    <row r="3" spans="1:29" ht="13.5" customHeight="1" thickBot="1" x14ac:dyDescent="0.25">
      <c r="B3" s="1408"/>
      <c r="C3" s="1409"/>
      <c r="D3" s="1410"/>
      <c r="E3" s="7" t="str">
        <f>Translations!$B$5</f>
        <v>Lapas sākums</v>
      </c>
      <c r="F3" s="1392"/>
      <c r="G3" s="1834" t="str">
        <f>IF(AND(CNTR_ExistSubInstEntries,INDEX(CNTR_FallBackSubInstRelevant,P3)=FALSE),"",HYPERLINK("#JUMP_G"&amp;P3,INDEX(EUconst_FallBackListNames,P3)))</f>
        <v>Siltuma līmeņatzīmes apakšiekārta, OEP | bez OIM)</v>
      </c>
      <c r="H3" s="1835"/>
      <c r="I3" s="1834" t="str">
        <f>IF(AND(CNTR_ExistSubInstEntries,INDEX(CNTR_FallBackSubInstRelevant,R3)=FALSE),"",HYPERLINK("#JUMP_G"&amp;R3,INDEX(EUconst_FallBackListNames,R3)))</f>
        <v>Siltuma līmeņatzīmes apakšiekārta (bez OEP | bez OIM)</v>
      </c>
      <c r="J3" s="1835"/>
      <c r="K3" s="1834" t="str">
        <f>IF(AND(CNTR_ExistSubInstEntries,INDEX(CNTR_FallBackSubInstRelevant,T3)=FALSE),"",HYPERLINK("#JUMP_G"&amp;T3,INDEX(EUconst_FallBackListNames,T3)))</f>
        <v>Siltuma līmeņatzīmes apakšiekārta, OEP | OIM)</v>
      </c>
      <c r="L3" s="1835"/>
      <c r="M3" s="1834" t="str">
        <f>IF(AND(CNTR_ExistSubInstEntries,INDEX(CNTR_FallBackSubInstRelevant,V3)=FALSE),"",HYPERLINK("#JUMP_G"&amp;V3,INDEX(EUconst_FallBackListNames,V3)))</f>
        <v>Centralizētās siltumapgādes apakšiekārta</v>
      </c>
      <c r="N3" s="1835"/>
      <c r="O3" s="25"/>
      <c r="P3" s="1686">
        <v>1</v>
      </c>
      <c r="Q3" s="1687"/>
      <c r="R3" s="1685">
        <v>2</v>
      </c>
      <c r="S3" s="1685"/>
      <c r="T3" s="1685">
        <v>3</v>
      </c>
      <c r="U3" s="1685" t="s">
        <v>490</v>
      </c>
      <c r="V3" s="1685">
        <v>4</v>
      </c>
      <c r="W3" s="1685"/>
      <c r="X3" s="624"/>
      <c r="Y3" s="624"/>
      <c r="Z3" s="624"/>
      <c r="AA3" s="624"/>
      <c r="AB3" s="624"/>
      <c r="AC3" s="624"/>
    </row>
    <row r="4" spans="1:29" ht="13.5" customHeight="1" thickBot="1" x14ac:dyDescent="0.25">
      <c r="B4" s="1411"/>
      <c r="C4" s="1412"/>
      <c r="D4" s="1413"/>
      <c r="E4" s="7" t="str">
        <f>Translations!$B$6</f>
        <v>Lapas beigas</v>
      </c>
      <c r="F4" s="7"/>
      <c r="G4" s="1834" t="str">
        <f>IF(AND(CNTR_ExistSubInstEntries,INDEX(CNTR_FallBackSubInstRelevant,P4)=FALSE),"",HYPERLINK("#JUMP_G"&amp;P4,INDEX(EUconst_FallBackListNames,P4)))</f>
        <v>Kurināmā līmeņatzīmes apakšiekārta (OEP | bez OIM)</v>
      </c>
      <c r="H4" s="1835"/>
      <c r="I4" s="1834" t="str">
        <f>IF(AND(CNTR_ExistSubInstEntries,INDEX(CNTR_FallBackSubInstRelevant,R4)=FALSE),"",HYPERLINK("#JUMP_G"&amp;R4,INDEX(EUconst_FallBackListNames,R4)))</f>
        <v>Kurināmā līmeņatzīmes apakšiekārta (bez OEP | bez OIM)</v>
      </c>
      <c r="J4" s="1835"/>
      <c r="K4" s="1834" t="str">
        <f>IF(AND(CNTR_ExistSubInstEntries,INDEX(CNTR_FallBackSubInstRelevant,T4)=FALSE),"",HYPERLINK("#JUMP_G"&amp;T4,INDEX(EUconst_FallBackListNames,T4)))</f>
        <v>Kurināmā līmeņatzīmes apakšiekārta (OEP | OIM)</v>
      </c>
      <c r="L4" s="1835"/>
      <c r="M4" s="1834" t="str">
        <f>IF(AND(CNTR_ExistSubInstEntries,INDEX(CNTR_FallBackSubInstRelevant,V4)=FALSE),"",HYPERLINK("#JUMP_G"&amp;V4,INDEX(EUconst_FallBackListNames,V4)))</f>
        <v>Procesa emisiju apakšiekārta (OEP | bez OIM)</v>
      </c>
      <c r="N4" s="1835"/>
      <c r="O4" s="25"/>
      <c r="P4" s="1684">
        <v>5</v>
      </c>
      <c r="Q4" s="1617"/>
      <c r="R4" s="1617">
        <v>6</v>
      </c>
      <c r="S4" s="1617"/>
      <c r="T4" s="1617">
        <v>7</v>
      </c>
      <c r="U4" s="1617"/>
      <c r="V4" s="1617">
        <v>8</v>
      </c>
      <c r="W4" s="1617"/>
      <c r="X4" s="624"/>
      <c r="Y4" s="624"/>
      <c r="Z4" s="624"/>
      <c r="AA4" s="624"/>
      <c r="AB4" s="624"/>
      <c r="AC4" s="624"/>
    </row>
    <row r="5" spans="1:29" x14ac:dyDescent="0.2">
      <c r="B5" s="1197"/>
      <c r="C5" s="1197"/>
      <c r="D5" s="1197"/>
      <c r="E5" s="1198"/>
      <c r="F5" s="1198"/>
      <c r="G5" s="1761" t="str">
        <f>IF(AND(CNTR_ExistSubInstEntries,INDEX(CNTR_FallBackSubInstRelevant,P5)=FALSE),"",HYPERLINK("#JUMP_G"&amp;P5,INDEX(EUconst_FallBackListNames,P5)))</f>
        <v>Procesa emisiju apakšiekārta (bez OEP | bez OIM)</v>
      </c>
      <c r="H5" s="1761"/>
      <c r="I5" s="1761" t="str">
        <f>IF(AND(CNTR_ExistSubInstEntries,INDEX(CNTR_FallBackSubInstRelevant,R5)=FALSE),"",HYPERLINK("#JUMP_G"&amp;R5,INDEX(EUconst_FallBackListNames,R5)))</f>
        <v>Procesa emisiju apakšiekārta (OEP | OIM)</v>
      </c>
      <c r="J5" s="1761"/>
      <c r="K5" s="1668"/>
      <c r="L5" s="1668"/>
      <c r="M5" s="1668"/>
      <c r="N5" s="1668"/>
      <c r="O5" s="34"/>
      <c r="P5" s="1617">
        <v>9</v>
      </c>
      <c r="Q5" s="1617"/>
      <c r="R5" s="1679">
        <v>10</v>
      </c>
      <c r="S5" s="1680"/>
      <c r="T5" s="1679"/>
      <c r="U5" s="1680"/>
      <c r="V5" s="1680"/>
      <c r="W5" s="1680"/>
      <c r="X5" s="1184"/>
      <c r="Y5" s="1184"/>
      <c r="Z5" s="1184"/>
      <c r="AA5" s="1184"/>
      <c r="AB5" s="624"/>
      <c r="AC5" s="624"/>
    </row>
    <row r="6" spans="1:29" x14ac:dyDescent="0.2">
      <c r="B6" s="21"/>
      <c r="C6" s="22"/>
      <c r="D6" s="23"/>
      <c r="E6" s="23"/>
      <c r="F6" s="24"/>
      <c r="G6" s="24"/>
      <c r="H6" s="24"/>
      <c r="I6" s="21"/>
      <c r="J6" s="21"/>
      <c r="K6" s="21"/>
      <c r="L6" s="21"/>
      <c r="M6" s="25"/>
      <c r="N6" s="25"/>
      <c r="O6" s="25"/>
      <c r="P6" s="26"/>
      <c r="Q6" s="26"/>
      <c r="R6" s="26"/>
      <c r="S6" s="26"/>
      <c r="T6" s="26"/>
      <c r="U6" s="26"/>
      <c r="V6" s="26"/>
      <c r="W6" s="26"/>
      <c r="X6" s="624"/>
      <c r="Y6" s="624"/>
      <c r="Z6" s="624"/>
      <c r="AA6" s="624"/>
      <c r="AB6" s="624"/>
      <c r="AC6" s="624"/>
    </row>
    <row r="7" spans="1:29" ht="23.25" customHeight="1" x14ac:dyDescent="0.2">
      <c r="B7" s="21"/>
      <c r="C7" s="27" t="s">
        <v>256</v>
      </c>
      <c r="D7" s="1281" t="str">
        <f>Translations!$B$822</f>
        <v>Lapa “Fall-back” — AR ALTERNATĪVAJĀM (FALL-BACK) APAKŠIEKĀRTĀM SAISTĪTIE APAKŠIEKĀRTU DATI</v>
      </c>
      <c r="E7" s="1251"/>
      <c r="F7" s="1251"/>
      <c r="G7" s="1251"/>
      <c r="H7" s="1251"/>
      <c r="I7" s="1251"/>
      <c r="J7" s="1251"/>
      <c r="K7" s="1251"/>
      <c r="L7" s="1251"/>
      <c r="M7" s="1251"/>
      <c r="N7" s="1251"/>
      <c r="O7" s="25"/>
    </row>
    <row r="8" spans="1:29" ht="5.0999999999999996" customHeight="1" x14ac:dyDescent="0.2">
      <c r="B8" s="21"/>
      <c r="C8" s="21"/>
      <c r="D8" s="21"/>
      <c r="E8" s="21"/>
      <c r="F8" s="21"/>
      <c r="G8" s="21"/>
      <c r="H8" s="21"/>
      <c r="I8" s="21"/>
      <c r="J8" s="21"/>
      <c r="K8" s="21"/>
      <c r="L8" s="21"/>
      <c r="M8" s="25"/>
      <c r="N8" s="25"/>
      <c r="O8" s="25"/>
      <c r="P8" s="874"/>
      <c r="Q8" s="874"/>
      <c r="R8" s="874"/>
      <c r="S8" s="874"/>
      <c r="T8" s="874"/>
      <c r="U8" s="874"/>
      <c r="V8" s="874"/>
      <c r="W8" s="874"/>
      <c r="X8" s="1185"/>
      <c r="Y8" s="1185"/>
      <c r="Z8" s="1185"/>
      <c r="AA8" s="1185"/>
      <c r="AB8" s="1185"/>
      <c r="AC8" s="1185"/>
    </row>
    <row r="9" spans="1:29" ht="15" customHeight="1" x14ac:dyDescent="0.2">
      <c r="B9" s="21"/>
      <c r="C9" s="21"/>
      <c r="D9" s="21"/>
      <c r="E9" s="1831" t="str">
        <f>Translations!$B$823</f>
        <v>Navigācijas joslā ir tikai saites uz apakšiekārtām, kas atzīmētas kā relevantas A lapas III sadaļas 2. punktā.</v>
      </c>
      <c r="F9" s="1831"/>
      <c r="G9" s="1831"/>
      <c r="H9" s="1831"/>
      <c r="I9" s="1831"/>
      <c r="J9" s="1831"/>
      <c r="K9" s="1831"/>
      <c r="L9" s="1831"/>
      <c r="M9" s="1831"/>
      <c r="N9" s="25"/>
      <c r="O9" s="25"/>
      <c r="P9" s="874"/>
      <c r="Q9" s="874"/>
      <c r="R9" s="874"/>
      <c r="S9" s="874"/>
      <c r="T9" s="874"/>
      <c r="U9" s="874"/>
      <c r="V9" s="874"/>
      <c r="W9" s="874"/>
      <c r="X9" s="1185"/>
      <c r="Y9" s="1185"/>
      <c r="Z9" s="1185"/>
      <c r="AA9" s="1185"/>
      <c r="AB9" s="1185"/>
      <c r="AC9" s="1185"/>
    </row>
    <row r="10" spans="1:29" ht="12.75" customHeight="1" thickBot="1" x14ac:dyDescent="0.25">
      <c r="B10" s="21"/>
      <c r="C10" s="21"/>
      <c r="D10" s="21"/>
      <c r="E10" s="21"/>
      <c r="F10" s="21"/>
      <c r="G10" s="21"/>
      <c r="H10" s="21"/>
      <c r="I10" s="21"/>
      <c r="J10" s="21"/>
      <c r="K10" s="21"/>
      <c r="L10" s="21"/>
      <c r="M10" s="25"/>
      <c r="N10" s="25"/>
      <c r="O10" s="25"/>
    </row>
    <row r="11" spans="1:29" ht="16.5" thickBot="1" x14ac:dyDescent="0.3">
      <c r="B11" s="21"/>
      <c r="C11" s="30" t="s">
        <v>391</v>
      </c>
      <c r="D11" s="1249" t="str">
        <f>Translations!$B$666</f>
        <v>Vēsturiskie darbības līmeņi un dezagregēti ražošanas dati</v>
      </c>
      <c r="E11" s="1249"/>
      <c r="F11" s="1249"/>
      <c r="G11" s="1249"/>
      <c r="H11" s="1249"/>
      <c r="I11" s="1249"/>
      <c r="J11" s="1249"/>
      <c r="K11" s="1249"/>
      <c r="L11" s="1249"/>
      <c r="M11" s="1249"/>
      <c r="N11" s="1249"/>
      <c r="O11" s="25"/>
      <c r="Y11" s="1186" t="s">
        <v>397</v>
      </c>
    </row>
    <row r="12" spans="1:29" ht="5.0999999999999996" customHeight="1" thickBot="1" x14ac:dyDescent="0.25">
      <c r="B12" s="21"/>
      <c r="C12" s="21"/>
      <c r="D12" s="21"/>
      <c r="E12" s="21"/>
      <c r="F12" s="21"/>
      <c r="G12" s="21"/>
      <c r="H12" s="21"/>
      <c r="I12" s="21"/>
      <c r="J12" s="21"/>
      <c r="K12" s="21"/>
      <c r="L12" s="21"/>
      <c r="M12" s="25"/>
      <c r="N12" s="25"/>
      <c r="O12" s="25"/>
      <c r="P12" s="26"/>
      <c r="Q12" s="26"/>
      <c r="R12" s="26"/>
      <c r="S12" s="26"/>
      <c r="T12" s="26"/>
      <c r="U12" s="26"/>
      <c r="V12" s="26"/>
      <c r="W12" s="26"/>
      <c r="X12" s="624"/>
    </row>
    <row r="13" spans="1:29" ht="15.75" thickBot="1" x14ac:dyDescent="0.3">
      <c r="B13" s="21"/>
      <c r="C13" s="36">
        <v>1</v>
      </c>
      <c r="D13" s="1318" t="str">
        <f>EUconst_FBSubinst &amp; ":"</f>
        <v>Alternatīva apakšiekārta:</v>
      </c>
      <c r="E13" s="1251"/>
      <c r="F13" s="1251"/>
      <c r="G13" s="1251"/>
      <c r="H13" s="1328"/>
      <c r="I13" s="1701" t="str">
        <f>INDEX(EUconst_FallBackListNames,$C13)</f>
        <v>Siltuma līmeņatzīmes apakšiekārta, OEP | bez OIM)</v>
      </c>
      <c r="J13" s="1836"/>
      <c r="K13" s="1836"/>
      <c r="L13" s="1837"/>
      <c r="M13" s="1783" t="str">
        <f>IF(ISBLANK(INDEX(CNTR_FallBackSubInstRelevant,C13)),"",IF(INDEX(CNTR_FallBackSubInstRelevant,C13),EUconst_Relevant,EUconst_NotRelevant))</f>
        <v/>
      </c>
      <c r="N13" s="1784"/>
      <c r="O13" s="25"/>
      <c r="P13" s="582">
        <f>C13</f>
        <v>1</v>
      </c>
      <c r="Q13" s="386" t="s">
        <v>225</v>
      </c>
      <c r="R13" s="845" t="str">
        <f>IF(M13&lt;&gt;EUconst_Relevant,"",INDEX(CNTR_SubInstStartDate,MATCH($I13,CNTR_SubInstListNames,0)))</f>
        <v/>
      </c>
      <c r="S13" s="842" t="b">
        <f>IF($M13&lt;&gt;EUconst_Relevant,FALSE,AND(I$796,YEAR($R13)&lt;I$793))</f>
        <v>0</v>
      </c>
      <c r="T13" s="842" t="b">
        <f>IF($M13&lt;&gt;EUconst_Relevant,FALSE,AND(J$796,YEAR($R13)&lt;J$793))</f>
        <v>0</v>
      </c>
      <c r="U13" s="842" t="b">
        <f>IF($M13&lt;&gt;EUconst_Relevant,FALSE,AND(K$796,YEAR($R13)&lt;K$793))</f>
        <v>0</v>
      </c>
      <c r="V13" s="842" t="b">
        <f>IF($M13&lt;&gt;EUconst_Relevant,FALSE,AND(L$796,YEAR($R13)&lt;L$793))</f>
        <v>0</v>
      </c>
      <c r="W13" s="842" t="b">
        <f>IF($M13&lt;&gt;EUconst_Relevant,FALSE,AND(M$796,YEAR($R13)&lt;M$793))</f>
        <v>0</v>
      </c>
      <c r="X13" s="624"/>
      <c r="Y13" s="624"/>
      <c r="AB13" s="926" t="s">
        <v>529</v>
      </c>
      <c r="AC13" s="927" t="b">
        <f>AND(CNTR_ExistSubInstEntries,M13=EUconst_NotRelevant)</f>
        <v>0</v>
      </c>
    </row>
    <row r="14" spans="1:29" ht="12.75" customHeight="1" x14ac:dyDescent="0.2">
      <c r="B14" s="38"/>
      <c r="C14" s="38"/>
      <c r="D14" s="38"/>
      <c r="E14" s="38"/>
      <c r="F14" s="38"/>
      <c r="G14" s="38"/>
      <c r="H14" s="68"/>
      <c r="I14" s="1785" t="str">
        <f>IF(M13="","",IF(M13=EUconst_Relevant,HYPERLINK("",EUconst_MsgEnterThisSection),HYPERLINK(Q14,EUconst_MsgGoToNextSubInst)))</f>
        <v/>
      </c>
      <c r="J14" s="1786"/>
      <c r="K14" s="1786"/>
      <c r="L14" s="1786"/>
      <c r="M14" s="1787"/>
      <c r="N14" s="1788"/>
      <c r="O14" s="25"/>
      <c r="P14" s="20" t="s">
        <v>192</v>
      </c>
      <c r="Q14" s="593" t="str">
        <f>"#JUMP_G"&amp;P13+1</f>
        <v>#JUMP_G2</v>
      </c>
      <c r="Y14" s="452"/>
    </row>
    <row r="15" spans="1:29" ht="12.75" customHeight="1" x14ac:dyDescent="0.2">
      <c r="B15" s="21"/>
      <c r="C15" s="21"/>
      <c r="D15" s="34"/>
      <c r="E15" s="1319" t="str">
        <f>Translations!$B$824</f>
        <v>Alternatīvās apakšiekārtas nosaukums parādās automātiski, balstoties uz iespējamo alternatīvo apakšiekārtu kopējo sarakstu.</v>
      </c>
      <c r="F15" s="1251"/>
      <c r="G15" s="1251"/>
      <c r="H15" s="1251"/>
      <c r="I15" s="1251"/>
      <c r="J15" s="1251"/>
      <c r="K15" s="1251"/>
      <c r="L15" s="1251"/>
      <c r="M15" s="1251"/>
      <c r="N15" s="1251"/>
      <c r="O15" s="25"/>
      <c r="P15" s="26"/>
      <c r="Q15" s="26"/>
      <c r="R15" s="26"/>
      <c r="S15" s="26"/>
      <c r="T15" s="26"/>
      <c r="U15" s="26"/>
      <c r="V15" s="26"/>
      <c r="W15" s="26"/>
      <c r="X15" s="624"/>
    </row>
    <row r="16" spans="1:29" ht="12.75" customHeight="1" x14ac:dyDescent="0.2">
      <c r="B16" s="21"/>
      <c r="C16" s="21"/>
      <c r="D16" s="34"/>
      <c r="E16" s="1720" t="str">
        <f>Translations!$B$667</f>
        <v>Šīs lapas mērķis ir nodrošināt</v>
      </c>
      <c r="F16" s="1721"/>
      <c r="G16" s="1721"/>
      <c r="H16" s="1721"/>
      <c r="I16" s="1721"/>
      <c r="J16" s="1721"/>
      <c r="K16" s="1721"/>
      <c r="L16" s="1721"/>
      <c r="M16" s="1721"/>
      <c r="N16" s="1721"/>
      <c r="O16" s="25"/>
      <c r="P16" s="26"/>
      <c r="R16" s="26"/>
      <c r="S16" s="26"/>
    </row>
    <row r="17" spans="2:28" ht="12.75" customHeight="1" x14ac:dyDescent="0.2">
      <c r="B17" s="21"/>
      <c r="C17" s="21"/>
      <c r="D17" s="34"/>
      <c r="E17" s="623" t="s">
        <v>392</v>
      </c>
      <c r="F17" s="1720" t="str">
        <f>Translations!$B$825</f>
        <v>datus, kas vajadzīgi, lai noteiktu bezmaksas kvotu iedales apjomu altern. līmeņatzīmes apakšiekārtām;</v>
      </c>
      <c r="G17" s="1721"/>
      <c r="H17" s="1721"/>
      <c r="I17" s="1721"/>
      <c r="J17" s="1721"/>
      <c r="K17" s="1721"/>
      <c r="L17" s="1721"/>
      <c r="M17" s="1721"/>
      <c r="N17" s="1721"/>
      <c r="O17" s="25"/>
      <c r="P17" s="26"/>
      <c r="R17" s="26"/>
      <c r="S17" s="26"/>
    </row>
    <row r="18" spans="2:28" ht="12.75" customHeight="1" x14ac:dyDescent="0.2">
      <c r="B18" s="21"/>
      <c r="C18" s="21"/>
      <c r="D18" s="34"/>
      <c r="E18" s="623" t="s">
        <v>392</v>
      </c>
      <c r="F18" s="1720" t="str">
        <f>Translations!$B$826</f>
        <v>datus, kas vajadzīgi, lai noteiktu altern. līmeņatzīmju vērtību uzlabošanas rādītājus.</v>
      </c>
      <c r="G18" s="1721"/>
      <c r="H18" s="1721"/>
      <c r="I18" s="1721"/>
      <c r="J18" s="1721"/>
      <c r="K18" s="1721"/>
      <c r="L18" s="1721"/>
      <c r="M18" s="1721"/>
      <c r="N18" s="1721"/>
      <c r="O18" s="25"/>
      <c r="P18" s="26"/>
      <c r="R18" s="26"/>
      <c r="S18" s="26"/>
    </row>
    <row r="19" spans="2:28" ht="5.0999999999999996" customHeight="1" x14ac:dyDescent="0.2">
      <c r="B19" s="21"/>
      <c r="C19" s="21"/>
      <c r="D19" s="21"/>
      <c r="E19" s="21"/>
      <c r="F19" s="21"/>
      <c r="G19" s="21"/>
      <c r="H19" s="21"/>
      <c r="I19" s="21"/>
      <c r="J19" s="21"/>
      <c r="K19" s="21"/>
      <c r="L19" s="21"/>
      <c r="M19" s="25"/>
      <c r="N19" s="25"/>
      <c r="O19" s="25"/>
      <c r="P19" s="26"/>
      <c r="Q19" s="26"/>
      <c r="R19" s="26"/>
      <c r="S19" s="26"/>
      <c r="T19" s="26"/>
      <c r="U19" s="26"/>
      <c r="V19" s="26"/>
      <c r="W19" s="26"/>
      <c r="X19" s="624"/>
    </row>
    <row r="20" spans="2:28" ht="12.75" customHeight="1" x14ac:dyDescent="0.2">
      <c r="B20" s="21"/>
      <c r="C20" s="370"/>
      <c r="D20" s="32" t="s">
        <v>165</v>
      </c>
      <c r="E20" s="1250" t="str">
        <f>Translations!$B$670</f>
        <v>Vēsturiskie darbības līmeņi</v>
      </c>
      <c r="F20" s="1251"/>
      <c r="G20" s="1251"/>
      <c r="H20" s="1251"/>
      <c r="I20" s="1251"/>
      <c r="J20" s="1251"/>
      <c r="K20" s="1251"/>
      <c r="L20" s="1251"/>
      <c r="M20" s="1251"/>
      <c r="N20" s="1251"/>
      <c r="O20" s="25"/>
      <c r="P20" s="26"/>
      <c r="Q20" s="26"/>
      <c r="R20" s="26"/>
      <c r="S20" s="26"/>
      <c r="T20" s="26"/>
      <c r="U20" s="26"/>
      <c r="V20" s="26"/>
      <c r="W20" s="26"/>
      <c r="X20" s="624"/>
      <c r="AA20" s="452"/>
    </row>
    <row r="21" spans="2:28" ht="12.75" customHeight="1" x14ac:dyDescent="0.2">
      <c r="B21" s="21"/>
      <c r="C21" s="384"/>
      <c r="D21" s="34"/>
      <c r="E21" s="1822" t="str">
        <f>Translations!$B$827</f>
        <v>Šie dati tiek automātiski ņemti no lapas "E_EnergyFlows" II sadaļas r) punkta. Tāpēc minētajā sadaļā dati jāievada obligāti.</v>
      </c>
      <c r="F21" s="1822"/>
      <c r="G21" s="1822"/>
      <c r="H21" s="1822"/>
      <c r="I21" s="1822"/>
      <c r="J21" s="1822"/>
      <c r="K21" s="1822"/>
      <c r="L21" s="1822"/>
      <c r="M21" s="1822"/>
      <c r="N21" s="1822"/>
      <c r="O21" s="25"/>
      <c r="P21" s="26"/>
    </row>
    <row r="22" spans="2:28" ht="38.85" customHeight="1" thickBot="1" x14ac:dyDescent="0.25">
      <c r="B22" s="21"/>
      <c r="C22" s="21"/>
      <c r="D22" s="34"/>
      <c r="E22" s="1319" t="str">
        <f>Translations!$B$828</f>
        <v>Balstoties uz A lapas III sadaļā ievadīto normālās ekspluatācijas sākumu, tiks automātiski noteikts, vai šī iekārta bāzlīnijas periodā darbojusies mazāk par vienu gadu. Tādā gadījumā vēsturiskais darbības līmenis tiks noteikts, balstoties uz pirmo kalendāro gadu pēc normālas ekspluatācijas sākuma saskaņā ar FAR 15. panta 7. punkta trešo daļu.</v>
      </c>
      <c r="F22" s="1251"/>
      <c r="G22" s="1251"/>
      <c r="H22" s="1251"/>
      <c r="I22" s="1251"/>
      <c r="J22" s="1251"/>
      <c r="K22" s="1251"/>
      <c r="L22" s="1251"/>
      <c r="M22" s="1251"/>
      <c r="N22" s="1251"/>
      <c r="O22" s="25"/>
      <c r="P22" s="26"/>
      <c r="R22" s="26"/>
      <c r="S22" s="26"/>
      <c r="AA22" s="452"/>
    </row>
    <row r="23" spans="2:28" ht="5.0999999999999996" customHeight="1" thickBot="1" x14ac:dyDescent="0.25">
      <c r="B23" s="21"/>
      <c r="C23" s="21"/>
      <c r="D23" s="34"/>
      <c r="E23" s="1319"/>
      <c r="F23" s="1251"/>
      <c r="G23" s="1251"/>
      <c r="H23" s="1251"/>
      <c r="I23" s="1251"/>
      <c r="J23" s="1251"/>
      <c r="K23" s="1251"/>
      <c r="L23" s="1251"/>
      <c r="M23" s="1251"/>
      <c r="N23" s="1251"/>
      <c r="O23" s="25"/>
      <c r="P23" s="26"/>
      <c r="Q23" s="439" t="s">
        <v>416</v>
      </c>
      <c r="R23" s="187" t="s">
        <v>229</v>
      </c>
      <c r="S23" s="188"/>
      <c r="T23" s="188"/>
      <c r="U23" s="188"/>
      <c r="V23" s="188"/>
      <c r="W23" s="188"/>
      <c r="X23" s="1187"/>
      <c r="Y23" s="452"/>
    </row>
    <row r="24" spans="2:28" ht="12.75" customHeight="1" x14ac:dyDescent="0.2">
      <c r="B24" s="38"/>
      <c r="C24" s="370"/>
      <c r="D24" s="32"/>
      <c r="E24" s="1320" t="str">
        <f>Translations!$B$829</f>
        <v>Galvenais darbības līmenis:</v>
      </c>
      <c r="F24" s="1275"/>
      <c r="G24" s="1275"/>
      <c r="H24" s="52" t="str">
        <f>EUconst_Unit</f>
        <v>Vienība</v>
      </c>
      <c r="I24" s="412">
        <f>I$793</f>
        <v>2019</v>
      </c>
      <c r="J24" s="412">
        <f>J$793</f>
        <v>2020</v>
      </c>
      <c r="K24" s="412">
        <f>K$793</f>
        <v>2021</v>
      </c>
      <c r="L24" s="412">
        <f>L$793</f>
        <v>2022</v>
      </c>
      <c r="M24" s="412">
        <f>M$793</f>
        <v>2023</v>
      </c>
      <c r="N24" s="23"/>
      <c r="O24" s="25"/>
      <c r="P24" s="182" t="s">
        <v>228</v>
      </c>
      <c r="Q24" s="1024" t="s">
        <v>618</v>
      </c>
      <c r="R24" s="190" t="s">
        <v>629</v>
      </c>
      <c r="S24" s="183">
        <f>I24</f>
        <v>2019</v>
      </c>
      <c r="T24" s="134">
        <f>J24</f>
        <v>2020</v>
      </c>
      <c r="U24" s="134">
        <f>K24</f>
        <v>2021</v>
      </c>
      <c r="V24" s="134">
        <f>L24</f>
        <v>2022</v>
      </c>
      <c r="W24" s="134">
        <f>M24</f>
        <v>2023</v>
      </c>
      <c r="X24" s="1188"/>
    </row>
    <row r="25" spans="2:28" ht="12.75" customHeight="1" thickBot="1" x14ac:dyDescent="0.25">
      <c r="B25" s="38"/>
      <c r="C25" s="38"/>
      <c r="D25" s="38"/>
      <c r="E25" s="1782" t="str">
        <f>I13</f>
        <v>Siltuma līmeņatzīmes apakšiekārta, OEP | bez OIM)</v>
      </c>
      <c r="F25" s="1782"/>
      <c r="G25" s="1782"/>
      <c r="H25" s="116" t="str">
        <f>INDEX(EUconst_FallBackListUnits,MATCH(E25,EUconst_FallBackListNames,0))</f>
        <v>TJ</v>
      </c>
      <c r="I25" s="328" t="str">
        <f>IF($M13=EUconst_Relevant,IF(ISNUMBER(INDEX(E_EnergyFlows!I$412:I$420,MATCH($E25,E_EnergyFlows!$E$412:$E$420,0))),INDEX(E_EnergyFlows!I$412:I$420,MATCH($E25,E_EnergyFlows!$E$412:$E$420,0)),INDEX(EUconst_FallbackListMissing,$P13)),"")</f>
        <v/>
      </c>
      <c r="J25" s="328" t="str">
        <f>IF($M13=EUconst_Relevant,IF(ISNUMBER(INDEX(E_EnergyFlows!J$412:J$420,MATCH($E25,E_EnergyFlows!$E$412:$E$420,0))),INDEX(E_EnergyFlows!J$412:J$420,MATCH($E25,E_EnergyFlows!$E$412:$E$420,0)),INDEX(EUconst_FallbackListMissing,$P13)),"")</f>
        <v/>
      </c>
      <c r="K25" s="328" t="str">
        <f>IF($M13=EUconst_Relevant,IF(ISNUMBER(INDEX(E_EnergyFlows!K$412:K$420,MATCH($E25,E_EnergyFlows!$E$412:$E$420,0))),INDEX(E_EnergyFlows!K$412:K$420,MATCH($E25,E_EnergyFlows!$E$412:$E$420,0)),INDEX(EUconst_FallbackListMissing,$P13)),"")</f>
        <v/>
      </c>
      <c r="L25" s="328" t="str">
        <f>IF($M13=EUconst_Relevant,IF(ISNUMBER(INDEX(E_EnergyFlows!L$412:L$420,MATCH($E25,E_EnergyFlows!$E$412:$E$420,0))),INDEX(E_EnergyFlows!L$412:L$420,MATCH($E25,E_EnergyFlows!$E$412:$E$420,0)),INDEX(EUconst_FallbackListMissing,$P13)),"")</f>
        <v/>
      </c>
      <c r="M25" s="328" t="str">
        <f>IF($M13=EUconst_Relevant,IF(ISNUMBER(INDEX(E_EnergyFlows!M$412:M$420,MATCH($E25,E_EnergyFlows!$E$412:$E$420,0))),INDEX(E_EnergyFlows!M$412:M$420,MATCH($E25,E_EnergyFlows!$E$412:$E$420,0)),INDEX(EUconst_FallbackListMissing,$P13)),"")</f>
        <v/>
      </c>
      <c r="N25" s="23"/>
      <c r="O25" s="25"/>
      <c r="P25" s="185" t="str">
        <f>EUconst_CNTR_HAL&amp;E25</f>
        <v>HAL_Siltuma līmeņatzīmes apakšiekārta, OEP | bez OIM)</v>
      </c>
      <c r="Q25" s="186" t="str">
        <f>IF(COUNT($K25:$L25)&gt;0,AVERAGE($K25:$L25),"")</f>
        <v/>
      </c>
      <c r="R25" s="184" t="str">
        <f>IF(COUNT(S25:W25)&gt;0,MEDIAN(S25:W25),"")</f>
        <v/>
      </c>
      <c r="S25" s="189" t="str">
        <f>IF(S13,IF(ISNUMBER(I25),I25,0),"")</f>
        <v/>
      </c>
      <c r="T25" s="137" t="str">
        <f>IF(T13,IF(ISNUMBER(J25),J25,0),"")</f>
        <v/>
      </c>
      <c r="U25" s="137" t="str">
        <f>IF(U13,IF(ISNUMBER(K25),K25,0),"")</f>
        <v/>
      </c>
      <c r="V25" s="137" t="str">
        <f>IF(V13,IF(ISNUMBER(L25),L25,0),"")</f>
        <v/>
      </c>
      <c r="W25" s="137" t="str">
        <f>IF(W13,IF(ISNUMBER(M25),M25,0),"")</f>
        <v/>
      </c>
      <c r="X25" s="1189"/>
      <c r="Y25" s="1190" t="s">
        <v>574</v>
      </c>
      <c r="Z25" s="709" t="b">
        <f>IF(M13&lt;&gt;EUconst_Relevant,FALSE,INDEX(CNTR_SubInstLess1Year,MATCH(I13,CNTR_SubInstListNames,0)))</f>
        <v>0</v>
      </c>
      <c r="AB25" s="1190"/>
    </row>
    <row r="26" spans="2:28" ht="12.75" customHeight="1" x14ac:dyDescent="0.2">
      <c r="B26" s="38"/>
      <c r="C26" s="23"/>
      <c r="D26" s="23"/>
      <c r="E26" s="23"/>
      <c r="F26" s="23"/>
      <c r="G26" s="23"/>
      <c r="H26" s="23"/>
      <c r="I26" s="23"/>
      <c r="J26" s="23"/>
      <c r="K26" s="23"/>
      <c r="L26" s="23"/>
      <c r="M26" s="23"/>
      <c r="N26" s="23"/>
      <c r="O26" s="25"/>
    </row>
    <row r="27" spans="2:28" ht="15" x14ac:dyDescent="0.25">
      <c r="B27" s="38"/>
      <c r="C27" s="383"/>
      <c r="D27" s="1318" t="str">
        <f>Translations!$B$700</f>
        <v>Ražošanas dati</v>
      </c>
      <c r="E27" s="1251"/>
      <c r="F27" s="1251"/>
      <c r="G27" s="1251"/>
      <c r="H27" s="1251"/>
      <c r="I27" s="1251"/>
      <c r="J27" s="1251"/>
      <c r="K27" s="1251"/>
      <c r="L27" s="1251"/>
      <c r="M27" s="1251"/>
      <c r="N27" s="1251"/>
      <c r="O27" s="25"/>
      <c r="Y27" s="624"/>
      <c r="Z27" s="624"/>
      <c r="AA27" s="624"/>
      <c r="AB27" s="624"/>
    </row>
    <row r="28" spans="2:28" ht="5.0999999999999996" customHeight="1" x14ac:dyDescent="0.2">
      <c r="B28" s="21"/>
      <c r="C28" s="23"/>
      <c r="D28" s="21"/>
      <c r="E28" s="21"/>
      <c r="F28" s="21"/>
      <c r="G28" s="21"/>
      <c r="H28" s="21"/>
      <c r="I28" s="21"/>
      <c r="J28" s="21"/>
      <c r="K28" s="21"/>
      <c r="L28" s="21"/>
      <c r="M28" s="21"/>
      <c r="N28" s="21"/>
      <c r="O28" s="25"/>
      <c r="P28" s="26"/>
      <c r="Q28" s="26"/>
    </row>
    <row r="29" spans="2:28" ht="12.75" customHeight="1" x14ac:dyDescent="0.2">
      <c r="B29" s="21"/>
      <c r="C29" s="370"/>
      <c r="D29" s="32" t="s">
        <v>339</v>
      </c>
      <c r="E29" s="1250" t="str">
        <f>Translations!$B$830</f>
        <v>Ar šo apakšiekārtu saistīto relevanto produktu vai pakalpojumu identificēšana</v>
      </c>
      <c r="F29" s="1251"/>
      <c r="G29" s="1251"/>
      <c r="H29" s="1251"/>
      <c r="I29" s="1251"/>
      <c r="J29" s="1251"/>
      <c r="K29" s="1251"/>
      <c r="L29" s="1251"/>
      <c r="M29" s="1251"/>
      <c r="N29" s="1251"/>
      <c r="O29" s="25"/>
      <c r="P29" s="26"/>
    </row>
    <row r="30" spans="2:28" ht="12.75" customHeight="1" x14ac:dyDescent="0.2">
      <c r="B30" s="21"/>
      <c r="C30" s="384"/>
      <c r="D30" s="34"/>
      <c r="E30" s="1319" t="str">
        <f>Translations!$B$831</f>
        <v>Šeit norādiet, ar kādiem ražošanas procesiem vai pakalpojumiem ir saistīta šī apakšiekārta. Tie var būt, piemēram:</v>
      </c>
      <c r="F30" s="1251"/>
      <c r="G30" s="1251"/>
      <c r="H30" s="1251"/>
      <c r="I30" s="1251"/>
      <c r="J30" s="1251"/>
      <c r="K30" s="1251"/>
      <c r="L30" s="1251"/>
      <c r="M30" s="1251"/>
      <c r="N30" s="1251"/>
      <c r="O30" s="25"/>
      <c r="P30" s="26"/>
      <c r="Q30" s="26"/>
      <c r="R30" s="26"/>
      <c r="S30" s="26"/>
      <c r="T30" s="26"/>
      <c r="U30" s="26"/>
      <c r="V30" s="26"/>
      <c r="W30" s="26"/>
      <c r="X30" s="624"/>
      <c r="Y30" s="624"/>
      <c r="Z30" s="624"/>
      <c r="AA30" s="624"/>
      <c r="AB30" s="624"/>
    </row>
    <row r="31" spans="2:28" ht="12.75" customHeight="1" x14ac:dyDescent="0.2">
      <c r="B31" s="21"/>
      <c r="C31" s="384"/>
      <c r="D31" s="34"/>
      <c r="E31" s="118" t="s">
        <v>364</v>
      </c>
      <c r="F31" s="1319" t="str">
        <f>Translations!$B$832</f>
        <v>produktu līmeņatzīmju neaptvertu produktu ražošana iekārtā (norādiet produktu veidus);</v>
      </c>
      <c r="G31" s="1251"/>
      <c r="H31" s="1251"/>
      <c r="I31" s="1251"/>
      <c r="J31" s="1251"/>
      <c r="K31" s="1251"/>
      <c r="L31" s="1251"/>
      <c r="M31" s="1251"/>
      <c r="N31" s="1251"/>
      <c r="O31" s="25"/>
      <c r="P31" s="26"/>
      <c r="Q31" s="26"/>
      <c r="R31" s="26"/>
      <c r="S31" s="26"/>
      <c r="T31" s="26"/>
      <c r="U31" s="26"/>
      <c r="V31" s="26"/>
      <c r="W31" s="26"/>
      <c r="X31" s="624"/>
      <c r="Y31" s="624"/>
      <c r="Z31" s="624"/>
      <c r="AA31" s="624"/>
      <c r="AB31" s="624"/>
    </row>
    <row r="32" spans="2:28" ht="12.75" customHeight="1" x14ac:dyDescent="0.2">
      <c r="B32" s="21"/>
      <c r="C32" s="384"/>
      <c r="D32" s="34"/>
      <c r="E32" s="118" t="s">
        <v>364</v>
      </c>
      <c r="F32" s="1319" t="str">
        <f>Translations!$B$833</f>
        <v>mehāniskās enerģijas ražošana, siltumapgāde vai aukstumapgāde (visi izmantojumi, izņemot elektroenerģijas ražošanu);</v>
      </c>
      <c r="G32" s="1251"/>
      <c r="H32" s="1251"/>
      <c r="I32" s="1251"/>
      <c r="J32" s="1251"/>
      <c r="K32" s="1251"/>
      <c r="L32" s="1251"/>
      <c r="M32" s="1251"/>
      <c r="N32" s="1251"/>
      <c r="O32" s="25"/>
      <c r="P32" s="26"/>
      <c r="Q32" s="26"/>
      <c r="R32" s="26"/>
      <c r="S32" s="26"/>
      <c r="T32" s="26"/>
      <c r="U32" s="26"/>
      <c r="V32" s="26"/>
      <c r="W32" s="26"/>
      <c r="X32" s="624"/>
    </row>
    <row r="33" spans="2:28" ht="12.75" customHeight="1" x14ac:dyDescent="0.2">
      <c r="B33" s="21"/>
      <c r="C33" s="384"/>
      <c r="D33" s="34"/>
      <c r="E33" s="118" t="s">
        <v>364</v>
      </c>
      <c r="F33" s="1319" t="str">
        <f>Translations!$B$834</f>
        <v>siltuma eksports uz iekārtām vai citām vienībām (izņemot centralizētās siltumapgādes vajadzībām). Tādā gadījumā norādiet siltuma izmantojumu attiecīgajā iekārtā vai vienībā, ja tas ir zināms.</v>
      </c>
      <c r="G33" s="1251"/>
      <c r="H33" s="1251"/>
      <c r="I33" s="1251"/>
      <c r="J33" s="1251"/>
      <c r="K33" s="1251"/>
      <c r="L33" s="1251"/>
      <c r="M33" s="1251"/>
      <c r="N33" s="1251"/>
      <c r="O33" s="25"/>
      <c r="P33" s="26"/>
      <c r="Q33" s="26"/>
      <c r="R33" s="26"/>
      <c r="S33" s="26"/>
      <c r="T33" s="26"/>
      <c r="U33" s="26"/>
      <c r="V33" s="26"/>
      <c r="W33" s="26"/>
      <c r="X33" s="624"/>
    </row>
    <row r="34" spans="2:28" ht="25.5" customHeight="1" x14ac:dyDescent="0.2">
      <c r="B34" s="21"/>
      <c r="C34" s="384"/>
      <c r="D34" s="34"/>
      <c r="E34" s="1319" t="str">
        <f>Translations!$B$703</f>
        <v>PRODCOM kodi jāievada formā “nnnnnnnn”, t. i., bez punktiem vai citām atdalītājzīmēm. Tikai tad, ja PRODCOM kods nav pieejams, “nnnn” veidā jānorāda vismaz 4 ciparu līmeņa NACE kods.</v>
      </c>
      <c r="F34" s="1251"/>
      <c r="G34" s="1251"/>
      <c r="H34" s="1251"/>
      <c r="I34" s="1251"/>
      <c r="J34" s="1251"/>
      <c r="K34" s="1251"/>
      <c r="L34" s="1251"/>
      <c r="M34" s="1251"/>
      <c r="N34" s="1251"/>
      <c r="O34" s="25"/>
      <c r="P34" s="26"/>
    </row>
    <row r="35" spans="2:28" ht="12.75" customHeight="1" x14ac:dyDescent="0.2">
      <c r="B35" s="21"/>
      <c r="C35" s="384"/>
      <c r="D35" s="34"/>
      <c r="E35" s="1319" t="str">
        <f>Translations!$B$704</f>
        <v>PRODCOM 2010 kodu saraksts pieejams šeit:</v>
      </c>
      <c r="F35" s="1251"/>
      <c r="G35" s="1251"/>
      <c r="H35" s="1251"/>
      <c r="I35" s="1251"/>
      <c r="J35" s="1251"/>
      <c r="K35" s="1251"/>
      <c r="L35" s="1251"/>
      <c r="M35" s="1251"/>
      <c r="N35" s="1251"/>
      <c r="O35" s="25"/>
      <c r="P35" s="26"/>
    </row>
    <row r="36" spans="2:28" ht="12.75" customHeight="1" x14ac:dyDescent="0.2">
      <c r="B36" s="21"/>
      <c r="C36" s="384"/>
      <c r="D36" s="34"/>
      <c r="E36" s="1832" t="str">
        <f>Translations!$B$1665</f>
        <v>https://eur-lex.europa.eu/eli/reg/2010/860/oj?locale=lv</v>
      </c>
      <c r="F36" s="1833"/>
      <c r="G36" s="1833"/>
      <c r="H36" s="1833"/>
      <c r="I36" s="1833"/>
      <c r="J36" s="1833"/>
      <c r="K36" s="1833"/>
      <c r="L36" s="1833"/>
      <c r="M36" s="1833"/>
      <c r="N36" s="1833"/>
      <c r="O36" s="25"/>
      <c r="P36" s="26"/>
    </row>
    <row r="37" spans="2:28" ht="12.75" customHeight="1" x14ac:dyDescent="0.2">
      <c r="B37" s="21"/>
      <c r="C37" s="384"/>
      <c r="D37" s="34"/>
      <c r="E37" s="1319" t="str">
        <f>Translations!$B$835</f>
        <v>Ja tiek aptverti vairāki līdzīgi produkti, kas ietilpst tajā pašā NACE grupā, PRODCOM vietā var izmantot NACE kodus.</v>
      </c>
      <c r="F37" s="1251"/>
      <c r="G37" s="1251"/>
      <c r="H37" s="1251"/>
      <c r="I37" s="1251"/>
      <c r="J37" s="1251"/>
      <c r="K37" s="1251"/>
      <c r="L37" s="1251"/>
      <c r="M37" s="1251"/>
      <c r="N37" s="1251"/>
      <c r="O37" s="25"/>
      <c r="P37" s="26"/>
      <c r="Q37" s="26"/>
      <c r="R37" s="26"/>
      <c r="S37" s="26"/>
      <c r="T37" s="26"/>
      <c r="U37" s="26"/>
      <c r="V37" s="26"/>
      <c r="W37" s="26"/>
      <c r="X37" s="624"/>
    </row>
    <row r="38" spans="2:28" ht="12.75" customHeight="1" x14ac:dyDescent="0.2">
      <c r="B38" s="21"/>
      <c r="C38" s="384"/>
      <c r="D38" s="34"/>
      <c r="E38" s="1319" t="str">
        <f>Translations!$B$836</f>
        <v>Ja siltums tiek eksportēts, var izvēlēties savienoto iekārtu vai vienību, kāda ievadīta lapas “A_InstallationData” IV sadaļā.</v>
      </c>
      <c r="F38" s="1251"/>
      <c r="G38" s="1251"/>
      <c r="H38" s="1251"/>
      <c r="I38" s="1251"/>
      <c r="J38" s="1251"/>
      <c r="K38" s="1251"/>
      <c r="L38" s="1251"/>
      <c r="M38" s="1251"/>
      <c r="N38" s="1251"/>
      <c r="O38" s="25"/>
      <c r="P38" s="26"/>
      <c r="Q38" s="26"/>
      <c r="R38" s="26"/>
      <c r="S38" s="26"/>
      <c r="T38" s="26"/>
      <c r="U38" s="26"/>
      <c r="V38" s="26"/>
      <c r="W38" s="26"/>
      <c r="X38" s="624"/>
    </row>
    <row r="39" spans="2:28" ht="12.75" customHeight="1" x14ac:dyDescent="0.2">
      <c r="B39" s="21"/>
      <c r="C39" s="384"/>
      <c r="D39" s="34"/>
      <c r="E39" s="1319" t="str">
        <f>Translations!$B$1666</f>
        <v>KN kodi ir tie, kas norādīti Regulā (EEK) Nr. 2658/87; tā atrodama šeit:</v>
      </c>
      <c r="F39" s="1251"/>
      <c r="G39" s="1251"/>
      <c r="H39" s="1251"/>
      <c r="I39" s="1251"/>
      <c r="J39" s="1251"/>
      <c r="K39" s="1251"/>
      <c r="L39" s="1251"/>
      <c r="M39" s="1251"/>
      <c r="N39" s="1251"/>
      <c r="O39" s="25"/>
      <c r="P39" s="26"/>
      <c r="Q39" s="26"/>
      <c r="R39" s="26"/>
      <c r="S39" s="26"/>
      <c r="T39" s="26"/>
      <c r="U39" s="26"/>
      <c r="V39" s="26"/>
      <c r="W39" s="26"/>
      <c r="X39" s="624"/>
    </row>
    <row r="40" spans="2:28" ht="12.75" customHeight="1" x14ac:dyDescent="0.2">
      <c r="B40" s="21"/>
      <c r="C40" s="384"/>
      <c r="D40" s="34"/>
      <c r="E40" s="1832" t="str">
        <f>Translations!$B$1667</f>
        <v>https://eur-lex.europa.eu/eli/reg/1987/2658/2023-06-17</v>
      </c>
      <c r="F40" s="1833"/>
      <c r="G40" s="1833"/>
      <c r="H40" s="1833"/>
      <c r="I40" s="1833"/>
      <c r="J40" s="1833"/>
      <c r="K40" s="1833"/>
      <c r="L40" s="1833"/>
      <c r="M40" s="1833"/>
      <c r="N40" s="1833"/>
      <c r="O40" s="25"/>
      <c r="P40" s="26"/>
      <c r="Q40" s="26"/>
      <c r="R40" s="26"/>
      <c r="S40" s="26"/>
      <c r="T40" s="26"/>
      <c r="U40" s="26"/>
      <c r="V40" s="26"/>
      <c r="W40" s="26"/>
      <c r="X40" s="624"/>
    </row>
    <row r="41" spans="2:28" ht="5.0999999999999996" customHeight="1" x14ac:dyDescent="0.2">
      <c r="B41" s="21"/>
      <c r="C41" s="384"/>
      <c r="D41" s="34"/>
      <c r="E41" s="35"/>
      <c r="F41" s="35"/>
      <c r="G41" s="35"/>
      <c r="H41" s="35"/>
      <c r="I41" s="35"/>
      <c r="J41" s="39"/>
      <c r="K41" s="369"/>
      <c r="L41" s="369"/>
      <c r="M41" s="44"/>
      <c r="N41" s="44"/>
      <c r="O41" s="25"/>
      <c r="P41" s="26"/>
    </row>
    <row r="42" spans="2:28" ht="25.5" x14ac:dyDescent="0.2">
      <c r="B42" s="38"/>
      <c r="C42" s="370"/>
      <c r="D42" s="360"/>
      <c r="E42" s="1418" t="str">
        <f>Translations!$B$837</f>
        <v>Izmantojuma veids</v>
      </c>
      <c r="F42" s="1419"/>
      <c r="G42" s="1418" t="str">
        <f>Translations!$B$838</f>
        <v>Iekārtā vai eksports?</v>
      </c>
      <c r="H42" s="1419"/>
      <c r="I42" s="1830" t="str">
        <f>Translations!$B$839</f>
        <v>Produkta nosaukums vai siltuma eksports, bet ne centralizētās siltumapgādes vajadzībām</v>
      </c>
      <c r="J42" s="1441"/>
      <c r="K42" s="1441"/>
      <c r="L42" s="1419"/>
      <c r="M42" s="1121" t="str">
        <f>Translations!$B$1668</f>
        <v>PRODCOM 2010</v>
      </c>
      <c r="N42" s="1122" t="str">
        <f>Translations!$B$1669</f>
        <v>KN kodi</v>
      </c>
      <c r="O42" s="25"/>
      <c r="Y42" s="624"/>
      <c r="Z42" s="624"/>
      <c r="AA42" s="624"/>
      <c r="AB42" s="624"/>
    </row>
    <row r="43" spans="2:28" ht="12.75" customHeight="1" x14ac:dyDescent="0.2">
      <c r="B43" s="38"/>
      <c r="C43" s="68"/>
      <c r="D43" s="55">
        <v>1</v>
      </c>
      <c r="E43" s="1439"/>
      <c r="F43" s="1437"/>
      <c r="G43" s="1823"/>
      <c r="H43" s="1824"/>
      <c r="I43" s="1825"/>
      <c r="J43" s="1826"/>
      <c r="K43" s="1826"/>
      <c r="L43" s="1827"/>
      <c r="M43" s="558"/>
      <c r="N43" s="1087"/>
      <c r="O43" s="25"/>
    </row>
    <row r="44" spans="2:28" ht="12.75" customHeight="1" x14ac:dyDescent="0.2">
      <c r="B44" s="38"/>
      <c r="C44" s="68"/>
      <c r="D44" s="56">
        <f>D43+1</f>
        <v>2</v>
      </c>
      <c r="E44" s="1423"/>
      <c r="F44" s="1417"/>
      <c r="G44" s="1814"/>
      <c r="H44" s="1815"/>
      <c r="I44" s="1424"/>
      <c r="J44" s="1816"/>
      <c r="K44" s="1816"/>
      <c r="L44" s="1817"/>
      <c r="M44" s="559"/>
      <c r="N44" s="1085"/>
      <c r="O44" s="25"/>
    </row>
    <row r="45" spans="2:28" ht="12.75" customHeight="1" x14ac:dyDescent="0.2">
      <c r="B45" s="38"/>
      <c r="C45" s="68"/>
      <c r="D45" s="56">
        <f t="shared" ref="D45:D52" si="0">D44+1</f>
        <v>3</v>
      </c>
      <c r="E45" s="1423"/>
      <c r="F45" s="1417"/>
      <c r="G45" s="1814"/>
      <c r="H45" s="1815"/>
      <c r="I45" s="1424"/>
      <c r="J45" s="1816"/>
      <c r="K45" s="1816"/>
      <c r="L45" s="1817"/>
      <c r="M45" s="559"/>
      <c r="N45" s="1085"/>
      <c r="O45" s="25"/>
    </row>
    <row r="46" spans="2:28" ht="12.75" customHeight="1" x14ac:dyDescent="0.2">
      <c r="B46" s="38"/>
      <c r="C46" s="68"/>
      <c r="D46" s="56">
        <f t="shared" si="0"/>
        <v>4</v>
      </c>
      <c r="E46" s="1423"/>
      <c r="F46" s="1417"/>
      <c r="G46" s="1814"/>
      <c r="H46" s="1815"/>
      <c r="I46" s="1424"/>
      <c r="J46" s="1816"/>
      <c r="K46" s="1816"/>
      <c r="L46" s="1817"/>
      <c r="M46" s="559"/>
      <c r="N46" s="1085"/>
      <c r="O46" s="25"/>
    </row>
    <row r="47" spans="2:28" ht="12.75" customHeight="1" x14ac:dyDescent="0.2">
      <c r="B47" s="38"/>
      <c r="C47" s="68"/>
      <c r="D47" s="56">
        <f t="shared" si="0"/>
        <v>5</v>
      </c>
      <c r="E47" s="1423"/>
      <c r="F47" s="1417"/>
      <c r="G47" s="1814"/>
      <c r="H47" s="1815"/>
      <c r="I47" s="1424"/>
      <c r="J47" s="1816"/>
      <c r="K47" s="1816"/>
      <c r="L47" s="1817"/>
      <c r="M47" s="559"/>
      <c r="N47" s="1085"/>
      <c r="O47" s="25"/>
      <c r="Y47" s="624"/>
      <c r="Z47" s="624"/>
      <c r="AA47" s="624"/>
      <c r="AB47" s="624"/>
    </row>
    <row r="48" spans="2:28" ht="12.75" customHeight="1" x14ac:dyDescent="0.2">
      <c r="B48" s="38"/>
      <c r="C48" s="68"/>
      <c r="D48" s="56">
        <f t="shared" si="0"/>
        <v>6</v>
      </c>
      <c r="E48" s="1423"/>
      <c r="F48" s="1417"/>
      <c r="G48" s="1814"/>
      <c r="H48" s="1815"/>
      <c r="I48" s="1424"/>
      <c r="J48" s="1816"/>
      <c r="K48" s="1816"/>
      <c r="L48" s="1817"/>
      <c r="M48" s="559"/>
      <c r="N48" s="1085"/>
      <c r="O48" s="25"/>
    </row>
    <row r="49" spans="2:28" ht="12.75" customHeight="1" x14ac:dyDescent="0.2">
      <c r="B49" s="38"/>
      <c r="C49" s="68"/>
      <c r="D49" s="56">
        <f t="shared" si="0"/>
        <v>7</v>
      </c>
      <c r="E49" s="1423"/>
      <c r="F49" s="1417"/>
      <c r="G49" s="1814"/>
      <c r="H49" s="1815"/>
      <c r="I49" s="1424"/>
      <c r="J49" s="1816"/>
      <c r="K49" s="1816"/>
      <c r="L49" s="1817"/>
      <c r="M49" s="559"/>
      <c r="N49" s="1085"/>
      <c r="O49" s="25"/>
    </row>
    <row r="50" spans="2:28" ht="12.75" customHeight="1" x14ac:dyDescent="0.2">
      <c r="B50" s="38"/>
      <c r="C50" s="68"/>
      <c r="D50" s="56">
        <f t="shared" si="0"/>
        <v>8</v>
      </c>
      <c r="E50" s="1423"/>
      <c r="F50" s="1417"/>
      <c r="G50" s="1814"/>
      <c r="H50" s="1815"/>
      <c r="I50" s="1424"/>
      <c r="J50" s="1816"/>
      <c r="K50" s="1816"/>
      <c r="L50" s="1817"/>
      <c r="M50" s="559"/>
      <c r="N50" s="1085"/>
      <c r="O50" s="25"/>
    </row>
    <row r="51" spans="2:28" ht="12.75" customHeight="1" x14ac:dyDescent="0.2">
      <c r="B51" s="38"/>
      <c r="C51" s="68"/>
      <c r="D51" s="56">
        <f t="shared" si="0"/>
        <v>9</v>
      </c>
      <c r="E51" s="1423"/>
      <c r="F51" s="1417"/>
      <c r="G51" s="1814"/>
      <c r="H51" s="1815"/>
      <c r="I51" s="1424"/>
      <c r="J51" s="1816"/>
      <c r="K51" s="1816"/>
      <c r="L51" s="1817"/>
      <c r="M51" s="559"/>
      <c r="N51" s="1085"/>
      <c r="O51" s="25"/>
    </row>
    <row r="52" spans="2:28" ht="12.75" customHeight="1" x14ac:dyDescent="0.2">
      <c r="B52" s="38"/>
      <c r="C52" s="68"/>
      <c r="D52" s="59">
        <f t="shared" si="0"/>
        <v>10</v>
      </c>
      <c r="E52" s="1434"/>
      <c r="F52" s="1435"/>
      <c r="G52" s="1818"/>
      <c r="H52" s="1819"/>
      <c r="I52" s="1442"/>
      <c r="J52" s="1820"/>
      <c r="K52" s="1820"/>
      <c r="L52" s="1821"/>
      <c r="M52" s="560"/>
      <c r="N52" s="1086"/>
      <c r="O52" s="25"/>
      <c r="Y52" s="624"/>
      <c r="Z52" s="624"/>
      <c r="AA52" s="624"/>
      <c r="AB52" s="624"/>
    </row>
    <row r="53" spans="2:28" ht="5.0999999999999996" customHeight="1" x14ac:dyDescent="0.2">
      <c r="B53" s="21"/>
      <c r="C53" s="23"/>
      <c r="D53" s="21"/>
      <c r="E53" s="21"/>
      <c r="F53" s="21"/>
      <c r="G53" s="21"/>
      <c r="H53" s="21"/>
      <c r="I53" s="21"/>
      <c r="J53" s="21"/>
      <c r="K53" s="21"/>
      <c r="L53" s="21"/>
      <c r="M53" s="21"/>
      <c r="N53" s="21"/>
      <c r="O53" s="25"/>
      <c r="P53" s="26"/>
      <c r="Q53" s="26"/>
    </row>
    <row r="54" spans="2:28" ht="12.75" customHeight="1" x14ac:dyDescent="0.2">
      <c r="B54" s="21"/>
      <c r="C54" s="370"/>
      <c r="D54" s="32"/>
      <c r="E54" s="1250" t="str">
        <f>Translations!$B$840</f>
        <v>Ražošanas līmeņi</v>
      </c>
      <c r="F54" s="1251"/>
      <c r="G54" s="1251"/>
      <c r="H54" s="1251"/>
      <c r="I54" s="1251"/>
      <c r="J54" s="1251"/>
      <c r="K54" s="1251"/>
      <c r="L54" s="1251"/>
      <c r="M54" s="1251"/>
      <c r="N54" s="1251"/>
      <c r="O54" s="25"/>
      <c r="P54" s="26"/>
    </row>
    <row r="55" spans="2:28" ht="5.0999999999999996" customHeight="1" x14ac:dyDescent="0.2">
      <c r="B55" s="21"/>
      <c r="C55" s="384"/>
      <c r="D55" s="34"/>
      <c r="E55" s="35"/>
      <c r="F55" s="35"/>
      <c r="G55" s="35"/>
      <c r="H55" s="35"/>
      <c r="I55" s="35"/>
      <c r="J55" s="39"/>
      <c r="K55" s="39"/>
      <c r="L55" s="39"/>
      <c r="M55" s="25"/>
      <c r="N55" s="25"/>
      <c r="O55" s="25"/>
      <c r="P55" s="26"/>
    </row>
    <row r="56" spans="2:28" ht="25.5" customHeight="1" x14ac:dyDescent="0.2">
      <c r="B56" s="38"/>
      <c r="C56" s="370"/>
      <c r="D56" s="360"/>
      <c r="E56" s="1767" t="str">
        <f>I42</f>
        <v>Produkta nosaukums vai siltuma eksports, bet ne centralizētās siltumapgādes vajadzībām</v>
      </c>
      <c r="F56" s="1275"/>
      <c r="G56" s="1460"/>
      <c r="H56" s="52" t="str">
        <f>EUconst_Unit</f>
        <v>Vienība</v>
      </c>
      <c r="I56" s="412">
        <f>I$793</f>
        <v>2019</v>
      </c>
      <c r="J56" s="412">
        <f>J$793</f>
        <v>2020</v>
      </c>
      <c r="K56" s="412">
        <f>K$793</f>
        <v>2021</v>
      </c>
      <c r="L56" s="412">
        <f>L$793</f>
        <v>2022</v>
      </c>
      <c r="M56" s="412">
        <f>M$793</f>
        <v>2023</v>
      </c>
      <c r="N56" s="25"/>
      <c r="O56" s="25"/>
    </row>
    <row r="57" spans="2:28" ht="12.75" customHeight="1" x14ac:dyDescent="0.2">
      <c r="B57" s="38"/>
      <c r="C57" s="68"/>
      <c r="D57" s="55">
        <v>1</v>
      </c>
      <c r="E57" s="1748" t="str">
        <f t="shared" ref="E57:E66" si="1">IF(ISBLANK(I43),"",I43)</f>
        <v/>
      </c>
      <c r="F57" s="1768"/>
      <c r="G57" s="1769"/>
      <c r="H57" s="763"/>
      <c r="I57" s="484"/>
      <c r="J57" s="484"/>
      <c r="K57" s="484"/>
      <c r="L57" s="484"/>
      <c r="M57" s="484"/>
      <c r="N57" s="25"/>
      <c r="O57" s="25"/>
    </row>
    <row r="58" spans="2:28" ht="12.75" customHeight="1" x14ac:dyDescent="0.2">
      <c r="B58" s="38"/>
      <c r="C58" s="68"/>
      <c r="D58" s="56">
        <f>D57+1</f>
        <v>2</v>
      </c>
      <c r="E58" s="1754" t="str">
        <f t="shared" si="1"/>
        <v/>
      </c>
      <c r="F58" s="1755"/>
      <c r="G58" s="1756"/>
      <c r="H58" s="764"/>
      <c r="I58" s="557"/>
      <c r="J58" s="557"/>
      <c r="K58" s="557"/>
      <c r="L58" s="557"/>
      <c r="M58" s="557"/>
      <c r="N58" s="25"/>
      <c r="O58" s="25"/>
    </row>
    <row r="59" spans="2:28" ht="12.75" customHeight="1" x14ac:dyDescent="0.2">
      <c r="B59" s="38"/>
      <c r="C59" s="68"/>
      <c r="D59" s="56">
        <f t="shared" ref="D59:D66" si="2">D58+1</f>
        <v>3</v>
      </c>
      <c r="E59" s="1754" t="str">
        <f t="shared" si="1"/>
        <v/>
      </c>
      <c r="F59" s="1755"/>
      <c r="G59" s="1756"/>
      <c r="H59" s="764"/>
      <c r="I59" s="557"/>
      <c r="J59" s="557"/>
      <c r="K59" s="557"/>
      <c r="L59" s="557"/>
      <c r="M59" s="557"/>
      <c r="N59" s="25"/>
      <c r="O59" s="25"/>
    </row>
    <row r="60" spans="2:28" ht="12.75" customHeight="1" x14ac:dyDescent="0.2">
      <c r="B60" s="38"/>
      <c r="C60" s="68"/>
      <c r="D60" s="56">
        <f t="shared" si="2"/>
        <v>4</v>
      </c>
      <c r="E60" s="1754" t="str">
        <f t="shared" si="1"/>
        <v/>
      </c>
      <c r="F60" s="1755"/>
      <c r="G60" s="1756"/>
      <c r="H60" s="764"/>
      <c r="I60" s="557"/>
      <c r="J60" s="557"/>
      <c r="K60" s="557"/>
      <c r="L60" s="557"/>
      <c r="M60" s="557"/>
      <c r="N60" s="25"/>
      <c r="O60" s="25"/>
    </row>
    <row r="61" spans="2:28" ht="12.75" customHeight="1" x14ac:dyDescent="0.2">
      <c r="B61" s="38"/>
      <c r="C61" s="68"/>
      <c r="D61" s="56">
        <f t="shared" si="2"/>
        <v>5</v>
      </c>
      <c r="E61" s="1754" t="str">
        <f t="shared" si="1"/>
        <v/>
      </c>
      <c r="F61" s="1755"/>
      <c r="G61" s="1756"/>
      <c r="H61" s="764"/>
      <c r="I61" s="557"/>
      <c r="J61" s="557"/>
      <c r="K61" s="557"/>
      <c r="L61" s="557"/>
      <c r="M61" s="557"/>
      <c r="N61" s="25"/>
      <c r="O61" s="25"/>
    </row>
    <row r="62" spans="2:28" ht="12.75" customHeight="1" x14ac:dyDescent="0.2">
      <c r="B62" s="38"/>
      <c r="C62" s="68"/>
      <c r="D62" s="56">
        <f t="shared" si="2"/>
        <v>6</v>
      </c>
      <c r="E62" s="1754" t="str">
        <f t="shared" si="1"/>
        <v/>
      </c>
      <c r="F62" s="1755"/>
      <c r="G62" s="1756"/>
      <c r="H62" s="764"/>
      <c r="I62" s="557"/>
      <c r="J62" s="557"/>
      <c r="K62" s="557"/>
      <c r="L62" s="557"/>
      <c r="M62" s="557"/>
      <c r="N62" s="25"/>
      <c r="O62" s="25"/>
    </row>
    <row r="63" spans="2:28" ht="12.75" customHeight="1" x14ac:dyDescent="0.2">
      <c r="B63" s="38"/>
      <c r="C63" s="68"/>
      <c r="D63" s="56">
        <f t="shared" si="2"/>
        <v>7</v>
      </c>
      <c r="E63" s="1754" t="str">
        <f t="shared" si="1"/>
        <v/>
      </c>
      <c r="F63" s="1755"/>
      <c r="G63" s="1756"/>
      <c r="H63" s="764"/>
      <c r="I63" s="557"/>
      <c r="J63" s="557"/>
      <c r="K63" s="557"/>
      <c r="L63" s="557"/>
      <c r="M63" s="557"/>
      <c r="N63" s="25"/>
      <c r="O63" s="25"/>
    </row>
    <row r="64" spans="2:28" ht="12.75" customHeight="1" x14ac:dyDescent="0.2">
      <c r="B64" s="38"/>
      <c r="C64" s="68"/>
      <c r="D64" s="56">
        <f t="shared" si="2"/>
        <v>8</v>
      </c>
      <c r="E64" s="1754" t="str">
        <f t="shared" si="1"/>
        <v/>
      </c>
      <c r="F64" s="1755"/>
      <c r="G64" s="1756"/>
      <c r="H64" s="764"/>
      <c r="I64" s="557"/>
      <c r="J64" s="557"/>
      <c r="K64" s="557"/>
      <c r="L64" s="557"/>
      <c r="M64" s="557"/>
      <c r="N64" s="25"/>
      <c r="O64" s="25"/>
    </row>
    <row r="65" spans="2:19" ht="12.75" customHeight="1" x14ac:dyDescent="0.2">
      <c r="B65" s="38"/>
      <c r="C65" s="68"/>
      <c r="D65" s="56">
        <f t="shared" si="2"/>
        <v>9</v>
      </c>
      <c r="E65" s="1754" t="str">
        <f t="shared" si="1"/>
        <v/>
      </c>
      <c r="F65" s="1755"/>
      <c r="G65" s="1756"/>
      <c r="H65" s="764"/>
      <c r="I65" s="557"/>
      <c r="J65" s="557"/>
      <c r="K65" s="557"/>
      <c r="L65" s="557"/>
      <c r="M65" s="557"/>
      <c r="N65" s="25"/>
      <c r="O65" s="25"/>
    </row>
    <row r="66" spans="2:19" ht="12.75" customHeight="1" x14ac:dyDescent="0.2">
      <c r="B66" s="38"/>
      <c r="C66" s="68"/>
      <c r="D66" s="59">
        <f t="shared" si="2"/>
        <v>10</v>
      </c>
      <c r="E66" s="1757" t="str">
        <f t="shared" si="1"/>
        <v/>
      </c>
      <c r="F66" s="1758"/>
      <c r="G66" s="1759"/>
      <c r="H66" s="765"/>
      <c r="I66" s="458"/>
      <c r="J66" s="458"/>
      <c r="K66" s="458"/>
      <c r="L66" s="458"/>
      <c r="M66" s="458"/>
      <c r="N66" s="25"/>
      <c r="O66" s="25"/>
    </row>
    <row r="67" spans="2:19" ht="12.75" customHeight="1" x14ac:dyDescent="0.2">
      <c r="B67" s="38"/>
      <c r="C67" s="38"/>
      <c r="D67" s="115"/>
      <c r="E67" s="1760" t="str">
        <f>Translations!$B$708</f>
        <v>Ražošanas līmeņu summa</v>
      </c>
      <c r="F67" s="1457"/>
      <c r="G67" s="1259"/>
      <c r="H67" s="250"/>
      <c r="I67" s="343" t="str">
        <f>IF(COUNT(I57:I66)&gt;0,SUM(I57:I66),"")</f>
        <v/>
      </c>
      <c r="J67" s="343" t="str">
        <f>IF(COUNT(J57:J66)&gt;0,SUM(J57:J66),"")</f>
        <v/>
      </c>
      <c r="K67" s="343" t="str">
        <f>IF(COUNT(K57:K66)&gt;0,SUM(K57:K66),"")</f>
        <v/>
      </c>
      <c r="L67" s="343" t="str">
        <f>IF(COUNT(L57:L66)&gt;0,SUM(L57:L66),"")</f>
        <v/>
      </c>
      <c r="M67" s="343" t="str">
        <f>IF(COUNT(M57:M66)&gt;0,SUM(M57:M66),"")</f>
        <v/>
      </c>
      <c r="N67" s="25"/>
      <c r="O67" s="25"/>
    </row>
    <row r="68" spans="2:19" ht="12.75" customHeight="1" thickBot="1" x14ac:dyDescent="0.25">
      <c r="B68" s="38"/>
      <c r="C68" s="38"/>
      <c r="D68" s="38"/>
      <c r="E68" s="38"/>
      <c r="F68" s="38"/>
      <c r="G68" s="38"/>
      <c r="H68" s="38"/>
      <c r="I68" s="38"/>
      <c r="J68" s="38"/>
      <c r="K68" s="38"/>
      <c r="L68" s="38"/>
      <c r="M68" s="38"/>
      <c r="N68" s="38"/>
      <c r="O68" s="25"/>
    </row>
    <row r="69" spans="2:19" ht="5.0999999999999996" customHeight="1" x14ac:dyDescent="0.2">
      <c r="B69" s="21"/>
      <c r="C69" s="467"/>
      <c r="D69" s="468"/>
      <c r="E69" s="468"/>
      <c r="F69" s="468"/>
      <c r="G69" s="468"/>
      <c r="H69" s="468"/>
      <c r="I69" s="468"/>
      <c r="J69" s="468"/>
      <c r="K69" s="468"/>
      <c r="L69" s="468"/>
      <c r="M69" s="469"/>
      <c r="N69" s="470"/>
      <c r="O69" s="25"/>
      <c r="P69" s="26"/>
      <c r="R69" s="26"/>
      <c r="S69" s="26"/>
    </row>
    <row r="70" spans="2:19" ht="15" customHeight="1" x14ac:dyDescent="0.2">
      <c r="B70" s="38"/>
      <c r="C70" s="471"/>
      <c r="D70" s="1697" t="str">
        <f>Translations!$B$709</f>
        <v>Dati, kas vajadzīgi, lai noteiktu līmeņatzīmju uzlabošanas rādītāju saskaņā ar ES ETS direktīvas 10.a panta 2. punktu.</v>
      </c>
      <c r="E70" s="1655"/>
      <c r="F70" s="1655"/>
      <c r="G70" s="1655"/>
      <c r="H70" s="1655"/>
      <c r="I70" s="1655"/>
      <c r="J70" s="1655"/>
      <c r="K70" s="1655"/>
      <c r="L70" s="1655"/>
      <c r="M70" s="1655"/>
      <c r="N70" s="1656"/>
      <c r="O70" s="25"/>
      <c r="R70" s="26"/>
      <c r="S70" s="26"/>
    </row>
    <row r="71" spans="2:19" ht="5.0999999999999996" customHeight="1" x14ac:dyDescent="0.2">
      <c r="B71" s="38"/>
      <c r="C71" s="472"/>
      <c r="D71" s="461"/>
      <c r="E71" s="461"/>
      <c r="F71" s="461"/>
      <c r="G71" s="461"/>
      <c r="H71" s="461"/>
      <c r="I71" s="461"/>
      <c r="J71" s="461"/>
      <c r="K71" s="461"/>
      <c r="L71" s="461"/>
      <c r="M71" s="461"/>
      <c r="N71" s="473"/>
      <c r="O71" s="25"/>
      <c r="R71" s="26"/>
      <c r="S71" s="26"/>
    </row>
    <row r="72" spans="2:19" ht="15" customHeight="1" x14ac:dyDescent="0.2">
      <c r="B72" s="38"/>
      <c r="C72" s="472"/>
      <c r="D72" s="1698" t="str">
        <f>EUconst_FBSubinst &amp; ":"</f>
        <v>Alternatīva apakšiekārta:</v>
      </c>
      <c r="E72" s="1699"/>
      <c r="F72" s="1699"/>
      <c r="G72" s="1699"/>
      <c r="H72" s="1700"/>
      <c r="I72" s="1701" t="str">
        <f>I13</f>
        <v>Siltuma līmeņatzīmes apakšiekārta, OEP | bez OIM)</v>
      </c>
      <c r="J72" s="1457"/>
      <c r="K72" s="1457"/>
      <c r="L72" s="1457"/>
      <c r="M72" s="1457"/>
      <c r="N72" s="1702"/>
      <c r="O72" s="25"/>
      <c r="R72" s="26"/>
      <c r="S72" s="26"/>
    </row>
    <row r="73" spans="2:19" ht="5.0999999999999996" customHeight="1" x14ac:dyDescent="0.2">
      <c r="B73" s="38"/>
      <c r="C73" s="472"/>
      <c r="D73" s="461"/>
      <c r="E73" s="461"/>
      <c r="F73" s="461"/>
      <c r="G73" s="461"/>
      <c r="H73" s="461"/>
      <c r="I73" s="461"/>
      <c r="J73" s="461"/>
      <c r="K73" s="461"/>
      <c r="L73" s="461"/>
      <c r="M73" s="461"/>
      <c r="N73" s="473"/>
      <c r="O73" s="25"/>
      <c r="R73" s="26"/>
      <c r="S73" s="26"/>
    </row>
    <row r="74" spans="2:19" ht="30" customHeight="1" x14ac:dyDescent="0.2">
      <c r="B74" s="21"/>
      <c r="C74" s="471"/>
      <c r="D74" s="460"/>
      <c r="E74" s="1831" t="str">
        <f>Translations!$B$710</f>
        <v>Šī apakšsadaļa attiecas uz tādu emisiju attiecināšanu, kas saistītas ar avota plūsmām, emisiju avotiem, izmērāma siltuma un atlikumgāzu importu un eksportu, arī siltuma zudumiem saskaņā ar FAR VII pielikuma 10. iedaļu.</v>
      </c>
      <c r="F74" s="1831"/>
      <c r="G74" s="1831"/>
      <c r="H74" s="1831"/>
      <c r="I74" s="1831"/>
      <c r="J74" s="1831"/>
      <c r="K74" s="1831"/>
      <c r="L74" s="1831"/>
      <c r="M74" s="1831"/>
      <c r="N74" s="528"/>
      <c r="O74" s="25"/>
      <c r="P74" s="26"/>
    </row>
    <row r="75" spans="2:19" ht="30" customHeight="1" x14ac:dyDescent="0.2">
      <c r="B75" s="224"/>
      <c r="C75" s="977"/>
      <c r="D75" s="978"/>
      <c r="E75" s="1670" t="str">
        <f>Translations!$B$711</f>
        <v xml:space="preserve">Ņemiet vērā, ka, lai gan ir sniegti daži norādījumi par katru no nākamajiem punktiem, papildu informācija būtu jāmeklē Norādījumu dokumentā Nr. 5 (“Monitoring and Reporting in relation to the FAR” — “Ar FAR saistītais monitorings un ziņošana”), kurā ietverti arī piemēri. </v>
      </c>
      <c r="F75" s="1670"/>
      <c r="G75" s="1670"/>
      <c r="H75" s="1670"/>
      <c r="I75" s="1670"/>
      <c r="J75" s="1670"/>
      <c r="K75" s="1670"/>
      <c r="L75" s="1670"/>
      <c r="M75" s="1670"/>
      <c r="N75" s="698"/>
      <c r="O75" s="25"/>
      <c r="P75" s="955"/>
    </row>
    <row r="76" spans="2:19" ht="12.75" customHeight="1" x14ac:dyDescent="0.2">
      <c r="B76" s="224"/>
      <c r="C76" s="977"/>
      <c r="D76" s="978"/>
      <c r="E76" s="1670" t="str">
        <f>Translations!$B$712</f>
        <v xml:space="preserve">Šos norādījumus var lejupielādēt šeit: </v>
      </c>
      <c r="F76" s="1268"/>
      <c r="G76" s="1268"/>
      <c r="H76" s="1268"/>
      <c r="I76" s="1268"/>
      <c r="J76" s="1268"/>
      <c r="K76" s="1268"/>
      <c r="L76" s="1268"/>
      <c r="M76" s="1268"/>
      <c r="N76" s="698"/>
      <c r="O76" s="25"/>
      <c r="P76" s="955"/>
    </row>
    <row r="77" spans="2:19" ht="15" customHeight="1" x14ac:dyDescent="0.2">
      <c r="B77" s="224"/>
      <c r="C77" s="977"/>
      <c r="D77" s="978"/>
      <c r="E77" s="1549" t="str">
        <f>Translations!$B$713</f>
        <v>https://ec.europa.eu/clima/policies/ets/allowances_en#tab-0-1</v>
      </c>
      <c r="F77" s="1549"/>
      <c r="G77" s="1549"/>
      <c r="H77" s="1549"/>
      <c r="I77" s="1549"/>
      <c r="J77" s="1549"/>
      <c r="K77" s="1549"/>
      <c r="L77" s="1549"/>
      <c r="M77" s="1549"/>
      <c r="N77" s="698"/>
      <c r="O77" s="25"/>
      <c r="P77" s="955"/>
    </row>
    <row r="78" spans="2:19" ht="15" customHeight="1" x14ac:dyDescent="0.2">
      <c r="B78" s="21"/>
      <c r="C78" s="471"/>
      <c r="D78" s="460"/>
      <c r="E78" s="1693" t="str">
        <f>Translations!$B$714</f>
        <v>Balstoties uz tālāk izdarītajiem ierakstiem, attiecināmās emisijas tiek aprēķinātas kopsavilkuma lapas K III sadaļas 2. punktā.</v>
      </c>
      <c r="F78" s="1693"/>
      <c r="G78" s="1693"/>
      <c r="H78" s="1693"/>
      <c r="I78" s="1693"/>
      <c r="J78" s="1693"/>
      <c r="K78" s="1693"/>
      <c r="L78" s="1693"/>
      <c r="M78" s="1693"/>
      <c r="N78" s="528"/>
      <c r="O78" s="25"/>
      <c r="P78" s="26"/>
    </row>
    <row r="79" spans="2:19" ht="5.0999999999999996" customHeight="1" x14ac:dyDescent="0.2">
      <c r="B79" s="38"/>
      <c r="C79" s="472"/>
      <c r="D79" s="461"/>
      <c r="E79" s="461"/>
      <c r="F79" s="461"/>
      <c r="G79" s="461"/>
      <c r="H79" s="461"/>
      <c r="I79" s="461"/>
      <c r="J79" s="461"/>
      <c r="K79" s="461"/>
      <c r="L79" s="461"/>
      <c r="M79" s="461"/>
      <c r="N79" s="473"/>
      <c r="O79" s="25"/>
      <c r="R79" s="26"/>
      <c r="S79" s="26"/>
    </row>
    <row r="80" spans="2:19" ht="12.75" customHeight="1" x14ac:dyDescent="0.2">
      <c r="B80" s="21"/>
      <c r="C80" s="471"/>
      <c r="D80" s="474" t="s">
        <v>11</v>
      </c>
      <c r="E80" s="1654" t="str">
        <f>Translations!$B$841</f>
        <v>Uz šo apakšiekārtu tieši attiecināmas emisijas (DirEm*)</v>
      </c>
      <c r="F80" s="1655"/>
      <c r="G80" s="1655"/>
      <c r="H80" s="1655"/>
      <c r="I80" s="1655"/>
      <c r="J80" s="1655"/>
      <c r="K80" s="1655"/>
      <c r="L80" s="1655"/>
      <c r="M80" s="1655"/>
      <c r="N80" s="1656"/>
      <c r="O80" s="25"/>
      <c r="P80" s="26"/>
      <c r="R80" s="26"/>
      <c r="S80" s="26"/>
    </row>
    <row r="81" spans="2:23" ht="12.75" customHeight="1" x14ac:dyDescent="0.2">
      <c r="B81" s="21"/>
      <c r="C81" s="471"/>
      <c r="D81" s="474"/>
      <c r="E81" s="1828" t="str">
        <f>Translations!$B$716</f>
        <v>Šeit sniegtie dati ietekmēs attiecināmās emisijas saskaņā ar FAR VII pielikuma 10.1.1. iedaļu.</v>
      </c>
      <c r="F81" s="1828"/>
      <c r="G81" s="1828"/>
      <c r="H81" s="1828"/>
      <c r="I81" s="1828"/>
      <c r="J81" s="1828"/>
      <c r="K81" s="1828"/>
      <c r="L81" s="1828"/>
      <c r="M81" s="1828"/>
      <c r="N81" s="1829"/>
      <c r="O81" s="25"/>
      <c r="P81" s="26"/>
      <c r="R81" s="26"/>
      <c r="S81" s="26"/>
    </row>
    <row r="82" spans="2:23" ht="12.75" customHeight="1" x14ac:dyDescent="0.2">
      <c r="B82" s="21"/>
      <c r="C82" s="471"/>
      <c r="D82" s="460"/>
      <c r="E82" s="1725" t="str">
        <f>Translations!$B$842</f>
        <v>Norādiet tiešās emisijas, ņemot vērā šādus noteikumus.</v>
      </c>
      <c r="F82" s="1725"/>
      <c r="G82" s="1725"/>
      <c r="H82" s="1725"/>
      <c r="I82" s="1725"/>
      <c r="J82" s="1725"/>
      <c r="K82" s="1725"/>
      <c r="L82" s="1725"/>
      <c r="M82" s="1725"/>
      <c r="N82" s="1726"/>
      <c r="O82" s="25"/>
      <c r="P82" s="26"/>
      <c r="R82" s="26"/>
    </row>
    <row r="83" spans="2:23" ht="25.5" customHeight="1" x14ac:dyDescent="0.2">
      <c r="B83" s="21"/>
      <c r="C83" s="471"/>
      <c r="D83" s="460"/>
      <c r="E83" s="672" t="s">
        <v>392</v>
      </c>
      <c r="F83" s="1727" t="str">
        <f>Translations!$B$843</f>
        <v>Tiešās emisijas monitorē saskaņā ar monitoringa plānu, kas apstiprināts saskaņā ar MZR, t. i., ņemot vērā emisijas, kas iegūtas ar aprēķinos balstītām metodikām (izmantojot avota plūsmas), mērījumos balstītām metodikām (CEMS), kā arī bezpakāpju pieejas (“rezerves pieejas”).</v>
      </c>
      <c r="G83" s="1727"/>
      <c r="H83" s="1727"/>
      <c r="I83" s="1727"/>
      <c r="J83" s="1727"/>
      <c r="K83" s="1727"/>
      <c r="L83" s="1727"/>
      <c r="M83" s="1727"/>
      <c r="N83" s="1734"/>
      <c r="O83" s="25"/>
      <c r="P83" s="26"/>
      <c r="R83" s="26"/>
    </row>
    <row r="84" spans="2:23" ht="38.25" customHeight="1" x14ac:dyDescent="0.2">
      <c r="B84" s="224"/>
      <c r="C84" s="977"/>
      <c r="D84" s="978"/>
      <c r="E84" s="672"/>
      <c r="F84" s="1730" t="str">
        <f>Translations!$B$844</f>
        <v>Tomēr vairākos gadījumos “tiešās emisijas” šajā sadaļā nav identiskas tām, ko ziņo saskaņā ar MZR. Tā ir, piemēram, ja izmērāma siltuma, atlikumgāzu utt. ieguvei izmanto noteiktas avota plūsmas. Citiem vārdiem sakot, lai izvairītos no divkāršas uzskaites vai izlaidumiem, aizpildot tālākās sadaļas, rūpīgi ievērojiet norādījumus.</v>
      </c>
      <c r="G84" s="1268"/>
      <c r="H84" s="1268"/>
      <c r="I84" s="1268"/>
      <c r="J84" s="1268"/>
      <c r="K84" s="1268"/>
      <c r="L84" s="1268"/>
      <c r="M84" s="1268"/>
      <c r="N84" s="1731"/>
      <c r="O84" s="25"/>
      <c r="P84" s="955"/>
      <c r="R84" s="955"/>
    </row>
    <row r="85" spans="2:23" ht="12.75" customHeight="1" x14ac:dyDescent="0.2">
      <c r="B85" s="21"/>
      <c r="C85" s="471"/>
      <c r="D85" s="460"/>
      <c r="E85" s="672" t="s">
        <v>392</v>
      </c>
      <c r="F85" s="1727" t="str">
        <f>Translations!$B$845</f>
        <v xml:space="preserve">Izmērāmais siltums: ja siltums tiek ražots tikai šai apakšiekārtai, emisijas šeit var attiecināt tieši, izmantojot kurināmā emisijas. </v>
      </c>
      <c r="G85" s="1727"/>
      <c r="H85" s="1727"/>
      <c r="I85" s="1727"/>
      <c r="J85" s="1727"/>
      <c r="K85" s="1727"/>
      <c r="L85" s="1727"/>
      <c r="M85" s="1727"/>
      <c r="N85" s="1734"/>
      <c r="O85" s="25"/>
      <c r="P85" s="26"/>
      <c r="R85" s="26"/>
    </row>
    <row r="86" spans="2:23" ht="38.85" customHeight="1" x14ac:dyDescent="0.2">
      <c r="B86" s="21"/>
      <c r="C86" s="471"/>
      <c r="D86" s="460"/>
      <c r="E86" s="672"/>
      <c r="F86" s="1727" t="str">
        <f>Translations!$B$846</f>
        <v>Ja ar kurināmajiem ražo izmērāmu siltumu, kas tiek patērēts vairāk nekā vienā apakšiekārtā (piem., iekārtas elektrocentrāle vai sarežģītāks tvaika tīkls ar vairākiem siltumblokiem), kurināmos iekļauj nevis apakšiekārtas tiešajās emisijās, bet gan f) punkta i. apakšpunktā.</v>
      </c>
      <c r="G86" s="1727"/>
      <c r="H86" s="1727"/>
      <c r="I86" s="1727"/>
      <c r="J86" s="1727"/>
      <c r="K86" s="1727"/>
      <c r="L86" s="1727"/>
      <c r="M86" s="1727"/>
      <c r="N86" s="1734"/>
      <c r="O86" s="25"/>
      <c r="P86" s="26"/>
      <c r="R86" s="26"/>
    </row>
    <row r="87" spans="2:23" ht="25.5" customHeight="1" thickBot="1" x14ac:dyDescent="0.25">
      <c r="B87" s="21"/>
      <c r="C87" s="471"/>
      <c r="D87" s="460"/>
      <c r="E87" s="672" t="s">
        <v>392</v>
      </c>
      <c r="F87" s="1727" t="str">
        <f>Translations!$B$847</f>
        <v>Atlikumgāzes: emisijas, kas saistītas ar izmērāmo siltumu, kurš saražots no atlikumgāzēm, kas importētas no citām iekārtām vai apakšiekārtām un izmantotas šajā apakšiekārtā, norāda nevis šeit, bet gan f) punkta xiii. apakšpunktā.</v>
      </c>
      <c r="G87" s="1728"/>
      <c r="H87" s="1728"/>
      <c r="I87" s="1728"/>
      <c r="J87" s="1728"/>
      <c r="K87" s="1728"/>
      <c r="L87" s="1728"/>
      <c r="M87" s="1728"/>
      <c r="N87" s="1729"/>
      <c r="O87" s="25"/>
      <c r="P87" s="26"/>
      <c r="R87" s="26"/>
    </row>
    <row r="88" spans="2:23" ht="12.75" customHeight="1" x14ac:dyDescent="0.2">
      <c r="B88" s="21"/>
      <c r="C88" s="471"/>
      <c r="D88" s="474"/>
      <c r="E88" s="1653" t="str">
        <f>Translations!$B$690</f>
        <v>Kopējās tiešās emisijas</v>
      </c>
      <c r="F88" s="1657"/>
      <c r="G88" s="1657"/>
      <c r="H88" s="462" t="str">
        <f>EUconst_Unit</f>
        <v>Vienība</v>
      </c>
      <c r="I88" s="463">
        <f>I$793</f>
        <v>2019</v>
      </c>
      <c r="J88" s="463">
        <f>J$793</f>
        <v>2020</v>
      </c>
      <c r="K88" s="463">
        <f>K$793</f>
        <v>2021</v>
      </c>
      <c r="L88" s="463">
        <f>L$793</f>
        <v>2022</v>
      </c>
      <c r="M88" s="463">
        <f>M$793</f>
        <v>2023</v>
      </c>
      <c r="N88" s="475"/>
      <c r="O88" s="25"/>
      <c r="P88" s="26"/>
      <c r="R88" s="808"/>
      <c r="S88" s="809">
        <f>I88</f>
        <v>2019</v>
      </c>
      <c r="T88" s="809">
        <f>J88</f>
        <v>2020</v>
      </c>
      <c r="U88" s="809">
        <f>K88</f>
        <v>2021</v>
      </c>
      <c r="V88" s="809">
        <f>L88</f>
        <v>2022</v>
      </c>
      <c r="W88" s="810">
        <f>M88</f>
        <v>2023</v>
      </c>
    </row>
    <row r="89" spans="2:23" ht="12.75" customHeight="1" thickBot="1" x14ac:dyDescent="0.25">
      <c r="B89" s="21"/>
      <c r="C89" s="471"/>
      <c r="D89" s="460"/>
      <c r="E89" s="1782" t="str">
        <f>I13</f>
        <v>Siltuma līmeņatzīmes apakšiekārta, OEP | bez OIM)</v>
      </c>
      <c r="F89" s="1782"/>
      <c r="G89" s="1782"/>
      <c r="H89" s="464" t="str">
        <f>EUconst_tCO2epa</f>
        <v>t CO2e/gads</v>
      </c>
      <c r="I89" s="337"/>
      <c r="J89" s="337"/>
      <c r="K89" s="337"/>
      <c r="L89" s="337"/>
      <c r="M89" s="337"/>
      <c r="N89" s="475"/>
      <c r="O89" s="25"/>
      <c r="P89" s="367" t="str">
        <f>EUconst_CNTR_Emissions &amp; I13</f>
        <v>DirEmissions_Siltuma līmeņatzīmes apakšiekārta, OEP | bez OIM)</v>
      </c>
      <c r="R89" s="811" t="str">
        <f>EUconst_CNTR_AttributedEmissions &amp; I13</f>
        <v>AttrEmissions_Siltuma līmeņatzīmes apakšiekārta, OEP | bez OIM)</v>
      </c>
      <c r="S89" s="137" t="str">
        <f>IF(S13,SUM(I89),"")</f>
        <v/>
      </c>
      <c r="T89" s="137" t="str">
        <f>IF(T13,SUM(J89),"")</f>
        <v/>
      </c>
      <c r="U89" s="137" t="str">
        <f>IF(U13,SUM(K89),"")</f>
        <v/>
      </c>
      <c r="V89" s="137" t="str">
        <f>IF(V13,SUM(L89),"")</f>
        <v/>
      </c>
      <c r="W89" s="138" t="str">
        <f>IF(W13,SUM(M89),"")</f>
        <v/>
      </c>
    </row>
    <row r="90" spans="2:23" ht="5.0999999999999996" customHeight="1" x14ac:dyDescent="0.2">
      <c r="B90" s="21"/>
      <c r="C90" s="471"/>
      <c r="D90" s="460"/>
      <c r="E90" s="460"/>
      <c r="F90" s="460"/>
      <c r="G90" s="460"/>
      <c r="H90" s="460"/>
      <c r="I90" s="460"/>
      <c r="J90" s="460"/>
      <c r="K90" s="460"/>
      <c r="L90" s="460"/>
      <c r="M90" s="476"/>
      <c r="N90" s="475"/>
      <c r="O90" s="25"/>
      <c r="P90" s="26"/>
      <c r="R90" s="26"/>
    </row>
    <row r="91" spans="2:23" ht="12.75" customHeight="1" x14ac:dyDescent="0.2">
      <c r="B91" s="21"/>
      <c r="C91" s="471"/>
      <c r="D91" s="474" t="s">
        <v>342</v>
      </c>
      <c r="E91" s="1663" t="str">
        <f>Translations!$B$1670</f>
        <v>Enerģijas ielaide šajā apakšiekārtā un relevantais emisijas faktors</v>
      </c>
      <c r="F91" s="1663"/>
      <c r="G91" s="1663"/>
      <c r="H91" s="1663"/>
      <c r="I91" s="1663"/>
      <c r="J91" s="1663"/>
      <c r="K91" s="1663"/>
      <c r="L91" s="1663"/>
      <c r="M91" s="1663"/>
      <c r="N91" s="1690"/>
      <c r="O91" s="25"/>
      <c r="R91" s="26"/>
    </row>
    <row r="92" spans="2:23" ht="25.5" customHeight="1" x14ac:dyDescent="0.2">
      <c r="B92" s="21"/>
      <c r="C92" s="471"/>
      <c r="D92" s="460"/>
      <c r="E92" s="1727" t="str">
        <f>Translations!$B$1676</f>
        <v>Kā noteikts FAR IV pielikuma 2.4. iedaļas a) punktā, norādiet kurināmā, materiālu (piemēram, eksotermiskā siltuma) un elektroenerģijas (siltuma ražošanai) ielaidi saskaņā ar iekārtas līmeņa datu ierakstiem E.I.1.a sadaļā un attiecīgo svērto emisijas faktoru, ņemot vērā saistīto enerģijas saturu.</v>
      </c>
      <c r="F92" s="1655"/>
      <c r="G92" s="1655"/>
      <c r="H92" s="1655"/>
      <c r="I92" s="1655"/>
      <c r="J92" s="1655"/>
      <c r="K92" s="1655"/>
      <c r="L92" s="1655"/>
      <c r="M92" s="1655"/>
      <c r="N92" s="1656"/>
      <c r="O92" s="25"/>
      <c r="P92" s="26"/>
      <c r="Q92" s="26"/>
      <c r="R92" s="26"/>
    </row>
    <row r="93" spans="2:23" ht="25.5" customHeight="1" x14ac:dyDescent="0.2">
      <c r="B93" s="21"/>
      <c r="C93" s="471"/>
      <c r="D93" s="460"/>
      <c r="E93" s="1727" t="str">
        <f>Translations!$B$849</f>
        <v>Jēdziens “kurināmais” apzīmē jebkuru avota plūsmu saskaņā ar MZR, kas ir sadedzināma un kam var noteikt zemāko siltumspēju. Svērto emisijas faktoru nosaka, kumulatīvās emisijas no kurināmajiem (arī tiem, ko izmanto izmērāma siltuma ražošanai) dalot ar kopējo enerģētisko saturu.</v>
      </c>
      <c r="F93" s="1655"/>
      <c r="G93" s="1655"/>
      <c r="H93" s="1655"/>
      <c r="I93" s="1655"/>
      <c r="J93" s="1655"/>
      <c r="K93" s="1655"/>
      <c r="L93" s="1655"/>
      <c r="M93" s="1655"/>
      <c r="N93" s="1656"/>
      <c r="O93" s="25"/>
      <c r="P93" s="26"/>
      <c r="R93" s="26"/>
    </row>
    <row r="94" spans="2:23" ht="25.5" customHeight="1" x14ac:dyDescent="0.2">
      <c r="B94" s="21"/>
      <c r="C94" s="471"/>
      <c r="D94" s="460"/>
      <c r="E94" s="1727" t="str">
        <f>Translations!$B$1677</f>
        <v>Turklāt svērtajam emisijas faktoram attiecīgā gadījumā būtu jāietver arī emisijas no attiecīgo dūmgāzu attīrīšanas. Elektroenerģijas ielaidei un citai enerģijas ielaidei EF parasti nav skaidri noteikts vai zināms. Tāpēc attiecīgie ieraksti šeit ir fakultatīvi.</v>
      </c>
      <c r="F94" s="1655"/>
      <c r="G94" s="1655"/>
      <c r="H94" s="1655"/>
      <c r="I94" s="1655"/>
      <c r="J94" s="1655"/>
      <c r="K94" s="1655"/>
      <c r="L94" s="1655"/>
      <c r="M94" s="1655"/>
      <c r="N94" s="1656"/>
      <c r="O94" s="25"/>
      <c r="P94" s="26"/>
      <c r="R94" s="26"/>
    </row>
    <row r="95" spans="2:23" ht="12.75" customHeight="1" x14ac:dyDescent="0.2">
      <c r="B95" s="21"/>
      <c r="C95" s="471"/>
      <c r="D95" s="460"/>
      <c r="E95" s="1727" t="str">
        <f>Translations!$B$850</f>
        <v>Atlikumgāzu kurināmā ielaide ietver attiecīgo enerģijas ielaidi šajā apakšiekārtā izmantotā izmērāmā siltuma ražošanai.</v>
      </c>
      <c r="F95" s="1655"/>
      <c r="G95" s="1655"/>
      <c r="H95" s="1655"/>
      <c r="I95" s="1655"/>
      <c r="J95" s="1655"/>
      <c r="K95" s="1655"/>
      <c r="L95" s="1655"/>
      <c r="M95" s="1655"/>
      <c r="N95" s="1656"/>
      <c r="O95" s="25"/>
      <c r="P95" s="26"/>
      <c r="R95" s="26"/>
    </row>
    <row r="96" spans="2:23" ht="12.75" customHeight="1" x14ac:dyDescent="0.2">
      <c r="B96" s="21"/>
      <c r="C96" s="471"/>
      <c r="D96" s="460"/>
      <c r="E96" s="1727" t="str">
        <f>Translations!$B$851</f>
        <v>Šeit ievadītās vērtības tiek izmantotas atlikumgāzu bilancei E lapas III sadaļas h) punktā.</v>
      </c>
      <c r="F96" s="1655"/>
      <c r="G96" s="1655"/>
      <c r="H96" s="1655"/>
      <c r="I96" s="1655"/>
      <c r="J96" s="1655"/>
      <c r="K96" s="1655"/>
      <c r="L96" s="1655"/>
      <c r="M96" s="1655"/>
      <c r="N96" s="1656"/>
      <c r="O96" s="25"/>
      <c r="P96" s="26"/>
      <c r="R96" s="26"/>
    </row>
    <row r="97" spans="2:23" ht="12.75" customHeight="1" x14ac:dyDescent="0.2">
      <c r="B97" s="21"/>
      <c r="C97" s="471"/>
      <c r="D97" s="460"/>
      <c r="E97" s="1723" t="str">
        <f>Translations!$B$730</f>
        <v>Šeit sniegtie dati tiek izmantoti tikai konsekvences pārbaudei, un tiem nav tiešas ietekmes ne uz attiecināmajām emisijām, ne iedales apjomu.</v>
      </c>
      <c r="F97" s="1654"/>
      <c r="G97" s="1654"/>
      <c r="H97" s="1654"/>
      <c r="I97" s="1654"/>
      <c r="J97" s="1654"/>
      <c r="K97" s="1654"/>
      <c r="L97" s="1654"/>
      <c r="M97" s="1654"/>
      <c r="N97" s="1724"/>
      <c r="O97" s="25"/>
      <c r="P97" s="26"/>
      <c r="R97" s="26"/>
    </row>
    <row r="98" spans="2:23" ht="12.75" customHeight="1" x14ac:dyDescent="0.2">
      <c r="B98" s="21"/>
      <c r="C98" s="471"/>
      <c r="D98" s="474"/>
      <c r="E98" s="1653"/>
      <c r="F98" s="1657"/>
      <c r="G98" s="1657"/>
      <c r="H98" s="462" t="str">
        <f>EUconst_Unit</f>
        <v>Vienība</v>
      </c>
      <c r="I98" s="463">
        <f>I$793</f>
        <v>2019</v>
      </c>
      <c r="J98" s="463">
        <f>J$793</f>
        <v>2020</v>
      </c>
      <c r="K98" s="463">
        <f>K$793</f>
        <v>2021</v>
      </c>
      <c r="L98" s="463">
        <f>L$793</f>
        <v>2022</v>
      </c>
      <c r="M98" s="463">
        <f>M$793</f>
        <v>2023</v>
      </c>
      <c r="N98" s="475"/>
      <c r="O98" s="25"/>
      <c r="P98" s="26"/>
      <c r="R98" s="26"/>
    </row>
    <row r="99" spans="2:23" ht="12.75" customHeight="1" x14ac:dyDescent="0.2">
      <c r="B99" s="21"/>
      <c r="C99" s="471"/>
      <c r="D99" s="477" t="s">
        <v>2</v>
      </c>
      <c r="E99" s="1667" t="str">
        <f>Translations!$B$852</f>
        <v>Kopējā kurināmo ielaide</v>
      </c>
      <c r="F99" s="1660"/>
      <c r="G99" s="1660"/>
      <c r="H99" s="466" t="str">
        <f>EUconst_TJpa</f>
        <v>TJ / gads</v>
      </c>
      <c r="I99" s="348"/>
      <c r="J99" s="348"/>
      <c r="K99" s="348"/>
      <c r="L99" s="348"/>
      <c r="M99" s="348"/>
      <c r="N99" s="528"/>
      <c r="O99" s="25"/>
      <c r="P99" s="367" t="str">
        <f>EUconst_CNTR_FuelInput &amp; I13</f>
        <v>FuelInput_Siltuma līmeņatzīmes apakšiekārta, OEP | bez OIM)</v>
      </c>
      <c r="R99" s="26"/>
    </row>
    <row r="100" spans="2:23" ht="12.75" customHeight="1" x14ac:dyDescent="0.2">
      <c r="B100" s="21"/>
      <c r="C100" s="471"/>
      <c r="D100" s="477" t="s">
        <v>3</v>
      </c>
      <c r="E100" s="1737" t="str">
        <f>Translations!$B$732</f>
        <v>Svērtais emisijas faktors</v>
      </c>
      <c r="F100" s="1659"/>
      <c r="G100" s="1659"/>
      <c r="H100" s="485" t="str">
        <f>EUconst_tCO2pTJ</f>
        <v>t CO2 / TJ</v>
      </c>
      <c r="I100" s="345"/>
      <c r="J100" s="345"/>
      <c r="K100" s="345"/>
      <c r="L100" s="345"/>
      <c r="M100" s="345"/>
      <c r="N100" s="475"/>
      <c r="O100" s="25"/>
      <c r="P100" s="367" t="str">
        <f>EUconst_CNTR_FuelEF &amp; I13</f>
        <v>FuelEF_Siltuma līmeņatzīmes apakšiekārta, OEP | bez OIM)</v>
      </c>
      <c r="R100" s="26"/>
      <c r="S100" s="26"/>
      <c r="T100" s="26"/>
      <c r="U100" s="26"/>
      <c r="V100" s="26"/>
      <c r="W100" s="26"/>
    </row>
    <row r="101" spans="2:23" ht="12.75" customHeight="1" x14ac:dyDescent="0.2">
      <c r="B101" s="21"/>
      <c r="C101" s="471"/>
      <c r="D101" s="477" t="s">
        <v>4</v>
      </c>
      <c r="E101" s="1667" t="str">
        <f>Translations!$B$853</f>
        <v>Atlikumgāzu kurināmā ielaide</v>
      </c>
      <c r="F101" s="1660"/>
      <c r="G101" s="1660"/>
      <c r="H101" s="466" t="str">
        <f>EUconst_TJpa</f>
        <v>TJ / gads</v>
      </c>
      <c r="I101" s="348"/>
      <c r="J101" s="348"/>
      <c r="K101" s="348"/>
      <c r="L101" s="348"/>
      <c r="M101" s="348"/>
      <c r="N101" s="475"/>
      <c r="O101" s="25"/>
      <c r="P101" s="453" t="str">
        <f>EUconst_CNTR_WGConsumed &amp; I13</f>
        <v>WasteGasCons_Siltuma līmeņatzīmes apakšiekārta, OEP | bez OIM)</v>
      </c>
      <c r="R101" s="26"/>
      <c r="S101" s="26"/>
      <c r="T101" s="26"/>
      <c r="U101" s="26"/>
      <c r="V101" s="26"/>
      <c r="W101" s="26"/>
    </row>
    <row r="102" spans="2:23" ht="12.75" customHeight="1" x14ac:dyDescent="0.2">
      <c r="B102" s="21"/>
      <c r="C102" s="471"/>
      <c r="D102" s="477" t="s">
        <v>6</v>
      </c>
      <c r="E102" s="1737" t="str">
        <f>Translations!$B$854</f>
        <v>Īpatnējais EF (atlikumgāze)</v>
      </c>
      <c r="F102" s="1659"/>
      <c r="G102" s="1659"/>
      <c r="H102" s="485" t="str">
        <f>EUconst_tCO2pTJ</f>
        <v>t CO2 / TJ</v>
      </c>
      <c r="I102" s="345"/>
      <c r="J102" s="345"/>
      <c r="K102" s="345"/>
      <c r="L102" s="345"/>
      <c r="M102" s="345"/>
      <c r="N102" s="475"/>
      <c r="O102" s="25"/>
      <c r="P102" s="367" t="str">
        <f>EUconst_CNTR_WGConsumedEF &amp; I13</f>
        <v>WasteGasConsEF_Siltuma līmeņatzīmes apakšiekārta, OEP | bez OIM)</v>
      </c>
      <c r="R102" s="26"/>
      <c r="S102" s="26"/>
      <c r="T102" s="26"/>
      <c r="U102" s="26"/>
      <c r="V102" s="26"/>
      <c r="W102" s="26"/>
    </row>
    <row r="103" spans="2:23" ht="12.75" customHeight="1" x14ac:dyDescent="0.2">
      <c r="B103" s="21"/>
      <c r="C103" s="471"/>
      <c r="D103" s="477" t="s">
        <v>303</v>
      </c>
      <c r="E103" s="1667" t="str">
        <f>Translations!$B$1631</f>
        <v>Elektroenerģijas ielaide siltuma ražošanai</v>
      </c>
      <c r="F103" s="1660"/>
      <c r="G103" s="1660"/>
      <c r="H103" s="466" t="str">
        <f>EUconst_TJpa</f>
        <v>TJ / gads</v>
      </c>
      <c r="I103" s="348"/>
      <c r="J103" s="348"/>
      <c r="K103" s="348"/>
      <c r="L103" s="348"/>
      <c r="M103" s="348"/>
      <c r="N103" s="475"/>
      <c r="O103" s="25"/>
      <c r="P103" s="367" t="str">
        <f>EUconst_CNTR_ElectricityInput &amp; I13</f>
        <v>ElectricityInput_Siltuma līmeņatzīmes apakšiekārta, OEP | bez OIM)</v>
      </c>
      <c r="R103" s="26"/>
      <c r="S103" s="26"/>
      <c r="T103" s="26"/>
      <c r="U103" s="26"/>
      <c r="V103" s="26"/>
      <c r="W103" s="26"/>
    </row>
    <row r="104" spans="2:23" ht="12.75" customHeight="1" x14ac:dyDescent="0.2">
      <c r="B104" s="21"/>
      <c r="C104" s="471"/>
      <c r="D104" s="477" t="s">
        <v>304</v>
      </c>
      <c r="E104" s="1737" t="str">
        <f>Translations!$B$732</f>
        <v>Svērtais emisijas faktors</v>
      </c>
      <c r="F104" s="1659"/>
      <c r="G104" s="1659"/>
      <c r="H104" s="485" t="str">
        <f>EUconst_tCO2pTJ</f>
        <v>t CO2 / TJ</v>
      </c>
      <c r="I104" s="1182"/>
      <c r="J104" s="1182"/>
      <c r="K104" s="1182"/>
      <c r="L104" s="1182"/>
      <c r="M104" s="1182"/>
      <c r="N104" s="475"/>
      <c r="O104" s="25"/>
      <c r="P104" s="367" t="str">
        <f>EUconst_CNTR_ElectricityEF &amp; I13</f>
        <v>ElectricityEF_Siltuma līmeņatzīmes apakšiekārta, OEP | bez OIM)</v>
      </c>
      <c r="R104" s="26"/>
      <c r="S104" s="26"/>
      <c r="T104" s="26"/>
      <c r="U104" s="26"/>
      <c r="V104" s="26"/>
      <c r="W104" s="26"/>
    </row>
    <row r="105" spans="2:23" ht="12.75" customHeight="1" x14ac:dyDescent="0.2">
      <c r="B105" s="21"/>
      <c r="C105" s="471"/>
      <c r="D105" s="477" t="s">
        <v>305</v>
      </c>
      <c r="E105" s="1667" t="str">
        <f>Translations!$B$1632</f>
        <v>Citas enerģijas (piemēram, eksotermiskā siltuma) ielaide</v>
      </c>
      <c r="F105" s="1660"/>
      <c r="G105" s="1660"/>
      <c r="H105" s="466" t="str">
        <f>EUconst_TJpa</f>
        <v>TJ / gads</v>
      </c>
      <c r="I105" s="348"/>
      <c r="J105" s="348"/>
      <c r="K105" s="348"/>
      <c r="L105" s="348"/>
      <c r="M105" s="348"/>
      <c r="N105" s="475"/>
      <c r="O105" s="25"/>
      <c r="P105" s="367" t="str">
        <f>EUconst_CNTR_OtherEnergyInput &amp; I13</f>
        <v>OtherEnergyInput_Siltuma līmeņatzīmes apakšiekārta, OEP | bez OIM)</v>
      </c>
      <c r="R105" s="26"/>
      <c r="S105" s="26"/>
      <c r="T105" s="26"/>
      <c r="U105" s="26"/>
      <c r="V105" s="26"/>
      <c r="W105" s="26"/>
    </row>
    <row r="106" spans="2:23" ht="12.75" customHeight="1" x14ac:dyDescent="0.2">
      <c r="B106" s="21"/>
      <c r="C106" s="471"/>
      <c r="D106" s="477" t="s">
        <v>306</v>
      </c>
      <c r="E106" s="1737" t="str">
        <f>Translations!$B$732</f>
        <v>Svērtais emisijas faktors</v>
      </c>
      <c r="F106" s="1659"/>
      <c r="G106" s="1659"/>
      <c r="H106" s="485" t="str">
        <f>EUconst_tCO2pTJ</f>
        <v>t CO2 / TJ</v>
      </c>
      <c r="I106" s="1182"/>
      <c r="J106" s="1182"/>
      <c r="K106" s="1182"/>
      <c r="L106" s="1182"/>
      <c r="M106" s="1182"/>
      <c r="N106" s="475"/>
      <c r="O106" s="25"/>
      <c r="P106" s="367" t="str">
        <f>EUconst_CNTR_OtherEnergyEF &amp; I13</f>
        <v>OtherEnergyEF_Siltuma līmeņatzīmes apakšiekārta, OEP | bez OIM)</v>
      </c>
      <c r="R106" s="26"/>
      <c r="S106" s="26"/>
      <c r="T106" s="26"/>
      <c r="U106" s="26"/>
      <c r="V106" s="26"/>
      <c r="W106" s="26"/>
    </row>
    <row r="107" spans="2:23" ht="12.75" customHeight="1" x14ac:dyDescent="0.2">
      <c r="B107" s="21"/>
      <c r="C107" s="471"/>
      <c r="D107" s="477" t="s">
        <v>307</v>
      </c>
      <c r="E107" s="1651" t="str">
        <f>Translations!$B$1678</f>
        <v>Kopējā enerģijas ielaide (= i. + v. + vii.)</v>
      </c>
      <c r="F107" s="1652"/>
      <c r="G107" s="1652"/>
      <c r="H107" s="465" t="str">
        <f>EUconst_TJpa</f>
        <v>TJ / gads</v>
      </c>
      <c r="I107" s="448" t="str">
        <f>IF($M13&lt;&gt;EUconst_Relevant,"",SUM(I99,I103,I105))</f>
        <v/>
      </c>
      <c r="J107" s="448" t="str">
        <f>IF($M13&lt;&gt;EUconst_Relevant,"",SUM(J99,J103,J105))</f>
        <v/>
      </c>
      <c r="K107" s="448" t="str">
        <f>IF($M13&lt;&gt;EUconst_Relevant,"",SUM(K99,K103,K105))</f>
        <v/>
      </c>
      <c r="L107" s="448" t="str">
        <f>IF($M13&lt;&gt;EUconst_Relevant,"",SUM(L99,L103,L105))</f>
        <v/>
      </c>
      <c r="M107" s="448" t="str">
        <f>IF($M13&lt;&gt;EUconst_Relevant,"",SUM(M99,M103,M105))</f>
        <v/>
      </c>
      <c r="N107" s="475"/>
      <c r="O107" s="25"/>
      <c r="P107" s="367" t="str">
        <f>EUconst_CNTR_TotalEnergyInput &amp; I13</f>
        <v>TotalEnergyInput_Siltuma līmeņatzīmes apakšiekārta, OEP | bez OIM)</v>
      </c>
      <c r="R107" s="26"/>
    </row>
    <row r="108" spans="2:23" ht="5.0999999999999996" customHeight="1" x14ac:dyDescent="0.2">
      <c r="B108" s="38"/>
      <c r="C108" s="472"/>
      <c r="D108" s="461"/>
      <c r="E108" s="461"/>
      <c r="F108" s="461"/>
      <c r="G108" s="461"/>
      <c r="H108" s="461"/>
      <c r="I108" s="461"/>
      <c r="J108" s="461"/>
      <c r="K108" s="461"/>
      <c r="L108" s="461"/>
      <c r="M108" s="461"/>
      <c r="N108" s="473"/>
      <c r="O108" s="25"/>
      <c r="R108" s="26"/>
      <c r="S108" s="26"/>
    </row>
    <row r="109" spans="2:23" ht="12.75" customHeight="1" x14ac:dyDescent="0.2">
      <c r="B109" s="21"/>
      <c r="C109" s="471"/>
      <c r="D109" s="474" t="s">
        <v>12</v>
      </c>
      <c r="E109" s="1654" t="str">
        <f>Translations!$B$532</f>
        <v>Saražotais izmērāmais siltums</v>
      </c>
      <c r="F109" s="1655"/>
      <c r="G109" s="1655"/>
      <c r="H109" s="1655"/>
      <c r="I109" s="1655"/>
      <c r="J109" s="1655"/>
      <c r="K109" s="1655"/>
      <c r="L109" s="1655"/>
      <c r="M109" s="1655"/>
      <c r="N109" s="1656"/>
      <c r="O109" s="25"/>
      <c r="P109" s="26"/>
      <c r="R109" s="26"/>
      <c r="S109" s="26"/>
    </row>
    <row r="110" spans="2:23" ht="25.5" customHeight="1" x14ac:dyDescent="0.2">
      <c r="B110" s="21"/>
      <c r="C110" s="471"/>
      <c r="D110" s="460"/>
      <c r="E110" s="1725" t="str">
        <f>Translations!$B$1679</f>
        <v>Saražotā izmērāmā siltuma daudzumu saskaņā ar FAR IV pielikuma 3.2. iedaļu ievadiet šeit. i punkta kopsumma ietver visu saražoto siltumu, arī siltumu no elektroenerģijas. ii punkta vērtībām būtu jāietver tikai siltums, kas ražots no elektroenerģijas (piemēram, ar elektriskajiem katliem, siltumsūkņiem).</v>
      </c>
      <c r="F110" s="1725"/>
      <c r="G110" s="1725"/>
      <c r="H110" s="1725"/>
      <c r="I110" s="1725"/>
      <c r="J110" s="1725"/>
      <c r="K110" s="1725"/>
      <c r="L110" s="1725"/>
      <c r="M110" s="1725"/>
      <c r="N110" s="1726"/>
      <c r="O110" s="25"/>
      <c r="P110" s="26"/>
      <c r="R110" s="26"/>
    </row>
    <row r="111" spans="2:23" ht="25.5" customHeight="1" x14ac:dyDescent="0.2">
      <c r="B111" s="21"/>
      <c r="C111" s="471"/>
      <c r="D111" s="460"/>
      <c r="E111" s="1725" t="str">
        <f>Translations!$B$856</f>
        <v>Šī vērtība parasti atšķiras no apakšiekārtas darbības līmeņa, kas norādīts a) apakšpunktā, jo tajā papildus izmērāmā siltuma neto daudzumam, kas patērēts vai eksportēts uz ES ETS neietilpstošām vienībām, ņem vērā siltuma zudumus, bet neņem vērā siltuma importu, kas jāieraksta f) punktā.</v>
      </c>
      <c r="F111" s="1725"/>
      <c r="G111" s="1725"/>
      <c r="H111" s="1725"/>
      <c r="I111" s="1725"/>
      <c r="J111" s="1725"/>
      <c r="K111" s="1725"/>
      <c r="L111" s="1725"/>
      <c r="M111" s="1725"/>
      <c r="N111" s="1726"/>
      <c r="O111" s="25"/>
      <c r="P111" s="26"/>
      <c r="R111" s="26"/>
      <c r="S111" s="26"/>
      <c r="T111" s="26"/>
      <c r="U111" s="26"/>
      <c r="V111" s="26"/>
      <c r="W111" s="26"/>
    </row>
    <row r="112" spans="2:23" ht="12.75" customHeight="1" x14ac:dyDescent="0.2">
      <c r="B112" s="21"/>
      <c r="C112" s="471"/>
      <c r="D112" s="474"/>
      <c r="E112" s="1653" t="str">
        <f>Translations!$B$532</f>
        <v>Saražotais izmērāmais siltums</v>
      </c>
      <c r="F112" s="1657"/>
      <c r="G112" s="1657"/>
      <c r="H112" s="462" t="str">
        <f>EUconst_Unit</f>
        <v>Vienība</v>
      </c>
      <c r="I112" s="463">
        <f>I$793</f>
        <v>2019</v>
      </c>
      <c r="J112" s="463">
        <f>J$793</f>
        <v>2020</v>
      </c>
      <c r="K112" s="463">
        <f>K$793</f>
        <v>2021</v>
      </c>
      <c r="L112" s="463">
        <f>L$793</f>
        <v>2022</v>
      </c>
      <c r="M112" s="463">
        <f>M$793</f>
        <v>2023</v>
      </c>
      <c r="N112" s="475"/>
      <c r="O112" s="25"/>
      <c r="P112" s="26"/>
      <c r="R112" s="26"/>
      <c r="S112" s="26"/>
      <c r="T112" s="26"/>
      <c r="U112" s="26"/>
      <c r="V112" s="26"/>
      <c r="W112" s="26"/>
    </row>
    <row r="113" spans="2:23" ht="12.75" customHeight="1" x14ac:dyDescent="0.2">
      <c r="B113" s="21"/>
      <c r="C113" s="471"/>
      <c r="D113" s="477" t="s">
        <v>2</v>
      </c>
      <c r="E113" s="1651" t="str">
        <f>Translations!$B$1680</f>
        <v>Kopējais saražotais daudzums (ieskaitot elektroenerģiju)</v>
      </c>
      <c r="F113" s="1652"/>
      <c r="G113" s="1652"/>
      <c r="H113" s="464" t="str">
        <f>EUconst_TJpa</f>
        <v>TJ / gads</v>
      </c>
      <c r="I113" s="337"/>
      <c r="J113" s="337"/>
      <c r="K113" s="337"/>
      <c r="L113" s="337"/>
      <c r="M113" s="337"/>
      <c r="N113" s="475"/>
      <c r="O113" s="25"/>
      <c r="P113" s="367" t="str">
        <f>EUconst_CNTR_HeatProduced &amp; I13</f>
        <v>HeatProd_Siltuma līmeņatzīmes apakšiekārta, OEP | bez OIM)</v>
      </c>
      <c r="R113" s="26"/>
      <c r="S113" s="26"/>
      <c r="T113" s="26"/>
      <c r="U113" s="26"/>
      <c r="V113" s="26"/>
      <c r="W113" s="26"/>
    </row>
    <row r="114" spans="2:23" ht="12.75" customHeight="1" x14ac:dyDescent="0.2">
      <c r="B114" s="21"/>
      <c r="C114" s="471"/>
      <c r="D114" s="477" t="s">
        <v>3</v>
      </c>
      <c r="E114" s="1651" t="str">
        <f>Translations!$B$1681</f>
        <v>No elektroenerģijas saražotais siltums</v>
      </c>
      <c r="F114" s="1652"/>
      <c r="G114" s="1652"/>
      <c r="H114" s="464" t="str">
        <f>EUconst_TJpa</f>
        <v>TJ / gads</v>
      </c>
      <c r="I114" s="337"/>
      <c r="J114" s="337"/>
      <c r="K114" s="337"/>
      <c r="L114" s="337"/>
      <c r="M114" s="337"/>
      <c r="N114" s="475"/>
      <c r="O114" s="25"/>
      <c r="P114" s="367" t="str">
        <f>EUconst_CNTR_HeatProducedElectricity &amp; I13</f>
        <v>HeatProdElec_Siltuma līmeņatzīmes apakšiekārta, OEP | bez OIM)</v>
      </c>
      <c r="R114" s="26"/>
      <c r="S114" s="26"/>
      <c r="T114" s="26"/>
      <c r="U114" s="26"/>
      <c r="V114" s="26"/>
      <c r="W114" s="26"/>
    </row>
    <row r="115" spans="2:23" ht="5.0999999999999996" customHeight="1" x14ac:dyDescent="0.2">
      <c r="B115" s="21"/>
      <c r="C115" s="471"/>
      <c r="D115" s="460"/>
      <c r="E115" s="460"/>
      <c r="F115" s="460"/>
      <c r="G115" s="460"/>
      <c r="H115" s="460"/>
      <c r="I115" s="460"/>
      <c r="J115" s="460"/>
      <c r="K115" s="460"/>
      <c r="L115" s="460"/>
      <c r="M115" s="476"/>
      <c r="N115" s="475"/>
      <c r="O115" s="25"/>
      <c r="P115" s="26"/>
      <c r="R115" s="26"/>
    </row>
    <row r="116" spans="2:23" ht="12.75" customHeight="1" x14ac:dyDescent="0.2">
      <c r="B116" s="21"/>
      <c r="C116" s="471"/>
      <c r="D116" s="474" t="s">
        <v>13</v>
      </c>
      <c r="E116" s="1654" t="str">
        <f>Translations!$B$857</f>
        <v>Importētais izmērāmais siltums</v>
      </c>
      <c r="F116" s="1655"/>
      <c r="G116" s="1655"/>
      <c r="H116" s="1655"/>
      <c r="I116" s="1655"/>
      <c r="J116" s="1655"/>
      <c r="K116" s="1655"/>
      <c r="L116" s="1655"/>
      <c r="M116" s="1655"/>
      <c r="N116" s="1656"/>
      <c r="O116" s="25"/>
      <c r="P116" s="26"/>
      <c r="R116" s="26"/>
    </row>
    <row r="117" spans="2:23" ht="12.75" customHeight="1" x14ac:dyDescent="0.2">
      <c r="B117" s="21"/>
      <c r="C117" s="471"/>
      <c r="D117" s="474"/>
      <c r="E117" s="1723" t="str">
        <f>Translations!$B$758</f>
        <v>Šeit sniegtie dati ietekmēs attiecināmās emisijas saskaņā ar FAR VII pielikuma 10.1.2. un 10.1.3. iedaļu.</v>
      </c>
      <c r="F117" s="1654"/>
      <c r="G117" s="1654"/>
      <c r="H117" s="1654"/>
      <c r="I117" s="1654"/>
      <c r="J117" s="1654"/>
      <c r="K117" s="1654"/>
      <c r="L117" s="1654"/>
      <c r="M117" s="1654"/>
      <c r="N117" s="1724"/>
      <c r="O117" s="25"/>
      <c r="P117" s="26"/>
      <c r="R117" s="26"/>
    </row>
    <row r="118" spans="2:23" ht="12.75" customHeight="1" x14ac:dyDescent="0.2">
      <c r="B118" s="21"/>
      <c r="C118" s="471"/>
      <c r="D118" s="460"/>
      <c r="E118" s="1727" t="str">
        <f>Translations!$B$858</f>
        <v>Norādiet izmērāmā siltuma daudzumu, kas importēts no katra turpmāk minētā avota.</v>
      </c>
      <c r="F118" s="1655"/>
      <c r="G118" s="1655"/>
      <c r="H118" s="1655"/>
      <c r="I118" s="1655"/>
      <c r="J118" s="1655"/>
      <c r="K118" s="1655"/>
      <c r="L118" s="1655"/>
      <c r="M118" s="1655"/>
      <c r="N118" s="1656"/>
      <c r="O118" s="25"/>
      <c r="P118" s="26"/>
      <c r="R118" s="26"/>
    </row>
    <row r="119" spans="2:23" ht="50.1" customHeight="1" x14ac:dyDescent="0.2">
      <c r="B119" s="21"/>
      <c r="C119" s="471"/>
      <c r="D119" s="460"/>
      <c r="E119" s="672" t="s">
        <v>392</v>
      </c>
      <c r="F119" s="1727" t="str">
        <f>Translations!$B$859</f>
        <v>Neto importētais siltums (citi avoti): te ietilpst siltums, kas importēts no citām iekārtām, vai, ja izmērāmu siltumu patērē vairāk nekā viena apakšiekārta, siltums, kas saražots lokāli un patērēts šajā apakšiekārtā. Izmērāmais siltums, kas importēts no kādas produkta LA apakšiekārtas, pulpas ražošanas, izmērāmais siltums, kas atgūts no kurināmā LA apakšiekārtām vai no atlikumgāzēm, šeit jāiekļauj nebūtu, jo šiem datiem ir paredzēti atsevišķi lauki.</v>
      </c>
      <c r="G119" s="1728"/>
      <c r="H119" s="1728"/>
      <c r="I119" s="1728"/>
      <c r="J119" s="1728"/>
      <c r="K119" s="1728"/>
      <c r="L119" s="1728"/>
      <c r="M119" s="1728"/>
      <c r="N119" s="1729"/>
      <c r="O119" s="25"/>
      <c r="P119" s="26"/>
      <c r="R119" s="26"/>
    </row>
    <row r="120" spans="2:23" ht="25.5" customHeight="1" x14ac:dyDescent="0.2">
      <c r="B120" s="21"/>
      <c r="C120" s="471"/>
      <c r="D120" s="460"/>
      <c r="E120" s="672" t="s">
        <v>392</v>
      </c>
      <c r="F120" s="1727" t="str">
        <f>Translations!$B$860</f>
        <v>Siltums no produkta LA: te ietilpst izmērāms siltums, kas eksportēts no produkta LA apakšiekārtām, izņemot izmērāmu siltumu no apakšiekārtām, kurās ražo pulpu vai slāpekļskābi.</v>
      </c>
      <c r="G120" s="1728"/>
      <c r="H120" s="1728"/>
      <c r="I120" s="1728"/>
      <c r="J120" s="1728"/>
      <c r="K120" s="1728"/>
      <c r="L120" s="1728"/>
      <c r="M120" s="1728"/>
      <c r="N120" s="1729"/>
      <c r="O120" s="25"/>
      <c r="P120" s="26"/>
      <c r="R120" s="26"/>
    </row>
    <row r="121" spans="2:23" ht="12.75" customHeight="1" x14ac:dyDescent="0.2">
      <c r="B121" s="21"/>
      <c r="C121" s="471"/>
      <c r="D121" s="460"/>
      <c r="E121" s="672" t="s">
        <v>392</v>
      </c>
      <c r="F121" s="1727" t="str">
        <f>Translations!$B$861</f>
        <v>Siltums no pulpas: te ietilpst siltums, kas importēts no apakšiekārtām, kurās tiek ražota pulpa.</v>
      </c>
      <c r="G121" s="1728"/>
      <c r="H121" s="1728"/>
      <c r="I121" s="1728"/>
      <c r="J121" s="1728"/>
      <c r="K121" s="1728"/>
      <c r="L121" s="1728"/>
      <c r="M121" s="1728"/>
      <c r="N121" s="1729"/>
      <c r="O121" s="25"/>
      <c r="P121" s="26"/>
      <c r="R121" s="26"/>
    </row>
    <row r="122" spans="2:23" ht="12.75" customHeight="1" x14ac:dyDescent="0.2">
      <c r="B122" s="21"/>
      <c r="C122" s="471"/>
      <c r="D122" s="460"/>
      <c r="E122" s="672" t="s">
        <v>392</v>
      </c>
      <c r="F122" s="1727" t="str">
        <f>Translations!$B$862</f>
        <v>Siltums no kurināmā LA: te ietilpst izmērāmais siltums, kas atgūts no kurināmā LA apakšiekārtu atlikumsiltuma.</v>
      </c>
      <c r="G122" s="1728"/>
      <c r="H122" s="1728"/>
      <c r="I122" s="1728"/>
      <c r="J122" s="1728"/>
      <c r="K122" s="1728"/>
      <c r="L122" s="1728"/>
      <c r="M122" s="1728"/>
      <c r="N122" s="1729"/>
      <c r="O122" s="25"/>
      <c r="P122" s="26"/>
      <c r="R122" s="26"/>
    </row>
    <row r="123" spans="2:23" ht="12.75" customHeight="1" x14ac:dyDescent="0.2">
      <c r="B123" s="21"/>
      <c r="C123" s="471"/>
      <c r="D123" s="460"/>
      <c r="E123" s="672" t="s">
        <v>392</v>
      </c>
      <c r="F123" s="1727" t="str">
        <f>Translations!$B$863</f>
        <v>Siltums no atlikumgāzēm: te ietilpst izmērāmais siltums, kas iegūts no atlikumgāzēm.</v>
      </c>
      <c r="G123" s="1728"/>
      <c r="H123" s="1728"/>
      <c r="I123" s="1728"/>
      <c r="J123" s="1728"/>
      <c r="K123" s="1728"/>
      <c r="L123" s="1728"/>
      <c r="M123" s="1728"/>
      <c r="N123" s="1729"/>
      <c r="O123" s="25"/>
      <c r="P123" s="26"/>
      <c r="R123" s="26"/>
    </row>
    <row r="124" spans="2:23" ht="12.75" customHeight="1" x14ac:dyDescent="0.2">
      <c r="B124" s="21"/>
      <c r="C124" s="471"/>
      <c r="D124" s="460"/>
      <c r="E124" s="1725" t="str">
        <f>Translations!$B$864</f>
        <v>Te neietilpst siltuma imports no avotiem, kas nekvalificējas, t. i., ES ETS neaptvertām iekārtām, vai siltums no slāpekļskābes apakšiekārtām.</v>
      </c>
      <c r="F124" s="1268"/>
      <c r="G124" s="1268"/>
      <c r="H124" s="1268"/>
      <c r="I124" s="1268"/>
      <c r="J124" s="1268"/>
      <c r="K124" s="1268"/>
      <c r="L124" s="1268"/>
      <c r="M124" s="1268"/>
      <c r="N124" s="1731"/>
      <c r="O124" s="25"/>
      <c r="P124" s="26"/>
      <c r="R124" s="26"/>
    </row>
    <row r="125" spans="2:23" ht="12.75" customHeight="1" x14ac:dyDescent="0.2">
      <c r="B125" s="21"/>
      <c r="C125" s="471"/>
      <c r="D125" s="460"/>
      <c r="E125" s="1727" t="str">
        <f>Translations!$B$865</f>
        <v>Ar siltumu saistītajos īpatnējos emisijas faktoros (EF) jāņem vērā FAR VII pielikuma 8. un 10. iedaļas, it sevišķi 10.1.2. un 10.1.3. iedaļas, noteikumi.</v>
      </c>
      <c r="F125" s="1655"/>
      <c r="G125" s="1655"/>
      <c r="H125" s="1655"/>
      <c r="I125" s="1655"/>
      <c r="J125" s="1655"/>
      <c r="K125" s="1655"/>
      <c r="L125" s="1655"/>
      <c r="M125" s="1655"/>
      <c r="N125" s="1656"/>
      <c r="O125" s="25"/>
      <c r="P125" s="26"/>
      <c r="R125" s="26"/>
    </row>
    <row r="126" spans="2:23" ht="12.75" customHeight="1" x14ac:dyDescent="0.2">
      <c r="B126" s="21"/>
      <c r="C126" s="471"/>
      <c r="D126" s="460"/>
      <c r="E126" s="1628" t="str">
        <f>Translations!$B$819</f>
        <v>Lai uz siltuma ražošanu attiecinātu emisijas no koģenerācijas, jāizmanto koģenerācijas rīks D. lapas III .sadaļā.</v>
      </c>
      <c r="F126" s="1628"/>
      <c r="G126" s="1628"/>
      <c r="H126" s="1628"/>
      <c r="I126" s="1628"/>
      <c r="J126" s="1628"/>
      <c r="K126" s="1628"/>
      <c r="L126" s="1628"/>
      <c r="M126" s="1628"/>
      <c r="N126" s="1205"/>
      <c r="O126" s="25"/>
      <c r="P126" s="26"/>
    </row>
    <row r="127" spans="2:23" ht="12.75" customHeight="1" x14ac:dyDescent="0.2">
      <c r="B127" s="21"/>
      <c r="C127" s="471"/>
      <c r="D127" s="460"/>
      <c r="E127" s="1653" t="str">
        <f>Translations!$B$866</f>
        <v>Neto importētais siltums (citi avoti)</v>
      </c>
      <c r="F127" s="1657"/>
      <c r="G127" s="1657"/>
      <c r="H127" s="462" t="str">
        <f>EUconst_Unit</f>
        <v>Vienība</v>
      </c>
      <c r="I127" s="463">
        <f>I$793</f>
        <v>2019</v>
      </c>
      <c r="J127" s="463">
        <f>J$793</f>
        <v>2020</v>
      </c>
      <c r="K127" s="463">
        <f>K$793</f>
        <v>2021</v>
      </c>
      <c r="L127" s="463">
        <f>L$793</f>
        <v>2022</v>
      </c>
      <c r="M127" s="463">
        <f>M$793</f>
        <v>2023</v>
      </c>
      <c r="N127" s="1205"/>
      <c r="O127" s="25"/>
      <c r="P127" s="26"/>
      <c r="R127" s="26"/>
      <c r="S127" s="63">
        <f>I127</f>
        <v>2019</v>
      </c>
      <c r="T127" s="63">
        <f>J127</f>
        <v>2020</v>
      </c>
      <c r="U127" s="63">
        <f>K127</f>
        <v>2021</v>
      </c>
      <c r="V127" s="63">
        <f>L127</f>
        <v>2022</v>
      </c>
      <c r="W127" s="63">
        <f>M127</f>
        <v>2023</v>
      </c>
    </row>
    <row r="128" spans="2:23" ht="12.75" customHeight="1" x14ac:dyDescent="0.2">
      <c r="B128" s="21"/>
      <c r="C128" s="471"/>
      <c r="D128" s="477" t="s">
        <v>2</v>
      </c>
      <c r="E128" s="1651" t="str">
        <f>Translations!$B$764</f>
        <v>Neto importētais siltums</v>
      </c>
      <c r="F128" s="1652"/>
      <c r="G128" s="1652"/>
      <c r="H128" s="465" t="str">
        <f>EUconst_TJpa</f>
        <v>TJ / gads</v>
      </c>
      <c r="I128" s="483"/>
      <c r="J128" s="483"/>
      <c r="K128" s="483"/>
      <c r="L128" s="483"/>
      <c r="M128" s="483"/>
      <c r="N128" s="528"/>
      <c r="O128" s="25"/>
      <c r="P128" s="367" t="str">
        <f>EUconst_CNTR_HeatImport &amp; I13</f>
        <v>HeatIm_Siltuma līmeņatzīmes apakšiekārta, OEP | bez OIM)</v>
      </c>
      <c r="R128" s="872" t="str">
        <f>EUconst_ERR_AttrEmBMapplied &amp; $I13</f>
        <v>ERR_AttrEmBM_ Siltuma līmeņatzīmes apakšiekārta, OEP | bez OIM)</v>
      </c>
      <c r="S128" s="134">
        <f>IF(AND(I128&lt;&gt;0,I129="",EUconst_StatusOfDataCollection=""),1,0)</f>
        <v>0</v>
      </c>
      <c r="T128" s="134">
        <f>IF(AND(J128&lt;&gt;0,J129="",EUconst_StatusOfDataCollection=""),1,0)</f>
        <v>0</v>
      </c>
      <c r="U128" s="134">
        <f>IF(AND(K128&lt;&gt;0,K129="",EUconst_StatusOfDataCollection=""),1,0)</f>
        <v>0</v>
      </c>
      <c r="V128" s="134">
        <f>IF(AND(L128&lt;&gt;0,L129="",EUconst_StatusOfDataCollection=""),1,0)</f>
        <v>0</v>
      </c>
      <c r="W128" s="134">
        <f>IF(AND(M128&lt;&gt;0,M129="",EUconst_StatusOfDataCollection=""),1,0)</f>
        <v>0</v>
      </c>
    </row>
    <row r="129" spans="2:23" ht="12.75" customHeight="1" x14ac:dyDescent="0.2">
      <c r="B129" s="21"/>
      <c r="C129" s="471"/>
      <c r="D129" s="477" t="s">
        <v>3</v>
      </c>
      <c r="E129" s="1651" t="str">
        <f>Translations!$B$765</f>
        <v>Īpatnējais EF (importētais siltums)</v>
      </c>
      <c r="F129" s="1652"/>
      <c r="G129" s="1652"/>
      <c r="H129" s="465" t="str">
        <f>EUconst_tCO2pTJ</f>
        <v>t CO2 / TJ</v>
      </c>
      <c r="I129" s="760"/>
      <c r="J129" s="760"/>
      <c r="K129" s="760"/>
      <c r="L129" s="760"/>
      <c r="M129" s="760"/>
      <c r="N129" s="475"/>
      <c r="O129" s="25"/>
      <c r="P129" s="367" t="str">
        <f>EUconst_CNTR_HeatImportEF &amp; I13</f>
        <v>HeatImEF_Siltuma līmeņatzīmes apakšiekārta, OEP | bez OIM)</v>
      </c>
      <c r="R129" s="873" t="str">
        <f>EUconst_CNTR_AttributedEmissions &amp; $I13</f>
        <v>AttrEmissions_Siltuma līmeņatzīmes apakšiekārta, OEP | bez OIM)</v>
      </c>
      <c r="S129" s="134" t="str">
        <f>IF(S13,SUM(I128)*IF(ISNUMBER(I129),I129,EUconst_HeatBMvalueForBM),"")</f>
        <v/>
      </c>
      <c r="T129" s="134" t="str">
        <f>IF(T13,SUM(J128)*IF(ISNUMBER(J129),J129,EUconst_HeatBMvalueForBM),"")</f>
        <v/>
      </c>
      <c r="U129" s="134" t="str">
        <f>IF(U13,SUM(K128)*IF(ISNUMBER(K129),K129,EUconst_HeatBMvalueForBM),"")</f>
        <v/>
      </c>
      <c r="V129" s="134" t="str">
        <f>IF(V13,SUM(L128)*IF(ISNUMBER(L129),L129,EUconst_HeatBMvalueForBM),"")</f>
        <v/>
      </c>
      <c r="W129" s="134" t="str">
        <f>IF(W13,SUM(M128)*IF(ISNUMBER(M129),M129,EUconst_HeatBMvalueForBM),"")</f>
        <v/>
      </c>
    </row>
    <row r="130" spans="2:23" ht="5.0999999999999996" customHeight="1" x14ac:dyDescent="0.2">
      <c r="B130" s="21"/>
      <c r="C130" s="471"/>
      <c r="D130" s="460"/>
      <c r="E130" s="460"/>
      <c r="F130" s="460"/>
      <c r="G130" s="460"/>
      <c r="H130" s="460"/>
      <c r="I130" s="460"/>
      <c r="J130" s="460"/>
      <c r="K130" s="460"/>
      <c r="L130" s="460"/>
      <c r="M130" s="476"/>
      <c r="N130" s="475"/>
      <c r="O130" s="25"/>
      <c r="P130" s="26"/>
      <c r="R130" s="26"/>
      <c r="S130" s="26"/>
    </row>
    <row r="131" spans="2:23" ht="12.75" customHeight="1" x14ac:dyDescent="0.2">
      <c r="B131" s="21"/>
      <c r="C131" s="471"/>
      <c r="D131" s="460"/>
      <c r="E131" s="1653" t="str">
        <f>Translations!$B$867</f>
        <v>Siltums no produkta LA</v>
      </c>
      <c r="F131" s="1657"/>
      <c r="G131" s="1657"/>
      <c r="H131" s="462" t="str">
        <f>EUconst_Unit</f>
        <v>Vienība</v>
      </c>
      <c r="I131" s="463">
        <f>I$793</f>
        <v>2019</v>
      </c>
      <c r="J131" s="463">
        <f>J$793</f>
        <v>2020</v>
      </c>
      <c r="K131" s="463">
        <f>K$793</f>
        <v>2021</v>
      </c>
      <c r="L131" s="463">
        <f>L$793</f>
        <v>2022</v>
      </c>
      <c r="M131" s="463">
        <f>M$793</f>
        <v>2023</v>
      </c>
      <c r="N131" s="1205"/>
      <c r="O131" s="25"/>
      <c r="P131" s="26"/>
      <c r="R131" s="26"/>
      <c r="S131" s="63">
        <f>I131</f>
        <v>2019</v>
      </c>
      <c r="T131" s="63">
        <f>J131</f>
        <v>2020</v>
      </c>
      <c r="U131" s="63">
        <f>K131</f>
        <v>2021</v>
      </c>
      <c r="V131" s="63">
        <f>L131</f>
        <v>2022</v>
      </c>
      <c r="W131" s="63">
        <f>M131</f>
        <v>2023</v>
      </c>
    </row>
    <row r="132" spans="2:23" ht="12.75" customHeight="1" x14ac:dyDescent="0.2">
      <c r="B132" s="21"/>
      <c r="C132" s="471"/>
      <c r="D132" s="477" t="s">
        <v>6</v>
      </c>
      <c r="E132" s="1651" t="str">
        <f>Translations!$B$764</f>
        <v>Neto importētais siltums</v>
      </c>
      <c r="F132" s="1652"/>
      <c r="G132" s="1652"/>
      <c r="H132" s="465" t="str">
        <f>EUconst_TJpa</f>
        <v>TJ / gads</v>
      </c>
      <c r="I132" s="483"/>
      <c r="J132" s="483"/>
      <c r="K132" s="483"/>
      <c r="L132" s="483"/>
      <c r="M132" s="483"/>
      <c r="N132" s="528"/>
      <c r="O132" s="25"/>
      <c r="P132" s="367" t="str">
        <f>EUconst_CNTR_HeatImportProduct &amp; I13</f>
        <v>HeatImProd_Siltuma līmeņatzīmes apakšiekārta, OEP | bez OIM)</v>
      </c>
      <c r="R132" s="872" t="str">
        <f>EUconst_ERR_AttrEmBMapplied &amp; $I13</f>
        <v>ERR_AttrEmBM_ Siltuma līmeņatzīmes apakšiekārta, OEP | bez OIM)</v>
      </c>
      <c r="S132" s="134">
        <f>IF(AND(I132&lt;&gt;0,I133="",EUconst_StatusOfDataCollection=""),1,0)</f>
        <v>0</v>
      </c>
      <c r="T132" s="134">
        <f>IF(AND(J132&lt;&gt;0,J133="",EUconst_StatusOfDataCollection=""),1,0)</f>
        <v>0</v>
      </c>
      <c r="U132" s="134">
        <f>IF(AND(K132&lt;&gt;0,K133="",EUconst_StatusOfDataCollection=""),1,0)</f>
        <v>0</v>
      </c>
      <c r="V132" s="134">
        <f>IF(AND(L132&lt;&gt;0,L133="",EUconst_StatusOfDataCollection=""),1,0)</f>
        <v>0</v>
      </c>
      <c r="W132" s="134">
        <f>IF(AND(M132&lt;&gt;0,M133="",EUconst_StatusOfDataCollection=""),1,0)</f>
        <v>0</v>
      </c>
    </row>
    <row r="133" spans="2:23" ht="12.75" customHeight="1" x14ac:dyDescent="0.2">
      <c r="B133" s="21"/>
      <c r="C133" s="471"/>
      <c r="D133" s="477" t="s">
        <v>303</v>
      </c>
      <c r="E133" s="1651" t="str">
        <f>Translations!$B$868</f>
        <v>Īpatnējais EF (siltums no produkta LA)</v>
      </c>
      <c r="F133" s="1652"/>
      <c r="G133" s="1652"/>
      <c r="H133" s="465" t="str">
        <f>EUconst_tCO2pTJ</f>
        <v>t CO2 / TJ</v>
      </c>
      <c r="I133" s="760"/>
      <c r="J133" s="760"/>
      <c r="K133" s="760"/>
      <c r="L133" s="760"/>
      <c r="M133" s="760"/>
      <c r="N133" s="475"/>
      <c r="O133" s="25"/>
      <c r="P133" s="367" t="str">
        <f>EUconst_CNTR_HeatImportProductEF &amp; I13</f>
        <v>HeatImProdEF_Siltuma līmeņatzīmes apakšiekārta, OEP | bez OIM)</v>
      </c>
      <c r="R133" s="873" t="str">
        <f>EUconst_CNTR_AttributedEmissions &amp; $I13</f>
        <v>AttrEmissions_Siltuma līmeņatzīmes apakšiekārta, OEP | bez OIM)</v>
      </c>
      <c r="S133" s="134" t="str">
        <f>IF(S13,SUM(I132)*IF(ISNUMBER(I133),I133,EUconst_HeatBMvalueForBM),"")</f>
        <v/>
      </c>
      <c r="T133" s="134" t="str">
        <f>IF(T13,SUM(J132)*IF(ISNUMBER(J133),J133,EUconst_HeatBMvalueForBM),"")</f>
        <v/>
      </c>
      <c r="U133" s="134" t="str">
        <f>IF(U13,SUM(K132)*IF(ISNUMBER(K133),K133,EUconst_HeatBMvalueForBM),"")</f>
        <v/>
      </c>
      <c r="V133" s="134" t="str">
        <f>IF(V13,SUM(L132)*IF(ISNUMBER(L133),L133,EUconst_HeatBMvalueForBM),"")</f>
        <v/>
      </c>
      <c r="W133" s="134" t="str">
        <f>IF(W13,SUM(M132)*IF(ISNUMBER(M133),M133,EUconst_HeatBMvalueForBM),"")</f>
        <v/>
      </c>
    </row>
    <row r="134" spans="2:23" ht="5.0999999999999996" customHeight="1" x14ac:dyDescent="0.2">
      <c r="B134" s="21"/>
      <c r="C134" s="471"/>
      <c r="D134" s="460"/>
      <c r="E134" s="460"/>
      <c r="F134" s="460"/>
      <c r="G134" s="460"/>
      <c r="H134" s="460"/>
      <c r="I134" s="460"/>
      <c r="J134" s="460"/>
      <c r="K134" s="460"/>
      <c r="L134" s="460"/>
      <c r="M134" s="476"/>
      <c r="N134" s="475"/>
      <c r="O134" s="25"/>
      <c r="P134" s="26"/>
      <c r="R134" s="26"/>
      <c r="S134" s="26"/>
    </row>
    <row r="135" spans="2:23" ht="12.75" customHeight="1" x14ac:dyDescent="0.2">
      <c r="B135" s="21"/>
      <c r="C135" s="471"/>
      <c r="D135" s="460"/>
      <c r="E135" s="1653" t="str">
        <f>Translations!$B$869</f>
        <v>Siltums no pulpas</v>
      </c>
      <c r="F135" s="1657"/>
      <c r="G135" s="1657"/>
      <c r="H135" s="462" t="str">
        <f>EUconst_Unit</f>
        <v>Vienība</v>
      </c>
      <c r="I135" s="463">
        <f>I$793</f>
        <v>2019</v>
      </c>
      <c r="J135" s="463">
        <f>J$793</f>
        <v>2020</v>
      </c>
      <c r="K135" s="463">
        <f>K$793</f>
        <v>2021</v>
      </c>
      <c r="L135" s="463">
        <f>L$793</f>
        <v>2022</v>
      </c>
      <c r="M135" s="463">
        <f>M$793</f>
        <v>2023</v>
      </c>
      <c r="N135" s="1205"/>
      <c r="O135" s="25"/>
      <c r="P135" s="26"/>
      <c r="R135" s="26"/>
      <c r="S135" s="63">
        <f>I135</f>
        <v>2019</v>
      </c>
      <c r="T135" s="63">
        <f>J135</f>
        <v>2020</v>
      </c>
      <c r="U135" s="63">
        <f>K135</f>
        <v>2021</v>
      </c>
      <c r="V135" s="63">
        <f>L135</f>
        <v>2022</v>
      </c>
      <c r="W135" s="63">
        <f>M135</f>
        <v>2023</v>
      </c>
    </row>
    <row r="136" spans="2:23" ht="12.75" customHeight="1" x14ac:dyDescent="0.2">
      <c r="B136" s="21"/>
      <c r="C136" s="471"/>
      <c r="D136" s="477" t="s">
        <v>305</v>
      </c>
      <c r="E136" s="1651" t="str">
        <f>Translations!$B$764</f>
        <v>Neto importētais siltums</v>
      </c>
      <c r="F136" s="1652"/>
      <c r="G136" s="1652"/>
      <c r="H136" s="465" t="str">
        <f>EUconst_TJpa</f>
        <v>TJ / gads</v>
      </c>
      <c r="I136" s="483"/>
      <c r="J136" s="483"/>
      <c r="K136" s="483"/>
      <c r="L136" s="483"/>
      <c r="M136" s="483"/>
      <c r="N136" s="528"/>
      <c r="O136" s="25"/>
      <c r="P136" s="367" t="str">
        <f>EUconst_CNTR_HeatImportPulp &amp; I13</f>
        <v>HeatImPulp_Siltuma līmeņatzīmes apakšiekārta, OEP | bez OIM)</v>
      </c>
      <c r="R136" s="872" t="str">
        <f>EUconst_ERR_AttrEmBMapplied &amp; $I13</f>
        <v>ERR_AttrEmBM_ Siltuma līmeņatzīmes apakšiekārta, OEP | bez OIM)</v>
      </c>
      <c r="S136" s="134">
        <f>IF(AND(I136&lt;&gt;0,I137="",EUconst_StatusOfDataCollection=""),1,0)</f>
        <v>0</v>
      </c>
      <c r="T136" s="134">
        <f>IF(AND(J136&lt;&gt;0,J137="",EUconst_StatusOfDataCollection=""),1,0)</f>
        <v>0</v>
      </c>
      <c r="U136" s="134">
        <f>IF(AND(K136&lt;&gt;0,K137="",EUconst_StatusOfDataCollection=""),1,0)</f>
        <v>0</v>
      </c>
      <c r="V136" s="134">
        <f>IF(AND(L136&lt;&gt;0,L137="",EUconst_StatusOfDataCollection=""),1,0)</f>
        <v>0</v>
      </c>
      <c r="W136" s="134">
        <f>IF(AND(M136&lt;&gt;0,M137="",EUconst_StatusOfDataCollection=""),1,0)</f>
        <v>0</v>
      </c>
    </row>
    <row r="137" spans="2:23" ht="12.75" customHeight="1" x14ac:dyDescent="0.2">
      <c r="B137" s="21"/>
      <c r="C137" s="471"/>
      <c r="D137" s="477" t="s">
        <v>306</v>
      </c>
      <c r="E137" s="1651" t="str">
        <f>Translations!$B$870</f>
        <v>Īpatnējais EF (siltums no pulpas)</v>
      </c>
      <c r="F137" s="1652"/>
      <c r="G137" s="1652"/>
      <c r="H137" s="465" t="str">
        <f>EUconst_tCO2pTJ</f>
        <v>t CO2 / TJ</v>
      </c>
      <c r="I137" s="760"/>
      <c r="J137" s="760"/>
      <c r="K137" s="760"/>
      <c r="L137" s="760"/>
      <c r="M137" s="760"/>
      <c r="N137" s="475"/>
      <c r="O137" s="25"/>
      <c r="P137" s="367" t="str">
        <f>EUconst_CNTR_HeatImportPulpEF &amp; I13</f>
        <v>HeatImPulpEF_Siltuma līmeņatzīmes apakšiekārta, OEP | bez OIM)</v>
      </c>
      <c r="R137" s="873" t="str">
        <f>EUconst_CNTR_AttributedEmissions &amp; $I13</f>
        <v>AttrEmissions_Siltuma līmeņatzīmes apakšiekārta, OEP | bez OIM)</v>
      </c>
      <c r="S137" s="134" t="str">
        <f>IF(S13,SUM(I136)*IF(ISNUMBER(I137),I137,EUconst_HeatBMvalueForBM),"")</f>
        <v/>
      </c>
      <c r="T137" s="134" t="str">
        <f>IF(T13,SUM(J136)*IF(ISNUMBER(J137),J137,EUconst_HeatBMvalueForBM),"")</f>
        <v/>
      </c>
      <c r="U137" s="134" t="str">
        <f>IF(U13,SUM(K136)*IF(ISNUMBER(K137),K137,EUconst_HeatBMvalueForBM),"")</f>
        <v/>
      </c>
      <c r="V137" s="134" t="str">
        <f>IF(V13,SUM(L136)*IF(ISNUMBER(L137),L137,EUconst_HeatBMvalueForBM),"")</f>
        <v/>
      </c>
      <c r="W137" s="134" t="str">
        <f>IF(W13,SUM(M136)*IF(ISNUMBER(M137),M137,EUconst_HeatBMvalueForBM),"")</f>
        <v/>
      </c>
    </row>
    <row r="138" spans="2:23" ht="5.0999999999999996" customHeight="1" x14ac:dyDescent="0.2">
      <c r="B138" s="21"/>
      <c r="C138" s="471"/>
      <c r="D138" s="460"/>
      <c r="E138" s="460"/>
      <c r="F138" s="460"/>
      <c r="G138" s="460"/>
      <c r="H138" s="460"/>
      <c r="I138" s="460"/>
      <c r="J138" s="460"/>
      <c r="K138" s="460"/>
      <c r="L138" s="460"/>
      <c r="M138" s="476"/>
      <c r="N138" s="475"/>
      <c r="O138" s="25"/>
      <c r="P138" s="26"/>
      <c r="R138" s="26"/>
      <c r="S138" s="26"/>
    </row>
    <row r="139" spans="2:23" ht="12.75" customHeight="1" x14ac:dyDescent="0.2">
      <c r="B139" s="21"/>
      <c r="C139" s="471"/>
      <c r="D139" s="460"/>
      <c r="E139" s="1653" t="str">
        <f>Translations!$B$871</f>
        <v>Siltums no kurināmā LA</v>
      </c>
      <c r="F139" s="1657"/>
      <c r="G139" s="1657"/>
      <c r="H139" s="462" t="str">
        <f>EUconst_Unit</f>
        <v>Vienība</v>
      </c>
      <c r="I139" s="463">
        <f>I$793</f>
        <v>2019</v>
      </c>
      <c r="J139" s="463">
        <f>J$793</f>
        <v>2020</v>
      </c>
      <c r="K139" s="463">
        <f>K$793</f>
        <v>2021</v>
      </c>
      <c r="L139" s="463">
        <f>L$793</f>
        <v>2022</v>
      </c>
      <c r="M139" s="463">
        <f>M$793</f>
        <v>2023</v>
      </c>
      <c r="N139" s="1205"/>
      <c r="O139" s="25"/>
      <c r="P139" s="26"/>
      <c r="R139" s="26"/>
      <c r="S139" s="63">
        <f>I139</f>
        <v>2019</v>
      </c>
      <c r="T139" s="63">
        <f>J139</f>
        <v>2020</v>
      </c>
      <c r="U139" s="63">
        <f>K139</f>
        <v>2021</v>
      </c>
      <c r="V139" s="63">
        <f>L139</f>
        <v>2022</v>
      </c>
      <c r="W139" s="63">
        <f>M139</f>
        <v>2023</v>
      </c>
    </row>
    <row r="140" spans="2:23" ht="12.75" customHeight="1" x14ac:dyDescent="0.2">
      <c r="B140" s="21"/>
      <c r="C140" s="471"/>
      <c r="D140" s="477" t="s">
        <v>15</v>
      </c>
      <c r="E140" s="1651" t="str">
        <f>Translations!$B$764</f>
        <v>Neto importētais siltums</v>
      </c>
      <c r="F140" s="1652"/>
      <c r="G140" s="1652"/>
      <c r="H140" s="465" t="str">
        <f>EUconst_TJpa</f>
        <v>TJ / gads</v>
      </c>
      <c r="I140" s="483"/>
      <c r="J140" s="483"/>
      <c r="K140" s="483"/>
      <c r="L140" s="483"/>
      <c r="M140" s="483"/>
      <c r="N140" s="528"/>
      <c r="O140" s="25"/>
      <c r="P140" s="367" t="str">
        <f>EUconst_CNTR_HeatImportFuel &amp; I13</f>
        <v>HeatImFuel_Siltuma līmeņatzīmes apakšiekārta, OEP | bez OIM)</v>
      </c>
      <c r="R140" s="872" t="str">
        <f>EUconst_ERR_AttrEmBMapplied &amp; $I13</f>
        <v>ERR_AttrEmBM_ Siltuma līmeņatzīmes apakšiekārta, OEP | bez OIM)</v>
      </c>
      <c r="S140" s="134">
        <f>IF(AND(I140&lt;&gt;0,I141="",EUconst_StatusOfDataCollection=""),1,0)</f>
        <v>0</v>
      </c>
      <c r="T140" s="134">
        <f>IF(AND(J140&lt;&gt;0,J141="",EUconst_StatusOfDataCollection=""),1,0)</f>
        <v>0</v>
      </c>
      <c r="U140" s="134">
        <f>IF(AND(K140&lt;&gt;0,K141="",EUconst_StatusOfDataCollection=""),1,0)</f>
        <v>0</v>
      </c>
      <c r="V140" s="134">
        <f>IF(AND(L140&lt;&gt;0,L141="",EUconst_StatusOfDataCollection=""),1,0)</f>
        <v>0</v>
      </c>
      <c r="W140" s="134">
        <f>IF(AND(M140&lt;&gt;0,M141="",EUconst_StatusOfDataCollection=""),1,0)</f>
        <v>0</v>
      </c>
    </row>
    <row r="141" spans="2:23" ht="12.75" customHeight="1" x14ac:dyDescent="0.2">
      <c r="B141" s="21"/>
      <c r="C141" s="471"/>
      <c r="D141" s="477" t="s">
        <v>16</v>
      </c>
      <c r="E141" s="1651" t="str">
        <f>Translations!$B$872</f>
        <v>Īpatnējais EF (no kurināmā LA)</v>
      </c>
      <c r="F141" s="1652"/>
      <c r="G141" s="1652"/>
      <c r="H141" s="465" t="str">
        <f>EUconst_tCO2pTJ</f>
        <v>t CO2 / TJ</v>
      </c>
      <c r="I141" s="760"/>
      <c r="J141" s="760"/>
      <c r="K141" s="760"/>
      <c r="L141" s="760"/>
      <c r="M141" s="760"/>
      <c r="N141" s="475"/>
      <c r="O141" s="25"/>
      <c r="P141" s="367" t="str">
        <f>EUconst_CNTR_HeatImportFuelEF &amp; I13</f>
        <v>HeatImFuelEF_Siltuma līmeņatzīmes apakšiekārta, OEP | bez OIM)</v>
      </c>
      <c r="R141" s="873" t="str">
        <f>EUconst_CNTR_AttributedEmissions &amp; $I13</f>
        <v>AttrEmissions_Siltuma līmeņatzīmes apakšiekārta, OEP | bez OIM)</v>
      </c>
      <c r="S141" s="134" t="str">
        <f>IF(S13,SUM(I140)*IF(ISNUMBER(I141),I141,EUconst_HeatBMvalueForBM),"")</f>
        <v/>
      </c>
      <c r="T141" s="134" t="str">
        <f>IF(T13,SUM(J140)*IF(ISNUMBER(J141),J141,EUconst_HeatBMvalueForBM),"")</f>
        <v/>
      </c>
      <c r="U141" s="134" t="str">
        <f>IF(U13,SUM(K140)*IF(ISNUMBER(K141),K141,EUconst_HeatBMvalueForBM),"")</f>
        <v/>
      </c>
      <c r="V141" s="134" t="str">
        <f>IF(V13,SUM(L140)*IF(ISNUMBER(L141),L141,EUconst_HeatBMvalueForBM),"")</f>
        <v/>
      </c>
      <c r="W141" s="134" t="str">
        <f>IF(W13,SUM(M140)*IF(ISNUMBER(M141),M141,EUconst_HeatBMvalueForBM),"")</f>
        <v/>
      </c>
    </row>
    <row r="142" spans="2:23" ht="5.0999999999999996" customHeight="1" x14ac:dyDescent="0.2">
      <c r="B142" s="21"/>
      <c r="C142" s="471"/>
      <c r="D142" s="460"/>
      <c r="E142" s="460"/>
      <c r="F142" s="460"/>
      <c r="G142" s="460"/>
      <c r="H142" s="460"/>
      <c r="I142" s="460"/>
      <c r="J142" s="460"/>
      <c r="K142" s="460"/>
      <c r="L142" s="460"/>
      <c r="M142" s="476"/>
      <c r="N142" s="475"/>
      <c r="O142" s="25"/>
      <c r="P142" s="26"/>
      <c r="R142" s="26"/>
      <c r="S142" s="26"/>
    </row>
    <row r="143" spans="2:23" ht="12.75" customHeight="1" x14ac:dyDescent="0.2">
      <c r="B143" s="21"/>
      <c r="C143" s="471"/>
      <c r="D143" s="460"/>
      <c r="E143" s="1653" t="str">
        <f>Translations!$B$873</f>
        <v>Siltums no atlikumgāzēm</v>
      </c>
      <c r="F143" s="1657"/>
      <c r="G143" s="1657"/>
      <c r="H143" s="462" t="str">
        <f>EUconst_Unit</f>
        <v>Vienība</v>
      </c>
      <c r="I143" s="463">
        <f>I$793</f>
        <v>2019</v>
      </c>
      <c r="J143" s="463">
        <f>J$793</f>
        <v>2020</v>
      </c>
      <c r="K143" s="463">
        <f>K$793</f>
        <v>2021</v>
      </c>
      <c r="L143" s="463">
        <f>L$793</f>
        <v>2022</v>
      </c>
      <c r="M143" s="463">
        <f>M$793</f>
        <v>2023</v>
      </c>
      <c r="N143" s="1205"/>
      <c r="O143" s="25"/>
      <c r="P143" s="26"/>
      <c r="R143" s="26"/>
      <c r="S143" s="63">
        <f>I143</f>
        <v>2019</v>
      </c>
      <c r="T143" s="63">
        <f>J143</f>
        <v>2020</v>
      </c>
      <c r="U143" s="63">
        <f>K143</f>
        <v>2021</v>
      </c>
      <c r="V143" s="63">
        <f>L143</f>
        <v>2022</v>
      </c>
      <c r="W143" s="63">
        <f>M143</f>
        <v>2023</v>
      </c>
    </row>
    <row r="144" spans="2:23" ht="12.75" customHeight="1" x14ac:dyDescent="0.2">
      <c r="B144" s="21"/>
      <c r="C144" s="471"/>
      <c r="D144" s="477" t="s">
        <v>438</v>
      </c>
      <c r="E144" s="1651" t="str">
        <f>Translations!$B$764</f>
        <v>Neto importētais siltums</v>
      </c>
      <c r="F144" s="1652"/>
      <c r="G144" s="1652"/>
      <c r="H144" s="465" t="str">
        <f>EUconst_TJpa</f>
        <v>TJ / gads</v>
      </c>
      <c r="I144" s="483"/>
      <c r="J144" s="483"/>
      <c r="K144" s="483"/>
      <c r="L144" s="483"/>
      <c r="M144" s="483"/>
      <c r="N144" s="528"/>
      <c r="O144" s="25"/>
      <c r="P144" s="367" t="str">
        <f>EUconst_CNTR_WGImport &amp; I13</f>
        <v>WasteGasIm_Siltuma līmeņatzīmes apakšiekārta, OEP | bez OIM)</v>
      </c>
      <c r="R144" s="872" t="str">
        <f>EUconst_ERR_AttrEmBMapplied &amp; $I13</f>
        <v>ERR_AttrEmBM_ Siltuma līmeņatzīmes apakšiekārta, OEP | bez OIM)</v>
      </c>
      <c r="S144" s="134">
        <f>IF(AND(I144&lt;&gt;0,EUconst_StatusOfDataCollection=""),1,0)</f>
        <v>0</v>
      </c>
      <c r="T144" s="134">
        <f>IF(AND(J144&lt;&gt;0,EUconst_StatusOfDataCollection=""),1,0)</f>
        <v>0</v>
      </c>
      <c r="U144" s="134">
        <f>IF(AND(K144&lt;&gt;0,EUconst_StatusOfDataCollection=""),1,0)</f>
        <v>0</v>
      </c>
      <c r="V144" s="134">
        <f>IF(AND(L144&lt;&gt;0,EUconst_StatusOfDataCollection=""),1,0)</f>
        <v>0</v>
      </c>
      <c r="W144" s="134">
        <f>IF(AND(M144&lt;&gt;0,EUconst_StatusOfDataCollection=""),1,0)</f>
        <v>0</v>
      </c>
    </row>
    <row r="145" spans="1:29" ht="12.75" customHeight="1" x14ac:dyDescent="0.2">
      <c r="B145" s="21"/>
      <c r="C145" s="471"/>
      <c r="D145" s="477" t="s">
        <v>439</v>
      </c>
      <c r="E145" s="1651" t="str">
        <f>Translations!$B$874</f>
        <v>Īpatnējais EF (no atlikumgāzēm)</v>
      </c>
      <c r="F145" s="1652"/>
      <c r="G145" s="1652"/>
      <c r="H145" s="465" t="str">
        <f>EUconst_tCO2pTJ</f>
        <v>t CO2 / TJ</v>
      </c>
      <c r="I145" s="760"/>
      <c r="J145" s="760"/>
      <c r="K145" s="760"/>
      <c r="L145" s="760"/>
      <c r="M145" s="760"/>
      <c r="N145" s="475"/>
      <c r="O145" s="25"/>
      <c r="P145" s="367" t="str">
        <f>EUconst_CNTR_WGImportEF &amp; I13</f>
        <v>WasteGasImEF_Siltuma līmeņatzīmes apakšiekārta, OEP | bez OIM)</v>
      </c>
      <c r="R145" s="873" t="str">
        <f>EUconst_CNTR_AttributedEmissions &amp; $I13</f>
        <v>AttrEmissions_Siltuma līmeņatzīmes apakšiekārta, OEP | bez OIM)</v>
      </c>
      <c r="S145" s="134" t="str">
        <f>IF(S13,SUM(I144)*IF(ISNUMBER(I145),I145,EUconst_HeatBMvalueForBM),"")</f>
        <v/>
      </c>
      <c r="T145" s="134" t="str">
        <f>IF(T13,SUM(J144)*IF(ISNUMBER(J145),J145,EUconst_HeatBMvalueForBM),"")</f>
        <v/>
      </c>
      <c r="U145" s="134" t="str">
        <f>IF(U13,SUM(K144)*IF(ISNUMBER(K145),K145,EUconst_HeatBMvalueForBM),"")</f>
        <v/>
      </c>
      <c r="V145" s="134" t="str">
        <f>IF(V13,SUM(L144)*IF(ISNUMBER(L145),L145,EUconst_HeatBMvalueForBM),"")</f>
        <v/>
      </c>
      <c r="W145" s="134" t="str">
        <f>IF(W13,SUM(M144)*IF(ISNUMBER(M145),M145,EUconst_HeatBMvalueForBM),"")</f>
        <v/>
      </c>
    </row>
    <row r="146" spans="1:29" ht="5.0999999999999996" customHeight="1" x14ac:dyDescent="0.2">
      <c r="B146" s="21"/>
      <c r="C146" s="471"/>
      <c r="D146" s="460"/>
      <c r="E146" s="460"/>
      <c r="F146" s="460"/>
      <c r="G146" s="460"/>
      <c r="H146" s="460"/>
      <c r="I146" s="460"/>
      <c r="J146" s="460"/>
      <c r="K146" s="460"/>
      <c r="L146" s="460"/>
      <c r="M146" s="476"/>
      <c r="N146" s="475"/>
      <c r="O146" s="25"/>
      <c r="P146" s="26"/>
      <c r="R146" s="26"/>
      <c r="S146" s="26"/>
    </row>
    <row r="147" spans="1:29" ht="12.75" customHeight="1" x14ac:dyDescent="0.2">
      <c r="B147" s="21"/>
      <c r="C147" s="471"/>
      <c r="D147" s="477" t="s">
        <v>441</v>
      </c>
      <c r="E147" s="1651" t="str">
        <f>Translations!$B$875</f>
        <v>Kopējais neto importētais siltums</v>
      </c>
      <c r="F147" s="1652"/>
      <c r="G147" s="1652"/>
      <c r="H147" s="465" t="str">
        <f>EUconst_TJpa</f>
        <v>TJ / gads</v>
      </c>
      <c r="I147" s="448" t="str">
        <f>IF(COUNT(I128,I132,I136,I140,I144)&gt;0,SUM(I128,I132,I136,I140,I144),"")</f>
        <v/>
      </c>
      <c r="J147" s="448" t="str">
        <f>IF(COUNT(J128,J132,J136,J140,J144)&gt;0,SUM(J128,J132,J136,J140,J144),"")</f>
        <v/>
      </c>
      <c r="K147" s="448" t="str">
        <f>IF(COUNT(K128,K132,K136,K140,K144)&gt;0,SUM(K128,K132,K136,K140,K144),"")</f>
        <v/>
      </c>
      <c r="L147" s="448" t="str">
        <f>IF(COUNT(L128,L132,L136,L140,L144)&gt;0,SUM(L128,L132,L136,L140,L144),"")</f>
        <v/>
      </c>
      <c r="M147" s="448" t="str">
        <f>IF(COUNT(M128,M132,M136,M140,M144)&gt;0,SUM(M128,M132,M136,M140,M144),"")</f>
        <v/>
      </c>
      <c r="N147" s="497"/>
      <c r="O147" s="25"/>
      <c r="R147" s="26"/>
      <c r="S147" s="26"/>
    </row>
    <row r="148" spans="1:29" ht="12.75" customHeight="1" thickBot="1" x14ac:dyDescent="0.25">
      <c r="B148" s="21"/>
      <c r="C148" s="478"/>
      <c r="D148" s="479"/>
      <c r="E148" s="479"/>
      <c r="F148" s="479"/>
      <c r="G148" s="479"/>
      <c r="H148" s="479"/>
      <c r="I148" s="479"/>
      <c r="J148" s="479"/>
      <c r="K148" s="479"/>
      <c r="L148" s="479"/>
      <c r="M148" s="480"/>
      <c r="N148" s="481"/>
      <c r="O148" s="25"/>
      <c r="P148" s="26"/>
      <c r="R148" s="26"/>
    </row>
    <row r="149" spans="1:29" ht="25.5" customHeight="1" thickBot="1" x14ac:dyDescent="0.25">
      <c r="B149" s="38"/>
      <c r="C149" s="38"/>
      <c r="D149" s="38"/>
      <c r="E149" s="38"/>
      <c r="F149" s="38"/>
      <c r="G149" s="38"/>
      <c r="H149" s="38"/>
      <c r="I149" s="38"/>
      <c r="J149" s="38"/>
      <c r="K149" s="38"/>
      <c r="L149" s="38"/>
      <c r="M149" s="38"/>
      <c r="N149" s="38"/>
      <c r="O149" s="25"/>
    </row>
    <row r="150" spans="1:29" ht="12.75" customHeight="1" thickBot="1" x14ac:dyDescent="0.25">
      <c r="B150" s="21"/>
      <c r="C150" s="294"/>
      <c r="D150" s="294"/>
      <c r="E150" s="294"/>
      <c r="F150" s="294"/>
      <c r="G150" s="294"/>
      <c r="H150" s="294"/>
      <c r="I150" s="294"/>
      <c r="J150" s="294"/>
      <c r="K150" s="294"/>
      <c r="L150" s="294"/>
      <c r="M150" s="294"/>
      <c r="N150" s="294"/>
      <c r="O150" s="25"/>
    </row>
    <row r="151" spans="1:29" ht="15.75" customHeight="1" thickBot="1" x14ac:dyDescent="0.3">
      <c r="B151" s="21"/>
      <c r="C151" s="36">
        <v>2</v>
      </c>
      <c r="D151" s="1318" t="str">
        <f>EUconst_FBSubinst &amp; ":"</f>
        <v>Alternatīva apakšiekārta:</v>
      </c>
      <c r="E151" s="1251"/>
      <c r="F151" s="1251"/>
      <c r="G151" s="1251"/>
      <c r="H151" s="1328"/>
      <c r="I151" s="1701" t="str">
        <f>INDEX(EUconst_FallBackListNames,$C151)</f>
        <v>Siltuma līmeņatzīmes apakšiekārta (bez OEP | bez OIM)</v>
      </c>
      <c r="J151" s="1457"/>
      <c r="K151" s="1457"/>
      <c r="L151" s="1702"/>
      <c r="M151" s="1783" t="str">
        <f>IF(ISBLANK(INDEX(CNTR_FallBackSubInstRelevant,C151)),"",IF(INDEX(CNTR_FallBackSubInstRelevant,C151),EUconst_Relevant,EUconst_NotRelevant))</f>
        <v/>
      </c>
      <c r="N151" s="1784"/>
      <c r="O151" s="25"/>
      <c r="P151" s="582">
        <f>C151</f>
        <v>2</v>
      </c>
      <c r="Q151" s="386" t="s">
        <v>225</v>
      </c>
      <c r="R151" s="845" t="str">
        <f>IF(M151&lt;&gt;EUconst_Relevant,"",INDEX(CNTR_SubInstStartDate,MATCH($I151,CNTR_SubInstListNames,0)))</f>
        <v/>
      </c>
      <c r="S151" s="842" t="b">
        <f>IF($M151&lt;&gt;EUconst_Relevant,FALSE,AND(I$796,YEAR($R151)&lt;I$793))</f>
        <v>0</v>
      </c>
      <c r="T151" s="842" t="b">
        <f>IF($M151&lt;&gt;EUconst_Relevant,FALSE,AND(J$796,YEAR($R151)&lt;J$793))</f>
        <v>0</v>
      </c>
      <c r="U151" s="842" t="b">
        <f>IF($M151&lt;&gt;EUconst_Relevant,FALSE,AND(K$796,YEAR($R151)&lt;K$793))</f>
        <v>0</v>
      </c>
      <c r="V151" s="842" t="b">
        <f>IF($M151&lt;&gt;EUconst_Relevant,FALSE,AND(L$796,YEAR($R151)&lt;L$793))</f>
        <v>0</v>
      </c>
      <c r="W151" s="842" t="b">
        <f>IF($M151&lt;&gt;EUconst_Relevant,FALSE,AND(M$796,YEAR($R151)&lt;M$793))</f>
        <v>0</v>
      </c>
      <c r="X151" s="624"/>
      <c r="AB151" s="926" t="s">
        <v>529</v>
      </c>
      <c r="AC151" s="927" t="b">
        <f>AND(CNTR_ExistSubInstEntries,M151=EUconst_NotRelevant)</f>
        <v>0</v>
      </c>
    </row>
    <row r="152" spans="1:29" ht="12.75" customHeight="1" x14ac:dyDescent="0.2">
      <c r="B152" s="38"/>
      <c r="C152" s="38"/>
      <c r="D152" s="38"/>
      <c r="E152" s="38"/>
      <c r="F152" s="38"/>
      <c r="G152" s="38"/>
      <c r="H152" s="68"/>
      <c r="I152" s="1785" t="str">
        <f>IF(M151="","",IF(M151=EUconst_Relevant,HYPERLINK("",EUconst_MsgEnterThisSection),HYPERLINK(Q152,EUconst_MsgGoToNextSubInst)))</f>
        <v/>
      </c>
      <c r="J152" s="1786"/>
      <c r="K152" s="1786"/>
      <c r="L152" s="1786"/>
      <c r="M152" s="1787"/>
      <c r="N152" s="1788"/>
      <c r="O152" s="25"/>
      <c r="P152" s="20" t="s">
        <v>192</v>
      </c>
      <c r="Q152" s="593" t="str">
        <f>"#JUMP_G"&amp;P151+1</f>
        <v>#JUMP_G3</v>
      </c>
    </row>
    <row r="153" spans="1:29" s="697" customFormat="1" ht="5.0999999999999996" customHeight="1" x14ac:dyDescent="0.2">
      <c r="A153" s="452"/>
      <c r="B153" s="21"/>
      <c r="C153" s="21"/>
      <c r="D153" s="21"/>
      <c r="E153" s="21"/>
      <c r="F153" s="21"/>
      <c r="G153" s="21"/>
      <c r="H153" s="21"/>
      <c r="I153" s="21"/>
      <c r="J153" s="21"/>
      <c r="K153" s="21"/>
      <c r="L153" s="21"/>
      <c r="M153" s="25"/>
      <c r="N153" s="25"/>
      <c r="O153" s="25"/>
      <c r="P153" s="26"/>
      <c r="Q153" s="437"/>
      <c r="R153" s="437"/>
      <c r="S153" s="437"/>
      <c r="T153" s="437"/>
      <c r="U153" s="437"/>
      <c r="V153" s="437"/>
      <c r="W153" s="437"/>
      <c r="X153" s="452"/>
      <c r="Y153" s="452"/>
      <c r="Z153" s="452"/>
      <c r="AA153" s="452"/>
      <c r="AB153" s="452"/>
      <c r="AC153" s="452"/>
    </row>
    <row r="154" spans="1:29" s="697" customFormat="1" ht="12.75" customHeight="1" x14ac:dyDescent="0.2">
      <c r="A154" s="452"/>
      <c r="B154" s="414"/>
      <c r="C154" s="414"/>
      <c r="D154" s="414"/>
      <c r="E154" s="1519" t="str">
        <f>CONCATENATE(EUconst_MsgSeeFirst," (G.I.1)")</f>
        <v>Sīki norādījumi par datu ievadi šajā rīkā ir pieejami pirmajā vietā, kur parādās šis rīks.  (G.I.1)</v>
      </c>
      <c r="F154" s="1519"/>
      <c r="G154" s="1519"/>
      <c r="H154" s="1519"/>
      <c r="I154" s="1519"/>
      <c r="J154" s="1519"/>
      <c r="K154" s="1519"/>
      <c r="L154" s="1519"/>
      <c r="M154" s="1519"/>
      <c r="N154" s="1519"/>
      <c r="O154" s="25"/>
      <c r="P154" s="437"/>
      <c r="Q154" s="437"/>
      <c r="R154" s="437"/>
      <c r="S154" s="437"/>
      <c r="T154" s="437"/>
      <c r="U154" s="437"/>
      <c r="V154" s="437"/>
      <c r="W154" s="437"/>
      <c r="X154" s="452"/>
      <c r="Y154" s="452"/>
      <c r="Z154" s="452"/>
      <c r="AA154" s="452"/>
      <c r="AB154" s="452"/>
      <c r="AC154" s="452"/>
    </row>
    <row r="155" spans="1:29" ht="5.0999999999999996" customHeight="1" x14ac:dyDescent="0.2">
      <c r="B155" s="21"/>
      <c r="C155" s="21"/>
      <c r="D155" s="21"/>
      <c r="E155" s="21"/>
      <c r="F155" s="21"/>
      <c r="G155" s="21"/>
      <c r="H155" s="21"/>
      <c r="I155" s="21"/>
      <c r="J155" s="21"/>
      <c r="K155" s="21"/>
      <c r="L155" s="21"/>
      <c r="M155" s="25"/>
      <c r="N155" s="25"/>
      <c r="O155" s="25"/>
      <c r="P155" s="26"/>
      <c r="Q155" s="26"/>
      <c r="R155" s="26"/>
      <c r="S155" s="26"/>
      <c r="T155" s="26"/>
      <c r="U155" s="26"/>
      <c r="V155" s="26"/>
      <c r="W155" s="26"/>
      <c r="X155" s="624"/>
    </row>
    <row r="156" spans="1:29" ht="12.75" customHeight="1" thickBot="1" x14ac:dyDescent="0.25">
      <c r="B156" s="21"/>
      <c r="C156" s="370"/>
      <c r="D156" s="32" t="s">
        <v>165</v>
      </c>
      <c r="E156" s="1250" t="str">
        <f>Translations!$B$670</f>
        <v>Vēsturiskie darbības līmeņi</v>
      </c>
      <c r="F156" s="1251"/>
      <c r="G156" s="1251"/>
      <c r="H156" s="1251"/>
      <c r="I156" s="1251"/>
      <c r="J156" s="1251"/>
      <c r="K156" s="1251"/>
      <c r="L156" s="1251"/>
      <c r="M156" s="1251"/>
      <c r="N156" s="1251"/>
      <c r="O156" s="25"/>
      <c r="P156" s="26"/>
      <c r="Q156" s="26"/>
      <c r="R156" s="26"/>
      <c r="S156" s="26"/>
      <c r="T156" s="26"/>
      <c r="U156" s="26"/>
      <c r="V156" s="26"/>
      <c r="W156" s="26"/>
      <c r="X156" s="624"/>
    </row>
    <row r="157" spans="1:29" ht="12.75" customHeight="1" thickBot="1" x14ac:dyDescent="0.25">
      <c r="B157" s="21"/>
      <c r="C157" s="384"/>
      <c r="D157" s="34"/>
      <c r="E157" s="1822" t="str">
        <f>Translations!$B$827</f>
        <v>Šie dati tiek automātiski ņemti no lapas "E_EnergyFlows" II sadaļas r) punkta. Tāpēc minētajā sadaļā dati jāievada obligāti.</v>
      </c>
      <c r="F157" s="1822"/>
      <c r="G157" s="1822"/>
      <c r="H157" s="1822"/>
      <c r="I157" s="1822"/>
      <c r="J157" s="1822"/>
      <c r="K157" s="1822"/>
      <c r="L157" s="1822"/>
      <c r="M157" s="1822"/>
      <c r="N157" s="1822"/>
      <c r="O157" s="25"/>
      <c r="P157" s="26"/>
      <c r="Q157" s="439" t="s">
        <v>416</v>
      </c>
      <c r="R157" s="187" t="s">
        <v>229</v>
      </c>
      <c r="S157" s="188"/>
      <c r="T157" s="188"/>
      <c r="U157" s="188"/>
      <c r="V157" s="188"/>
      <c r="W157" s="188"/>
      <c r="X157" s="1187"/>
    </row>
    <row r="158" spans="1:29" ht="12.75" customHeight="1" x14ac:dyDescent="0.2">
      <c r="B158" s="38"/>
      <c r="C158" s="370"/>
      <c r="D158" s="32"/>
      <c r="E158" s="1320" t="str">
        <f>Translations!$B$829</f>
        <v>Galvenais darbības līmenis:</v>
      </c>
      <c r="F158" s="1275"/>
      <c r="G158" s="1275"/>
      <c r="H158" s="52" t="str">
        <f>EUconst_Unit</f>
        <v>Vienība</v>
      </c>
      <c r="I158" s="412">
        <f>I$793</f>
        <v>2019</v>
      </c>
      <c r="J158" s="412">
        <f>J$793</f>
        <v>2020</v>
      </c>
      <c r="K158" s="412">
        <f>K$793</f>
        <v>2021</v>
      </c>
      <c r="L158" s="412">
        <f>L$793</f>
        <v>2022</v>
      </c>
      <c r="M158" s="412">
        <f>M$793</f>
        <v>2023</v>
      </c>
      <c r="N158" s="23"/>
      <c r="O158" s="25"/>
      <c r="P158" s="182" t="s">
        <v>228</v>
      </c>
      <c r="Q158" s="1024" t="s">
        <v>618</v>
      </c>
      <c r="R158" s="190" t="s">
        <v>629</v>
      </c>
      <c r="S158" s="183">
        <f>I158</f>
        <v>2019</v>
      </c>
      <c r="T158" s="134">
        <f>J158</f>
        <v>2020</v>
      </c>
      <c r="U158" s="134">
        <f>K158</f>
        <v>2021</v>
      </c>
      <c r="V158" s="134">
        <f>L158</f>
        <v>2022</v>
      </c>
      <c r="W158" s="134">
        <f>M158</f>
        <v>2023</v>
      </c>
      <c r="X158" s="1188"/>
    </row>
    <row r="159" spans="1:29" ht="12.75" customHeight="1" thickBot="1" x14ac:dyDescent="0.25">
      <c r="B159" s="38"/>
      <c r="C159" s="38"/>
      <c r="D159" s="38"/>
      <c r="E159" s="1782" t="str">
        <f>I151</f>
        <v>Siltuma līmeņatzīmes apakšiekārta (bez OEP | bez OIM)</v>
      </c>
      <c r="F159" s="1782"/>
      <c r="G159" s="1782"/>
      <c r="H159" s="116" t="str">
        <f>INDEX(EUconst_FallBackListUnits,MATCH(E159,EUconst_FallBackListNames,0))</f>
        <v>TJ</v>
      </c>
      <c r="I159" s="328" t="str">
        <f>IF($M151=EUconst_Relevant,IF(ISNUMBER(INDEX(E_EnergyFlows!I$412:I$420,MATCH($E159,E_EnergyFlows!$E$412:$E$420,0))),INDEX(E_EnergyFlows!I$412:I$420,MATCH($E159,E_EnergyFlows!$E$412:$E$420,0)),INDEX(EUconst_FallbackListMissing,$P151)),"")</f>
        <v/>
      </c>
      <c r="J159" s="328" t="str">
        <f>IF($M151=EUconst_Relevant,IF(ISNUMBER(INDEX(E_EnergyFlows!J$412:J$420,MATCH($E159,E_EnergyFlows!$E$412:$E$420,0))),INDEX(E_EnergyFlows!J$412:J$420,MATCH($E159,E_EnergyFlows!$E$412:$E$420,0)),INDEX(EUconst_FallbackListMissing,$P151)),"")</f>
        <v/>
      </c>
      <c r="K159" s="328" t="str">
        <f>IF($M151=EUconst_Relevant,IF(ISNUMBER(INDEX(E_EnergyFlows!K$412:K$420,MATCH($E159,E_EnergyFlows!$E$412:$E$420,0))),INDEX(E_EnergyFlows!K$412:K$420,MATCH($E159,E_EnergyFlows!$E$412:$E$420,0)),INDEX(EUconst_FallbackListMissing,$P151)),"")</f>
        <v/>
      </c>
      <c r="L159" s="328" t="str">
        <f>IF($M151=EUconst_Relevant,IF(ISNUMBER(INDEX(E_EnergyFlows!L$412:L$420,MATCH($E159,E_EnergyFlows!$E$412:$E$420,0))),INDEX(E_EnergyFlows!L$412:L$420,MATCH($E159,E_EnergyFlows!$E$412:$E$420,0)),INDEX(EUconst_FallbackListMissing,$P151)),"")</f>
        <v/>
      </c>
      <c r="M159" s="328" t="str">
        <f>IF($M151=EUconst_Relevant,IF(ISNUMBER(INDEX(E_EnergyFlows!M$412:M$420,MATCH($E159,E_EnergyFlows!$E$412:$E$420,0))),INDEX(E_EnergyFlows!M$412:M$420,MATCH($E159,E_EnergyFlows!$E$412:$E$420,0)),INDEX(EUconst_FallbackListMissing,$P151)),"")</f>
        <v/>
      </c>
      <c r="N159" s="23"/>
      <c r="O159" s="25"/>
      <c r="P159" s="185" t="str">
        <f>EUconst_CNTR_HAL&amp;E159</f>
        <v>HAL_Siltuma līmeņatzīmes apakšiekārta (bez OEP | bez OIM)</v>
      </c>
      <c r="Q159" s="186" t="str">
        <f>IF(COUNT($K159:$L159)&gt;0,AVERAGE($K159:$L159),"")</f>
        <v/>
      </c>
      <c r="R159" s="184" t="str">
        <f>IF(COUNT(S159:W159)&gt;0,MEDIAN(S159:W159),"")</f>
        <v/>
      </c>
      <c r="S159" s="189" t="str">
        <f>IF(S151,IF(ISNUMBER(I159),I159,0),"")</f>
        <v/>
      </c>
      <c r="T159" s="137" t="str">
        <f>IF(T151,IF(ISNUMBER(J159),J159,0),"")</f>
        <v/>
      </c>
      <c r="U159" s="137" t="str">
        <f>IF(U151,IF(ISNUMBER(K159),K159,0),"")</f>
        <v/>
      </c>
      <c r="V159" s="137" t="str">
        <f>IF(V151,IF(ISNUMBER(L159),L159,0),"")</f>
        <v/>
      </c>
      <c r="W159" s="137" t="str">
        <f>IF(W151,IF(ISNUMBER(M159),M159,0),"")</f>
        <v/>
      </c>
      <c r="X159" s="1189"/>
      <c r="Y159" s="1190" t="s">
        <v>574</v>
      </c>
      <c r="Z159" s="709" t="b">
        <f>IF(M151&lt;&gt;EUconst_Relevant,FALSE,INDEX(CNTR_SubInstLess1Year,MATCH(I151,CNTR_SubInstListNames,0)))</f>
        <v>0</v>
      </c>
    </row>
    <row r="160" spans="1:29" ht="12.75" customHeight="1" x14ac:dyDescent="0.2">
      <c r="B160" s="38"/>
      <c r="C160" s="23"/>
      <c r="D160" s="23"/>
      <c r="E160" s="23"/>
      <c r="F160" s="23"/>
      <c r="G160" s="23"/>
      <c r="H160" s="23"/>
      <c r="I160" s="23"/>
      <c r="J160" s="23"/>
      <c r="K160" s="23"/>
      <c r="L160" s="23"/>
      <c r="M160" s="23"/>
      <c r="N160" s="23"/>
      <c r="O160" s="25"/>
    </row>
    <row r="161" spans="2:28" ht="15" x14ac:dyDescent="0.25">
      <c r="B161" s="38"/>
      <c r="C161" s="383"/>
      <c r="D161" s="1318" t="str">
        <f>Translations!$B$700</f>
        <v>Ražošanas dati</v>
      </c>
      <c r="E161" s="1251"/>
      <c r="F161" s="1251"/>
      <c r="G161" s="1251"/>
      <c r="H161" s="1251"/>
      <c r="I161" s="1251"/>
      <c r="J161" s="1251"/>
      <c r="K161" s="1251"/>
      <c r="L161" s="1251"/>
      <c r="M161" s="1251"/>
      <c r="N161" s="1251"/>
      <c r="O161" s="25"/>
      <c r="Y161" s="624"/>
      <c r="Z161" s="624"/>
      <c r="AA161" s="624"/>
      <c r="AB161" s="624"/>
    </row>
    <row r="162" spans="2:28" ht="5.0999999999999996" customHeight="1" x14ac:dyDescent="0.2">
      <c r="B162" s="21"/>
      <c r="C162" s="23"/>
      <c r="D162" s="21"/>
      <c r="E162" s="21"/>
      <c r="F162" s="21"/>
      <c r="G162" s="21"/>
      <c r="H162" s="21"/>
      <c r="I162" s="21"/>
      <c r="J162" s="21"/>
      <c r="K162" s="21"/>
      <c r="L162" s="21"/>
      <c r="M162" s="21"/>
      <c r="N162" s="21"/>
      <c r="O162" s="25"/>
      <c r="P162" s="26"/>
      <c r="Q162" s="26"/>
    </row>
    <row r="163" spans="2:28" ht="12.75" customHeight="1" x14ac:dyDescent="0.2">
      <c r="B163" s="21"/>
      <c r="C163" s="370"/>
      <c r="D163" s="32" t="s">
        <v>339</v>
      </c>
      <c r="E163" s="1250" t="str">
        <f>Translations!$B$830</f>
        <v>Ar šo apakšiekārtu saistīto relevanto produktu vai pakalpojumu identificēšana</v>
      </c>
      <c r="F163" s="1251"/>
      <c r="G163" s="1251"/>
      <c r="H163" s="1251"/>
      <c r="I163" s="1251"/>
      <c r="J163" s="1251"/>
      <c r="K163" s="1251"/>
      <c r="L163" s="1251"/>
      <c r="M163" s="1251"/>
      <c r="N163" s="1251"/>
      <c r="O163" s="25"/>
      <c r="P163" s="26"/>
    </row>
    <row r="164" spans="2:28" ht="5.0999999999999996" customHeight="1" x14ac:dyDescent="0.2">
      <c r="B164" s="21"/>
      <c r="C164" s="384"/>
      <c r="D164" s="34"/>
      <c r="E164" s="35"/>
      <c r="F164" s="35"/>
      <c r="G164" s="35"/>
      <c r="H164" s="35"/>
      <c r="I164" s="35"/>
      <c r="J164" s="39"/>
      <c r="K164" s="369"/>
      <c r="L164" s="369"/>
      <c r="M164" s="44"/>
      <c r="N164" s="44"/>
      <c r="O164" s="25"/>
      <c r="P164" s="26"/>
    </row>
    <row r="165" spans="2:28" ht="25.5" x14ac:dyDescent="0.2">
      <c r="B165" s="38"/>
      <c r="C165" s="370"/>
      <c r="D165" s="360"/>
      <c r="E165" s="1418" t="str">
        <f>Translations!$B$837</f>
        <v>Izmantojuma veids</v>
      </c>
      <c r="F165" s="1419"/>
      <c r="G165" s="1418" t="str">
        <f>Translations!$B$838</f>
        <v>Iekārtā vai eksports?</v>
      </c>
      <c r="H165" s="1419"/>
      <c r="I165" s="1830" t="str">
        <f>Translations!$B$839</f>
        <v>Produkta nosaukums vai siltuma eksports, bet ne centralizētās siltumapgādes vajadzībām</v>
      </c>
      <c r="J165" s="1441"/>
      <c r="K165" s="1441"/>
      <c r="L165" s="1419"/>
      <c r="M165" s="1121" t="str">
        <f>Translations!$B$1668</f>
        <v>PRODCOM 2010</v>
      </c>
      <c r="N165" s="1122" t="str">
        <f>Translations!$B$1669</f>
        <v>KN kodi</v>
      </c>
      <c r="O165" s="25"/>
      <c r="Y165" s="624"/>
      <c r="Z165" s="624"/>
      <c r="AA165" s="624"/>
      <c r="AB165" s="624"/>
    </row>
    <row r="166" spans="2:28" ht="12.75" customHeight="1" x14ac:dyDescent="0.2">
      <c r="B166" s="38"/>
      <c r="C166" s="68"/>
      <c r="D166" s="55">
        <v>1</v>
      </c>
      <c r="E166" s="1439"/>
      <c r="F166" s="1437"/>
      <c r="G166" s="1823"/>
      <c r="H166" s="1824"/>
      <c r="I166" s="1825"/>
      <c r="J166" s="1826"/>
      <c r="K166" s="1826"/>
      <c r="L166" s="1827"/>
      <c r="M166" s="558"/>
      <c r="N166" s="1084"/>
      <c r="O166" s="25"/>
    </row>
    <row r="167" spans="2:28" ht="12.75" customHeight="1" x14ac:dyDescent="0.2">
      <c r="B167" s="38"/>
      <c r="C167" s="68"/>
      <c r="D167" s="56">
        <f>D166+1</f>
        <v>2</v>
      </c>
      <c r="E167" s="1423"/>
      <c r="F167" s="1417"/>
      <c r="G167" s="1814"/>
      <c r="H167" s="1815"/>
      <c r="I167" s="1424"/>
      <c r="J167" s="1816"/>
      <c r="K167" s="1816"/>
      <c r="L167" s="1817"/>
      <c r="M167" s="559"/>
      <c r="N167" s="1167"/>
      <c r="O167" s="25"/>
    </row>
    <row r="168" spans="2:28" ht="12.75" customHeight="1" x14ac:dyDescent="0.2">
      <c r="B168" s="38"/>
      <c r="C168" s="68"/>
      <c r="D168" s="56">
        <f t="shared" ref="D168:D175" si="3">D167+1</f>
        <v>3</v>
      </c>
      <c r="E168" s="1423"/>
      <c r="F168" s="1417"/>
      <c r="G168" s="1814"/>
      <c r="H168" s="1815"/>
      <c r="I168" s="1424"/>
      <c r="J168" s="1816"/>
      <c r="K168" s="1816"/>
      <c r="L168" s="1817"/>
      <c r="M168" s="559"/>
      <c r="N168" s="1085"/>
      <c r="O168" s="25"/>
    </row>
    <row r="169" spans="2:28" ht="12.75" customHeight="1" x14ac:dyDescent="0.2">
      <c r="B169" s="38"/>
      <c r="C169" s="68"/>
      <c r="D169" s="56">
        <f t="shared" si="3"/>
        <v>4</v>
      </c>
      <c r="E169" s="1423"/>
      <c r="F169" s="1417"/>
      <c r="G169" s="1814"/>
      <c r="H169" s="1815"/>
      <c r="I169" s="1424"/>
      <c r="J169" s="1816"/>
      <c r="K169" s="1816"/>
      <c r="L169" s="1817"/>
      <c r="M169" s="559"/>
      <c r="N169" s="1085"/>
      <c r="O169" s="25"/>
    </row>
    <row r="170" spans="2:28" ht="12.75" customHeight="1" x14ac:dyDescent="0.2">
      <c r="B170" s="38"/>
      <c r="C170" s="68"/>
      <c r="D170" s="56">
        <f t="shared" si="3"/>
        <v>5</v>
      </c>
      <c r="E170" s="1423"/>
      <c r="F170" s="1417"/>
      <c r="G170" s="1814"/>
      <c r="H170" s="1815"/>
      <c r="I170" s="1424"/>
      <c r="J170" s="1816"/>
      <c r="K170" s="1816"/>
      <c r="L170" s="1817"/>
      <c r="M170" s="559"/>
      <c r="N170" s="1085"/>
      <c r="O170" s="25"/>
      <c r="Y170" s="624"/>
      <c r="Z170" s="624"/>
      <c r="AA170" s="624"/>
      <c r="AB170" s="624"/>
    </row>
    <row r="171" spans="2:28" ht="12.75" customHeight="1" x14ac:dyDescent="0.2">
      <c r="B171" s="38"/>
      <c r="C171" s="68"/>
      <c r="D171" s="56">
        <f t="shared" si="3"/>
        <v>6</v>
      </c>
      <c r="E171" s="1423"/>
      <c r="F171" s="1417"/>
      <c r="G171" s="1814"/>
      <c r="H171" s="1815"/>
      <c r="I171" s="1424"/>
      <c r="J171" s="1816"/>
      <c r="K171" s="1816"/>
      <c r="L171" s="1817"/>
      <c r="M171" s="559"/>
      <c r="N171" s="1085"/>
      <c r="O171" s="25"/>
    </row>
    <row r="172" spans="2:28" ht="12.75" customHeight="1" x14ac:dyDescent="0.2">
      <c r="B172" s="38"/>
      <c r="C172" s="68"/>
      <c r="D172" s="56">
        <f t="shared" si="3"/>
        <v>7</v>
      </c>
      <c r="E172" s="1423"/>
      <c r="F172" s="1417"/>
      <c r="G172" s="1814"/>
      <c r="H172" s="1815"/>
      <c r="I172" s="1424"/>
      <c r="J172" s="1816"/>
      <c r="K172" s="1816"/>
      <c r="L172" s="1817"/>
      <c r="M172" s="559"/>
      <c r="N172" s="1085"/>
      <c r="O172" s="25"/>
    </row>
    <row r="173" spans="2:28" ht="12.75" customHeight="1" x14ac:dyDescent="0.2">
      <c r="B173" s="38"/>
      <c r="C173" s="68"/>
      <c r="D173" s="56">
        <f t="shared" si="3"/>
        <v>8</v>
      </c>
      <c r="E173" s="1423"/>
      <c r="F173" s="1417"/>
      <c r="G173" s="1814"/>
      <c r="H173" s="1815"/>
      <c r="I173" s="1424"/>
      <c r="J173" s="1816"/>
      <c r="K173" s="1816"/>
      <c r="L173" s="1817"/>
      <c r="M173" s="559"/>
      <c r="N173" s="1085"/>
      <c r="O173" s="25"/>
    </row>
    <row r="174" spans="2:28" ht="12.75" customHeight="1" x14ac:dyDescent="0.2">
      <c r="B174" s="38"/>
      <c r="C174" s="68"/>
      <c r="D174" s="56">
        <f t="shared" si="3"/>
        <v>9</v>
      </c>
      <c r="E174" s="1423"/>
      <c r="F174" s="1417"/>
      <c r="G174" s="1814"/>
      <c r="H174" s="1815"/>
      <c r="I174" s="1424"/>
      <c r="J174" s="1816"/>
      <c r="K174" s="1816"/>
      <c r="L174" s="1817"/>
      <c r="M174" s="559"/>
      <c r="N174" s="1085"/>
      <c r="O174" s="25"/>
    </row>
    <row r="175" spans="2:28" ht="12.75" customHeight="1" x14ac:dyDescent="0.2">
      <c r="B175" s="38"/>
      <c r="C175" s="68"/>
      <c r="D175" s="59">
        <f t="shared" si="3"/>
        <v>10</v>
      </c>
      <c r="E175" s="1434"/>
      <c r="F175" s="1435"/>
      <c r="G175" s="1818"/>
      <c r="H175" s="1819"/>
      <c r="I175" s="1442"/>
      <c r="J175" s="1820"/>
      <c r="K175" s="1820"/>
      <c r="L175" s="1821"/>
      <c r="M175" s="560"/>
      <c r="N175" s="1086"/>
      <c r="O175" s="25"/>
      <c r="Y175" s="624"/>
      <c r="Z175" s="624"/>
      <c r="AA175" s="624"/>
      <c r="AB175" s="624"/>
    </row>
    <row r="176" spans="2:28" ht="5.0999999999999996" customHeight="1" x14ac:dyDescent="0.2">
      <c r="B176" s="21"/>
      <c r="C176" s="23"/>
      <c r="D176" s="21"/>
      <c r="E176" s="21"/>
      <c r="F176" s="21"/>
      <c r="G176" s="21"/>
      <c r="H176" s="21"/>
      <c r="I176" s="21"/>
      <c r="J176" s="21"/>
      <c r="K176" s="21"/>
      <c r="L176" s="21"/>
      <c r="M176" s="21"/>
      <c r="N176" s="21"/>
      <c r="O176" s="25"/>
      <c r="P176" s="26"/>
      <c r="Q176" s="26"/>
    </row>
    <row r="177" spans="2:19" ht="12.75" customHeight="1" x14ac:dyDescent="0.2">
      <c r="B177" s="21"/>
      <c r="C177" s="370"/>
      <c r="D177" s="32"/>
      <c r="E177" s="1250" t="str">
        <f>Translations!$B$840</f>
        <v>Ražošanas līmeņi</v>
      </c>
      <c r="F177" s="1251"/>
      <c r="G177" s="1251"/>
      <c r="H177" s="1251"/>
      <c r="I177" s="1251"/>
      <c r="J177" s="1251"/>
      <c r="K177" s="1251"/>
      <c r="L177" s="1251"/>
      <c r="M177" s="1251"/>
      <c r="N177" s="1251"/>
      <c r="O177" s="25"/>
      <c r="P177" s="26"/>
    </row>
    <row r="178" spans="2:19" ht="5.0999999999999996" customHeight="1" x14ac:dyDescent="0.2">
      <c r="B178" s="21"/>
      <c r="C178" s="384"/>
      <c r="D178" s="34"/>
      <c r="E178" s="35"/>
      <c r="F178" s="35"/>
      <c r="G178" s="35"/>
      <c r="H178" s="35"/>
      <c r="I178" s="35"/>
      <c r="J178" s="39"/>
      <c r="K178" s="39"/>
      <c r="L178" s="39"/>
      <c r="M178" s="25"/>
      <c r="N178" s="25"/>
      <c r="O178" s="25"/>
      <c r="P178" s="26"/>
    </row>
    <row r="179" spans="2:19" ht="25.5" customHeight="1" x14ac:dyDescent="0.2">
      <c r="B179" s="38"/>
      <c r="C179" s="370"/>
      <c r="D179" s="360"/>
      <c r="E179" s="1767" t="str">
        <f>I165</f>
        <v>Produkta nosaukums vai siltuma eksports, bet ne centralizētās siltumapgādes vajadzībām</v>
      </c>
      <c r="F179" s="1275"/>
      <c r="G179" s="1460"/>
      <c r="H179" s="52" t="str">
        <f>EUconst_Unit</f>
        <v>Vienība</v>
      </c>
      <c r="I179" s="412">
        <f>I$793</f>
        <v>2019</v>
      </c>
      <c r="J179" s="412">
        <f>J$793</f>
        <v>2020</v>
      </c>
      <c r="K179" s="412">
        <f>K$793</f>
        <v>2021</v>
      </c>
      <c r="L179" s="412">
        <f>L$793</f>
        <v>2022</v>
      </c>
      <c r="M179" s="412">
        <f>M$793</f>
        <v>2023</v>
      </c>
      <c r="N179" s="25"/>
      <c r="O179" s="25"/>
    </row>
    <row r="180" spans="2:19" ht="12.75" customHeight="1" x14ac:dyDescent="0.2">
      <c r="B180" s="38"/>
      <c r="C180" s="68"/>
      <c r="D180" s="55">
        <v>1</v>
      </c>
      <c r="E180" s="1748" t="str">
        <f t="shared" ref="E180:E189" si="4">IF(ISBLANK(I166),"",I166)</f>
        <v/>
      </c>
      <c r="F180" s="1768"/>
      <c r="G180" s="1769"/>
      <c r="H180" s="763"/>
      <c r="I180" s="484"/>
      <c r="J180" s="484"/>
      <c r="K180" s="484"/>
      <c r="L180" s="484"/>
      <c r="M180" s="484"/>
      <c r="N180" s="25"/>
      <c r="O180" s="25"/>
    </row>
    <row r="181" spans="2:19" ht="12.75" customHeight="1" x14ac:dyDescent="0.2">
      <c r="B181" s="38"/>
      <c r="C181" s="68"/>
      <c r="D181" s="56">
        <f>D180+1</f>
        <v>2</v>
      </c>
      <c r="E181" s="1754" t="str">
        <f t="shared" si="4"/>
        <v/>
      </c>
      <c r="F181" s="1755"/>
      <c r="G181" s="1756"/>
      <c r="H181" s="764"/>
      <c r="I181" s="557"/>
      <c r="J181" s="557"/>
      <c r="K181" s="557"/>
      <c r="L181" s="557"/>
      <c r="M181" s="557"/>
      <c r="N181" s="25"/>
      <c r="O181" s="25"/>
    </row>
    <row r="182" spans="2:19" ht="12.75" customHeight="1" x14ac:dyDescent="0.2">
      <c r="B182" s="38"/>
      <c r="C182" s="68"/>
      <c r="D182" s="56">
        <f t="shared" ref="D182:D189" si="5">D181+1</f>
        <v>3</v>
      </c>
      <c r="E182" s="1754" t="str">
        <f t="shared" si="4"/>
        <v/>
      </c>
      <c r="F182" s="1755"/>
      <c r="G182" s="1756"/>
      <c r="H182" s="764"/>
      <c r="I182" s="557"/>
      <c r="J182" s="557"/>
      <c r="K182" s="557"/>
      <c r="L182" s="557"/>
      <c r="M182" s="557"/>
      <c r="N182" s="25"/>
      <c r="O182" s="25"/>
    </row>
    <row r="183" spans="2:19" ht="12.75" customHeight="1" x14ac:dyDescent="0.2">
      <c r="B183" s="38"/>
      <c r="C183" s="68"/>
      <c r="D183" s="56">
        <f t="shared" si="5"/>
        <v>4</v>
      </c>
      <c r="E183" s="1754" t="str">
        <f t="shared" si="4"/>
        <v/>
      </c>
      <c r="F183" s="1755"/>
      <c r="G183" s="1756"/>
      <c r="H183" s="764"/>
      <c r="I183" s="557"/>
      <c r="J183" s="557"/>
      <c r="K183" s="557"/>
      <c r="L183" s="557"/>
      <c r="M183" s="557"/>
      <c r="N183" s="25"/>
      <c r="O183" s="25"/>
    </row>
    <row r="184" spans="2:19" ht="12.75" customHeight="1" x14ac:dyDescent="0.2">
      <c r="B184" s="38"/>
      <c r="C184" s="68"/>
      <c r="D184" s="56">
        <f t="shared" si="5"/>
        <v>5</v>
      </c>
      <c r="E184" s="1754" t="str">
        <f t="shared" si="4"/>
        <v/>
      </c>
      <c r="F184" s="1755"/>
      <c r="G184" s="1756"/>
      <c r="H184" s="764"/>
      <c r="I184" s="557"/>
      <c r="J184" s="557"/>
      <c r="K184" s="557"/>
      <c r="L184" s="557"/>
      <c r="M184" s="557"/>
      <c r="N184" s="25"/>
      <c r="O184" s="25"/>
    </row>
    <row r="185" spans="2:19" ht="12.75" customHeight="1" x14ac:dyDescent="0.2">
      <c r="B185" s="38"/>
      <c r="C185" s="68"/>
      <c r="D185" s="56">
        <f t="shared" si="5"/>
        <v>6</v>
      </c>
      <c r="E185" s="1754" t="str">
        <f t="shared" si="4"/>
        <v/>
      </c>
      <c r="F185" s="1755"/>
      <c r="G185" s="1756"/>
      <c r="H185" s="764"/>
      <c r="I185" s="557"/>
      <c r="J185" s="557"/>
      <c r="K185" s="557"/>
      <c r="L185" s="557"/>
      <c r="M185" s="557"/>
      <c r="N185" s="25"/>
      <c r="O185" s="25"/>
    </row>
    <row r="186" spans="2:19" ht="12.75" customHeight="1" x14ac:dyDescent="0.2">
      <c r="B186" s="38"/>
      <c r="C186" s="68"/>
      <c r="D186" s="56">
        <f t="shared" si="5"/>
        <v>7</v>
      </c>
      <c r="E186" s="1754" t="str">
        <f t="shared" si="4"/>
        <v/>
      </c>
      <c r="F186" s="1755"/>
      <c r="G186" s="1756"/>
      <c r="H186" s="764"/>
      <c r="I186" s="557"/>
      <c r="J186" s="557"/>
      <c r="K186" s="557"/>
      <c r="L186" s="557"/>
      <c r="M186" s="557"/>
      <c r="N186" s="25"/>
      <c r="O186" s="25"/>
    </row>
    <row r="187" spans="2:19" ht="12.75" customHeight="1" x14ac:dyDescent="0.2">
      <c r="B187" s="38"/>
      <c r="C187" s="68"/>
      <c r="D187" s="56">
        <f t="shared" si="5"/>
        <v>8</v>
      </c>
      <c r="E187" s="1754" t="str">
        <f t="shared" si="4"/>
        <v/>
      </c>
      <c r="F187" s="1755"/>
      <c r="G187" s="1756"/>
      <c r="H187" s="764"/>
      <c r="I187" s="557"/>
      <c r="J187" s="557"/>
      <c r="K187" s="557"/>
      <c r="L187" s="557"/>
      <c r="M187" s="557"/>
      <c r="N187" s="25"/>
      <c r="O187" s="25"/>
    </row>
    <row r="188" spans="2:19" ht="12.75" customHeight="1" x14ac:dyDescent="0.2">
      <c r="B188" s="38"/>
      <c r="C188" s="68"/>
      <c r="D188" s="56">
        <f t="shared" si="5"/>
        <v>9</v>
      </c>
      <c r="E188" s="1754" t="str">
        <f t="shared" si="4"/>
        <v/>
      </c>
      <c r="F188" s="1755"/>
      <c r="G188" s="1756"/>
      <c r="H188" s="764"/>
      <c r="I188" s="557"/>
      <c r="J188" s="557"/>
      <c r="K188" s="557"/>
      <c r="L188" s="557"/>
      <c r="M188" s="557"/>
      <c r="N188" s="25"/>
      <c r="O188" s="25"/>
    </row>
    <row r="189" spans="2:19" ht="12.75" customHeight="1" x14ac:dyDescent="0.2">
      <c r="B189" s="38"/>
      <c r="C189" s="68"/>
      <c r="D189" s="59">
        <f t="shared" si="5"/>
        <v>10</v>
      </c>
      <c r="E189" s="1757" t="str">
        <f t="shared" si="4"/>
        <v/>
      </c>
      <c r="F189" s="1758"/>
      <c r="G189" s="1759"/>
      <c r="H189" s="765"/>
      <c r="I189" s="458"/>
      <c r="J189" s="458"/>
      <c r="K189" s="458"/>
      <c r="L189" s="458"/>
      <c r="M189" s="458"/>
      <c r="N189" s="25"/>
      <c r="O189" s="25"/>
    </row>
    <row r="190" spans="2:19" ht="12.75" customHeight="1" x14ac:dyDescent="0.2">
      <c r="B190" s="38"/>
      <c r="C190" s="38"/>
      <c r="D190" s="115"/>
      <c r="E190" s="1760" t="str">
        <f>Translations!$B$708</f>
        <v>Ražošanas līmeņu summa</v>
      </c>
      <c r="F190" s="1457"/>
      <c r="G190" s="1259"/>
      <c r="H190" s="250"/>
      <c r="I190" s="343" t="str">
        <f>IF(COUNT(I180:I189)&gt;0,SUM(I180:I189),"")</f>
        <v/>
      </c>
      <c r="J190" s="343" t="str">
        <f>IF(COUNT(J180:J189)&gt;0,SUM(J180:J189),"")</f>
        <v/>
      </c>
      <c r="K190" s="343" t="str">
        <f>IF(COUNT(K180:K189)&gt;0,SUM(K180:K189),"")</f>
        <v/>
      </c>
      <c r="L190" s="343" t="str">
        <f>IF(COUNT(L180:L189)&gt;0,SUM(L180:L189),"")</f>
        <v/>
      </c>
      <c r="M190" s="343" t="str">
        <f>IF(COUNT(M180:M189)&gt;0,SUM(M180:M189),"")</f>
        <v/>
      </c>
      <c r="N190" s="25"/>
      <c r="O190" s="25"/>
    </row>
    <row r="191" spans="2:19" ht="12.75" customHeight="1" thickBot="1" x14ac:dyDescent="0.25">
      <c r="B191" s="38"/>
      <c r="C191" s="38"/>
      <c r="D191" s="38"/>
      <c r="E191" s="38"/>
      <c r="F191" s="38"/>
      <c r="G191" s="38"/>
      <c r="H191" s="38"/>
      <c r="I191" s="38"/>
      <c r="J191" s="38"/>
      <c r="K191" s="38"/>
      <c r="L191" s="38"/>
      <c r="M191" s="38"/>
      <c r="N191" s="38"/>
      <c r="O191" s="25"/>
    </row>
    <row r="192" spans="2:19" ht="5.0999999999999996" customHeight="1" x14ac:dyDescent="0.2">
      <c r="B192" s="21"/>
      <c r="C192" s="467"/>
      <c r="D192" s="468"/>
      <c r="E192" s="468"/>
      <c r="F192" s="468"/>
      <c r="G192" s="468"/>
      <c r="H192" s="468"/>
      <c r="I192" s="468"/>
      <c r="J192" s="468"/>
      <c r="K192" s="468"/>
      <c r="L192" s="468"/>
      <c r="M192" s="469"/>
      <c r="N192" s="470"/>
      <c r="O192" s="25"/>
      <c r="P192" s="26"/>
      <c r="R192" s="26"/>
      <c r="S192" s="26"/>
    </row>
    <row r="193" spans="2:23" ht="15" customHeight="1" x14ac:dyDescent="0.2">
      <c r="B193" s="38"/>
      <c r="C193" s="471"/>
      <c r="D193" s="1697" t="str">
        <f>Translations!$B$709</f>
        <v>Dati, kas vajadzīgi, lai noteiktu līmeņatzīmju uzlabošanas rādītāju saskaņā ar ES ETS direktīvas 10.a panta 2. punktu.</v>
      </c>
      <c r="E193" s="1655"/>
      <c r="F193" s="1655"/>
      <c r="G193" s="1655"/>
      <c r="H193" s="1655"/>
      <c r="I193" s="1655"/>
      <c r="J193" s="1655"/>
      <c r="K193" s="1655"/>
      <c r="L193" s="1655"/>
      <c r="M193" s="1655"/>
      <c r="N193" s="1656"/>
      <c r="O193" s="25"/>
      <c r="R193" s="26"/>
      <c r="S193" s="26"/>
    </row>
    <row r="194" spans="2:23" ht="5.0999999999999996" customHeight="1" x14ac:dyDescent="0.2">
      <c r="B194" s="38"/>
      <c r="C194" s="472"/>
      <c r="D194" s="461"/>
      <c r="E194" s="461"/>
      <c r="F194" s="461"/>
      <c r="G194" s="461"/>
      <c r="H194" s="461"/>
      <c r="I194" s="461"/>
      <c r="J194" s="461"/>
      <c r="K194" s="461"/>
      <c r="L194" s="461"/>
      <c r="M194" s="461"/>
      <c r="N194" s="473"/>
      <c r="O194" s="25"/>
      <c r="R194" s="26"/>
      <c r="S194" s="26"/>
    </row>
    <row r="195" spans="2:23" ht="15" customHeight="1" x14ac:dyDescent="0.2">
      <c r="B195" s="38"/>
      <c r="C195" s="472"/>
      <c r="D195" s="1698" t="str">
        <f>EUconst_FBSubinst &amp; ":"</f>
        <v>Alternatīva apakšiekārta:</v>
      </c>
      <c r="E195" s="1699"/>
      <c r="F195" s="1699"/>
      <c r="G195" s="1699"/>
      <c r="H195" s="1700"/>
      <c r="I195" s="1701" t="str">
        <f>I151</f>
        <v>Siltuma līmeņatzīmes apakšiekārta (bez OEP | bez OIM)</v>
      </c>
      <c r="J195" s="1457"/>
      <c r="K195" s="1457"/>
      <c r="L195" s="1457"/>
      <c r="M195" s="1457"/>
      <c r="N195" s="1702"/>
      <c r="O195" s="25"/>
      <c r="R195" s="26"/>
      <c r="S195" s="26"/>
    </row>
    <row r="196" spans="2:23" ht="5.0999999999999996" customHeight="1" x14ac:dyDescent="0.2">
      <c r="B196" s="38"/>
      <c r="C196" s="472"/>
      <c r="D196" s="461"/>
      <c r="E196" s="461"/>
      <c r="F196" s="461"/>
      <c r="G196" s="461"/>
      <c r="H196" s="461"/>
      <c r="I196" s="461"/>
      <c r="J196" s="461"/>
      <c r="K196" s="461"/>
      <c r="L196" s="461"/>
      <c r="M196" s="461"/>
      <c r="N196" s="473"/>
      <c r="O196" s="25"/>
      <c r="R196" s="26"/>
      <c r="S196" s="26"/>
    </row>
    <row r="197" spans="2:23" ht="12.75" customHeight="1" x14ac:dyDescent="0.2">
      <c r="B197" s="21"/>
      <c r="C197" s="471"/>
      <c r="D197" s="474" t="s">
        <v>11</v>
      </c>
      <c r="E197" s="1654" t="str">
        <f>Translations!$B$841</f>
        <v>Uz šo apakšiekārtu tieši attiecināmas emisijas (DirEm*)</v>
      </c>
      <c r="F197" s="1655"/>
      <c r="G197" s="1655"/>
      <c r="H197" s="1655"/>
      <c r="I197" s="1655"/>
      <c r="J197" s="1655"/>
      <c r="K197" s="1655"/>
      <c r="L197" s="1655"/>
      <c r="M197" s="1655"/>
      <c r="N197" s="1656"/>
      <c r="O197" s="25"/>
      <c r="P197" s="26"/>
      <c r="R197" s="26"/>
      <c r="S197" s="26"/>
    </row>
    <row r="198" spans="2:23" ht="12.75" customHeight="1" thickBot="1" x14ac:dyDescent="0.25">
      <c r="B198" s="21"/>
      <c r="C198" s="471"/>
      <c r="D198" s="460"/>
      <c r="E198" s="1727" t="str">
        <f>Translations!$B$876</f>
        <v>Sīki norādījumi par to, kā šeit ievadīt datus, atrodami augstāk 1. sadaļas c) punktā.</v>
      </c>
      <c r="F198" s="1727"/>
      <c r="G198" s="1727"/>
      <c r="H198" s="1727"/>
      <c r="I198" s="1727"/>
      <c r="J198" s="1727"/>
      <c r="K198" s="1727"/>
      <c r="L198" s="1727"/>
      <c r="M198" s="1727"/>
      <c r="N198" s="1734"/>
      <c r="O198" s="25"/>
      <c r="P198" s="26"/>
      <c r="R198" s="26"/>
    </row>
    <row r="199" spans="2:23" ht="12.75" customHeight="1" x14ac:dyDescent="0.2">
      <c r="B199" s="21"/>
      <c r="C199" s="471"/>
      <c r="D199" s="474"/>
      <c r="E199" s="1653" t="str">
        <f>Translations!$B$690</f>
        <v>Kopējās tiešās emisijas</v>
      </c>
      <c r="F199" s="1657"/>
      <c r="G199" s="1657"/>
      <c r="H199" s="462" t="str">
        <f>EUconst_Unit</f>
        <v>Vienība</v>
      </c>
      <c r="I199" s="463">
        <f>I$793</f>
        <v>2019</v>
      </c>
      <c r="J199" s="463">
        <f>J$793</f>
        <v>2020</v>
      </c>
      <c r="K199" s="463">
        <f>K$793</f>
        <v>2021</v>
      </c>
      <c r="L199" s="463">
        <f>L$793</f>
        <v>2022</v>
      </c>
      <c r="M199" s="463">
        <f>M$793</f>
        <v>2023</v>
      </c>
      <c r="N199" s="475"/>
      <c r="O199" s="25"/>
      <c r="P199" s="26"/>
      <c r="R199" s="808"/>
      <c r="S199" s="809">
        <f>I199</f>
        <v>2019</v>
      </c>
      <c r="T199" s="809">
        <f>J199</f>
        <v>2020</v>
      </c>
      <c r="U199" s="809">
        <f>K199</f>
        <v>2021</v>
      </c>
      <c r="V199" s="809">
        <f>L199</f>
        <v>2022</v>
      </c>
      <c r="W199" s="810">
        <f>M199</f>
        <v>2023</v>
      </c>
    </row>
    <row r="200" spans="2:23" ht="12.75" customHeight="1" thickBot="1" x14ac:dyDescent="0.25">
      <c r="B200" s="21"/>
      <c r="C200" s="471"/>
      <c r="D200" s="460"/>
      <c r="E200" s="1782" t="str">
        <f>I151</f>
        <v>Siltuma līmeņatzīmes apakšiekārta (bez OEP | bez OIM)</v>
      </c>
      <c r="F200" s="1782"/>
      <c r="G200" s="1782"/>
      <c r="H200" s="464" t="str">
        <f>EUconst_tCO2epa</f>
        <v>t CO2e/gads</v>
      </c>
      <c r="I200" s="337"/>
      <c r="J200" s="337"/>
      <c r="K200" s="337"/>
      <c r="L200" s="337"/>
      <c r="M200" s="337"/>
      <c r="N200" s="475"/>
      <c r="O200" s="25"/>
      <c r="P200" s="367" t="str">
        <f>EUconst_CNTR_Emissions &amp; I151</f>
        <v>DirEmissions_Siltuma līmeņatzīmes apakšiekārta (bez OEP | bez OIM)</v>
      </c>
      <c r="R200" s="811" t="str">
        <f>EUconst_CNTR_AttributedEmissions &amp; $I151</f>
        <v>AttrEmissions_Siltuma līmeņatzīmes apakšiekārta (bez OEP | bez OIM)</v>
      </c>
      <c r="S200" s="137" t="str">
        <f>IF(S151,SUM(I200),"")</f>
        <v/>
      </c>
      <c r="T200" s="137" t="str">
        <f>IF(T151,SUM(J200),"")</f>
        <v/>
      </c>
      <c r="U200" s="137" t="str">
        <f>IF(U151,SUM(K200),"")</f>
        <v/>
      </c>
      <c r="V200" s="137" t="str">
        <f>IF(V151,SUM(L200),"")</f>
        <v/>
      </c>
      <c r="W200" s="138" t="str">
        <f>IF(W151,SUM(M200),"")</f>
        <v/>
      </c>
    </row>
    <row r="201" spans="2:23" ht="5.0999999999999996" customHeight="1" x14ac:dyDescent="0.2">
      <c r="B201" s="21"/>
      <c r="C201" s="471"/>
      <c r="D201" s="460"/>
      <c r="E201" s="460"/>
      <c r="F201" s="460"/>
      <c r="G201" s="460"/>
      <c r="H201" s="460"/>
      <c r="I201" s="460"/>
      <c r="J201" s="460"/>
      <c r="K201" s="460"/>
      <c r="L201" s="460"/>
      <c r="M201" s="476"/>
      <c r="N201" s="475"/>
      <c r="O201" s="25"/>
      <c r="P201" s="26"/>
      <c r="R201" s="26"/>
    </row>
    <row r="202" spans="2:23" ht="12.75" customHeight="1" x14ac:dyDescent="0.2">
      <c r="B202" s="21"/>
      <c r="C202" s="471"/>
      <c r="D202" s="474" t="s">
        <v>342</v>
      </c>
      <c r="E202" s="1663" t="str">
        <f>Translations!$B$1670</f>
        <v>Enerģijas ielaide šajā apakšiekārtā un relevantais emisijas faktors</v>
      </c>
      <c r="F202" s="1663"/>
      <c r="G202" s="1663"/>
      <c r="H202" s="1663"/>
      <c r="I202" s="1663"/>
      <c r="J202" s="1663"/>
      <c r="K202" s="1663"/>
      <c r="L202" s="1663"/>
      <c r="M202" s="1663"/>
      <c r="N202" s="1690"/>
      <c r="O202" s="25"/>
      <c r="R202" s="26"/>
    </row>
    <row r="203" spans="2:23" ht="12.75" customHeight="1" x14ac:dyDescent="0.2">
      <c r="B203" s="21"/>
      <c r="C203" s="471"/>
      <c r="D203" s="460"/>
      <c r="E203" s="1727" t="str">
        <f>Translations!$B$877</f>
        <v>Sīki norādījumi par to, kā šeit ievadīt datus, atrodami augstāk 1. sadaļas d) punktā.</v>
      </c>
      <c r="F203" s="1727"/>
      <c r="G203" s="1727"/>
      <c r="H203" s="1727"/>
      <c r="I203" s="1727"/>
      <c r="J203" s="1727"/>
      <c r="K203" s="1727"/>
      <c r="L203" s="1727"/>
      <c r="M203" s="1727"/>
      <c r="N203" s="1734"/>
      <c r="O203" s="25"/>
      <c r="P203" s="26"/>
      <c r="R203" s="26"/>
    </row>
    <row r="204" spans="2:23" ht="12.75" customHeight="1" x14ac:dyDescent="0.2">
      <c r="B204" s="21"/>
      <c r="C204" s="471"/>
      <c r="D204" s="474"/>
      <c r="E204" s="1653"/>
      <c r="F204" s="1657"/>
      <c r="G204" s="1657"/>
      <c r="H204" s="462" t="str">
        <f>EUconst_Unit</f>
        <v>Vienība</v>
      </c>
      <c r="I204" s="463">
        <f>I$793</f>
        <v>2019</v>
      </c>
      <c r="J204" s="463">
        <f>J$793</f>
        <v>2020</v>
      </c>
      <c r="K204" s="463">
        <f>K$793</f>
        <v>2021</v>
      </c>
      <c r="L204" s="463">
        <f>L$793</f>
        <v>2022</v>
      </c>
      <c r="M204" s="463">
        <f>M$793</f>
        <v>2023</v>
      </c>
      <c r="N204" s="475"/>
      <c r="O204" s="25"/>
      <c r="P204" s="26"/>
      <c r="R204" s="26"/>
    </row>
    <row r="205" spans="2:23" ht="12.75" customHeight="1" x14ac:dyDescent="0.2">
      <c r="B205" s="21"/>
      <c r="C205" s="471"/>
      <c r="D205" s="477" t="s">
        <v>2</v>
      </c>
      <c r="E205" s="1667" t="str">
        <f>Translations!$B$852</f>
        <v>Kopējā kurināmo ielaide</v>
      </c>
      <c r="F205" s="1660"/>
      <c r="G205" s="1660"/>
      <c r="H205" s="466" t="str">
        <f>EUconst_TJpa</f>
        <v>TJ / gads</v>
      </c>
      <c r="I205" s="348"/>
      <c r="J205" s="348"/>
      <c r="K205" s="348"/>
      <c r="L205" s="348"/>
      <c r="M205" s="348"/>
      <c r="N205" s="528"/>
      <c r="O205" s="25"/>
      <c r="P205" s="367" t="str">
        <f>EUconst_CNTR_FuelInput &amp; I151</f>
        <v>FuelInput_Siltuma līmeņatzīmes apakšiekārta (bez OEP | bez OIM)</v>
      </c>
      <c r="R205" s="26"/>
    </row>
    <row r="206" spans="2:23" ht="12.75" customHeight="1" x14ac:dyDescent="0.2">
      <c r="B206" s="21"/>
      <c r="C206" s="471"/>
      <c r="D206" s="477" t="s">
        <v>3</v>
      </c>
      <c r="E206" s="1737" t="str">
        <f>Translations!$B$732</f>
        <v>Svērtais emisijas faktors</v>
      </c>
      <c r="F206" s="1659"/>
      <c r="G206" s="1659"/>
      <c r="H206" s="485" t="str">
        <f>EUconst_tCO2pTJ</f>
        <v>t CO2 / TJ</v>
      </c>
      <c r="I206" s="345"/>
      <c r="J206" s="345"/>
      <c r="K206" s="345"/>
      <c r="L206" s="345"/>
      <c r="M206" s="345"/>
      <c r="N206" s="475"/>
      <c r="O206" s="25"/>
      <c r="P206" s="367" t="str">
        <f>EUconst_CNTR_FuelEF &amp; I151</f>
        <v>FuelEF_Siltuma līmeņatzīmes apakšiekārta (bez OEP | bez OIM)</v>
      </c>
      <c r="R206" s="26"/>
      <c r="S206" s="26"/>
      <c r="T206" s="26"/>
      <c r="U206" s="26"/>
      <c r="V206" s="26"/>
      <c r="W206" s="26"/>
    </row>
    <row r="207" spans="2:23" ht="12.75" customHeight="1" x14ac:dyDescent="0.2">
      <c r="B207" s="21"/>
      <c r="C207" s="471"/>
      <c r="D207" s="477" t="s">
        <v>4</v>
      </c>
      <c r="E207" s="1667" t="str">
        <f>Translations!$B$853</f>
        <v>Atlikumgāzu kurināmā ielaide</v>
      </c>
      <c r="F207" s="1660"/>
      <c r="G207" s="1660"/>
      <c r="H207" s="466" t="str">
        <f>EUconst_TJpa</f>
        <v>TJ / gads</v>
      </c>
      <c r="I207" s="348"/>
      <c r="J207" s="348"/>
      <c r="K207" s="348"/>
      <c r="L207" s="348"/>
      <c r="M207" s="348"/>
      <c r="N207" s="475"/>
      <c r="O207" s="25"/>
      <c r="P207" s="453" t="str">
        <f>EUconst_CNTR_WGConsumed &amp; I151</f>
        <v>WasteGasCons_Siltuma līmeņatzīmes apakšiekārta (bez OEP | bez OIM)</v>
      </c>
      <c r="R207" s="26"/>
      <c r="S207" s="26"/>
      <c r="T207" s="26"/>
      <c r="U207" s="26"/>
      <c r="V207" s="26"/>
      <c r="W207" s="26"/>
    </row>
    <row r="208" spans="2:23" ht="12.75" customHeight="1" x14ac:dyDescent="0.2">
      <c r="B208" s="21"/>
      <c r="C208" s="471"/>
      <c r="D208" s="477" t="s">
        <v>6</v>
      </c>
      <c r="E208" s="1737" t="str">
        <f>Translations!$B$854</f>
        <v>Īpatnējais EF (atlikumgāze)</v>
      </c>
      <c r="F208" s="1659"/>
      <c r="G208" s="1659"/>
      <c r="H208" s="485" t="str">
        <f>EUconst_tCO2pTJ</f>
        <v>t CO2 / TJ</v>
      </c>
      <c r="I208" s="345"/>
      <c r="J208" s="345"/>
      <c r="K208" s="345"/>
      <c r="L208" s="345"/>
      <c r="M208" s="345"/>
      <c r="N208" s="475"/>
      <c r="O208" s="25"/>
      <c r="P208" s="367" t="str">
        <f>EUconst_CNTR_WGConsumedEF &amp; I151</f>
        <v>WasteGasConsEF_Siltuma līmeņatzīmes apakšiekārta (bez OEP | bez OIM)</v>
      </c>
      <c r="R208" s="26"/>
      <c r="S208" s="26"/>
      <c r="T208" s="26"/>
      <c r="U208" s="26"/>
      <c r="V208" s="26"/>
      <c r="W208" s="26"/>
    </row>
    <row r="209" spans="2:23" ht="12.75" customHeight="1" x14ac:dyDescent="0.2">
      <c r="B209" s="21"/>
      <c r="C209" s="471"/>
      <c r="D209" s="477" t="s">
        <v>303</v>
      </c>
      <c r="E209" s="1667" t="str">
        <f>Translations!$B$1631</f>
        <v>Elektroenerģijas ielaide siltuma ražošanai</v>
      </c>
      <c r="F209" s="1660"/>
      <c r="G209" s="1660"/>
      <c r="H209" s="466" t="str">
        <f>EUconst_TJpa</f>
        <v>TJ / gads</v>
      </c>
      <c r="I209" s="348"/>
      <c r="J209" s="348"/>
      <c r="K209" s="348"/>
      <c r="L209" s="348"/>
      <c r="M209" s="348"/>
      <c r="N209" s="475"/>
      <c r="O209" s="25"/>
      <c r="P209" s="367" t="str">
        <f>EUconst_CNTR_ElectricityInput &amp; I151</f>
        <v>ElectricityInput_Siltuma līmeņatzīmes apakšiekārta (bez OEP | bez OIM)</v>
      </c>
      <c r="R209" s="26"/>
      <c r="S209" s="26"/>
      <c r="T209" s="26"/>
      <c r="U209" s="26"/>
      <c r="V209" s="26"/>
      <c r="W209" s="26"/>
    </row>
    <row r="210" spans="2:23" ht="12.75" customHeight="1" x14ac:dyDescent="0.2">
      <c r="B210" s="21"/>
      <c r="C210" s="471"/>
      <c r="D210" s="477" t="s">
        <v>304</v>
      </c>
      <c r="E210" s="1737" t="str">
        <f>Translations!$B$732</f>
        <v>Svērtais emisijas faktors</v>
      </c>
      <c r="F210" s="1659"/>
      <c r="G210" s="1659"/>
      <c r="H210" s="485" t="str">
        <f>EUconst_tCO2pTJ</f>
        <v>t CO2 / TJ</v>
      </c>
      <c r="I210" s="1182"/>
      <c r="J210" s="1182"/>
      <c r="K210" s="1182"/>
      <c r="L210" s="1182"/>
      <c r="M210" s="1182"/>
      <c r="N210" s="475"/>
      <c r="O210" s="25"/>
      <c r="P210" s="367" t="str">
        <f>EUconst_CNTR_ElectricityEF &amp; I151</f>
        <v>ElectricityEF_Siltuma līmeņatzīmes apakšiekārta (bez OEP | bez OIM)</v>
      </c>
      <c r="R210" s="26"/>
      <c r="S210" s="26"/>
      <c r="T210" s="26"/>
      <c r="U210" s="26"/>
      <c r="V210" s="26"/>
      <c r="W210" s="26"/>
    </row>
    <row r="211" spans="2:23" ht="12.75" customHeight="1" x14ac:dyDescent="0.2">
      <c r="B211" s="21"/>
      <c r="C211" s="471"/>
      <c r="D211" s="477" t="s">
        <v>305</v>
      </c>
      <c r="E211" s="1667" t="str">
        <f>Translations!$B$1632</f>
        <v>Citas enerģijas (piemēram, eksotermiskā siltuma) ielaide</v>
      </c>
      <c r="F211" s="1660"/>
      <c r="G211" s="1660"/>
      <c r="H211" s="466" t="str">
        <f>EUconst_TJpa</f>
        <v>TJ / gads</v>
      </c>
      <c r="I211" s="348"/>
      <c r="J211" s="348"/>
      <c r="K211" s="348"/>
      <c r="L211" s="348"/>
      <c r="M211" s="348"/>
      <c r="N211" s="475"/>
      <c r="O211" s="25"/>
      <c r="P211" s="367" t="str">
        <f>EUconst_CNTR_OtherEnergyInput &amp; I151</f>
        <v>OtherEnergyInput_Siltuma līmeņatzīmes apakšiekārta (bez OEP | bez OIM)</v>
      </c>
      <c r="R211" s="26"/>
      <c r="S211" s="26"/>
      <c r="T211" s="26"/>
      <c r="U211" s="26"/>
      <c r="V211" s="26"/>
      <c r="W211" s="26"/>
    </row>
    <row r="212" spans="2:23" ht="12.75" customHeight="1" x14ac:dyDescent="0.2">
      <c r="B212" s="21"/>
      <c r="C212" s="471"/>
      <c r="D212" s="477" t="s">
        <v>306</v>
      </c>
      <c r="E212" s="1737" t="str">
        <f>Translations!$B$732</f>
        <v>Svērtais emisijas faktors</v>
      </c>
      <c r="F212" s="1659"/>
      <c r="G212" s="1659"/>
      <c r="H212" s="485" t="str">
        <f>EUconst_tCO2pTJ</f>
        <v>t CO2 / TJ</v>
      </c>
      <c r="I212" s="1182"/>
      <c r="J212" s="1182"/>
      <c r="K212" s="1182"/>
      <c r="L212" s="1182"/>
      <c r="M212" s="1182"/>
      <c r="N212" s="475"/>
      <c r="O212" s="25"/>
      <c r="P212" s="367" t="str">
        <f>EUconst_CNTR_OtherEnergyEF &amp; I151</f>
        <v>OtherEnergyEF_Siltuma līmeņatzīmes apakšiekārta (bez OEP | bez OIM)</v>
      </c>
      <c r="R212" s="26"/>
      <c r="S212" s="26"/>
      <c r="T212" s="26"/>
      <c r="U212" s="26"/>
      <c r="V212" s="26"/>
      <c r="W212" s="26"/>
    </row>
    <row r="213" spans="2:23" ht="12.75" customHeight="1" x14ac:dyDescent="0.2">
      <c r="B213" s="21"/>
      <c r="C213" s="471"/>
      <c r="D213" s="477" t="s">
        <v>307</v>
      </c>
      <c r="E213" s="1651" t="str">
        <f>Translations!$B$1678</f>
        <v>Kopējā enerģijas ielaide (= i. + v. + vii.)</v>
      </c>
      <c r="F213" s="1652"/>
      <c r="G213" s="1652"/>
      <c r="H213" s="465" t="str">
        <f>EUconst_TJpa</f>
        <v>TJ / gads</v>
      </c>
      <c r="I213" s="448" t="str">
        <f>IF($M151&lt;&gt;EUconst_Relevant,"",SUM(I205,I209,I211))</f>
        <v/>
      </c>
      <c r="J213" s="448" t="str">
        <f>IF($M151&lt;&gt;EUconst_Relevant,"",SUM(J205,J209,J211))</f>
        <v/>
      </c>
      <c r="K213" s="448" t="str">
        <f>IF($M151&lt;&gt;EUconst_Relevant,"",SUM(K205,K209,K211))</f>
        <v/>
      </c>
      <c r="L213" s="448" t="str">
        <f>IF($M151&lt;&gt;EUconst_Relevant,"",SUM(L205,L209,L211))</f>
        <v/>
      </c>
      <c r="M213" s="448" t="str">
        <f>IF($M151&lt;&gt;EUconst_Relevant,"",SUM(M205,M209,M211))</f>
        <v/>
      </c>
      <c r="N213" s="475"/>
      <c r="O213" s="25"/>
      <c r="P213" s="367" t="str">
        <f>EUconst_CNTR_TotalEnergyInput &amp; I151</f>
        <v>TotalEnergyInput_Siltuma līmeņatzīmes apakšiekārta (bez OEP | bez OIM)</v>
      </c>
      <c r="R213" s="26"/>
    </row>
    <row r="214" spans="2:23" ht="5.0999999999999996" customHeight="1" x14ac:dyDescent="0.2">
      <c r="B214" s="38"/>
      <c r="C214" s="472"/>
      <c r="D214" s="461"/>
      <c r="E214" s="461"/>
      <c r="F214" s="461"/>
      <c r="G214" s="461"/>
      <c r="H214" s="461"/>
      <c r="I214" s="461"/>
      <c r="J214" s="461"/>
      <c r="K214" s="461"/>
      <c r="L214" s="461"/>
      <c r="M214" s="461"/>
      <c r="N214" s="473"/>
      <c r="O214" s="25"/>
      <c r="R214" s="26"/>
      <c r="S214" s="26"/>
    </row>
    <row r="215" spans="2:23" ht="12.75" customHeight="1" x14ac:dyDescent="0.2">
      <c r="B215" s="21"/>
      <c r="C215" s="471"/>
      <c r="D215" s="474" t="s">
        <v>12</v>
      </c>
      <c r="E215" s="1654" t="str">
        <f>Translations!$B$532</f>
        <v>Saražotais izmērāmais siltums</v>
      </c>
      <c r="F215" s="1655"/>
      <c r="G215" s="1655"/>
      <c r="H215" s="1655"/>
      <c r="I215" s="1655"/>
      <c r="J215" s="1655"/>
      <c r="K215" s="1655"/>
      <c r="L215" s="1655"/>
      <c r="M215" s="1655"/>
      <c r="N215" s="1656"/>
      <c r="O215" s="25"/>
      <c r="P215" s="26"/>
      <c r="R215" s="26"/>
      <c r="S215" s="26"/>
    </row>
    <row r="216" spans="2:23" ht="12.75" customHeight="1" x14ac:dyDescent="0.2">
      <c r="B216" s="21"/>
      <c r="C216" s="471"/>
      <c r="D216" s="460"/>
      <c r="E216" s="1727" t="str">
        <f>Translations!$B$878</f>
        <v>Sīki norādījumi par to, kā šeit ievadīt datus, atrodami augstāk 1. sadaļas e) punktā.</v>
      </c>
      <c r="F216" s="1727"/>
      <c r="G216" s="1727"/>
      <c r="H216" s="1727"/>
      <c r="I216" s="1727"/>
      <c r="J216" s="1727"/>
      <c r="K216" s="1727"/>
      <c r="L216" s="1727"/>
      <c r="M216" s="1727"/>
      <c r="N216" s="1734"/>
      <c r="O216" s="25"/>
      <c r="P216" s="26"/>
      <c r="R216" s="26"/>
    </row>
    <row r="217" spans="2:23" ht="12.75" customHeight="1" x14ac:dyDescent="0.2">
      <c r="B217" s="21"/>
      <c r="C217" s="471"/>
      <c r="D217" s="474"/>
      <c r="E217" s="1653" t="str">
        <f>Translations!$B$532</f>
        <v>Saražotais izmērāmais siltums</v>
      </c>
      <c r="F217" s="1657"/>
      <c r="G217" s="1657"/>
      <c r="H217" s="462" t="str">
        <f>EUconst_Unit</f>
        <v>Vienība</v>
      </c>
      <c r="I217" s="463">
        <f>I$793</f>
        <v>2019</v>
      </c>
      <c r="J217" s="463">
        <f>J$793</f>
        <v>2020</v>
      </c>
      <c r="K217" s="463">
        <f>K$793</f>
        <v>2021</v>
      </c>
      <c r="L217" s="463">
        <f>L$793</f>
        <v>2022</v>
      </c>
      <c r="M217" s="463">
        <f>M$793</f>
        <v>2023</v>
      </c>
      <c r="N217" s="475"/>
      <c r="O217" s="25"/>
      <c r="P217" s="26"/>
      <c r="R217" s="26"/>
      <c r="S217" s="26"/>
      <c r="T217" s="26"/>
      <c r="U217" s="26"/>
      <c r="V217" s="26"/>
      <c r="W217" s="26"/>
    </row>
    <row r="218" spans="2:23" ht="12.75" customHeight="1" x14ac:dyDescent="0.2">
      <c r="B218" s="21"/>
      <c r="C218" s="471"/>
      <c r="D218" s="477" t="s">
        <v>2</v>
      </c>
      <c r="E218" s="1651" t="str">
        <f>Translations!$B$1680</f>
        <v>Kopējais saražotais daudzums (ieskaitot elektroenerģiju)</v>
      </c>
      <c r="F218" s="1652"/>
      <c r="G218" s="1652"/>
      <c r="H218" s="464" t="str">
        <f>EUconst_TJpa</f>
        <v>TJ / gads</v>
      </c>
      <c r="I218" s="337"/>
      <c r="J218" s="337"/>
      <c r="K218" s="337"/>
      <c r="L218" s="337"/>
      <c r="M218" s="337"/>
      <c r="N218" s="475"/>
      <c r="O218" s="25"/>
      <c r="P218" s="367" t="str">
        <f>EUconst_CNTR_HeatProduced &amp; I151</f>
        <v>HeatProd_Siltuma līmeņatzīmes apakšiekārta (bez OEP | bez OIM)</v>
      </c>
      <c r="R218" s="26"/>
      <c r="S218" s="26"/>
      <c r="T218" s="26"/>
      <c r="U218" s="26"/>
      <c r="V218" s="26"/>
      <c r="W218" s="26"/>
    </row>
    <row r="219" spans="2:23" ht="12.75" customHeight="1" x14ac:dyDescent="0.2">
      <c r="B219" s="21"/>
      <c r="C219" s="471"/>
      <c r="D219" s="477" t="s">
        <v>3</v>
      </c>
      <c r="E219" s="1651" t="str">
        <f>Translations!$B$1681</f>
        <v>No elektroenerģijas saražotais siltums</v>
      </c>
      <c r="F219" s="1652"/>
      <c r="G219" s="1652"/>
      <c r="H219" s="464" t="str">
        <f>EUconst_TJpa</f>
        <v>TJ / gads</v>
      </c>
      <c r="I219" s="337"/>
      <c r="J219" s="337"/>
      <c r="K219" s="337"/>
      <c r="L219" s="337"/>
      <c r="M219" s="337"/>
      <c r="N219" s="475"/>
      <c r="O219" s="25"/>
      <c r="P219" s="367" t="str">
        <f>EUconst_CNTR_HeatProducedElectricity &amp; I151</f>
        <v>HeatProdElec_Siltuma līmeņatzīmes apakšiekārta (bez OEP | bez OIM)</v>
      </c>
      <c r="R219" s="26"/>
      <c r="S219" s="26"/>
      <c r="T219" s="26"/>
      <c r="U219" s="26"/>
      <c r="V219" s="26"/>
      <c r="W219" s="26"/>
    </row>
    <row r="220" spans="2:23" ht="5.0999999999999996" customHeight="1" x14ac:dyDescent="0.2">
      <c r="B220" s="21"/>
      <c r="C220" s="471"/>
      <c r="D220" s="460"/>
      <c r="E220" s="460"/>
      <c r="F220" s="460"/>
      <c r="G220" s="460"/>
      <c r="H220" s="460"/>
      <c r="I220" s="460"/>
      <c r="J220" s="460"/>
      <c r="K220" s="460"/>
      <c r="L220" s="460"/>
      <c r="M220" s="476"/>
      <c r="N220" s="475"/>
      <c r="O220" s="25"/>
      <c r="P220" s="26"/>
      <c r="R220" s="26"/>
    </row>
    <row r="221" spans="2:23" ht="12.75" customHeight="1" x14ac:dyDescent="0.2">
      <c r="B221" s="21"/>
      <c r="C221" s="471"/>
      <c r="D221" s="474" t="s">
        <v>13</v>
      </c>
      <c r="E221" s="1654" t="str">
        <f>Translations!$B$857</f>
        <v>Importētais izmērāmais siltums</v>
      </c>
      <c r="F221" s="1655"/>
      <c r="G221" s="1655"/>
      <c r="H221" s="1655"/>
      <c r="I221" s="1655"/>
      <c r="J221" s="1655"/>
      <c r="K221" s="1655"/>
      <c r="L221" s="1655"/>
      <c r="M221" s="1655"/>
      <c r="N221" s="1656"/>
      <c r="O221" s="25"/>
      <c r="P221" s="26"/>
      <c r="R221" s="26"/>
    </row>
    <row r="222" spans="2:23" ht="12.75" customHeight="1" x14ac:dyDescent="0.2">
      <c r="B222" s="21"/>
      <c r="C222" s="471"/>
      <c r="D222" s="460"/>
      <c r="E222" s="1727" t="str">
        <f>Translations!$B$879</f>
        <v>Sīki norādījumi par to, kā šeit ievadīt datus, atrodami augstāk 1. sadaļas f) punktā.</v>
      </c>
      <c r="F222" s="1727"/>
      <c r="G222" s="1727"/>
      <c r="H222" s="1727"/>
      <c r="I222" s="1727"/>
      <c r="J222" s="1727"/>
      <c r="K222" s="1727"/>
      <c r="L222" s="1727"/>
      <c r="M222" s="1727"/>
      <c r="N222" s="1734"/>
      <c r="O222" s="25"/>
      <c r="P222" s="26"/>
      <c r="R222" s="26"/>
    </row>
    <row r="223" spans="2:23" ht="12.75" customHeight="1" x14ac:dyDescent="0.2">
      <c r="B223" s="21"/>
      <c r="C223" s="471"/>
      <c r="D223" s="460"/>
      <c r="E223" s="1653" t="str">
        <f>Translations!$B$866</f>
        <v>Neto importētais siltums (citi avoti)</v>
      </c>
      <c r="F223" s="1657"/>
      <c r="G223" s="1657"/>
      <c r="H223" s="462" t="str">
        <f>EUconst_Unit</f>
        <v>Vienība</v>
      </c>
      <c r="I223" s="463">
        <f>I$793</f>
        <v>2019</v>
      </c>
      <c r="J223" s="463">
        <f>J$793</f>
        <v>2020</v>
      </c>
      <c r="K223" s="463">
        <f>K$793</f>
        <v>2021</v>
      </c>
      <c r="L223" s="463">
        <f>L$793</f>
        <v>2022</v>
      </c>
      <c r="M223" s="463">
        <f>M$793</f>
        <v>2023</v>
      </c>
      <c r="N223" s="1205"/>
      <c r="O223" s="25"/>
      <c r="P223" s="26"/>
      <c r="R223" s="26"/>
      <c r="S223" s="63">
        <f>I223</f>
        <v>2019</v>
      </c>
      <c r="T223" s="63">
        <f>J223</f>
        <v>2020</v>
      </c>
      <c r="U223" s="63">
        <f>K223</f>
        <v>2021</v>
      </c>
      <c r="V223" s="63">
        <f>L223</f>
        <v>2022</v>
      </c>
      <c r="W223" s="63">
        <f>M223</f>
        <v>2023</v>
      </c>
    </row>
    <row r="224" spans="2:23" ht="12.75" customHeight="1" x14ac:dyDescent="0.2">
      <c r="B224" s="21"/>
      <c r="C224" s="471"/>
      <c r="D224" s="477" t="s">
        <v>2</v>
      </c>
      <c r="E224" s="1651" t="str">
        <f>Translations!$B$764</f>
        <v>Neto importētais siltums</v>
      </c>
      <c r="F224" s="1652"/>
      <c r="G224" s="1652"/>
      <c r="H224" s="465" t="str">
        <f>EUconst_TJpa</f>
        <v>TJ / gads</v>
      </c>
      <c r="I224" s="483"/>
      <c r="J224" s="483"/>
      <c r="K224" s="483"/>
      <c r="L224" s="483"/>
      <c r="M224" s="483"/>
      <c r="N224" s="528"/>
      <c r="O224" s="25"/>
      <c r="P224" s="367" t="str">
        <f>EUconst_CNTR_HeatImport &amp; I151</f>
        <v>HeatIm_Siltuma līmeņatzīmes apakšiekārta (bez OEP | bez OIM)</v>
      </c>
      <c r="R224" s="842" t="str">
        <f>EUconst_ERR_AttrEmBMapplied &amp; $I151</f>
        <v>ERR_AttrEmBM_ Siltuma līmeņatzīmes apakšiekārta (bez OEP | bez OIM)</v>
      </c>
      <c r="S224" s="134">
        <f>IF(AND(I224&lt;&gt;0,I225="",EUconst_StatusOfDataCollection=""),1,0)</f>
        <v>0</v>
      </c>
      <c r="T224" s="134">
        <f>IF(AND(J224&lt;&gt;0,J225="",EUconst_StatusOfDataCollection=""),1,0)</f>
        <v>0</v>
      </c>
      <c r="U224" s="134">
        <f>IF(AND(K224&lt;&gt;0,K225="",EUconst_StatusOfDataCollection=""),1,0)</f>
        <v>0</v>
      </c>
      <c r="V224" s="134">
        <f>IF(AND(L224&lt;&gt;0,L225="",EUconst_StatusOfDataCollection=""),1,0)</f>
        <v>0</v>
      </c>
      <c r="W224" s="134">
        <f>IF(AND(M224&lt;&gt;0,M225="",EUconst_StatusOfDataCollection=""),1,0)</f>
        <v>0</v>
      </c>
    </row>
    <row r="225" spans="2:23" ht="12.75" customHeight="1" x14ac:dyDescent="0.2">
      <c r="B225" s="21"/>
      <c r="C225" s="471"/>
      <c r="D225" s="477" t="s">
        <v>3</v>
      </c>
      <c r="E225" s="1651" t="str">
        <f>Translations!$B$765</f>
        <v>Īpatnējais EF (importētais siltums)</v>
      </c>
      <c r="F225" s="1652"/>
      <c r="G225" s="1652"/>
      <c r="H225" s="465" t="str">
        <f>EUconst_tCO2pTJ</f>
        <v>t CO2 / TJ</v>
      </c>
      <c r="I225" s="760"/>
      <c r="J225" s="760"/>
      <c r="K225" s="760"/>
      <c r="L225" s="760"/>
      <c r="M225" s="760"/>
      <c r="N225" s="475"/>
      <c r="O225" s="25"/>
      <c r="P225" s="367" t="str">
        <f>EUconst_CNTR_HeatImportEF &amp; I151</f>
        <v>HeatImEF_Siltuma līmeņatzīmes apakšiekārta (bez OEP | bez OIM)</v>
      </c>
      <c r="R225" s="873" t="str">
        <f>EUconst_CNTR_AttributedEmissions &amp; $I151</f>
        <v>AttrEmissions_Siltuma līmeņatzīmes apakšiekārta (bez OEP | bez OIM)</v>
      </c>
      <c r="S225" s="134" t="str">
        <f>IF(S151,SUM(I224)*IF(ISNUMBER(I225),I225,EUconst_HeatBMvalueForBM),"")</f>
        <v/>
      </c>
      <c r="T225" s="134" t="str">
        <f>IF(T151,SUM(J224)*IF(ISNUMBER(J225),J225,EUconst_HeatBMvalueForBM),"")</f>
        <v/>
      </c>
      <c r="U225" s="134" t="str">
        <f>IF(U151,SUM(K224)*IF(ISNUMBER(K225),K225,EUconst_HeatBMvalueForBM),"")</f>
        <v/>
      </c>
      <c r="V225" s="134" t="str">
        <f>IF(V151,SUM(L224)*IF(ISNUMBER(L225),L225,EUconst_HeatBMvalueForBM),"")</f>
        <v/>
      </c>
      <c r="W225" s="134" t="str">
        <f>IF(W151,SUM(M224)*IF(ISNUMBER(M225),M225,EUconst_HeatBMvalueForBM),"")</f>
        <v/>
      </c>
    </row>
    <row r="226" spans="2:23" ht="5.0999999999999996" customHeight="1" x14ac:dyDescent="0.2">
      <c r="B226" s="21"/>
      <c r="C226" s="471"/>
      <c r="D226" s="460"/>
      <c r="E226" s="460"/>
      <c r="F226" s="460"/>
      <c r="G226" s="460"/>
      <c r="H226" s="460"/>
      <c r="I226" s="460"/>
      <c r="J226" s="460"/>
      <c r="K226" s="460"/>
      <c r="L226" s="460"/>
      <c r="M226" s="476"/>
      <c r="N226" s="475"/>
      <c r="O226" s="25"/>
      <c r="P226" s="26"/>
      <c r="R226" s="26"/>
      <c r="S226" s="26"/>
    </row>
    <row r="227" spans="2:23" ht="12.75" customHeight="1" x14ac:dyDescent="0.2">
      <c r="B227" s="21"/>
      <c r="C227" s="471"/>
      <c r="D227" s="460"/>
      <c r="E227" s="1653" t="str">
        <f>Translations!$B$867</f>
        <v>Siltums no produkta LA</v>
      </c>
      <c r="F227" s="1657"/>
      <c r="G227" s="1657"/>
      <c r="H227" s="462" t="str">
        <f>EUconst_Unit</f>
        <v>Vienība</v>
      </c>
      <c r="I227" s="463">
        <f>I$793</f>
        <v>2019</v>
      </c>
      <c r="J227" s="463">
        <f>J$793</f>
        <v>2020</v>
      </c>
      <c r="K227" s="463">
        <f>K$793</f>
        <v>2021</v>
      </c>
      <c r="L227" s="463">
        <f>L$793</f>
        <v>2022</v>
      </c>
      <c r="M227" s="463">
        <f>M$793</f>
        <v>2023</v>
      </c>
      <c r="N227" s="1205"/>
      <c r="O227" s="25"/>
      <c r="P227" s="26"/>
      <c r="R227" s="26"/>
      <c r="S227" s="63">
        <f>I227</f>
        <v>2019</v>
      </c>
      <c r="T227" s="63">
        <f>J227</f>
        <v>2020</v>
      </c>
      <c r="U227" s="63">
        <f>K227</f>
        <v>2021</v>
      </c>
      <c r="V227" s="63">
        <f>L227</f>
        <v>2022</v>
      </c>
      <c r="W227" s="63">
        <f>M227</f>
        <v>2023</v>
      </c>
    </row>
    <row r="228" spans="2:23" ht="12.75" customHeight="1" x14ac:dyDescent="0.2">
      <c r="B228" s="21"/>
      <c r="C228" s="471"/>
      <c r="D228" s="477" t="s">
        <v>6</v>
      </c>
      <c r="E228" s="1651" t="str">
        <f>Translations!$B$764</f>
        <v>Neto importētais siltums</v>
      </c>
      <c r="F228" s="1652"/>
      <c r="G228" s="1652"/>
      <c r="H228" s="465" t="str">
        <f>EUconst_TJpa</f>
        <v>TJ / gads</v>
      </c>
      <c r="I228" s="483"/>
      <c r="J228" s="483"/>
      <c r="K228" s="483"/>
      <c r="L228" s="483"/>
      <c r="M228" s="483"/>
      <c r="N228" s="528"/>
      <c r="O228" s="25"/>
      <c r="P228" s="367" t="str">
        <f>EUconst_CNTR_HeatImportProduct &amp; I151</f>
        <v>HeatImProd_Siltuma līmeņatzīmes apakšiekārta (bez OEP | bez OIM)</v>
      </c>
      <c r="R228" s="842" t="str">
        <f>EUconst_ERR_AttrEmBMapplied &amp; $I151</f>
        <v>ERR_AttrEmBM_ Siltuma līmeņatzīmes apakšiekārta (bez OEP | bez OIM)</v>
      </c>
      <c r="S228" s="134">
        <f>IF(AND(I228&lt;&gt;0,I229="",EUconst_StatusOfDataCollection=""),1,0)</f>
        <v>0</v>
      </c>
      <c r="T228" s="134">
        <f>IF(AND(J228&lt;&gt;0,J229="",EUconst_StatusOfDataCollection=""),1,0)</f>
        <v>0</v>
      </c>
      <c r="U228" s="134">
        <f>IF(AND(K228&lt;&gt;0,K229="",EUconst_StatusOfDataCollection=""),1,0)</f>
        <v>0</v>
      </c>
      <c r="V228" s="134">
        <f>IF(AND(L228&lt;&gt;0,L229="",EUconst_StatusOfDataCollection=""),1,0)</f>
        <v>0</v>
      </c>
      <c r="W228" s="134">
        <f>IF(AND(M228&lt;&gt;0,M229="",EUconst_StatusOfDataCollection=""),1,0)</f>
        <v>0</v>
      </c>
    </row>
    <row r="229" spans="2:23" ht="12.75" customHeight="1" x14ac:dyDescent="0.2">
      <c r="B229" s="21"/>
      <c r="C229" s="471"/>
      <c r="D229" s="477" t="s">
        <v>303</v>
      </c>
      <c r="E229" s="1651" t="str">
        <f>Translations!$B$868</f>
        <v>Īpatnējais EF (siltums no produkta LA)</v>
      </c>
      <c r="F229" s="1652"/>
      <c r="G229" s="1652"/>
      <c r="H229" s="465" t="str">
        <f>EUconst_tCO2pTJ</f>
        <v>t CO2 / TJ</v>
      </c>
      <c r="I229" s="760"/>
      <c r="J229" s="760"/>
      <c r="K229" s="760"/>
      <c r="L229" s="760"/>
      <c r="M229" s="760"/>
      <c r="N229" s="475"/>
      <c r="O229" s="25"/>
      <c r="P229" s="367" t="str">
        <f>EUconst_CNTR_HeatImportProductEF &amp; I151</f>
        <v>HeatImProdEF_Siltuma līmeņatzīmes apakšiekārta (bez OEP | bez OIM)</v>
      </c>
      <c r="R229" s="873" t="str">
        <f>EUconst_CNTR_AttributedEmissions &amp; $I151</f>
        <v>AttrEmissions_Siltuma līmeņatzīmes apakšiekārta (bez OEP | bez OIM)</v>
      </c>
      <c r="S229" s="134" t="str">
        <f>IF(S151,SUM(I228)*IF(ISNUMBER(I229),I229,EUconst_HeatBMvalueForBM),"")</f>
        <v/>
      </c>
      <c r="T229" s="134" t="str">
        <f>IF(T151,SUM(J228)*IF(ISNUMBER(J229),J229,EUconst_HeatBMvalueForBM),"")</f>
        <v/>
      </c>
      <c r="U229" s="134" t="str">
        <f>IF(U151,SUM(K228)*IF(ISNUMBER(K229),K229,EUconst_HeatBMvalueForBM),"")</f>
        <v/>
      </c>
      <c r="V229" s="134" t="str">
        <f>IF(V151,SUM(L228)*IF(ISNUMBER(L229),L229,EUconst_HeatBMvalueForBM),"")</f>
        <v/>
      </c>
      <c r="W229" s="134" t="str">
        <f>IF(W151,SUM(M228)*IF(ISNUMBER(M229),M229,EUconst_HeatBMvalueForBM),"")</f>
        <v/>
      </c>
    </row>
    <row r="230" spans="2:23" ht="5.0999999999999996" customHeight="1" x14ac:dyDescent="0.2">
      <c r="B230" s="21"/>
      <c r="C230" s="471"/>
      <c r="D230" s="460"/>
      <c r="E230" s="460"/>
      <c r="F230" s="460"/>
      <c r="G230" s="460"/>
      <c r="H230" s="460"/>
      <c r="I230" s="460"/>
      <c r="J230" s="460"/>
      <c r="K230" s="460"/>
      <c r="L230" s="460"/>
      <c r="M230" s="476"/>
      <c r="N230" s="475"/>
      <c r="O230" s="25"/>
      <c r="P230" s="26"/>
      <c r="R230" s="26"/>
      <c r="S230" s="26"/>
    </row>
    <row r="231" spans="2:23" ht="12.75" customHeight="1" x14ac:dyDescent="0.2">
      <c r="B231" s="21"/>
      <c r="C231" s="471"/>
      <c r="D231" s="460"/>
      <c r="E231" s="1653" t="str">
        <f>Translations!$B$869</f>
        <v>Siltums no pulpas</v>
      </c>
      <c r="F231" s="1657"/>
      <c r="G231" s="1657"/>
      <c r="H231" s="462" t="str">
        <f>EUconst_Unit</f>
        <v>Vienība</v>
      </c>
      <c r="I231" s="463">
        <f>I$793</f>
        <v>2019</v>
      </c>
      <c r="J231" s="463">
        <f>J$793</f>
        <v>2020</v>
      </c>
      <c r="K231" s="463">
        <f>K$793</f>
        <v>2021</v>
      </c>
      <c r="L231" s="463">
        <f>L$793</f>
        <v>2022</v>
      </c>
      <c r="M231" s="463">
        <f>M$793</f>
        <v>2023</v>
      </c>
      <c r="N231" s="1205"/>
      <c r="O231" s="25"/>
      <c r="P231" s="26"/>
      <c r="R231" s="26"/>
      <c r="S231" s="63">
        <f>I231</f>
        <v>2019</v>
      </c>
      <c r="T231" s="63">
        <f>J231</f>
        <v>2020</v>
      </c>
      <c r="U231" s="63">
        <f>K231</f>
        <v>2021</v>
      </c>
      <c r="V231" s="63">
        <f>L231</f>
        <v>2022</v>
      </c>
      <c r="W231" s="63">
        <f>M231</f>
        <v>2023</v>
      </c>
    </row>
    <row r="232" spans="2:23" ht="12.75" customHeight="1" x14ac:dyDescent="0.2">
      <c r="B232" s="21"/>
      <c r="C232" s="471"/>
      <c r="D232" s="477" t="s">
        <v>305</v>
      </c>
      <c r="E232" s="1651" t="str">
        <f>Translations!$B$764</f>
        <v>Neto importētais siltums</v>
      </c>
      <c r="F232" s="1652"/>
      <c r="G232" s="1652"/>
      <c r="H232" s="465" t="str">
        <f>EUconst_TJpa</f>
        <v>TJ / gads</v>
      </c>
      <c r="I232" s="483"/>
      <c r="J232" s="483"/>
      <c r="K232" s="483"/>
      <c r="L232" s="483"/>
      <c r="M232" s="483"/>
      <c r="N232" s="528"/>
      <c r="O232" s="25"/>
      <c r="P232" s="367" t="str">
        <f>EUconst_CNTR_HeatImportPulp &amp; I151</f>
        <v>HeatImPulp_Siltuma līmeņatzīmes apakšiekārta (bez OEP | bez OIM)</v>
      </c>
      <c r="R232" s="842" t="str">
        <f>EUconst_ERR_AttrEmBMapplied &amp; $I151</f>
        <v>ERR_AttrEmBM_ Siltuma līmeņatzīmes apakšiekārta (bez OEP | bez OIM)</v>
      </c>
      <c r="S232" s="134">
        <f>IF(AND(I232&lt;&gt;0,I233="",EUconst_StatusOfDataCollection=""),1,0)</f>
        <v>0</v>
      </c>
      <c r="T232" s="134">
        <f>IF(AND(J232&lt;&gt;0,J233="",EUconst_StatusOfDataCollection=""),1,0)</f>
        <v>0</v>
      </c>
      <c r="U232" s="134">
        <f>IF(AND(K232&lt;&gt;0,K233="",EUconst_StatusOfDataCollection=""),1,0)</f>
        <v>0</v>
      </c>
      <c r="V232" s="134">
        <f>IF(AND(L232&lt;&gt;0,L233="",EUconst_StatusOfDataCollection=""),1,0)</f>
        <v>0</v>
      </c>
      <c r="W232" s="134">
        <f>IF(AND(M232&lt;&gt;0,M233="",EUconst_StatusOfDataCollection=""),1,0)</f>
        <v>0</v>
      </c>
    </row>
    <row r="233" spans="2:23" ht="12.75" customHeight="1" x14ac:dyDescent="0.2">
      <c r="B233" s="21"/>
      <c r="C233" s="471"/>
      <c r="D233" s="477" t="s">
        <v>306</v>
      </c>
      <c r="E233" s="1651" t="str">
        <f>Translations!$B$870</f>
        <v>Īpatnējais EF (siltums no pulpas)</v>
      </c>
      <c r="F233" s="1652"/>
      <c r="G233" s="1652"/>
      <c r="H233" s="465" t="str">
        <f>EUconst_tCO2pTJ</f>
        <v>t CO2 / TJ</v>
      </c>
      <c r="I233" s="760"/>
      <c r="J233" s="760"/>
      <c r="K233" s="760"/>
      <c r="L233" s="760"/>
      <c r="M233" s="760"/>
      <c r="N233" s="475"/>
      <c r="O233" s="25"/>
      <c r="P233" s="367" t="str">
        <f>EUconst_CNTR_HeatImportPulpEF &amp; I151</f>
        <v>HeatImPulpEF_Siltuma līmeņatzīmes apakšiekārta (bez OEP | bez OIM)</v>
      </c>
      <c r="R233" s="873" t="str">
        <f>EUconst_CNTR_AttributedEmissions &amp; $I151</f>
        <v>AttrEmissions_Siltuma līmeņatzīmes apakšiekārta (bez OEP | bez OIM)</v>
      </c>
      <c r="S233" s="134" t="str">
        <f>IF(S151,SUM(I232)*IF(ISNUMBER(I233),I233,EUconst_HeatBMvalueForBM),"")</f>
        <v/>
      </c>
      <c r="T233" s="134" t="str">
        <f>IF(T151,SUM(J232)*IF(ISNUMBER(J233),J233,EUconst_HeatBMvalueForBM),"")</f>
        <v/>
      </c>
      <c r="U233" s="134" t="str">
        <f>IF(U151,SUM(K232)*IF(ISNUMBER(K233),K233,EUconst_HeatBMvalueForBM),"")</f>
        <v/>
      </c>
      <c r="V233" s="134" t="str">
        <f>IF(V151,SUM(L232)*IF(ISNUMBER(L233),L233,EUconst_HeatBMvalueForBM),"")</f>
        <v/>
      </c>
      <c r="W233" s="134" t="str">
        <f>IF(W151,SUM(M232)*IF(ISNUMBER(M233),M233,EUconst_HeatBMvalueForBM),"")</f>
        <v/>
      </c>
    </row>
    <row r="234" spans="2:23" ht="5.0999999999999996" customHeight="1" x14ac:dyDescent="0.2">
      <c r="B234" s="21"/>
      <c r="C234" s="471"/>
      <c r="D234" s="460"/>
      <c r="E234" s="460"/>
      <c r="F234" s="460"/>
      <c r="G234" s="460"/>
      <c r="H234" s="460"/>
      <c r="I234" s="460"/>
      <c r="J234" s="460"/>
      <c r="K234" s="460"/>
      <c r="L234" s="460"/>
      <c r="M234" s="476"/>
      <c r="N234" s="475"/>
      <c r="O234" s="25"/>
      <c r="P234" s="26"/>
      <c r="R234" s="26"/>
      <c r="S234" s="26"/>
    </row>
    <row r="235" spans="2:23" ht="12.75" customHeight="1" x14ac:dyDescent="0.2">
      <c r="B235" s="21"/>
      <c r="C235" s="471"/>
      <c r="D235" s="460"/>
      <c r="E235" s="1653" t="str">
        <f>Translations!$B$871</f>
        <v>Siltums no kurināmā LA</v>
      </c>
      <c r="F235" s="1657"/>
      <c r="G235" s="1657"/>
      <c r="H235" s="462" t="str">
        <f>EUconst_Unit</f>
        <v>Vienība</v>
      </c>
      <c r="I235" s="463">
        <f>I$793</f>
        <v>2019</v>
      </c>
      <c r="J235" s="463">
        <f>J$793</f>
        <v>2020</v>
      </c>
      <c r="K235" s="463">
        <f>K$793</f>
        <v>2021</v>
      </c>
      <c r="L235" s="463">
        <f>L$793</f>
        <v>2022</v>
      </c>
      <c r="M235" s="463">
        <f>M$793</f>
        <v>2023</v>
      </c>
      <c r="N235" s="1205"/>
      <c r="O235" s="25"/>
      <c r="P235" s="26"/>
      <c r="R235" s="26"/>
      <c r="S235" s="63">
        <f>I235</f>
        <v>2019</v>
      </c>
      <c r="T235" s="63">
        <f>J235</f>
        <v>2020</v>
      </c>
      <c r="U235" s="63">
        <f>K235</f>
        <v>2021</v>
      </c>
      <c r="V235" s="63">
        <f>L235</f>
        <v>2022</v>
      </c>
      <c r="W235" s="63">
        <f>M235</f>
        <v>2023</v>
      </c>
    </row>
    <row r="236" spans="2:23" ht="12.75" customHeight="1" x14ac:dyDescent="0.2">
      <c r="B236" s="21"/>
      <c r="C236" s="471"/>
      <c r="D236" s="477" t="s">
        <v>15</v>
      </c>
      <c r="E236" s="1651" t="str">
        <f>Translations!$B$764</f>
        <v>Neto importētais siltums</v>
      </c>
      <c r="F236" s="1652"/>
      <c r="G236" s="1652"/>
      <c r="H236" s="465" t="str">
        <f>EUconst_TJpa</f>
        <v>TJ / gads</v>
      </c>
      <c r="I236" s="483"/>
      <c r="J236" s="483"/>
      <c r="K236" s="483"/>
      <c r="L236" s="483"/>
      <c r="M236" s="483"/>
      <c r="N236" s="528"/>
      <c r="O236" s="25"/>
      <c r="P236" s="367" t="str">
        <f>EUconst_CNTR_HeatImportFuel &amp; I151</f>
        <v>HeatImFuel_Siltuma līmeņatzīmes apakšiekārta (bez OEP | bez OIM)</v>
      </c>
      <c r="R236" s="842" t="str">
        <f>EUconst_ERR_AttrEmBMapplied &amp; $I151</f>
        <v>ERR_AttrEmBM_ Siltuma līmeņatzīmes apakšiekārta (bez OEP | bez OIM)</v>
      </c>
      <c r="S236" s="134">
        <f>IF(AND(I236&lt;&gt;0,I237="",EUconst_StatusOfDataCollection=""),1,0)</f>
        <v>0</v>
      </c>
      <c r="T236" s="134">
        <f>IF(AND(J236&lt;&gt;0,J237="",EUconst_StatusOfDataCollection=""),1,0)</f>
        <v>0</v>
      </c>
      <c r="U236" s="134">
        <f>IF(AND(K236&lt;&gt;0,K237="",EUconst_StatusOfDataCollection=""),1,0)</f>
        <v>0</v>
      </c>
      <c r="V236" s="134">
        <f>IF(AND(L236&lt;&gt;0,L237="",EUconst_StatusOfDataCollection=""),1,0)</f>
        <v>0</v>
      </c>
      <c r="W236" s="134">
        <f>IF(AND(M236&lt;&gt;0,M237="",EUconst_StatusOfDataCollection=""),1,0)</f>
        <v>0</v>
      </c>
    </row>
    <row r="237" spans="2:23" ht="12.75" customHeight="1" x14ac:dyDescent="0.2">
      <c r="B237" s="21"/>
      <c r="C237" s="471"/>
      <c r="D237" s="477" t="s">
        <v>16</v>
      </c>
      <c r="E237" s="1651" t="str">
        <f>Translations!$B$872</f>
        <v>Īpatnējais EF (no kurināmā LA)</v>
      </c>
      <c r="F237" s="1652"/>
      <c r="G237" s="1652"/>
      <c r="H237" s="465" t="str">
        <f>EUconst_tCO2pTJ</f>
        <v>t CO2 / TJ</v>
      </c>
      <c r="I237" s="760"/>
      <c r="J237" s="760"/>
      <c r="K237" s="760"/>
      <c r="L237" s="760"/>
      <c r="M237" s="760"/>
      <c r="N237" s="475"/>
      <c r="O237" s="25"/>
      <c r="P237" s="367" t="str">
        <f>EUconst_CNTR_HeatImportFuelEF &amp; I151</f>
        <v>HeatImFuelEF_Siltuma līmeņatzīmes apakšiekārta (bez OEP | bez OIM)</v>
      </c>
      <c r="R237" s="873" t="str">
        <f>EUconst_CNTR_AttributedEmissions &amp; $I151</f>
        <v>AttrEmissions_Siltuma līmeņatzīmes apakšiekārta (bez OEP | bez OIM)</v>
      </c>
      <c r="S237" s="134" t="str">
        <f>IF(S151,SUM(I236)*IF(ISNUMBER(I237),I237,EUconst_HeatBMvalueForBM),"")</f>
        <v/>
      </c>
      <c r="T237" s="134" t="str">
        <f>IF(T151,SUM(J236)*IF(ISNUMBER(J237),J237,EUconst_HeatBMvalueForBM),"")</f>
        <v/>
      </c>
      <c r="U237" s="134" t="str">
        <f>IF(U151,SUM(K236)*IF(ISNUMBER(K237),K237,EUconst_HeatBMvalueForBM),"")</f>
        <v/>
      </c>
      <c r="V237" s="134" t="str">
        <f>IF(V151,SUM(L236)*IF(ISNUMBER(L237),L237,EUconst_HeatBMvalueForBM),"")</f>
        <v/>
      </c>
      <c r="W237" s="134" t="str">
        <f>IF(W151,SUM(M236)*IF(ISNUMBER(M237),M237,EUconst_HeatBMvalueForBM),"")</f>
        <v/>
      </c>
    </row>
    <row r="238" spans="2:23" ht="5.0999999999999996" customHeight="1" x14ac:dyDescent="0.2">
      <c r="B238" s="21"/>
      <c r="C238" s="471"/>
      <c r="D238" s="460"/>
      <c r="E238" s="460"/>
      <c r="F238" s="460"/>
      <c r="G238" s="460"/>
      <c r="H238" s="460"/>
      <c r="I238" s="460"/>
      <c r="J238" s="460"/>
      <c r="K238" s="460"/>
      <c r="L238" s="460"/>
      <c r="M238" s="476"/>
      <c r="N238" s="475"/>
      <c r="O238" s="25"/>
      <c r="P238" s="26"/>
      <c r="R238" s="26"/>
      <c r="S238" s="26"/>
    </row>
    <row r="239" spans="2:23" ht="12.75" customHeight="1" x14ac:dyDescent="0.2">
      <c r="B239" s="21"/>
      <c r="C239" s="471"/>
      <c r="D239" s="460"/>
      <c r="E239" s="1653" t="str">
        <f>Translations!$B$873</f>
        <v>Siltums no atlikumgāzēm</v>
      </c>
      <c r="F239" s="1657"/>
      <c r="G239" s="1657"/>
      <c r="H239" s="462" t="str">
        <f>EUconst_Unit</f>
        <v>Vienība</v>
      </c>
      <c r="I239" s="463">
        <f>I$793</f>
        <v>2019</v>
      </c>
      <c r="J239" s="463">
        <f>J$793</f>
        <v>2020</v>
      </c>
      <c r="K239" s="463">
        <f>K$793</f>
        <v>2021</v>
      </c>
      <c r="L239" s="463">
        <f>L$793</f>
        <v>2022</v>
      </c>
      <c r="M239" s="463">
        <f>M$793</f>
        <v>2023</v>
      </c>
      <c r="N239" s="1205"/>
      <c r="O239" s="25"/>
      <c r="P239" s="26"/>
      <c r="R239" s="26"/>
      <c r="S239" s="63">
        <f>I239</f>
        <v>2019</v>
      </c>
      <c r="T239" s="63">
        <f>J239</f>
        <v>2020</v>
      </c>
      <c r="U239" s="63">
        <f>K239</f>
        <v>2021</v>
      </c>
      <c r="V239" s="63">
        <f>L239</f>
        <v>2022</v>
      </c>
      <c r="W239" s="63">
        <f>M239</f>
        <v>2023</v>
      </c>
    </row>
    <row r="240" spans="2:23" ht="12.75" customHeight="1" x14ac:dyDescent="0.2">
      <c r="B240" s="21"/>
      <c r="C240" s="471"/>
      <c r="D240" s="477" t="s">
        <v>438</v>
      </c>
      <c r="E240" s="1651" t="str">
        <f>Translations!$B$764</f>
        <v>Neto importētais siltums</v>
      </c>
      <c r="F240" s="1652"/>
      <c r="G240" s="1652"/>
      <c r="H240" s="465" t="str">
        <f>EUconst_TJpa</f>
        <v>TJ / gads</v>
      </c>
      <c r="I240" s="483"/>
      <c r="J240" s="483"/>
      <c r="K240" s="483"/>
      <c r="L240" s="483"/>
      <c r="M240" s="483"/>
      <c r="N240" s="528"/>
      <c r="O240" s="25"/>
      <c r="P240" s="367" t="str">
        <f>EUconst_CNTR_WGImport &amp; I151</f>
        <v>WasteGasIm_Siltuma līmeņatzīmes apakšiekārta (bez OEP | bez OIM)</v>
      </c>
      <c r="R240" s="842" t="str">
        <f>EUconst_ERR_AttrEmBMapplied &amp; $I151</f>
        <v>ERR_AttrEmBM_ Siltuma līmeņatzīmes apakšiekārta (bez OEP | bez OIM)</v>
      </c>
      <c r="S240" s="134">
        <f>IF(AND(I240&lt;&gt;0,EUconst_StatusOfDataCollection=""),1,0)</f>
        <v>0</v>
      </c>
      <c r="T240" s="134">
        <f>IF(AND(J240&lt;&gt;0,EUconst_StatusOfDataCollection=""),1,0)</f>
        <v>0</v>
      </c>
      <c r="U240" s="134">
        <f>IF(AND(K240&lt;&gt;0,EUconst_StatusOfDataCollection=""),1,0)</f>
        <v>0</v>
      </c>
      <c r="V240" s="134">
        <f>IF(AND(L240&lt;&gt;0,EUconst_StatusOfDataCollection=""),1,0)</f>
        <v>0</v>
      </c>
      <c r="W240" s="134">
        <f>IF(AND(M240&lt;&gt;0,EUconst_StatusOfDataCollection=""),1,0)</f>
        <v>0</v>
      </c>
    </row>
    <row r="241" spans="1:29" ht="12.75" customHeight="1" x14ac:dyDescent="0.2">
      <c r="B241" s="21"/>
      <c r="C241" s="471"/>
      <c r="D241" s="477" t="s">
        <v>439</v>
      </c>
      <c r="E241" s="1651" t="str">
        <f>Translations!$B$874</f>
        <v>Īpatnējais EF (no atlikumgāzēm)</v>
      </c>
      <c r="F241" s="1652"/>
      <c r="G241" s="1652"/>
      <c r="H241" s="465" t="str">
        <f>EUconst_tCO2pTJ</f>
        <v>t CO2 / TJ</v>
      </c>
      <c r="I241" s="760"/>
      <c r="J241" s="760"/>
      <c r="K241" s="760"/>
      <c r="L241" s="760"/>
      <c r="M241" s="760"/>
      <c r="N241" s="475"/>
      <c r="O241" s="25"/>
      <c r="P241" s="367" t="str">
        <f>EUconst_CNTR_WGImportEF &amp; I151</f>
        <v>WasteGasImEF_Siltuma līmeņatzīmes apakšiekārta (bez OEP | bez OIM)</v>
      </c>
      <c r="R241" s="873" t="str">
        <f>EUconst_CNTR_AttributedEmissions &amp; $I151</f>
        <v>AttrEmissions_Siltuma līmeņatzīmes apakšiekārta (bez OEP | bez OIM)</v>
      </c>
      <c r="S241" s="134" t="str">
        <f>IF(S151,SUM(I240)*IF(ISNUMBER(I241),I241,EUconst_HeatBMvalueForBM),"")</f>
        <v/>
      </c>
      <c r="T241" s="134" t="str">
        <f>IF(T151,SUM(J240)*IF(ISNUMBER(J241),J241,EUconst_HeatBMvalueForBM),"")</f>
        <v/>
      </c>
      <c r="U241" s="134" t="str">
        <f>IF(U151,SUM(K240)*IF(ISNUMBER(K241),K241,EUconst_HeatBMvalueForBM),"")</f>
        <v/>
      </c>
      <c r="V241" s="134" t="str">
        <f>IF(V151,SUM(L240)*IF(ISNUMBER(L241),L241,EUconst_HeatBMvalueForBM),"")</f>
        <v/>
      </c>
      <c r="W241" s="134" t="str">
        <f>IF(W151,SUM(M240)*IF(ISNUMBER(M241),M241,EUconst_HeatBMvalueForBM),"")</f>
        <v/>
      </c>
    </row>
    <row r="242" spans="1:29" ht="5.0999999999999996" customHeight="1" x14ac:dyDescent="0.2">
      <c r="B242" s="21"/>
      <c r="C242" s="471"/>
      <c r="D242" s="460"/>
      <c r="E242" s="460"/>
      <c r="F242" s="460"/>
      <c r="G242" s="460"/>
      <c r="H242" s="460"/>
      <c r="I242" s="460"/>
      <c r="J242" s="460"/>
      <c r="K242" s="460"/>
      <c r="L242" s="460"/>
      <c r="M242" s="476"/>
      <c r="N242" s="475"/>
      <c r="O242" s="25"/>
      <c r="P242" s="26"/>
      <c r="R242" s="26"/>
      <c r="S242" s="26"/>
    </row>
    <row r="243" spans="1:29" ht="12.75" customHeight="1" x14ac:dyDescent="0.2">
      <c r="B243" s="21"/>
      <c r="C243" s="471"/>
      <c r="D243" s="477" t="s">
        <v>440</v>
      </c>
      <c r="E243" s="1651" t="str">
        <f>Translations!$B$875</f>
        <v>Kopējais neto importētais siltums</v>
      </c>
      <c r="F243" s="1652"/>
      <c r="G243" s="1652"/>
      <c r="H243" s="465" t="str">
        <f>EUconst_TJpa</f>
        <v>TJ / gads</v>
      </c>
      <c r="I243" s="448" t="str">
        <f>IF(COUNT(I224,I228,I232,I236,I240)&gt;0,SUM(I224,I228,I232,I236,I240),"")</f>
        <v/>
      </c>
      <c r="J243" s="448" t="str">
        <f>IF(COUNT(J224,J228,J232,J236,J240)&gt;0,SUM(J224,J228,J232,J236,J240),"")</f>
        <v/>
      </c>
      <c r="K243" s="448" t="str">
        <f>IF(COUNT(K224,K228,K232,K236,K240)&gt;0,SUM(K224,K228,K232,K236,K240),"")</f>
        <v/>
      </c>
      <c r="L243" s="448" t="str">
        <f>IF(COUNT(L224,L228,L232,L236,L240)&gt;0,SUM(L224,L228,L232,L236,L240),"")</f>
        <v/>
      </c>
      <c r="M243" s="448" t="str">
        <f>IF(COUNT(M224,M228,M232,M236,M240)&gt;0,SUM(M224,M228,M232,M236,M240),"")</f>
        <v/>
      </c>
      <c r="N243" s="497"/>
      <c r="O243" s="25"/>
      <c r="R243" s="26"/>
      <c r="S243" s="26"/>
    </row>
    <row r="244" spans="1:29" ht="12.75" customHeight="1" thickBot="1" x14ac:dyDescent="0.25">
      <c r="B244" s="21"/>
      <c r="C244" s="478"/>
      <c r="D244" s="479"/>
      <c r="E244" s="479"/>
      <c r="F244" s="479"/>
      <c r="G244" s="479"/>
      <c r="H244" s="479"/>
      <c r="I244" s="479"/>
      <c r="J244" s="479"/>
      <c r="K244" s="479"/>
      <c r="L244" s="479"/>
      <c r="M244" s="480"/>
      <c r="N244" s="481"/>
      <c r="O244" s="25"/>
      <c r="P244" s="26"/>
      <c r="R244" s="26"/>
    </row>
    <row r="245" spans="1:29" ht="25.5" customHeight="1" thickBot="1" x14ac:dyDescent="0.25">
      <c r="B245" s="38"/>
      <c r="C245" s="38"/>
      <c r="D245" s="38"/>
      <c r="E245" s="38"/>
      <c r="F245" s="38"/>
      <c r="G245" s="38"/>
      <c r="H245" s="38"/>
      <c r="I245" s="38"/>
      <c r="J245" s="38"/>
      <c r="K245" s="38"/>
      <c r="L245" s="38"/>
      <c r="M245" s="38"/>
      <c r="N245" s="38"/>
      <c r="O245" s="25"/>
    </row>
    <row r="246" spans="1:29" ht="12.75" customHeight="1" thickBot="1" x14ac:dyDescent="0.25">
      <c r="B246" s="21"/>
      <c r="C246" s="294"/>
      <c r="D246" s="294"/>
      <c r="E246" s="294"/>
      <c r="F246" s="294"/>
      <c r="G246" s="294"/>
      <c r="H246" s="294"/>
      <c r="I246" s="294"/>
      <c r="J246" s="294"/>
      <c r="K246" s="294"/>
      <c r="L246" s="294"/>
      <c r="M246" s="294"/>
      <c r="N246" s="294"/>
      <c r="O246" s="25"/>
    </row>
    <row r="247" spans="1:29" ht="15.75" customHeight="1" thickBot="1" x14ac:dyDescent="0.3">
      <c r="B247" s="21"/>
      <c r="C247" s="36">
        <v>3</v>
      </c>
      <c r="D247" s="1318" t="str">
        <f>EUconst_FBSubinst &amp; ":"</f>
        <v>Alternatīva apakšiekārta:</v>
      </c>
      <c r="E247" s="1251"/>
      <c r="F247" s="1251"/>
      <c r="G247" s="1251"/>
      <c r="H247" s="1328"/>
      <c r="I247" s="1701" t="str">
        <f>INDEX(EUconst_FallBackListNames,$C247)</f>
        <v>Siltuma līmeņatzīmes apakšiekārta, OEP | OIM)</v>
      </c>
      <c r="J247" s="1457"/>
      <c r="K247" s="1457"/>
      <c r="L247" s="1702"/>
      <c r="M247" s="1783" t="str">
        <f>IF(ISBLANK(INDEX(CNTR_FallBackSubInstRelevant,C247)),"",IF(INDEX(CNTR_FallBackSubInstRelevant,C247),EUconst_Relevant,EUconst_NotRelevant))</f>
        <v/>
      </c>
      <c r="N247" s="1784"/>
      <c r="O247" s="25"/>
      <c r="P247" s="582">
        <f>C247</f>
        <v>3</v>
      </c>
      <c r="Q247" s="386" t="s">
        <v>225</v>
      </c>
      <c r="R247" s="845" t="str">
        <f>IF(M247&lt;&gt;EUconst_Relevant,"",INDEX(CNTR_SubInstStartDate,MATCH($I247,CNTR_SubInstListNames,0)))</f>
        <v/>
      </c>
      <c r="S247" s="842" t="b">
        <f>IF($M247&lt;&gt;EUconst_Relevant,FALSE,AND(I$796,YEAR($R247)&lt;I$793))</f>
        <v>0</v>
      </c>
      <c r="T247" s="842" t="b">
        <f>IF($M247&lt;&gt;EUconst_Relevant,FALSE,AND(J$796,YEAR($R247)&lt;J$793))</f>
        <v>0</v>
      </c>
      <c r="U247" s="842" t="b">
        <f>IF($M247&lt;&gt;EUconst_Relevant,FALSE,AND(K$796,YEAR($R247)&lt;K$793))</f>
        <v>0</v>
      </c>
      <c r="V247" s="842" t="b">
        <f>IF($M247&lt;&gt;EUconst_Relevant,FALSE,AND(L$796,YEAR($R247)&lt;L$793))</f>
        <v>0</v>
      </c>
      <c r="W247" s="842" t="b">
        <f>IF($M247&lt;&gt;EUconst_Relevant,FALSE,AND(M$796,YEAR($R247)&lt;M$793))</f>
        <v>0</v>
      </c>
      <c r="X247" s="624"/>
      <c r="AB247" s="926" t="s">
        <v>529</v>
      </c>
      <c r="AC247" s="927" t="b">
        <f>AND(CNTR_ExistSubInstEntries,M247=EUconst_NotRelevant)</f>
        <v>0</v>
      </c>
    </row>
    <row r="248" spans="1:29" ht="12.75" customHeight="1" x14ac:dyDescent="0.2">
      <c r="B248" s="38"/>
      <c r="C248" s="38"/>
      <c r="D248" s="38"/>
      <c r="E248" s="38"/>
      <c r="F248" s="38"/>
      <c r="G248" s="38"/>
      <c r="H248" s="68"/>
      <c r="I248" s="1785" t="str">
        <f>IF(M247="","",IF(M247=EUconst_Relevant,HYPERLINK("",EUconst_MsgEnterThisSection),HYPERLINK(Q248,EUconst_MsgGoToNextSubInst)))</f>
        <v/>
      </c>
      <c r="J248" s="1786"/>
      <c r="K248" s="1786"/>
      <c r="L248" s="1786"/>
      <c r="M248" s="1787"/>
      <c r="N248" s="1788"/>
      <c r="O248" s="25"/>
      <c r="P248" s="20" t="s">
        <v>192</v>
      </c>
      <c r="Q248" s="593" t="str">
        <f>"#JUMP_G"&amp;P247+1</f>
        <v>#JUMP_G4</v>
      </c>
    </row>
    <row r="249" spans="1:29" s="697" customFormat="1" ht="5.0999999999999996" customHeight="1" x14ac:dyDescent="0.2">
      <c r="A249" s="452"/>
      <c r="B249" s="21"/>
      <c r="C249" s="21"/>
      <c r="D249" s="21"/>
      <c r="E249" s="21"/>
      <c r="F249" s="21"/>
      <c r="G249" s="21"/>
      <c r="H249" s="21"/>
      <c r="I249" s="21"/>
      <c r="J249" s="21"/>
      <c r="K249" s="21"/>
      <c r="L249" s="21"/>
      <c r="M249" s="25"/>
      <c r="N249" s="25"/>
      <c r="O249" s="25"/>
      <c r="P249" s="26"/>
      <c r="Q249" s="437"/>
      <c r="R249" s="437"/>
      <c r="S249" s="437"/>
      <c r="T249" s="437"/>
      <c r="U249" s="437"/>
      <c r="V249" s="437"/>
      <c r="W249" s="437"/>
      <c r="X249" s="452"/>
      <c r="Y249" s="452"/>
      <c r="Z249" s="452"/>
      <c r="AA249" s="452"/>
      <c r="AB249" s="452"/>
      <c r="AC249" s="452"/>
    </row>
    <row r="250" spans="1:29" s="697" customFormat="1" ht="12.75" customHeight="1" x14ac:dyDescent="0.2">
      <c r="A250" s="452"/>
      <c r="B250" s="414"/>
      <c r="C250" s="414"/>
      <c r="D250" s="414"/>
      <c r="E250" s="1519" t="str">
        <f>CONCATENATE(EUconst_MsgSeeFirst," (G.I.1)")</f>
        <v>Sīki norādījumi par datu ievadi šajā rīkā ir pieejami pirmajā vietā, kur parādās šis rīks.  (G.I.1)</v>
      </c>
      <c r="F250" s="1519"/>
      <c r="G250" s="1519"/>
      <c r="H250" s="1519"/>
      <c r="I250" s="1519"/>
      <c r="J250" s="1519"/>
      <c r="K250" s="1519"/>
      <c r="L250" s="1519"/>
      <c r="M250" s="1519"/>
      <c r="N250" s="1519"/>
      <c r="O250" s="25"/>
      <c r="P250" s="437"/>
      <c r="Q250" s="437"/>
      <c r="R250" s="437"/>
      <c r="S250" s="437"/>
      <c r="T250" s="437"/>
      <c r="U250" s="437"/>
      <c r="V250" s="437"/>
      <c r="W250" s="437"/>
      <c r="X250" s="452"/>
      <c r="Y250" s="452"/>
      <c r="Z250" s="452"/>
      <c r="AA250" s="452"/>
      <c r="AB250" s="452"/>
      <c r="AC250" s="452"/>
    </row>
    <row r="251" spans="1:29" ht="5.0999999999999996" customHeight="1" x14ac:dyDescent="0.2">
      <c r="B251" s="21"/>
      <c r="C251" s="21"/>
      <c r="D251" s="21"/>
      <c r="E251" s="21"/>
      <c r="F251" s="21"/>
      <c r="G251" s="21"/>
      <c r="H251" s="21"/>
      <c r="I251" s="21"/>
      <c r="J251" s="21"/>
      <c r="K251" s="21"/>
      <c r="L251" s="21"/>
      <c r="M251" s="25"/>
      <c r="N251" s="25"/>
      <c r="O251" s="25"/>
      <c r="P251" s="26"/>
      <c r="Q251" s="26"/>
      <c r="R251" s="26"/>
      <c r="S251" s="26"/>
      <c r="T251" s="26"/>
      <c r="U251" s="26"/>
      <c r="V251" s="26"/>
      <c r="W251" s="26"/>
      <c r="X251" s="624"/>
    </row>
    <row r="252" spans="1:29" ht="12.75" customHeight="1" thickBot="1" x14ac:dyDescent="0.25">
      <c r="B252" s="21"/>
      <c r="C252" s="370"/>
      <c r="D252" s="32" t="s">
        <v>165</v>
      </c>
      <c r="E252" s="1250" t="str">
        <f>Translations!$B$670</f>
        <v>Vēsturiskie darbības līmeņi</v>
      </c>
      <c r="F252" s="1251"/>
      <c r="G252" s="1251"/>
      <c r="H252" s="1251"/>
      <c r="I252" s="1251"/>
      <c r="J252" s="1251"/>
      <c r="K252" s="1251"/>
      <c r="L252" s="1251"/>
      <c r="M252" s="1251"/>
      <c r="N252" s="1251"/>
      <c r="O252" s="25"/>
      <c r="P252" s="26"/>
      <c r="Q252" s="26"/>
      <c r="R252" s="26"/>
      <c r="S252" s="26"/>
      <c r="T252" s="26"/>
      <c r="U252" s="26"/>
      <c r="V252" s="26"/>
      <c r="W252" s="26"/>
      <c r="X252" s="624"/>
    </row>
    <row r="253" spans="1:29" ht="12.75" customHeight="1" thickBot="1" x14ac:dyDescent="0.25">
      <c r="B253" s="21"/>
      <c r="C253" s="384"/>
      <c r="D253" s="34"/>
      <c r="E253" s="1822" t="str">
        <f>Translations!$B$827</f>
        <v>Šie dati tiek automātiski ņemti no lapas "E_EnergyFlows" II sadaļas r) punkta. Tāpēc minētajā sadaļā dati jāievada obligāti.</v>
      </c>
      <c r="F253" s="1822"/>
      <c r="G253" s="1822"/>
      <c r="H253" s="1822"/>
      <c r="I253" s="1822"/>
      <c r="J253" s="1822"/>
      <c r="K253" s="1822"/>
      <c r="L253" s="1822"/>
      <c r="M253" s="1822"/>
      <c r="N253" s="1822"/>
      <c r="O253" s="25"/>
      <c r="P253" s="26"/>
      <c r="Q253" s="439" t="s">
        <v>416</v>
      </c>
      <c r="R253" s="187" t="s">
        <v>229</v>
      </c>
      <c r="S253" s="188"/>
      <c r="T253" s="188"/>
      <c r="U253" s="188"/>
      <c r="V253" s="188"/>
      <c r="W253" s="188"/>
      <c r="X253" s="1187"/>
    </row>
    <row r="254" spans="1:29" ht="12.75" customHeight="1" x14ac:dyDescent="0.2">
      <c r="B254" s="38"/>
      <c r="C254" s="370"/>
      <c r="D254" s="32"/>
      <c r="E254" s="1320" t="str">
        <f>Translations!$B$829</f>
        <v>Galvenais darbības līmenis:</v>
      </c>
      <c r="F254" s="1275"/>
      <c r="G254" s="1275"/>
      <c r="H254" s="52" t="str">
        <f>EUconst_Unit</f>
        <v>Vienība</v>
      </c>
      <c r="I254" s="412">
        <f>I$793</f>
        <v>2019</v>
      </c>
      <c r="J254" s="412">
        <f>J$793</f>
        <v>2020</v>
      </c>
      <c r="K254" s="412">
        <f>K$793</f>
        <v>2021</v>
      </c>
      <c r="L254" s="412">
        <f>L$793</f>
        <v>2022</v>
      </c>
      <c r="M254" s="412">
        <f>M$793</f>
        <v>2023</v>
      </c>
      <c r="N254" s="23"/>
      <c r="O254" s="25"/>
      <c r="P254" s="182" t="s">
        <v>228</v>
      </c>
      <c r="Q254" s="1024" t="s">
        <v>618</v>
      </c>
      <c r="R254" s="190" t="s">
        <v>629</v>
      </c>
      <c r="S254" s="183">
        <f>I254</f>
        <v>2019</v>
      </c>
      <c r="T254" s="134">
        <f>J254</f>
        <v>2020</v>
      </c>
      <c r="U254" s="134">
        <f>K254</f>
        <v>2021</v>
      </c>
      <c r="V254" s="134">
        <f>L254</f>
        <v>2022</v>
      </c>
      <c r="W254" s="134">
        <f>M254</f>
        <v>2023</v>
      </c>
      <c r="X254" s="1188"/>
    </row>
    <row r="255" spans="1:29" ht="12.75" customHeight="1" thickBot="1" x14ac:dyDescent="0.25">
      <c r="B255" s="38"/>
      <c r="C255" s="38"/>
      <c r="D255" s="38"/>
      <c r="E255" s="1782" t="str">
        <f>I247</f>
        <v>Siltuma līmeņatzīmes apakšiekārta, OEP | OIM)</v>
      </c>
      <c r="F255" s="1782"/>
      <c r="G255" s="1782"/>
      <c r="H255" s="116" t="str">
        <f>INDEX(EUconst_FallBackListUnits,MATCH(E255,EUconst_FallBackListNames,0))</f>
        <v>TJ</v>
      </c>
      <c r="I255" s="328" t="str">
        <f>IF($M247=EUconst_Relevant,IF(ISNUMBER(INDEX(E_EnergyFlows!I$412:I$420,MATCH($E255,E_EnergyFlows!$E$412:$E$420,0))),INDEX(E_EnergyFlows!I$412:I$420,MATCH($E255,E_EnergyFlows!$E$412:$E$420,0)),INDEX(EUconst_FallbackListMissing,$P247)),"")</f>
        <v/>
      </c>
      <c r="J255" s="328" t="str">
        <f>IF($M247=EUconst_Relevant,IF(ISNUMBER(INDEX(E_EnergyFlows!J$412:J$420,MATCH($E255,E_EnergyFlows!$E$412:$E$420,0))),INDEX(E_EnergyFlows!J$412:J$420,MATCH($E255,E_EnergyFlows!$E$412:$E$420,0)),INDEX(EUconst_FallbackListMissing,$P247)),"")</f>
        <v/>
      </c>
      <c r="K255" s="328" t="str">
        <f>IF($M247=EUconst_Relevant,IF(ISNUMBER(INDEX(E_EnergyFlows!K$412:K$420,MATCH($E255,E_EnergyFlows!$E$412:$E$420,0))),INDEX(E_EnergyFlows!K$412:K$420,MATCH($E255,E_EnergyFlows!$E$412:$E$420,0)),INDEX(EUconst_FallbackListMissing,$P247)),"")</f>
        <v/>
      </c>
      <c r="L255" s="328" t="str">
        <f>IF($M247=EUconst_Relevant,IF(ISNUMBER(INDEX(E_EnergyFlows!L$412:L$420,MATCH($E255,E_EnergyFlows!$E$412:$E$420,0))),INDEX(E_EnergyFlows!L$412:L$420,MATCH($E255,E_EnergyFlows!$E$412:$E$420,0)),INDEX(EUconst_FallbackListMissing,$P247)),"")</f>
        <v/>
      </c>
      <c r="M255" s="328" t="str">
        <f>IF($M247=EUconst_Relevant,IF(ISNUMBER(INDEX(E_EnergyFlows!M$412:M$420,MATCH($E255,E_EnergyFlows!$E$412:$E$420,0))),INDEX(E_EnergyFlows!M$412:M$420,MATCH($E255,E_EnergyFlows!$E$412:$E$420,0)),INDEX(EUconst_FallbackListMissing,$P247)),"")</f>
        <v/>
      </c>
      <c r="N255" s="23"/>
      <c r="O255" s="25"/>
      <c r="P255" s="185" t="str">
        <f>EUconst_CNTR_HAL&amp;E255</f>
        <v>HAL_Siltuma līmeņatzīmes apakšiekārta, OEP | OIM)</v>
      </c>
      <c r="Q255" s="186" t="str">
        <f>IF(COUNT($K255:$L255)&gt;0,AVERAGE($K255:$L255),"")</f>
        <v/>
      </c>
      <c r="R255" s="184" t="str">
        <f>IF(COUNT(S255:W255)&gt;0,MEDIAN(S255:W255),"")</f>
        <v/>
      </c>
      <c r="S255" s="189" t="str">
        <f>IF(S247,IF(ISNUMBER(I255),I255,0),"")</f>
        <v/>
      </c>
      <c r="T255" s="137" t="str">
        <f>IF(T247,IF(ISNUMBER(J255),J255,0),"")</f>
        <v/>
      </c>
      <c r="U255" s="137" t="str">
        <f>IF(U247,IF(ISNUMBER(K255),K255,0),"")</f>
        <v/>
      </c>
      <c r="V255" s="137" t="str">
        <f>IF(V247,IF(ISNUMBER(L255),L255,0),"")</f>
        <v/>
      </c>
      <c r="W255" s="137" t="str">
        <f>IF(W247,IF(ISNUMBER(M255),M255,0),"")</f>
        <v/>
      </c>
      <c r="X255" s="1189"/>
      <c r="Y255" s="1190" t="s">
        <v>574</v>
      </c>
      <c r="Z255" s="709" t="b">
        <f>IF(M247&lt;&gt;EUconst_Relevant,FALSE,INDEX(CNTR_SubInstLess1Year,MATCH(I247,CNTR_SubInstListNames,0)))</f>
        <v>0</v>
      </c>
    </row>
    <row r="256" spans="1:29" ht="12.75" customHeight="1" x14ac:dyDescent="0.2">
      <c r="B256" s="38"/>
      <c r="C256" s="23"/>
      <c r="D256" s="23"/>
      <c r="E256" s="23"/>
      <c r="F256" s="23"/>
      <c r="G256" s="23"/>
      <c r="H256" s="23"/>
      <c r="I256" s="23"/>
      <c r="J256" s="23"/>
      <c r="K256" s="23"/>
      <c r="L256" s="23"/>
      <c r="M256" s="23"/>
      <c r="N256" s="23"/>
      <c r="O256" s="25"/>
    </row>
    <row r="257" spans="2:28" ht="15" x14ac:dyDescent="0.25">
      <c r="B257" s="38"/>
      <c r="C257" s="383"/>
      <c r="D257" s="1318" t="str">
        <f>Translations!$B$700</f>
        <v>Ražošanas dati</v>
      </c>
      <c r="E257" s="1251"/>
      <c r="F257" s="1251"/>
      <c r="G257" s="1251"/>
      <c r="H257" s="1251"/>
      <c r="I257" s="1251"/>
      <c r="J257" s="1251"/>
      <c r="K257" s="1251"/>
      <c r="L257" s="1251"/>
      <c r="M257" s="1251"/>
      <c r="N257" s="1251"/>
      <c r="O257" s="25"/>
      <c r="Y257" s="624"/>
      <c r="Z257" s="624"/>
      <c r="AA257" s="624"/>
      <c r="AB257" s="624"/>
    </row>
    <row r="258" spans="2:28" ht="5.0999999999999996" customHeight="1" x14ac:dyDescent="0.2">
      <c r="B258" s="21"/>
      <c r="C258" s="23"/>
      <c r="D258" s="21"/>
      <c r="E258" s="21"/>
      <c r="F258" s="21"/>
      <c r="G258" s="21"/>
      <c r="H258" s="21"/>
      <c r="I258" s="21"/>
      <c r="J258" s="21"/>
      <c r="K258" s="21"/>
      <c r="L258" s="21"/>
      <c r="M258" s="21"/>
      <c r="N258" s="21"/>
      <c r="O258" s="25"/>
      <c r="P258" s="26"/>
      <c r="Q258" s="26"/>
    </row>
    <row r="259" spans="2:28" ht="12.75" customHeight="1" x14ac:dyDescent="0.2">
      <c r="B259" s="21"/>
      <c r="C259" s="370"/>
      <c r="D259" s="32" t="s">
        <v>339</v>
      </c>
      <c r="E259" s="1250" t="str">
        <f>Translations!$B$830</f>
        <v>Ar šo apakšiekārtu saistīto relevanto produktu vai pakalpojumu identificēšana</v>
      </c>
      <c r="F259" s="1251"/>
      <c r="G259" s="1251"/>
      <c r="H259" s="1251"/>
      <c r="I259" s="1251"/>
      <c r="J259" s="1251"/>
      <c r="K259" s="1251"/>
      <c r="L259" s="1251"/>
      <c r="M259" s="1251"/>
      <c r="N259" s="1251"/>
      <c r="O259" s="25"/>
      <c r="P259" s="26"/>
    </row>
    <row r="260" spans="2:28" ht="5.0999999999999996" customHeight="1" x14ac:dyDescent="0.2">
      <c r="B260" s="21"/>
      <c r="C260" s="384"/>
      <c r="D260" s="34"/>
      <c r="E260" s="35"/>
      <c r="F260" s="35"/>
      <c r="G260" s="35"/>
      <c r="H260" s="35"/>
      <c r="I260" s="35"/>
      <c r="J260" s="39"/>
      <c r="K260" s="369"/>
      <c r="L260" s="369"/>
      <c r="M260" s="44"/>
      <c r="N260" s="44"/>
      <c r="O260" s="25"/>
      <c r="P260" s="26"/>
    </row>
    <row r="261" spans="2:28" ht="25.5" x14ac:dyDescent="0.2">
      <c r="B261" s="38"/>
      <c r="C261" s="370"/>
      <c r="D261" s="360"/>
      <c r="E261" s="1418" t="str">
        <f>Translations!$B$837</f>
        <v>Izmantojuma veids</v>
      </c>
      <c r="F261" s="1419"/>
      <c r="G261" s="1418" t="str">
        <f>Translations!$B$838</f>
        <v>Iekārtā vai eksports?</v>
      </c>
      <c r="H261" s="1419"/>
      <c r="I261" s="1830" t="str">
        <f>Translations!$B$839</f>
        <v>Produkta nosaukums vai siltuma eksports, bet ne centralizētās siltumapgādes vajadzībām</v>
      </c>
      <c r="J261" s="1441"/>
      <c r="K261" s="1441"/>
      <c r="L261" s="1419"/>
      <c r="M261" s="1121" t="str">
        <f>Translations!$B$1668</f>
        <v>PRODCOM 2010</v>
      </c>
      <c r="N261" s="1122" t="str">
        <f>Translations!$B$1669</f>
        <v>KN kodi</v>
      </c>
      <c r="O261" s="25"/>
      <c r="Y261" s="624"/>
      <c r="Z261" s="624"/>
      <c r="AA261" s="624"/>
      <c r="AB261" s="624"/>
    </row>
    <row r="262" spans="2:28" ht="12.75" customHeight="1" x14ac:dyDescent="0.2">
      <c r="B262" s="38"/>
      <c r="C262" s="68"/>
      <c r="D262" s="55">
        <v>1</v>
      </c>
      <c r="E262" s="1439"/>
      <c r="F262" s="1437"/>
      <c r="G262" s="1823"/>
      <c r="H262" s="1824"/>
      <c r="I262" s="1825"/>
      <c r="J262" s="1826"/>
      <c r="K262" s="1826"/>
      <c r="L262" s="1827"/>
      <c r="M262" s="558"/>
      <c r="N262" s="1084"/>
      <c r="O262" s="25"/>
    </row>
    <row r="263" spans="2:28" ht="12.75" customHeight="1" x14ac:dyDescent="0.2">
      <c r="B263" s="38"/>
      <c r="C263" s="68"/>
      <c r="D263" s="56">
        <f>D262+1</f>
        <v>2</v>
      </c>
      <c r="E263" s="1423"/>
      <c r="F263" s="1417"/>
      <c r="G263" s="1814"/>
      <c r="H263" s="1815"/>
      <c r="I263" s="1424"/>
      <c r="J263" s="1816"/>
      <c r="K263" s="1816"/>
      <c r="L263" s="1817"/>
      <c r="M263" s="559"/>
      <c r="N263" s="1085"/>
      <c r="O263" s="25"/>
    </row>
    <row r="264" spans="2:28" ht="12.75" customHeight="1" x14ac:dyDescent="0.2">
      <c r="B264" s="38"/>
      <c r="C264" s="68"/>
      <c r="D264" s="56">
        <f t="shared" ref="D264:D271" si="6">D263+1</f>
        <v>3</v>
      </c>
      <c r="E264" s="1423"/>
      <c r="F264" s="1417"/>
      <c r="G264" s="1814"/>
      <c r="H264" s="1815"/>
      <c r="I264" s="1424"/>
      <c r="J264" s="1816"/>
      <c r="K264" s="1816"/>
      <c r="L264" s="1817"/>
      <c r="M264" s="559"/>
      <c r="N264" s="1085"/>
      <c r="O264" s="25"/>
    </row>
    <row r="265" spans="2:28" ht="12.75" customHeight="1" x14ac:dyDescent="0.2">
      <c r="B265" s="38"/>
      <c r="C265" s="68"/>
      <c r="D265" s="56">
        <f t="shared" si="6"/>
        <v>4</v>
      </c>
      <c r="E265" s="1423"/>
      <c r="F265" s="1417"/>
      <c r="G265" s="1814"/>
      <c r="H265" s="1815"/>
      <c r="I265" s="1424"/>
      <c r="J265" s="1816"/>
      <c r="K265" s="1816"/>
      <c r="L265" s="1817"/>
      <c r="M265" s="559"/>
      <c r="N265" s="1085"/>
      <c r="O265" s="25"/>
    </row>
    <row r="266" spans="2:28" ht="12.75" customHeight="1" x14ac:dyDescent="0.2">
      <c r="B266" s="38"/>
      <c r="C266" s="68"/>
      <c r="D266" s="56">
        <f t="shared" si="6"/>
        <v>5</v>
      </c>
      <c r="E266" s="1423"/>
      <c r="F266" s="1417"/>
      <c r="G266" s="1814"/>
      <c r="H266" s="1815"/>
      <c r="I266" s="1424"/>
      <c r="J266" s="1816"/>
      <c r="K266" s="1816"/>
      <c r="L266" s="1817"/>
      <c r="M266" s="559"/>
      <c r="N266" s="1085"/>
      <c r="O266" s="25"/>
      <c r="Y266" s="624"/>
      <c r="Z266" s="624"/>
      <c r="AA266" s="624"/>
      <c r="AB266" s="624"/>
    </row>
    <row r="267" spans="2:28" ht="12.75" customHeight="1" x14ac:dyDescent="0.2">
      <c r="B267" s="38"/>
      <c r="C267" s="68"/>
      <c r="D267" s="56">
        <f t="shared" si="6"/>
        <v>6</v>
      </c>
      <c r="E267" s="1423"/>
      <c r="F267" s="1417"/>
      <c r="G267" s="1814"/>
      <c r="H267" s="1815"/>
      <c r="I267" s="1424"/>
      <c r="J267" s="1816"/>
      <c r="K267" s="1816"/>
      <c r="L267" s="1817"/>
      <c r="M267" s="559"/>
      <c r="N267" s="1085"/>
      <c r="O267" s="25"/>
    </row>
    <row r="268" spans="2:28" ht="12.75" customHeight="1" x14ac:dyDescent="0.2">
      <c r="B268" s="38"/>
      <c r="C268" s="68"/>
      <c r="D268" s="56">
        <f t="shared" si="6"/>
        <v>7</v>
      </c>
      <c r="E268" s="1423"/>
      <c r="F268" s="1417"/>
      <c r="G268" s="1814"/>
      <c r="H268" s="1815"/>
      <c r="I268" s="1424"/>
      <c r="J268" s="1816"/>
      <c r="K268" s="1816"/>
      <c r="L268" s="1817"/>
      <c r="M268" s="559"/>
      <c r="N268" s="1085"/>
      <c r="O268" s="25"/>
    </row>
    <row r="269" spans="2:28" ht="12.75" customHeight="1" x14ac:dyDescent="0.2">
      <c r="B269" s="38"/>
      <c r="C269" s="68"/>
      <c r="D269" s="56">
        <f t="shared" si="6"/>
        <v>8</v>
      </c>
      <c r="E269" s="1423"/>
      <c r="F269" s="1417"/>
      <c r="G269" s="1814"/>
      <c r="H269" s="1815"/>
      <c r="I269" s="1424"/>
      <c r="J269" s="1816"/>
      <c r="K269" s="1816"/>
      <c r="L269" s="1817"/>
      <c r="M269" s="559"/>
      <c r="N269" s="1085"/>
      <c r="O269" s="25"/>
    </row>
    <row r="270" spans="2:28" ht="12.75" customHeight="1" x14ac:dyDescent="0.2">
      <c r="B270" s="38"/>
      <c r="C270" s="68"/>
      <c r="D270" s="56">
        <f t="shared" si="6"/>
        <v>9</v>
      </c>
      <c r="E270" s="1423"/>
      <c r="F270" s="1417"/>
      <c r="G270" s="1814"/>
      <c r="H270" s="1815"/>
      <c r="I270" s="1424"/>
      <c r="J270" s="1816"/>
      <c r="K270" s="1816"/>
      <c r="L270" s="1817"/>
      <c r="M270" s="559"/>
      <c r="N270" s="1085"/>
      <c r="O270" s="25"/>
    </row>
    <row r="271" spans="2:28" ht="12.75" customHeight="1" x14ac:dyDescent="0.2">
      <c r="B271" s="38"/>
      <c r="C271" s="68"/>
      <c r="D271" s="59">
        <f t="shared" si="6"/>
        <v>10</v>
      </c>
      <c r="E271" s="1434"/>
      <c r="F271" s="1435"/>
      <c r="G271" s="1818"/>
      <c r="H271" s="1819"/>
      <c r="I271" s="1442"/>
      <c r="J271" s="1820"/>
      <c r="K271" s="1820"/>
      <c r="L271" s="1821"/>
      <c r="M271" s="560"/>
      <c r="N271" s="1086"/>
      <c r="O271" s="25"/>
      <c r="Y271" s="624"/>
      <c r="Z271" s="624"/>
      <c r="AA271" s="624"/>
      <c r="AB271" s="624"/>
    </row>
    <row r="272" spans="2:28" ht="5.0999999999999996" customHeight="1" x14ac:dyDescent="0.2">
      <c r="B272" s="21"/>
      <c r="C272" s="23"/>
      <c r="D272" s="21"/>
      <c r="E272" s="21"/>
      <c r="F272" s="21"/>
      <c r="G272" s="21"/>
      <c r="H272" s="21"/>
      <c r="I272" s="21"/>
      <c r="J272" s="21"/>
      <c r="K272" s="21"/>
      <c r="L272" s="21"/>
      <c r="M272" s="21"/>
      <c r="N272" s="21"/>
      <c r="O272" s="25"/>
      <c r="P272" s="26"/>
      <c r="Q272" s="26"/>
    </row>
    <row r="273" spans="2:19" ht="12.75" customHeight="1" x14ac:dyDescent="0.2">
      <c r="B273" s="21"/>
      <c r="C273" s="370"/>
      <c r="D273" s="32"/>
      <c r="E273" s="1250" t="str">
        <f>Translations!$B$840</f>
        <v>Ražošanas līmeņi</v>
      </c>
      <c r="F273" s="1251"/>
      <c r="G273" s="1251"/>
      <c r="H273" s="1251"/>
      <c r="I273" s="1251"/>
      <c r="J273" s="1251"/>
      <c r="K273" s="1251"/>
      <c r="L273" s="1251"/>
      <c r="M273" s="1251"/>
      <c r="N273" s="1251"/>
      <c r="O273" s="25"/>
      <c r="P273" s="26"/>
    </row>
    <row r="274" spans="2:19" ht="5.0999999999999996" customHeight="1" x14ac:dyDescent="0.2">
      <c r="B274" s="21"/>
      <c r="C274" s="384"/>
      <c r="D274" s="34"/>
      <c r="E274" s="35"/>
      <c r="F274" s="35"/>
      <c r="G274" s="35"/>
      <c r="H274" s="35"/>
      <c r="I274" s="35"/>
      <c r="J274" s="39"/>
      <c r="K274" s="39"/>
      <c r="L274" s="39"/>
      <c r="M274" s="25"/>
      <c r="N274" s="25"/>
      <c r="O274" s="25"/>
      <c r="P274" s="26"/>
    </row>
    <row r="275" spans="2:19" ht="25.5" customHeight="1" x14ac:dyDescent="0.2">
      <c r="B275" s="38"/>
      <c r="C275" s="370"/>
      <c r="D275" s="360"/>
      <c r="E275" s="1767" t="str">
        <f>I261</f>
        <v>Produkta nosaukums vai siltuma eksports, bet ne centralizētās siltumapgādes vajadzībām</v>
      </c>
      <c r="F275" s="1275"/>
      <c r="G275" s="1460"/>
      <c r="H275" s="52" t="str">
        <f>EUconst_Unit</f>
        <v>Vienība</v>
      </c>
      <c r="I275" s="412">
        <f>I$793</f>
        <v>2019</v>
      </c>
      <c r="J275" s="412">
        <f>J$793</f>
        <v>2020</v>
      </c>
      <c r="K275" s="412">
        <f>K$793</f>
        <v>2021</v>
      </c>
      <c r="L275" s="412">
        <f>L$793</f>
        <v>2022</v>
      </c>
      <c r="M275" s="412">
        <f>M$793</f>
        <v>2023</v>
      </c>
      <c r="N275" s="25"/>
      <c r="O275" s="25"/>
    </row>
    <row r="276" spans="2:19" ht="12.75" customHeight="1" x14ac:dyDescent="0.2">
      <c r="B276" s="38"/>
      <c r="C276" s="68"/>
      <c r="D276" s="55">
        <v>1</v>
      </c>
      <c r="E276" s="1748" t="str">
        <f t="shared" ref="E276:E285" si="7">IF(ISBLANK(I262),"",I262)</f>
        <v/>
      </c>
      <c r="F276" s="1768"/>
      <c r="G276" s="1769"/>
      <c r="H276" s="763"/>
      <c r="I276" s="484"/>
      <c r="J276" s="484"/>
      <c r="K276" s="484"/>
      <c r="L276" s="484"/>
      <c r="M276" s="484"/>
      <c r="N276" s="25"/>
      <c r="O276" s="25"/>
    </row>
    <row r="277" spans="2:19" ht="12.75" customHeight="1" x14ac:dyDescent="0.2">
      <c r="B277" s="38"/>
      <c r="C277" s="68"/>
      <c r="D277" s="56">
        <f>D276+1</f>
        <v>2</v>
      </c>
      <c r="E277" s="1754" t="str">
        <f t="shared" si="7"/>
        <v/>
      </c>
      <c r="F277" s="1755"/>
      <c r="G277" s="1756"/>
      <c r="H277" s="764"/>
      <c r="I277" s="557"/>
      <c r="J277" s="557"/>
      <c r="K277" s="557"/>
      <c r="L277" s="557"/>
      <c r="M277" s="557"/>
      <c r="N277" s="25"/>
      <c r="O277" s="25"/>
    </row>
    <row r="278" spans="2:19" ht="12.75" customHeight="1" x14ac:dyDescent="0.2">
      <c r="B278" s="38"/>
      <c r="C278" s="68"/>
      <c r="D278" s="56">
        <f t="shared" ref="D278:D285" si="8">D277+1</f>
        <v>3</v>
      </c>
      <c r="E278" s="1754" t="str">
        <f t="shared" si="7"/>
        <v/>
      </c>
      <c r="F278" s="1755"/>
      <c r="G278" s="1756"/>
      <c r="H278" s="764"/>
      <c r="I278" s="557"/>
      <c r="J278" s="557"/>
      <c r="K278" s="557"/>
      <c r="L278" s="557"/>
      <c r="M278" s="557"/>
      <c r="N278" s="25"/>
      <c r="O278" s="25"/>
    </row>
    <row r="279" spans="2:19" ht="12.75" customHeight="1" x14ac:dyDescent="0.2">
      <c r="B279" s="38"/>
      <c r="C279" s="68"/>
      <c r="D279" s="56">
        <f t="shared" si="8"/>
        <v>4</v>
      </c>
      <c r="E279" s="1754" t="str">
        <f t="shared" si="7"/>
        <v/>
      </c>
      <c r="F279" s="1755"/>
      <c r="G279" s="1756"/>
      <c r="H279" s="764"/>
      <c r="I279" s="557"/>
      <c r="J279" s="557"/>
      <c r="K279" s="557"/>
      <c r="L279" s="557"/>
      <c r="M279" s="557"/>
      <c r="N279" s="25"/>
      <c r="O279" s="25"/>
    </row>
    <row r="280" spans="2:19" ht="12.75" customHeight="1" x14ac:dyDescent="0.2">
      <c r="B280" s="38"/>
      <c r="C280" s="68"/>
      <c r="D280" s="56">
        <f t="shared" si="8"/>
        <v>5</v>
      </c>
      <c r="E280" s="1754" t="str">
        <f t="shared" si="7"/>
        <v/>
      </c>
      <c r="F280" s="1755"/>
      <c r="G280" s="1756"/>
      <c r="H280" s="764"/>
      <c r="I280" s="557"/>
      <c r="J280" s="557"/>
      <c r="K280" s="557"/>
      <c r="L280" s="557"/>
      <c r="M280" s="557"/>
      <c r="N280" s="25"/>
      <c r="O280" s="25"/>
    </row>
    <row r="281" spans="2:19" ht="12.75" customHeight="1" x14ac:dyDescent="0.2">
      <c r="B281" s="38"/>
      <c r="C281" s="68"/>
      <c r="D281" s="56">
        <f t="shared" si="8"/>
        <v>6</v>
      </c>
      <c r="E281" s="1754" t="str">
        <f t="shared" si="7"/>
        <v/>
      </c>
      <c r="F281" s="1755"/>
      <c r="G281" s="1756"/>
      <c r="H281" s="764"/>
      <c r="I281" s="557"/>
      <c r="J281" s="557"/>
      <c r="K281" s="557"/>
      <c r="L281" s="557"/>
      <c r="M281" s="557"/>
      <c r="N281" s="25"/>
      <c r="O281" s="25"/>
    </row>
    <row r="282" spans="2:19" ht="12.75" customHeight="1" x14ac:dyDescent="0.2">
      <c r="B282" s="38"/>
      <c r="C282" s="68"/>
      <c r="D282" s="56">
        <f t="shared" si="8"/>
        <v>7</v>
      </c>
      <c r="E282" s="1754" t="str">
        <f t="shared" si="7"/>
        <v/>
      </c>
      <c r="F282" s="1755"/>
      <c r="G282" s="1756"/>
      <c r="H282" s="764"/>
      <c r="I282" s="557"/>
      <c r="J282" s="557"/>
      <c r="K282" s="557"/>
      <c r="L282" s="557"/>
      <c r="M282" s="557"/>
      <c r="N282" s="25"/>
      <c r="O282" s="25"/>
    </row>
    <row r="283" spans="2:19" ht="12.75" customHeight="1" x14ac:dyDescent="0.2">
      <c r="B283" s="38"/>
      <c r="C283" s="68"/>
      <c r="D283" s="56">
        <f t="shared" si="8"/>
        <v>8</v>
      </c>
      <c r="E283" s="1754" t="str">
        <f t="shared" si="7"/>
        <v/>
      </c>
      <c r="F283" s="1755"/>
      <c r="G283" s="1756"/>
      <c r="H283" s="764"/>
      <c r="I283" s="557"/>
      <c r="J283" s="557"/>
      <c r="K283" s="557"/>
      <c r="L283" s="557"/>
      <c r="M283" s="557"/>
      <c r="N283" s="25"/>
      <c r="O283" s="25"/>
    </row>
    <row r="284" spans="2:19" ht="12.75" customHeight="1" x14ac:dyDescent="0.2">
      <c r="B284" s="38"/>
      <c r="C284" s="68"/>
      <c r="D284" s="56">
        <f t="shared" si="8"/>
        <v>9</v>
      </c>
      <c r="E284" s="1754" t="str">
        <f t="shared" si="7"/>
        <v/>
      </c>
      <c r="F284" s="1755"/>
      <c r="G284" s="1756"/>
      <c r="H284" s="764"/>
      <c r="I284" s="557"/>
      <c r="J284" s="557"/>
      <c r="K284" s="557"/>
      <c r="L284" s="557"/>
      <c r="M284" s="557"/>
      <c r="N284" s="25"/>
      <c r="O284" s="25"/>
    </row>
    <row r="285" spans="2:19" ht="12.75" customHeight="1" x14ac:dyDescent="0.2">
      <c r="B285" s="38"/>
      <c r="C285" s="68"/>
      <c r="D285" s="59">
        <f t="shared" si="8"/>
        <v>10</v>
      </c>
      <c r="E285" s="1757" t="str">
        <f t="shared" si="7"/>
        <v/>
      </c>
      <c r="F285" s="1758"/>
      <c r="G285" s="1759"/>
      <c r="H285" s="765"/>
      <c r="I285" s="458"/>
      <c r="J285" s="458"/>
      <c r="K285" s="458"/>
      <c r="L285" s="458"/>
      <c r="M285" s="458"/>
      <c r="N285" s="25"/>
      <c r="O285" s="25"/>
    </row>
    <row r="286" spans="2:19" ht="12.75" customHeight="1" x14ac:dyDescent="0.2">
      <c r="B286" s="38"/>
      <c r="C286" s="38"/>
      <c r="D286" s="115"/>
      <c r="E286" s="1760" t="str">
        <f>Translations!$B$708</f>
        <v>Ražošanas līmeņu summa</v>
      </c>
      <c r="F286" s="1457"/>
      <c r="G286" s="1259"/>
      <c r="H286" s="250"/>
      <c r="I286" s="343" t="str">
        <f>IF(COUNT(I276:I285)&gt;0,SUM(I276:I285),"")</f>
        <v/>
      </c>
      <c r="J286" s="343" t="str">
        <f>IF(COUNT(J276:J285)&gt;0,SUM(J276:J285),"")</f>
        <v/>
      </c>
      <c r="K286" s="343" t="str">
        <f>IF(COUNT(K276:K285)&gt;0,SUM(K276:K285),"")</f>
        <v/>
      </c>
      <c r="L286" s="343" t="str">
        <f>IF(COUNT(L276:L285)&gt;0,SUM(L276:L285),"")</f>
        <v/>
      </c>
      <c r="M286" s="343" t="str">
        <f>IF(COUNT(M276:M285)&gt;0,SUM(M276:M285),"")</f>
        <v/>
      </c>
      <c r="N286" s="25"/>
      <c r="O286" s="25"/>
    </row>
    <row r="287" spans="2:19" ht="12.75" customHeight="1" thickBot="1" x14ac:dyDescent="0.25">
      <c r="B287" s="38"/>
      <c r="C287" s="38"/>
      <c r="D287" s="38"/>
      <c r="E287" s="38"/>
      <c r="F287" s="38"/>
      <c r="G287" s="38"/>
      <c r="H287" s="38"/>
      <c r="I287" s="38"/>
      <c r="J287" s="38"/>
      <c r="K287" s="38"/>
      <c r="L287" s="38"/>
      <c r="M287" s="38"/>
      <c r="N287" s="38"/>
      <c r="O287" s="25"/>
    </row>
    <row r="288" spans="2:19" ht="5.0999999999999996" customHeight="1" x14ac:dyDescent="0.2">
      <c r="B288" s="21"/>
      <c r="C288" s="467"/>
      <c r="D288" s="468"/>
      <c r="E288" s="468"/>
      <c r="F288" s="468"/>
      <c r="G288" s="468"/>
      <c r="H288" s="468"/>
      <c r="I288" s="468"/>
      <c r="J288" s="468"/>
      <c r="K288" s="468"/>
      <c r="L288" s="468"/>
      <c r="M288" s="469"/>
      <c r="N288" s="470"/>
      <c r="O288" s="25"/>
      <c r="P288" s="26"/>
      <c r="R288" s="26"/>
      <c r="S288" s="26"/>
    </row>
    <row r="289" spans="2:23" ht="15" customHeight="1" x14ac:dyDescent="0.2">
      <c r="B289" s="38"/>
      <c r="C289" s="471"/>
      <c r="D289" s="1697" t="str">
        <f>Translations!$B$709</f>
        <v>Dati, kas vajadzīgi, lai noteiktu līmeņatzīmju uzlabošanas rādītāju saskaņā ar ES ETS direktīvas 10.a panta 2. punktu.</v>
      </c>
      <c r="E289" s="1655"/>
      <c r="F289" s="1655"/>
      <c r="G289" s="1655"/>
      <c r="H289" s="1655"/>
      <c r="I289" s="1655"/>
      <c r="J289" s="1655"/>
      <c r="K289" s="1655"/>
      <c r="L289" s="1655"/>
      <c r="M289" s="1655"/>
      <c r="N289" s="1656"/>
      <c r="O289" s="25"/>
      <c r="R289" s="26"/>
      <c r="S289" s="26"/>
    </row>
    <row r="290" spans="2:23" ht="5.0999999999999996" customHeight="1" x14ac:dyDescent="0.2">
      <c r="B290" s="38"/>
      <c r="C290" s="472"/>
      <c r="D290" s="461"/>
      <c r="E290" s="461"/>
      <c r="F290" s="461"/>
      <c r="G290" s="461"/>
      <c r="H290" s="461"/>
      <c r="I290" s="461"/>
      <c r="J290" s="461"/>
      <c r="K290" s="461"/>
      <c r="L290" s="461"/>
      <c r="M290" s="461"/>
      <c r="N290" s="473"/>
      <c r="O290" s="25"/>
      <c r="R290" s="26"/>
      <c r="S290" s="26"/>
    </row>
    <row r="291" spans="2:23" ht="15" customHeight="1" x14ac:dyDescent="0.2">
      <c r="B291" s="38"/>
      <c r="C291" s="472"/>
      <c r="D291" s="1698" t="str">
        <f>EUconst_FBSubinst &amp; ":"</f>
        <v>Alternatīva apakšiekārta:</v>
      </c>
      <c r="E291" s="1699"/>
      <c r="F291" s="1699"/>
      <c r="G291" s="1699"/>
      <c r="H291" s="1700"/>
      <c r="I291" s="1701" t="str">
        <f>I247</f>
        <v>Siltuma līmeņatzīmes apakšiekārta, OEP | OIM)</v>
      </c>
      <c r="J291" s="1457"/>
      <c r="K291" s="1457"/>
      <c r="L291" s="1457"/>
      <c r="M291" s="1457"/>
      <c r="N291" s="1702"/>
      <c r="O291" s="25"/>
      <c r="R291" s="26"/>
      <c r="S291" s="26"/>
    </row>
    <row r="292" spans="2:23" ht="5.0999999999999996" customHeight="1" x14ac:dyDescent="0.2">
      <c r="B292" s="38"/>
      <c r="C292" s="472"/>
      <c r="D292" s="461"/>
      <c r="E292" s="461"/>
      <c r="F292" s="461"/>
      <c r="G292" s="461"/>
      <c r="H292" s="461"/>
      <c r="I292" s="461"/>
      <c r="J292" s="461"/>
      <c r="K292" s="461"/>
      <c r="L292" s="461"/>
      <c r="M292" s="461"/>
      <c r="N292" s="473"/>
      <c r="O292" s="25"/>
      <c r="R292" s="26"/>
      <c r="S292" s="26"/>
    </row>
    <row r="293" spans="2:23" ht="12.75" customHeight="1" x14ac:dyDescent="0.2">
      <c r="B293" s="21"/>
      <c r="C293" s="471"/>
      <c r="D293" s="474" t="s">
        <v>11</v>
      </c>
      <c r="E293" s="1654" t="str">
        <f>Translations!$B$841</f>
        <v>Uz šo apakšiekārtu tieši attiecināmas emisijas (DirEm*)</v>
      </c>
      <c r="F293" s="1655"/>
      <c r="G293" s="1655"/>
      <c r="H293" s="1655"/>
      <c r="I293" s="1655"/>
      <c r="J293" s="1655"/>
      <c r="K293" s="1655"/>
      <c r="L293" s="1655"/>
      <c r="M293" s="1655"/>
      <c r="N293" s="1656"/>
      <c r="O293" s="25"/>
      <c r="P293" s="26"/>
      <c r="R293" s="26"/>
      <c r="S293" s="26"/>
    </row>
    <row r="294" spans="2:23" ht="12.75" customHeight="1" thickBot="1" x14ac:dyDescent="0.25">
      <c r="B294" s="21"/>
      <c r="C294" s="471"/>
      <c r="D294" s="460"/>
      <c r="E294" s="1727" t="str">
        <f>Translations!$B$876</f>
        <v>Sīki norādījumi par to, kā šeit ievadīt datus, atrodami augstāk 1. sadaļas c) punktā.</v>
      </c>
      <c r="F294" s="1727"/>
      <c r="G294" s="1727"/>
      <c r="H294" s="1727"/>
      <c r="I294" s="1727"/>
      <c r="J294" s="1727"/>
      <c r="K294" s="1727"/>
      <c r="L294" s="1727"/>
      <c r="M294" s="1727"/>
      <c r="N294" s="1734"/>
      <c r="O294" s="25"/>
      <c r="P294" s="26"/>
      <c r="R294" s="26"/>
    </row>
    <row r="295" spans="2:23" ht="12.75" customHeight="1" x14ac:dyDescent="0.2">
      <c r="B295" s="21"/>
      <c r="C295" s="471"/>
      <c r="D295" s="474"/>
      <c r="E295" s="1653" t="str">
        <f>Translations!$B$690</f>
        <v>Kopējās tiešās emisijas</v>
      </c>
      <c r="F295" s="1657"/>
      <c r="G295" s="1657"/>
      <c r="H295" s="462" t="str">
        <f>EUconst_Unit</f>
        <v>Vienība</v>
      </c>
      <c r="I295" s="463">
        <f>I$793</f>
        <v>2019</v>
      </c>
      <c r="J295" s="463">
        <f>J$793</f>
        <v>2020</v>
      </c>
      <c r="K295" s="463">
        <f>K$793</f>
        <v>2021</v>
      </c>
      <c r="L295" s="463">
        <f>L$793</f>
        <v>2022</v>
      </c>
      <c r="M295" s="463">
        <f>M$793</f>
        <v>2023</v>
      </c>
      <c r="N295" s="475"/>
      <c r="O295" s="25"/>
      <c r="P295" s="26"/>
      <c r="R295" s="808"/>
      <c r="S295" s="809">
        <f>I295</f>
        <v>2019</v>
      </c>
      <c r="T295" s="809">
        <f>J295</f>
        <v>2020</v>
      </c>
      <c r="U295" s="809">
        <f>K295</f>
        <v>2021</v>
      </c>
      <c r="V295" s="809">
        <f>L295</f>
        <v>2022</v>
      </c>
      <c r="W295" s="810">
        <f>M295</f>
        <v>2023</v>
      </c>
    </row>
    <row r="296" spans="2:23" ht="12.75" customHeight="1" thickBot="1" x14ac:dyDescent="0.25">
      <c r="B296" s="21"/>
      <c r="C296" s="471"/>
      <c r="D296" s="460"/>
      <c r="E296" s="1782" t="str">
        <f>I247</f>
        <v>Siltuma līmeņatzīmes apakšiekārta, OEP | OIM)</v>
      </c>
      <c r="F296" s="1782"/>
      <c r="G296" s="1782"/>
      <c r="H296" s="464" t="str">
        <f>EUconst_tCO2epa</f>
        <v>t CO2e/gads</v>
      </c>
      <c r="I296" s="337"/>
      <c r="J296" s="337"/>
      <c r="K296" s="337"/>
      <c r="L296" s="337"/>
      <c r="M296" s="337"/>
      <c r="N296" s="475"/>
      <c r="O296" s="25"/>
      <c r="P296" s="367" t="str">
        <f>EUconst_CNTR_Emissions &amp; I247</f>
        <v>DirEmissions_Siltuma līmeņatzīmes apakšiekārta, OEP | OIM)</v>
      </c>
      <c r="R296" s="811" t="str">
        <f>EUconst_CNTR_AttributedEmissions &amp; $I247</f>
        <v>AttrEmissions_Siltuma līmeņatzīmes apakšiekārta, OEP | OIM)</v>
      </c>
      <c r="S296" s="137" t="str">
        <f>IF(S247,SUM(I296),"")</f>
        <v/>
      </c>
      <c r="T296" s="137" t="str">
        <f>IF(T247,SUM(J296),"")</f>
        <v/>
      </c>
      <c r="U296" s="137" t="str">
        <f>IF(U247,SUM(K296),"")</f>
        <v/>
      </c>
      <c r="V296" s="137" t="str">
        <f>IF(V247,SUM(L296),"")</f>
        <v/>
      </c>
      <c r="W296" s="138" t="str">
        <f>IF(W247,SUM(M296),"")</f>
        <v/>
      </c>
    </row>
    <row r="297" spans="2:23" ht="5.0999999999999996" customHeight="1" x14ac:dyDescent="0.2">
      <c r="B297" s="21"/>
      <c r="C297" s="471"/>
      <c r="D297" s="460"/>
      <c r="E297" s="460"/>
      <c r="F297" s="460"/>
      <c r="G297" s="460"/>
      <c r="H297" s="460"/>
      <c r="I297" s="460"/>
      <c r="J297" s="460"/>
      <c r="K297" s="460"/>
      <c r="L297" s="460"/>
      <c r="M297" s="476"/>
      <c r="N297" s="475"/>
      <c r="O297" s="25"/>
      <c r="P297" s="26"/>
      <c r="R297" s="26"/>
    </row>
    <row r="298" spans="2:23" ht="12.75" customHeight="1" x14ac:dyDescent="0.2">
      <c r="B298" s="21"/>
      <c r="C298" s="471"/>
      <c r="D298" s="474" t="s">
        <v>342</v>
      </c>
      <c r="E298" s="1663" t="str">
        <f>Translations!$B$1670</f>
        <v>Enerģijas ielaide šajā apakšiekārtā un relevantais emisijas faktors</v>
      </c>
      <c r="F298" s="1663"/>
      <c r="G298" s="1663"/>
      <c r="H298" s="1663"/>
      <c r="I298" s="1663"/>
      <c r="J298" s="1663"/>
      <c r="K298" s="1663"/>
      <c r="L298" s="1663"/>
      <c r="M298" s="1663"/>
      <c r="N298" s="1690"/>
      <c r="O298" s="25"/>
      <c r="R298" s="26"/>
    </row>
    <row r="299" spans="2:23" ht="12.75" customHeight="1" x14ac:dyDescent="0.2">
      <c r="B299" s="21"/>
      <c r="C299" s="471"/>
      <c r="D299" s="460"/>
      <c r="E299" s="1727" t="str">
        <f>Translations!$B$877</f>
        <v>Sīki norādījumi par to, kā šeit ievadīt datus, atrodami augstāk 1. sadaļas d) punktā.</v>
      </c>
      <c r="F299" s="1727"/>
      <c r="G299" s="1727"/>
      <c r="H299" s="1727"/>
      <c r="I299" s="1727"/>
      <c r="J299" s="1727"/>
      <c r="K299" s="1727"/>
      <c r="L299" s="1727"/>
      <c r="M299" s="1727"/>
      <c r="N299" s="1734"/>
      <c r="O299" s="25"/>
      <c r="P299" s="26"/>
      <c r="R299" s="26"/>
    </row>
    <row r="300" spans="2:23" ht="12.75" customHeight="1" x14ac:dyDescent="0.2">
      <c r="B300" s="21"/>
      <c r="C300" s="471"/>
      <c r="D300" s="474"/>
      <c r="E300" s="1653"/>
      <c r="F300" s="1657"/>
      <c r="G300" s="1657"/>
      <c r="H300" s="462" t="str">
        <f>EUconst_Unit</f>
        <v>Vienība</v>
      </c>
      <c r="I300" s="463">
        <f>I$793</f>
        <v>2019</v>
      </c>
      <c r="J300" s="463">
        <f>J$793</f>
        <v>2020</v>
      </c>
      <c r="K300" s="463">
        <f>K$793</f>
        <v>2021</v>
      </c>
      <c r="L300" s="463">
        <f>L$793</f>
        <v>2022</v>
      </c>
      <c r="M300" s="463">
        <f>M$793</f>
        <v>2023</v>
      </c>
      <c r="N300" s="475"/>
      <c r="O300" s="25"/>
      <c r="P300" s="26"/>
      <c r="R300" s="26"/>
    </row>
    <row r="301" spans="2:23" ht="12.75" customHeight="1" x14ac:dyDescent="0.2">
      <c r="B301" s="21"/>
      <c r="C301" s="471"/>
      <c r="D301" s="477" t="s">
        <v>2</v>
      </c>
      <c r="E301" s="1667" t="str">
        <f>Translations!$B$852</f>
        <v>Kopējā kurināmo ielaide</v>
      </c>
      <c r="F301" s="1660"/>
      <c r="G301" s="1660"/>
      <c r="H301" s="466" t="str">
        <f>EUconst_TJpa</f>
        <v>TJ / gads</v>
      </c>
      <c r="I301" s="348"/>
      <c r="J301" s="348"/>
      <c r="K301" s="348"/>
      <c r="L301" s="348"/>
      <c r="M301" s="348"/>
      <c r="N301" s="528"/>
      <c r="O301" s="25"/>
      <c r="P301" s="367" t="str">
        <f>EUconst_CNTR_FuelInput &amp; I247</f>
        <v>FuelInput_Siltuma līmeņatzīmes apakšiekārta, OEP | OIM)</v>
      </c>
      <c r="R301" s="26"/>
    </row>
    <row r="302" spans="2:23" ht="12.75" customHeight="1" x14ac:dyDescent="0.2">
      <c r="B302" s="21"/>
      <c r="C302" s="471"/>
      <c r="D302" s="477" t="s">
        <v>3</v>
      </c>
      <c r="E302" s="1737" t="str">
        <f>Translations!$B$732</f>
        <v>Svērtais emisijas faktors</v>
      </c>
      <c r="F302" s="1659"/>
      <c r="G302" s="1659"/>
      <c r="H302" s="485" t="str">
        <f>EUconst_tCO2pTJ</f>
        <v>t CO2 / TJ</v>
      </c>
      <c r="I302" s="345"/>
      <c r="J302" s="345"/>
      <c r="K302" s="345"/>
      <c r="L302" s="345"/>
      <c r="M302" s="345"/>
      <c r="N302" s="475"/>
      <c r="O302" s="25"/>
      <c r="P302" s="367" t="str">
        <f>EUconst_CNTR_FuelEF &amp; I247</f>
        <v>FuelEF_Siltuma līmeņatzīmes apakšiekārta, OEP | OIM)</v>
      </c>
      <c r="R302" s="26"/>
      <c r="S302" s="26"/>
      <c r="T302" s="26"/>
      <c r="U302" s="26"/>
      <c r="V302" s="26"/>
      <c r="W302" s="26"/>
    </row>
    <row r="303" spans="2:23" ht="12.75" customHeight="1" x14ac:dyDescent="0.2">
      <c r="B303" s="21"/>
      <c r="C303" s="471"/>
      <c r="D303" s="477" t="s">
        <v>4</v>
      </c>
      <c r="E303" s="1667" t="str">
        <f>Translations!$B$853</f>
        <v>Atlikumgāzu kurināmā ielaide</v>
      </c>
      <c r="F303" s="1660"/>
      <c r="G303" s="1660"/>
      <c r="H303" s="466" t="str">
        <f>EUconst_TJpa</f>
        <v>TJ / gads</v>
      </c>
      <c r="I303" s="348"/>
      <c r="J303" s="348"/>
      <c r="K303" s="348"/>
      <c r="L303" s="348"/>
      <c r="M303" s="348"/>
      <c r="N303" s="475"/>
      <c r="O303" s="25"/>
      <c r="P303" s="453" t="str">
        <f>EUconst_CNTR_WGConsumed &amp; I247</f>
        <v>WasteGasCons_Siltuma līmeņatzīmes apakšiekārta, OEP | OIM)</v>
      </c>
      <c r="R303" s="26"/>
      <c r="S303" s="26"/>
      <c r="T303" s="26"/>
      <c r="U303" s="26"/>
      <c r="V303" s="26"/>
      <c r="W303" s="26"/>
    </row>
    <row r="304" spans="2:23" ht="12.75" customHeight="1" x14ac:dyDescent="0.2">
      <c r="B304" s="21"/>
      <c r="C304" s="471"/>
      <c r="D304" s="477" t="s">
        <v>6</v>
      </c>
      <c r="E304" s="1737" t="str">
        <f>Translations!$B$854</f>
        <v>Īpatnējais EF (atlikumgāze)</v>
      </c>
      <c r="F304" s="1659"/>
      <c r="G304" s="1659"/>
      <c r="H304" s="485" t="str">
        <f>EUconst_tCO2pTJ</f>
        <v>t CO2 / TJ</v>
      </c>
      <c r="I304" s="345"/>
      <c r="J304" s="345"/>
      <c r="K304" s="345"/>
      <c r="L304" s="345"/>
      <c r="M304" s="345"/>
      <c r="N304" s="475"/>
      <c r="O304" s="25"/>
      <c r="P304" s="367" t="str">
        <f>EUconst_CNTR_WGConsumedEF &amp; I247</f>
        <v>WasteGasConsEF_Siltuma līmeņatzīmes apakšiekārta, OEP | OIM)</v>
      </c>
      <c r="R304" s="26"/>
      <c r="S304" s="26"/>
      <c r="T304" s="26"/>
      <c r="U304" s="26"/>
      <c r="V304" s="26"/>
      <c r="W304" s="26"/>
    </row>
    <row r="305" spans="2:23" ht="12.75" customHeight="1" x14ac:dyDescent="0.2">
      <c r="B305" s="21"/>
      <c r="C305" s="471"/>
      <c r="D305" s="477" t="s">
        <v>303</v>
      </c>
      <c r="E305" s="1667" t="str">
        <f>Translations!$B$1631</f>
        <v>Elektroenerģijas ielaide siltuma ražošanai</v>
      </c>
      <c r="F305" s="1660"/>
      <c r="G305" s="1660"/>
      <c r="H305" s="466" t="str">
        <f>EUconst_TJpa</f>
        <v>TJ / gads</v>
      </c>
      <c r="I305" s="348"/>
      <c r="J305" s="348"/>
      <c r="K305" s="348"/>
      <c r="L305" s="348"/>
      <c r="M305" s="348"/>
      <c r="N305" s="475"/>
      <c r="O305" s="25"/>
      <c r="P305" s="367" t="str">
        <f>EUconst_CNTR_ElectricityInput &amp; I247</f>
        <v>ElectricityInput_Siltuma līmeņatzīmes apakšiekārta, OEP | OIM)</v>
      </c>
      <c r="R305" s="26"/>
      <c r="S305" s="26"/>
      <c r="T305" s="26"/>
      <c r="U305" s="26"/>
      <c r="V305" s="26"/>
      <c r="W305" s="26"/>
    </row>
    <row r="306" spans="2:23" ht="12.75" customHeight="1" x14ac:dyDescent="0.2">
      <c r="B306" s="21"/>
      <c r="C306" s="471"/>
      <c r="D306" s="477" t="s">
        <v>304</v>
      </c>
      <c r="E306" s="1737" t="str">
        <f>Translations!$B$732</f>
        <v>Svērtais emisijas faktors</v>
      </c>
      <c r="F306" s="1659"/>
      <c r="G306" s="1659"/>
      <c r="H306" s="485" t="str">
        <f>EUconst_tCO2pTJ</f>
        <v>t CO2 / TJ</v>
      </c>
      <c r="I306" s="1182"/>
      <c r="J306" s="1182"/>
      <c r="K306" s="1182"/>
      <c r="L306" s="1182"/>
      <c r="M306" s="1182"/>
      <c r="N306" s="475"/>
      <c r="O306" s="25"/>
      <c r="P306" s="367" t="str">
        <f>EUconst_CNTR_ElectricityEF &amp; I247</f>
        <v>ElectricityEF_Siltuma līmeņatzīmes apakšiekārta, OEP | OIM)</v>
      </c>
      <c r="R306" s="26"/>
      <c r="S306" s="26"/>
      <c r="T306" s="26"/>
      <c r="U306" s="26"/>
      <c r="V306" s="26"/>
      <c r="W306" s="26"/>
    </row>
    <row r="307" spans="2:23" ht="12.75" customHeight="1" x14ac:dyDescent="0.2">
      <c r="B307" s="21"/>
      <c r="C307" s="471"/>
      <c r="D307" s="477" t="s">
        <v>305</v>
      </c>
      <c r="E307" s="1667" t="str">
        <f>Translations!$B$1632</f>
        <v>Citas enerģijas (piemēram, eksotermiskā siltuma) ielaide</v>
      </c>
      <c r="F307" s="1660"/>
      <c r="G307" s="1660"/>
      <c r="H307" s="466" t="str">
        <f>EUconst_TJpa</f>
        <v>TJ / gads</v>
      </c>
      <c r="I307" s="348"/>
      <c r="J307" s="348"/>
      <c r="K307" s="348"/>
      <c r="L307" s="348"/>
      <c r="M307" s="348"/>
      <c r="N307" s="475"/>
      <c r="O307" s="25"/>
      <c r="P307" s="367" t="str">
        <f>EUconst_CNTR_OtherEnergyInput &amp; I247</f>
        <v>OtherEnergyInput_Siltuma līmeņatzīmes apakšiekārta, OEP | OIM)</v>
      </c>
      <c r="R307" s="26"/>
      <c r="S307" s="26"/>
      <c r="T307" s="26"/>
      <c r="U307" s="26"/>
      <c r="V307" s="26"/>
      <c r="W307" s="26"/>
    </row>
    <row r="308" spans="2:23" ht="12.75" customHeight="1" x14ac:dyDescent="0.2">
      <c r="B308" s="21"/>
      <c r="C308" s="471"/>
      <c r="D308" s="477" t="s">
        <v>306</v>
      </c>
      <c r="E308" s="1737" t="str">
        <f>Translations!$B$732</f>
        <v>Svērtais emisijas faktors</v>
      </c>
      <c r="F308" s="1659"/>
      <c r="G308" s="1659"/>
      <c r="H308" s="485" t="str">
        <f>EUconst_tCO2pTJ</f>
        <v>t CO2 / TJ</v>
      </c>
      <c r="I308" s="1182"/>
      <c r="J308" s="1182"/>
      <c r="K308" s="1182"/>
      <c r="L308" s="1182"/>
      <c r="M308" s="1182"/>
      <c r="N308" s="475"/>
      <c r="O308" s="25"/>
      <c r="P308" s="367" t="str">
        <f>EUconst_CNTR_OtherEnergyEF &amp; I247</f>
        <v>OtherEnergyEF_Siltuma līmeņatzīmes apakšiekārta, OEP | OIM)</v>
      </c>
      <c r="R308" s="26"/>
      <c r="S308" s="26"/>
      <c r="T308" s="26"/>
      <c r="U308" s="26"/>
      <c r="V308" s="26"/>
      <c r="W308" s="26"/>
    </row>
    <row r="309" spans="2:23" ht="12.75" customHeight="1" x14ac:dyDescent="0.2">
      <c r="B309" s="21"/>
      <c r="C309" s="471"/>
      <c r="D309" s="477" t="s">
        <v>307</v>
      </c>
      <c r="E309" s="1651" t="str">
        <f>Translations!$B$1678</f>
        <v>Kopējā enerģijas ielaide (= i. + v. + vii.)</v>
      </c>
      <c r="F309" s="1652"/>
      <c r="G309" s="1652"/>
      <c r="H309" s="465" t="str">
        <f>EUconst_TJpa</f>
        <v>TJ / gads</v>
      </c>
      <c r="I309" s="448" t="str">
        <f>IF($M247&lt;&gt;EUconst_Relevant,"",SUM(I301,I305,I307))</f>
        <v/>
      </c>
      <c r="J309" s="448" t="str">
        <f>IF($M247&lt;&gt;EUconst_Relevant,"",SUM(J301,J305,J307))</f>
        <v/>
      </c>
      <c r="K309" s="448" t="str">
        <f>IF($M247&lt;&gt;EUconst_Relevant,"",SUM(K301,K305,K307))</f>
        <v/>
      </c>
      <c r="L309" s="448" t="str">
        <f>IF($M247&lt;&gt;EUconst_Relevant,"",SUM(L301,L305,L307))</f>
        <v/>
      </c>
      <c r="M309" s="448" t="str">
        <f>IF($M247&lt;&gt;EUconst_Relevant,"",SUM(M301,M305,M307))</f>
        <v/>
      </c>
      <c r="N309" s="475"/>
      <c r="O309" s="25"/>
      <c r="P309" s="367" t="str">
        <f>EUconst_CNTR_TotalEnergyInput &amp; I247</f>
        <v>TotalEnergyInput_Siltuma līmeņatzīmes apakšiekārta, OEP | OIM)</v>
      </c>
      <c r="R309" s="26"/>
    </row>
    <row r="310" spans="2:23" ht="5.0999999999999996" customHeight="1" x14ac:dyDescent="0.2">
      <c r="B310" s="38"/>
      <c r="C310" s="472"/>
      <c r="D310" s="461"/>
      <c r="E310" s="461"/>
      <c r="F310" s="461"/>
      <c r="G310" s="461"/>
      <c r="H310" s="461"/>
      <c r="I310" s="461"/>
      <c r="J310" s="461"/>
      <c r="K310" s="461"/>
      <c r="L310" s="461"/>
      <c r="M310" s="461"/>
      <c r="N310" s="473"/>
      <c r="O310" s="25"/>
      <c r="R310" s="26"/>
      <c r="S310" s="26"/>
    </row>
    <row r="311" spans="2:23" ht="12.75" customHeight="1" x14ac:dyDescent="0.2">
      <c r="B311" s="21"/>
      <c r="C311" s="471"/>
      <c r="D311" s="474" t="s">
        <v>12</v>
      </c>
      <c r="E311" s="1654" t="str">
        <f>Translations!$B$532</f>
        <v>Saražotais izmērāmais siltums</v>
      </c>
      <c r="F311" s="1655"/>
      <c r="G311" s="1655"/>
      <c r="H311" s="1655"/>
      <c r="I311" s="1655"/>
      <c r="J311" s="1655"/>
      <c r="K311" s="1655"/>
      <c r="L311" s="1655"/>
      <c r="M311" s="1655"/>
      <c r="N311" s="1656"/>
      <c r="O311" s="25"/>
      <c r="P311" s="26"/>
      <c r="R311" s="26"/>
      <c r="S311" s="26"/>
    </row>
    <row r="312" spans="2:23" ht="12.75" customHeight="1" x14ac:dyDescent="0.2">
      <c r="B312" s="21"/>
      <c r="C312" s="471"/>
      <c r="D312" s="460"/>
      <c r="E312" s="1727" t="str">
        <f>Translations!$B$878</f>
        <v>Sīki norādījumi par to, kā šeit ievadīt datus, atrodami augstāk 1. sadaļas e) punktā.</v>
      </c>
      <c r="F312" s="1727"/>
      <c r="G312" s="1727"/>
      <c r="H312" s="1727"/>
      <c r="I312" s="1727"/>
      <c r="J312" s="1727"/>
      <c r="K312" s="1727"/>
      <c r="L312" s="1727"/>
      <c r="M312" s="1727"/>
      <c r="N312" s="1734"/>
      <c r="O312" s="25"/>
      <c r="P312" s="26"/>
      <c r="R312" s="26"/>
    </row>
    <row r="313" spans="2:23" ht="12.75" customHeight="1" x14ac:dyDescent="0.2">
      <c r="B313" s="21"/>
      <c r="C313" s="471"/>
      <c r="D313" s="474"/>
      <c r="E313" s="1653" t="str">
        <f>Translations!$B$532</f>
        <v>Saražotais izmērāmais siltums</v>
      </c>
      <c r="F313" s="1657"/>
      <c r="G313" s="1657"/>
      <c r="H313" s="462" t="str">
        <f>EUconst_Unit</f>
        <v>Vienība</v>
      </c>
      <c r="I313" s="463">
        <f>I$793</f>
        <v>2019</v>
      </c>
      <c r="J313" s="463">
        <f>J$793</f>
        <v>2020</v>
      </c>
      <c r="K313" s="463">
        <f>K$793</f>
        <v>2021</v>
      </c>
      <c r="L313" s="463">
        <f>L$793</f>
        <v>2022</v>
      </c>
      <c r="M313" s="463">
        <f>M$793</f>
        <v>2023</v>
      </c>
      <c r="N313" s="475"/>
      <c r="O313" s="25"/>
      <c r="P313" s="26"/>
      <c r="R313" s="26"/>
      <c r="S313" s="26"/>
      <c r="T313" s="26"/>
      <c r="U313" s="26"/>
      <c r="V313" s="26"/>
      <c r="W313" s="26"/>
    </row>
    <row r="314" spans="2:23" ht="12.75" customHeight="1" x14ac:dyDescent="0.2">
      <c r="B314" s="21"/>
      <c r="C314" s="471"/>
      <c r="D314" s="477" t="s">
        <v>2</v>
      </c>
      <c r="E314" s="1651" t="str">
        <f>Translations!$B$1680</f>
        <v>Kopējais saražotais daudzums (ieskaitot elektroenerģiju)</v>
      </c>
      <c r="F314" s="1652"/>
      <c r="G314" s="1652"/>
      <c r="H314" s="464" t="str">
        <f>EUconst_TJpa</f>
        <v>TJ / gads</v>
      </c>
      <c r="I314" s="337"/>
      <c r="J314" s="337"/>
      <c r="K314" s="337"/>
      <c r="L314" s="337"/>
      <c r="M314" s="337"/>
      <c r="N314" s="475"/>
      <c r="O314" s="25"/>
      <c r="P314" s="367" t="str">
        <f>EUconst_CNTR_HeatProduced &amp; I247</f>
        <v>HeatProd_Siltuma līmeņatzīmes apakšiekārta, OEP | OIM)</v>
      </c>
      <c r="R314" s="26"/>
      <c r="S314" s="26"/>
      <c r="T314" s="26"/>
      <c r="U314" s="26"/>
      <c r="V314" s="26"/>
      <c r="W314" s="26"/>
    </row>
    <row r="315" spans="2:23" ht="12.75" customHeight="1" x14ac:dyDescent="0.2">
      <c r="B315" s="21"/>
      <c r="C315" s="471"/>
      <c r="D315" s="477" t="s">
        <v>3</v>
      </c>
      <c r="E315" s="1651" t="str">
        <f>Translations!$B$1681</f>
        <v>No elektroenerģijas saražotais siltums</v>
      </c>
      <c r="F315" s="1652"/>
      <c r="G315" s="1652"/>
      <c r="H315" s="464" t="str">
        <f>EUconst_TJpa</f>
        <v>TJ / gads</v>
      </c>
      <c r="I315" s="337"/>
      <c r="J315" s="337"/>
      <c r="K315" s="337"/>
      <c r="L315" s="337"/>
      <c r="M315" s="337"/>
      <c r="N315" s="475"/>
      <c r="O315" s="25"/>
      <c r="P315" s="367" t="str">
        <f>EUconst_CNTR_HeatProducedElectricity &amp; I247</f>
        <v>HeatProdElec_Siltuma līmeņatzīmes apakšiekārta, OEP | OIM)</v>
      </c>
      <c r="R315" s="26"/>
      <c r="S315" s="26"/>
      <c r="T315" s="26"/>
      <c r="U315" s="26"/>
      <c r="V315" s="26"/>
      <c r="W315" s="26"/>
    </row>
    <row r="316" spans="2:23" ht="5.0999999999999996" customHeight="1" x14ac:dyDescent="0.2">
      <c r="B316" s="21"/>
      <c r="C316" s="471"/>
      <c r="D316" s="460"/>
      <c r="E316" s="460"/>
      <c r="F316" s="460"/>
      <c r="G316" s="460"/>
      <c r="H316" s="460"/>
      <c r="I316" s="460"/>
      <c r="J316" s="460"/>
      <c r="K316" s="460"/>
      <c r="L316" s="460"/>
      <c r="M316" s="476"/>
      <c r="N316" s="475"/>
      <c r="O316" s="25"/>
      <c r="P316" s="26"/>
      <c r="R316" s="26"/>
    </row>
    <row r="317" spans="2:23" ht="12.75" customHeight="1" x14ac:dyDescent="0.2">
      <c r="B317" s="21"/>
      <c r="C317" s="471"/>
      <c r="D317" s="474" t="s">
        <v>13</v>
      </c>
      <c r="E317" s="1654" t="str">
        <f>Translations!$B$857</f>
        <v>Importētais izmērāmais siltums</v>
      </c>
      <c r="F317" s="1655"/>
      <c r="G317" s="1655"/>
      <c r="H317" s="1655"/>
      <c r="I317" s="1655"/>
      <c r="J317" s="1655"/>
      <c r="K317" s="1655"/>
      <c r="L317" s="1655"/>
      <c r="M317" s="1655"/>
      <c r="N317" s="1656"/>
      <c r="O317" s="25"/>
      <c r="P317" s="26"/>
      <c r="R317" s="26"/>
    </row>
    <row r="318" spans="2:23" ht="12.75" customHeight="1" x14ac:dyDescent="0.2">
      <c r="B318" s="21"/>
      <c r="C318" s="471"/>
      <c r="D318" s="460"/>
      <c r="E318" s="1727" t="str">
        <f>Translations!$B$879</f>
        <v>Sīki norādījumi par to, kā šeit ievadīt datus, atrodami augstāk 1. sadaļas f) punktā.</v>
      </c>
      <c r="F318" s="1727"/>
      <c r="G318" s="1727"/>
      <c r="H318" s="1727"/>
      <c r="I318" s="1727"/>
      <c r="J318" s="1727"/>
      <c r="K318" s="1727"/>
      <c r="L318" s="1727"/>
      <c r="M318" s="1727"/>
      <c r="N318" s="1734"/>
      <c r="O318" s="25"/>
      <c r="P318" s="26"/>
      <c r="R318" s="26"/>
    </row>
    <row r="319" spans="2:23" ht="12.75" customHeight="1" x14ac:dyDescent="0.2">
      <c r="B319" s="21"/>
      <c r="C319" s="471"/>
      <c r="D319" s="460"/>
      <c r="E319" s="1653" t="str">
        <f>Translations!$B$866</f>
        <v>Neto importētais siltums (citi avoti)</v>
      </c>
      <c r="F319" s="1657"/>
      <c r="G319" s="1657"/>
      <c r="H319" s="462" t="str">
        <f>EUconst_Unit</f>
        <v>Vienība</v>
      </c>
      <c r="I319" s="463">
        <f>I$793</f>
        <v>2019</v>
      </c>
      <c r="J319" s="463">
        <f>J$793</f>
        <v>2020</v>
      </c>
      <c r="K319" s="463">
        <f>K$793</f>
        <v>2021</v>
      </c>
      <c r="L319" s="463">
        <f>L$793</f>
        <v>2022</v>
      </c>
      <c r="M319" s="463">
        <f>M$793</f>
        <v>2023</v>
      </c>
      <c r="N319" s="1205"/>
      <c r="O319" s="25"/>
      <c r="P319" s="26"/>
      <c r="R319" s="26"/>
      <c r="S319" s="63">
        <f>I319</f>
        <v>2019</v>
      </c>
      <c r="T319" s="63">
        <f>J319</f>
        <v>2020</v>
      </c>
      <c r="U319" s="63">
        <f>K319</f>
        <v>2021</v>
      </c>
      <c r="V319" s="63">
        <f>L319</f>
        <v>2022</v>
      </c>
      <c r="W319" s="63">
        <f>M319</f>
        <v>2023</v>
      </c>
    </row>
    <row r="320" spans="2:23" ht="12.75" customHeight="1" x14ac:dyDescent="0.2">
      <c r="B320" s="21"/>
      <c r="C320" s="471"/>
      <c r="D320" s="477" t="s">
        <v>2</v>
      </c>
      <c r="E320" s="1651" t="str">
        <f>Translations!$B$764</f>
        <v>Neto importētais siltums</v>
      </c>
      <c r="F320" s="1652"/>
      <c r="G320" s="1652"/>
      <c r="H320" s="465" t="str">
        <f>EUconst_TJpa</f>
        <v>TJ / gads</v>
      </c>
      <c r="I320" s="483"/>
      <c r="J320" s="483"/>
      <c r="K320" s="483"/>
      <c r="L320" s="483"/>
      <c r="M320" s="483"/>
      <c r="N320" s="528"/>
      <c r="O320" s="25"/>
      <c r="P320" s="367" t="str">
        <f>EUconst_CNTR_HeatImport &amp; I247</f>
        <v>HeatIm_Siltuma līmeņatzīmes apakšiekārta, OEP | OIM)</v>
      </c>
      <c r="R320" s="842" t="str">
        <f>EUconst_ERR_AttrEmBMapplied &amp; $I247</f>
        <v>ERR_AttrEmBM_ Siltuma līmeņatzīmes apakšiekārta, OEP | OIM)</v>
      </c>
      <c r="S320" s="134">
        <f>IF(AND(I320&lt;&gt;0,I321="",EUconst_StatusOfDataCollection=""),1,0)</f>
        <v>0</v>
      </c>
      <c r="T320" s="134">
        <f>IF(AND(J320&lt;&gt;0,J321="",EUconst_StatusOfDataCollection=""),1,0)</f>
        <v>0</v>
      </c>
      <c r="U320" s="134">
        <f>IF(AND(K320&lt;&gt;0,K321="",EUconst_StatusOfDataCollection=""),1,0)</f>
        <v>0</v>
      </c>
      <c r="V320" s="134">
        <f>IF(AND(L320&lt;&gt;0,L321="",EUconst_StatusOfDataCollection=""),1,0)</f>
        <v>0</v>
      </c>
      <c r="W320" s="134">
        <f>IF(AND(M320&lt;&gt;0,M321="",EUconst_StatusOfDataCollection=""),1,0)</f>
        <v>0</v>
      </c>
    </row>
    <row r="321" spans="2:23" ht="12.75" customHeight="1" x14ac:dyDescent="0.2">
      <c r="B321" s="21"/>
      <c r="C321" s="471"/>
      <c r="D321" s="477" t="s">
        <v>3</v>
      </c>
      <c r="E321" s="1651" t="str">
        <f>Translations!$B$765</f>
        <v>Īpatnējais EF (importētais siltums)</v>
      </c>
      <c r="F321" s="1652"/>
      <c r="G321" s="1652"/>
      <c r="H321" s="465" t="str">
        <f>EUconst_tCO2pTJ</f>
        <v>t CO2 / TJ</v>
      </c>
      <c r="I321" s="760"/>
      <c r="J321" s="760"/>
      <c r="K321" s="760"/>
      <c r="L321" s="760"/>
      <c r="M321" s="760"/>
      <c r="N321" s="475"/>
      <c r="O321" s="25"/>
      <c r="P321" s="367" t="str">
        <f>EUconst_CNTR_HeatImportEF &amp; I247</f>
        <v>HeatImEF_Siltuma līmeņatzīmes apakšiekārta, OEP | OIM)</v>
      </c>
      <c r="R321" s="873" t="str">
        <f>EUconst_CNTR_AttributedEmissions &amp; $I247</f>
        <v>AttrEmissions_Siltuma līmeņatzīmes apakšiekārta, OEP | OIM)</v>
      </c>
      <c r="S321" s="134" t="str">
        <f>IF(S247,SUM(I320)*IF(ISNUMBER(I321),I321,EUconst_HeatBMvalueForBM),"")</f>
        <v/>
      </c>
      <c r="T321" s="134" t="str">
        <f>IF(T247,SUM(J320)*IF(ISNUMBER(J321),J321,EUconst_HeatBMvalueForBM),"")</f>
        <v/>
      </c>
      <c r="U321" s="134" t="str">
        <f>IF(U247,SUM(K320)*IF(ISNUMBER(K321),K321,EUconst_HeatBMvalueForBM),"")</f>
        <v/>
      </c>
      <c r="V321" s="134" t="str">
        <f>IF(V247,SUM(L320)*IF(ISNUMBER(L321),L321,EUconst_HeatBMvalueForBM),"")</f>
        <v/>
      </c>
      <c r="W321" s="134" t="str">
        <f>IF(W247,SUM(M320)*IF(ISNUMBER(M321),M321,EUconst_HeatBMvalueForBM),"")</f>
        <v/>
      </c>
    </row>
    <row r="322" spans="2:23" ht="5.0999999999999996" customHeight="1" x14ac:dyDescent="0.2">
      <c r="B322" s="21"/>
      <c r="C322" s="471"/>
      <c r="D322" s="460"/>
      <c r="E322" s="460"/>
      <c r="F322" s="460"/>
      <c r="G322" s="460"/>
      <c r="H322" s="460"/>
      <c r="I322" s="460"/>
      <c r="J322" s="460"/>
      <c r="K322" s="460"/>
      <c r="L322" s="460"/>
      <c r="M322" s="476"/>
      <c r="N322" s="475"/>
      <c r="O322" s="25"/>
      <c r="P322" s="26"/>
      <c r="R322" s="26"/>
      <c r="S322" s="26"/>
    </row>
    <row r="323" spans="2:23" ht="12.75" customHeight="1" x14ac:dyDescent="0.2">
      <c r="B323" s="21"/>
      <c r="C323" s="471"/>
      <c r="D323" s="460"/>
      <c r="E323" s="1653" t="str">
        <f>Translations!$B$867</f>
        <v>Siltums no produkta LA</v>
      </c>
      <c r="F323" s="1657"/>
      <c r="G323" s="1657"/>
      <c r="H323" s="462" t="str">
        <f>EUconst_Unit</f>
        <v>Vienība</v>
      </c>
      <c r="I323" s="463">
        <f>I$793</f>
        <v>2019</v>
      </c>
      <c r="J323" s="463">
        <f>J$793</f>
        <v>2020</v>
      </c>
      <c r="K323" s="463">
        <f>K$793</f>
        <v>2021</v>
      </c>
      <c r="L323" s="463">
        <f>L$793</f>
        <v>2022</v>
      </c>
      <c r="M323" s="463">
        <f>M$793</f>
        <v>2023</v>
      </c>
      <c r="N323" s="1205"/>
      <c r="O323" s="25"/>
      <c r="P323" s="26"/>
      <c r="R323" s="26"/>
      <c r="S323" s="63">
        <f>I323</f>
        <v>2019</v>
      </c>
      <c r="T323" s="63">
        <f>J323</f>
        <v>2020</v>
      </c>
      <c r="U323" s="63">
        <f>K323</f>
        <v>2021</v>
      </c>
      <c r="V323" s="63">
        <f>L323</f>
        <v>2022</v>
      </c>
      <c r="W323" s="63">
        <f>M323</f>
        <v>2023</v>
      </c>
    </row>
    <row r="324" spans="2:23" ht="12.75" customHeight="1" x14ac:dyDescent="0.2">
      <c r="B324" s="21"/>
      <c r="C324" s="471"/>
      <c r="D324" s="477" t="s">
        <v>6</v>
      </c>
      <c r="E324" s="1651" t="str">
        <f>Translations!$B$764</f>
        <v>Neto importētais siltums</v>
      </c>
      <c r="F324" s="1652"/>
      <c r="G324" s="1652"/>
      <c r="H324" s="465" t="str">
        <f>EUconst_TJpa</f>
        <v>TJ / gads</v>
      </c>
      <c r="I324" s="483"/>
      <c r="J324" s="483"/>
      <c r="K324" s="483"/>
      <c r="L324" s="483"/>
      <c r="M324" s="483"/>
      <c r="N324" s="528"/>
      <c r="O324" s="25"/>
      <c r="P324" s="367" t="str">
        <f>EUconst_CNTR_HeatImportProduct &amp; I247</f>
        <v>HeatImProd_Siltuma līmeņatzīmes apakšiekārta, OEP | OIM)</v>
      </c>
      <c r="R324" s="842" t="str">
        <f>EUconst_ERR_AttrEmBMapplied &amp; $I247</f>
        <v>ERR_AttrEmBM_ Siltuma līmeņatzīmes apakšiekārta, OEP | OIM)</v>
      </c>
      <c r="S324" s="134">
        <f>IF(AND(I324&lt;&gt;0,I325="",EUconst_StatusOfDataCollection=""),1,0)</f>
        <v>0</v>
      </c>
      <c r="T324" s="134">
        <f>IF(AND(J324&lt;&gt;0,J325="",EUconst_StatusOfDataCollection=""),1,0)</f>
        <v>0</v>
      </c>
      <c r="U324" s="134">
        <f>IF(AND(K324&lt;&gt;0,K325="",EUconst_StatusOfDataCollection=""),1,0)</f>
        <v>0</v>
      </c>
      <c r="V324" s="134">
        <f>IF(AND(L324&lt;&gt;0,L325="",EUconst_StatusOfDataCollection=""),1,0)</f>
        <v>0</v>
      </c>
      <c r="W324" s="134">
        <f>IF(AND(M324&lt;&gt;0,M325="",EUconst_StatusOfDataCollection=""),1,0)</f>
        <v>0</v>
      </c>
    </row>
    <row r="325" spans="2:23" ht="12.75" customHeight="1" x14ac:dyDescent="0.2">
      <c r="B325" s="21"/>
      <c r="C325" s="471"/>
      <c r="D325" s="477" t="s">
        <v>303</v>
      </c>
      <c r="E325" s="1651" t="str">
        <f>Translations!$B$868</f>
        <v>Īpatnējais EF (siltums no produkta LA)</v>
      </c>
      <c r="F325" s="1652"/>
      <c r="G325" s="1652"/>
      <c r="H325" s="465" t="str">
        <f>EUconst_tCO2pTJ</f>
        <v>t CO2 / TJ</v>
      </c>
      <c r="I325" s="760"/>
      <c r="J325" s="760"/>
      <c r="K325" s="760"/>
      <c r="L325" s="760"/>
      <c r="M325" s="760"/>
      <c r="N325" s="475"/>
      <c r="O325" s="25"/>
      <c r="P325" s="367" t="str">
        <f>EUconst_CNTR_HeatImportProductEF &amp; I247</f>
        <v>HeatImProdEF_Siltuma līmeņatzīmes apakšiekārta, OEP | OIM)</v>
      </c>
      <c r="R325" s="873" t="str">
        <f>EUconst_CNTR_AttributedEmissions &amp; $I247</f>
        <v>AttrEmissions_Siltuma līmeņatzīmes apakšiekārta, OEP | OIM)</v>
      </c>
      <c r="S325" s="134" t="str">
        <f>IF(S247,SUM(I324)*IF(ISNUMBER(I325),I325,EUconst_HeatBMvalueForBM),"")</f>
        <v/>
      </c>
      <c r="T325" s="134" t="str">
        <f>IF(T247,SUM(J324)*IF(ISNUMBER(J325),J325,EUconst_HeatBMvalueForBM),"")</f>
        <v/>
      </c>
      <c r="U325" s="134" t="str">
        <f>IF(U247,SUM(K324)*IF(ISNUMBER(K325),K325,EUconst_HeatBMvalueForBM),"")</f>
        <v/>
      </c>
      <c r="V325" s="134" t="str">
        <f>IF(V247,SUM(L324)*IF(ISNUMBER(L325),L325,EUconst_HeatBMvalueForBM),"")</f>
        <v/>
      </c>
      <c r="W325" s="134" t="str">
        <f>IF(W247,SUM(M324)*IF(ISNUMBER(M325),M325,EUconst_HeatBMvalueForBM),"")</f>
        <v/>
      </c>
    </row>
    <row r="326" spans="2:23" ht="5.0999999999999996" customHeight="1" x14ac:dyDescent="0.2">
      <c r="B326" s="21"/>
      <c r="C326" s="471"/>
      <c r="D326" s="460"/>
      <c r="E326" s="460"/>
      <c r="F326" s="460"/>
      <c r="G326" s="460"/>
      <c r="H326" s="460"/>
      <c r="I326" s="460"/>
      <c r="J326" s="460"/>
      <c r="K326" s="460"/>
      <c r="L326" s="460"/>
      <c r="M326" s="476"/>
      <c r="N326" s="475"/>
      <c r="O326" s="25"/>
      <c r="P326" s="26"/>
      <c r="R326" s="26"/>
      <c r="S326" s="26"/>
    </row>
    <row r="327" spans="2:23" ht="12.75" customHeight="1" x14ac:dyDescent="0.2">
      <c r="B327" s="21"/>
      <c r="C327" s="471"/>
      <c r="D327" s="460"/>
      <c r="E327" s="1653" t="str">
        <f>Translations!$B$869</f>
        <v>Siltums no pulpas</v>
      </c>
      <c r="F327" s="1657"/>
      <c r="G327" s="1657"/>
      <c r="H327" s="462" t="str">
        <f>EUconst_Unit</f>
        <v>Vienība</v>
      </c>
      <c r="I327" s="463">
        <f>I$793</f>
        <v>2019</v>
      </c>
      <c r="J327" s="463">
        <f>J$793</f>
        <v>2020</v>
      </c>
      <c r="K327" s="463">
        <f>K$793</f>
        <v>2021</v>
      </c>
      <c r="L327" s="463">
        <f>L$793</f>
        <v>2022</v>
      </c>
      <c r="M327" s="463">
        <f>M$793</f>
        <v>2023</v>
      </c>
      <c r="N327" s="1205"/>
      <c r="O327" s="25"/>
      <c r="P327" s="26"/>
      <c r="R327" s="26"/>
      <c r="S327" s="63">
        <f>I327</f>
        <v>2019</v>
      </c>
      <c r="T327" s="63">
        <f>J327</f>
        <v>2020</v>
      </c>
      <c r="U327" s="63">
        <f>K327</f>
        <v>2021</v>
      </c>
      <c r="V327" s="63">
        <f>L327</f>
        <v>2022</v>
      </c>
      <c r="W327" s="63">
        <f>M327</f>
        <v>2023</v>
      </c>
    </row>
    <row r="328" spans="2:23" ht="12.75" customHeight="1" x14ac:dyDescent="0.2">
      <c r="B328" s="21"/>
      <c r="C328" s="471"/>
      <c r="D328" s="477" t="s">
        <v>305</v>
      </c>
      <c r="E328" s="1651" t="str">
        <f>Translations!$B$764</f>
        <v>Neto importētais siltums</v>
      </c>
      <c r="F328" s="1652"/>
      <c r="G328" s="1652"/>
      <c r="H328" s="465" t="str">
        <f>EUconst_TJpa</f>
        <v>TJ / gads</v>
      </c>
      <c r="I328" s="483"/>
      <c r="J328" s="483"/>
      <c r="K328" s="483"/>
      <c r="L328" s="483"/>
      <c r="M328" s="483"/>
      <c r="N328" s="528"/>
      <c r="O328" s="25"/>
      <c r="P328" s="367" t="str">
        <f>EUconst_CNTR_HeatImportPulp &amp; I247</f>
        <v>HeatImPulp_Siltuma līmeņatzīmes apakšiekārta, OEP | OIM)</v>
      </c>
      <c r="R328" s="842" t="str">
        <f>EUconst_ERR_AttrEmBMapplied &amp; $I247</f>
        <v>ERR_AttrEmBM_ Siltuma līmeņatzīmes apakšiekārta, OEP | OIM)</v>
      </c>
      <c r="S328" s="134">
        <f>IF(AND(I328&lt;&gt;0,I329="",EUconst_StatusOfDataCollection=""),1,0)</f>
        <v>0</v>
      </c>
      <c r="T328" s="134">
        <f>IF(AND(J328&lt;&gt;0,J329="",EUconst_StatusOfDataCollection=""),1,0)</f>
        <v>0</v>
      </c>
      <c r="U328" s="134">
        <f>IF(AND(K328&lt;&gt;0,K329="",EUconst_StatusOfDataCollection=""),1,0)</f>
        <v>0</v>
      </c>
      <c r="V328" s="134">
        <f>IF(AND(L328&lt;&gt;0,L329="",EUconst_StatusOfDataCollection=""),1,0)</f>
        <v>0</v>
      </c>
      <c r="W328" s="134">
        <f>IF(AND(M328&lt;&gt;0,M329="",EUconst_StatusOfDataCollection=""),1,0)</f>
        <v>0</v>
      </c>
    </row>
    <row r="329" spans="2:23" ht="12.75" customHeight="1" x14ac:dyDescent="0.2">
      <c r="B329" s="21"/>
      <c r="C329" s="471"/>
      <c r="D329" s="477" t="s">
        <v>306</v>
      </c>
      <c r="E329" s="1651" t="str">
        <f>Translations!$B$870</f>
        <v>Īpatnējais EF (siltums no pulpas)</v>
      </c>
      <c r="F329" s="1652"/>
      <c r="G329" s="1652"/>
      <c r="H329" s="465" t="str">
        <f>EUconst_tCO2pTJ</f>
        <v>t CO2 / TJ</v>
      </c>
      <c r="I329" s="760"/>
      <c r="J329" s="760"/>
      <c r="K329" s="760"/>
      <c r="L329" s="760"/>
      <c r="M329" s="760"/>
      <c r="N329" s="475"/>
      <c r="O329" s="25"/>
      <c r="P329" s="367" t="str">
        <f>EUconst_CNTR_HeatImportPulpEF &amp; I247</f>
        <v>HeatImPulpEF_Siltuma līmeņatzīmes apakšiekārta, OEP | OIM)</v>
      </c>
      <c r="R329" s="873" t="str">
        <f>EUconst_CNTR_AttributedEmissions &amp; $I247</f>
        <v>AttrEmissions_Siltuma līmeņatzīmes apakšiekārta, OEP | OIM)</v>
      </c>
      <c r="S329" s="134" t="str">
        <f>IF(S247,SUM(I328)*IF(ISNUMBER(I329),I329,EUconst_HeatBMvalueForBM),"")</f>
        <v/>
      </c>
      <c r="T329" s="134" t="str">
        <f>IF(T247,SUM(J328)*IF(ISNUMBER(J329),J329,EUconst_HeatBMvalueForBM),"")</f>
        <v/>
      </c>
      <c r="U329" s="134" t="str">
        <f>IF(U247,SUM(K328)*IF(ISNUMBER(K329),K329,EUconst_HeatBMvalueForBM),"")</f>
        <v/>
      </c>
      <c r="V329" s="134" t="str">
        <f>IF(V247,SUM(L328)*IF(ISNUMBER(L329),L329,EUconst_HeatBMvalueForBM),"")</f>
        <v/>
      </c>
      <c r="W329" s="134" t="str">
        <f>IF(W247,SUM(M328)*IF(ISNUMBER(M329),M329,EUconst_HeatBMvalueForBM),"")</f>
        <v/>
      </c>
    </row>
    <row r="330" spans="2:23" ht="5.0999999999999996" customHeight="1" x14ac:dyDescent="0.2">
      <c r="B330" s="21"/>
      <c r="C330" s="471"/>
      <c r="D330" s="460"/>
      <c r="E330" s="460"/>
      <c r="F330" s="460"/>
      <c r="G330" s="460"/>
      <c r="H330" s="460"/>
      <c r="I330" s="460"/>
      <c r="J330" s="460"/>
      <c r="K330" s="460"/>
      <c r="L330" s="460"/>
      <c r="M330" s="476"/>
      <c r="N330" s="475"/>
      <c r="O330" s="25"/>
      <c r="P330" s="26"/>
      <c r="R330" s="26"/>
      <c r="S330" s="26"/>
    </row>
    <row r="331" spans="2:23" ht="12.75" customHeight="1" x14ac:dyDescent="0.2">
      <c r="B331" s="21"/>
      <c r="C331" s="471"/>
      <c r="D331" s="460"/>
      <c r="E331" s="1653" t="str">
        <f>Translations!$B$871</f>
        <v>Siltums no kurināmā LA</v>
      </c>
      <c r="F331" s="1657"/>
      <c r="G331" s="1657"/>
      <c r="H331" s="462" t="str">
        <f>EUconst_Unit</f>
        <v>Vienība</v>
      </c>
      <c r="I331" s="463">
        <f>I$793</f>
        <v>2019</v>
      </c>
      <c r="J331" s="463">
        <f>J$793</f>
        <v>2020</v>
      </c>
      <c r="K331" s="463">
        <f>K$793</f>
        <v>2021</v>
      </c>
      <c r="L331" s="463">
        <f>L$793</f>
        <v>2022</v>
      </c>
      <c r="M331" s="463">
        <f>M$793</f>
        <v>2023</v>
      </c>
      <c r="N331" s="1205"/>
      <c r="O331" s="25"/>
      <c r="P331" s="26"/>
      <c r="R331" s="26"/>
      <c r="S331" s="63">
        <f>I331</f>
        <v>2019</v>
      </c>
      <c r="T331" s="63">
        <f>J331</f>
        <v>2020</v>
      </c>
      <c r="U331" s="63">
        <f>K331</f>
        <v>2021</v>
      </c>
      <c r="V331" s="63">
        <f>L331</f>
        <v>2022</v>
      </c>
      <c r="W331" s="63">
        <f>M331</f>
        <v>2023</v>
      </c>
    </row>
    <row r="332" spans="2:23" ht="12.75" customHeight="1" x14ac:dyDescent="0.2">
      <c r="B332" s="21"/>
      <c r="C332" s="471"/>
      <c r="D332" s="477" t="s">
        <v>15</v>
      </c>
      <c r="E332" s="1651" t="str">
        <f>Translations!$B$764</f>
        <v>Neto importētais siltums</v>
      </c>
      <c r="F332" s="1652"/>
      <c r="G332" s="1652"/>
      <c r="H332" s="465" t="str">
        <f>EUconst_TJpa</f>
        <v>TJ / gads</v>
      </c>
      <c r="I332" s="483"/>
      <c r="J332" s="483"/>
      <c r="K332" s="483"/>
      <c r="L332" s="483"/>
      <c r="M332" s="483"/>
      <c r="N332" s="528"/>
      <c r="O332" s="25"/>
      <c r="P332" s="367" t="str">
        <f>EUconst_CNTR_HeatImportFuel &amp; I247</f>
        <v>HeatImFuel_Siltuma līmeņatzīmes apakšiekārta, OEP | OIM)</v>
      </c>
      <c r="R332" s="842" t="str">
        <f>EUconst_ERR_AttrEmBMapplied &amp; $I247</f>
        <v>ERR_AttrEmBM_ Siltuma līmeņatzīmes apakšiekārta, OEP | OIM)</v>
      </c>
      <c r="S332" s="134">
        <f>IF(AND(I332&lt;&gt;0,I333="",EUconst_StatusOfDataCollection=""),1,0)</f>
        <v>0</v>
      </c>
      <c r="T332" s="134">
        <f>IF(AND(J332&lt;&gt;0,J333="",EUconst_StatusOfDataCollection=""),1,0)</f>
        <v>0</v>
      </c>
      <c r="U332" s="134">
        <f>IF(AND(K332&lt;&gt;0,K333="",EUconst_StatusOfDataCollection=""),1,0)</f>
        <v>0</v>
      </c>
      <c r="V332" s="134">
        <f>IF(AND(L332&lt;&gt;0,L333="",EUconst_StatusOfDataCollection=""),1,0)</f>
        <v>0</v>
      </c>
      <c r="W332" s="134">
        <f>IF(AND(M332&lt;&gt;0,M333="",EUconst_StatusOfDataCollection=""),1,0)</f>
        <v>0</v>
      </c>
    </row>
    <row r="333" spans="2:23" ht="12.75" customHeight="1" x14ac:dyDescent="0.2">
      <c r="B333" s="21"/>
      <c r="C333" s="471"/>
      <c r="D333" s="477" t="s">
        <v>16</v>
      </c>
      <c r="E333" s="1651" t="str">
        <f>Translations!$B$872</f>
        <v>Īpatnējais EF (no kurināmā LA)</v>
      </c>
      <c r="F333" s="1652"/>
      <c r="G333" s="1652"/>
      <c r="H333" s="465" t="str">
        <f>EUconst_tCO2pTJ</f>
        <v>t CO2 / TJ</v>
      </c>
      <c r="I333" s="760"/>
      <c r="J333" s="760"/>
      <c r="K333" s="760"/>
      <c r="L333" s="760"/>
      <c r="M333" s="760"/>
      <c r="N333" s="475"/>
      <c r="O333" s="25"/>
      <c r="P333" s="367" t="str">
        <f>EUconst_CNTR_HeatImportFuelEF &amp; I247</f>
        <v>HeatImFuelEF_Siltuma līmeņatzīmes apakšiekārta, OEP | OIM)</v>
      </c>
      <c r="R333" s="873" t="str">
        <f>EUconst_CNTR_AttributedEmissions &amp; $I247</f>
        <v>AttrEmissions_Siltuma līmeņatzīmes apakšiekārta, OEP | OIM)</v>
      </c>
      <c r="S333" s="134" t="str">
        <f>IF(S247,SUM(I332)*IF(ISNUMBER(I333),I333,EUconst_HeatBMvalueForBM),"")</f>
        <v/>
      </c>
      <c r="T333" s="134" t="str">
        <f>IF(T247,SUM(J332)*IF(ISNUMBER(J333),J333,EUconst_HeatBMvalueForBM),"")</f>
        <v/>
      </c>
      <c r="U333" s="134" t="str">
        <f>IF(U247,SUM(K332)*IF(ISNUMBER(K333),K333,EUconst_HeatBMvalueForBM),"")</f>
        <v/>
      </c>
      <c r="V333" s="134" t="str">
        <f>IF(V247,SUM(L332)*IF(ISNUMBER(L333),L333,EUconst_HeatBMvalueForBM),"")</f>
        <v/>
      </c>
      <c r="W333" s="134" t="str">
        <f>IF(W247,SUM(M332)*IF(ISNUMBER(M333),M333,EUconst_HeatBMvalueForBM),"")</f>
        <v/>
      </c>
    </row>
    <row r="334" spans="2:23" ht="5.0999999999999996" customHeight="1" x14ac:dyDescent="0.2">
      <c r="B334" s="21"/>
      <c r="C334" s="471"/>
      <c r="D334" s="460"/>
      <c r="E334" s="460"/>
      <c r="F334" s="460"/>
      <c r="G334" s="460"/>
      <c r="H334" s="460"/>
      <c r="I334" s="460"/>
      <c r="J334" s="460"/>
      <c r="K334" s="460"/>
      <c r="L334" s="460"/>
      <c r="M334" s="476"/>
      <c r="N334" s="475"/>
      <c r="O334" s="25"/>
      <c r="P334" s="26"/>
      <c r="R334" s="26"/>
      <c r="S334" s="26"/>
    </row>
    <row r="335" spans="2:23" ht="12.75" customHeight="1" x14ac:dyDescent="0.2">
      <c r="B335" s="21"/>
      <c r="C335" s="471"/>
      <c r="D335" s="460"/>
      <c r="E335" s="1653" t="str">
        <f>Translations!$B$873</f>
        <v>Siltums no atlikumgāzēm</v>
      </c>
      <c r="F335" s="1657"/>
      <c r="G335" s="1657"/>
      <c r="H335" s="462" t="str">
        <f>EUconst_Unit</f>
        <v>Vienība</v>
      </c>
      <c r="I335" s="463">
        <f>I$793</f>
        <v>2019</v>
      </c>
      <c r="J335" s="463">
        <f>J$793</f>
        <v>2020</v>
      </c>
      <c r="K335" s="463">
        <f>K$793</f>
        <v>2021</v>
      </c>
      <c r="L335" s="463">
        <f>L$793</f>
        <v>2022</v>
      </c>
      <c r="M335" s="463">
        <f>M$793</f>
        <v>2023</v>
      </c>
      <c r="N335" s="1205"/>
      <c r="O335" s="25"/>
      <c r="P335" s="26"/>
      <c r="R335" s="26"/>
      <c r="S335" s="63">
        <f>I335</f>
        <v>2019</v>
      </c>
      <c r="T335" s="63">
        <f>J335</f>
        <v>2020</v>
      </c>
      <c r="U335" s="63">
        <f>K335</f>
        <v>2021</v>
      </c>
      <c r="V335" s="63">
        <f>L335</f>
        <v>2022</v>
      </c>
      <c r="W335" s="63">
        <f>M335</f>
        <v>2023</v>
      </c>
    </row>
    <row r="336" spans="2:23" ht="12.75" customHeight="1" x14ac:dyDescent="0.2">
      <c r="B336" s="21"/>
      <c r="C336" s="471"/>
      <c r="D336" s="477" t="s">
        <v>438</v>
      </c>
      <c r="E336" s="1651" t="str">
        <f>Translations!$B$764</f>
        <v>Neto importētais siltums</v>
      </c>
      <c r="F336" s="1652"/>
      <c r="G336" s="1652"/>
      <c r="H336" s="465" t="str">
        <f>EUconst_TJpa</f>
        <v>TJ / gads</v>
      </c>
      <c r="I336" s="483"/>
      <c r="J336" s="483"/>
      <c r="K336" s="483"/>
      <c r="L336" s="483"/>
      <c r="M336" s="483"/>
      <c r="N336" s="528"/>
      <c r="O336" s="25"/>
      <c r="P336" s="367" t="str">
        <f>EUconst_CNTR_WGImport &amp; I247</f>
        <v>WasteGasIm_Siltuma līmeņatzīmes apakšiekārta, OEP | OIM)</v>
      </c>
      <c r="R336" s="842" t="str">
        <f>EUconst_ERR_AttrEmBMapplied &amp; $I247</f>
        <v>ERR_AttrEmBM_ Siltuma līmeņatzīmes apakšiekārta, OEP | OIM)</v>
      </c>
      <c r="S336" s="134">
        <f>IF(AND(I336&lt;&gt;0,EUconst_StatusOfDataCollection=""),1,0)</f>
        <v>0</v>
      </c>
      <c r="T336" s="134">
        <f>IF(AND(J336&lt;&gt;0,EUconst_StatusOfDataCollection=""),1,0)</f>
        <v>0</v>
      </c>
      <c r="U336" s="134">
        <f>IF(AND(K336&lt;&gt;0,EUconst_StatusOfDataCollection=""),1,0)</f>
        <v>0</v>
      </c>
      <c r="V336" s="134">
        <f>IF(AND(L336&lt;&gt;0,EUconst_StatusOfDataCollection=""),1,0)</f>
        <v>0</v>
      </c>
      <c r="W336" s="134">
        <f>IF(AND(M336&lt;&gt;0,EUconst_StatusOfDataCollection=""),1,0)</f>
        <v>0</v>
      </c>
    </row>
    <row r="337" spans="1:29" ht="12.75" customHeight="1" x14ac:dyDescent="0.2">
      <c r="B337" s="21"/>
      <c r="C337" s="471"/>
      <c r="D337" s="477" t="s">
        <v>439</v>
      </c>
      <c r="E337" s="1651" t="str">
        <f>Translations!$B$874</f>
        <v>Īpatnējais EF (no atlikumgāzēm)</v>
      </c>
      <c r="F337" s="1652"/>
      <c r="G337" s="1652"/>
      <c r="H337" s="465" t="str">
        <f>EUconst_tCO2pTJ</f>
        <v>t CO2 / TJ</v>
      </c>
      <c r="I337" s="760"/>
      <c r="J337" s="760"/>
      <c r="K337" s="760"/>
      <c r="L337" s="760"/>
      <c r="M337" s="760"/>
      <c r="N337" s="475"/>
      <c r="O337" s="25"/>
      <c r="P337" s="367" t="str">
        <f>EUconst_CNTR_WGImportEF &amp; I247</f>
        <v>WasteGasImEF_Siltuma līmeņatzīmes apakšiekārta, OEP | OIM)</v>
      </c>
      <c r="R337" s="873" t="str">
        <f>EUconst_CNTR_AttributedEmissions &amp; $I247</f>
        <v>AttrEmissions_Siltuma līmeņatzīmes apakšiekārta, OEP | OIM)</v>
      </c>
      <c r="S337" s="134" t="str">
        <f>IF(S247,SUM(I336)*IF(ISNUMBER(I337),I337,EUconst_HeatBMvalueForBM),"")</f>
        <v/>
      </c>
      <c r="T337" s="134" t="str">
        <f>IF(T247,SUM(J336)*IF(ISNUMBER(J337),J337,EUconst_HeatBMvalueForBM),"")</f>
        <v/>
      </c>
      <c r="U337" s="134" t="str">
        <f>IF(U247,SUM(K336)*IF(ISNUMBER(K337),K337,EUconst_HeatBMvalueForBM),"")</f>
        <v/>
      </c>
      <c r="V337" s="134" t="str">
        <f>IF(V247,SUM(L336)*IF(ISNUMBER(L337),L337,EUconst_HeatBMvalueForBM),"")</f>
        <v/>
      </c>
      <c r="W337" s="134" t="str">
        <f>IF(W247,SUM(M336)*IF(ISNUMBER(M337),M337,EUconst_HeatBMvalueForBM),"")</f>
        <v/>
      </c>
    </row>
    <row r="338" spans="1:29" ht="5.0999999999999996" customHeight="1" x14ac:dyDescent="0.2">
      <c r="B338" s="21"/>
      <c r="C338" s="471"/>
      <c r="D338" s="460"/>
      <c r="E338" s="460"/>
      <c r="F338" s="460"/>
      <c r="G338" s="460"/>
      <c r="H338" s="460"/>
      <c r="I338" s="460"/>
      <c r="J338" s="460"/>
      <c r="K338" s="460"/>
      <c r="L338" s="460"/>
      <c r="M338" s="476"/>
      <c r="N338" s="475"/>
      <c r="O338" s="25"/>
      <c r="P338" s="26"/>
      <c r="R338" s="26"/>
      <c r="S338" s="26"/>
    </row>
    <row r="339" spans="1:29" ht="12.75" customHeight="1" x14ac:dyDescent="0.2">
      <c r="B339" s="21"/>
      <c r="C339" s="471"/>
      <c r="D339" s="477" t="s">
        <v>440</v>
      </c>
      <c r="E339" s="1651" t="str">
        <f>Translations!$B$875</f>
        <v>Kopējais neto importētais siltums</v>
      </c>
      <c r="F339" s="1652"/>
      <c r="G339" s="1652"/>
      <c r="H339" s="465" t="str">
        <f>EUconst_TJpa</f>
        <v>TJ / gads</v>
      </c>
      <c r="I339" s="448" t="str">
        <f>IF(COUNT(I320,I324,I328,I332,I336)&gt;0,SUM(I320,I324,I328,I332,I336),"")</f>
        <v/>
      </c>
      <c r="J339" s="448" t="str">
        <f>IF(COUNT(J320,J324,J328,J332,J336)&gt;0,SUM(J320,J324,J328,J332,J336),"")</f>
        <v/>
      </c>
      <c r="K339" s="448" t="str">
        <f>IF(COUNT(K320,K324,K328,K332,K336)&gt;0,SUM(K320,K324,K328,K332,K336),"")</f>
        <v/>
      </c>
      <c r="L339" s="448" t="str">
        <f>IF(COUNT(L320,L324,L328,L332,L336)&gt;0,SUM(L320,L324,L328,L332,L336),"")</f>
        <v/>
      </c>
      <c r="M339" s="448" t="str">
        <f>IF(COUNT(M320,M324,M328,M332,M336)&gt;0,SUM(M320,M324,M328,M332,M336),"")</f>
        <v/>
      </c>
      <c r="N339" s="497"/>
      <c r="O339" s="25"/>
      <c r="R339" s="26"/>
      <c r="S339" s="26"/>
    </row>
    <row r="340" spans="1:29" ht="12.75" customHeight="1" thickBot="1" x14ac:dyDescent="0.25">
      <c r="B340" s="21"/>
      <c r="C340" s="478"/>
      <c r="D340" s="479"/>
      <c r="E340" s="479"/>
      <c r="F340" s="479"/>
      <c r="G340" s="479"/>
      <c r="H340" s="479"/>
      <c r="I340" s="479"/>
      <c r="J340" s="479"/>
      <c r="K340" s="479"/>
      <c r="L340" s="479"/>
      <c r="M340" s="480"/>
      <c r="N340" s="481"/>
      <c r="O340" s="25"/>
      <c r="P340" s="26"/>
      <c r="R340" s="26"/>
    </row>
    <row r="341" spans="1:29" ht="25.5" customHeight="1" thickBot="1" x14ac:dyDescent="0.25">
      <c r="B341" s="38"/>
      <c r="C341" s="38"/>
      <c r="D341" s="38"/>
      <c r="E341" s="38"/>
      <c r="F341" s="38"/>
      <c r="G341" s="38"/>
      <c r="H341" s="38"/>
      <c r="I341" s="38"/>
      <c r="J341" s="38"/>
      <c r="K341" s="38"/>
      <c r="L341" s="38"/>
      <c r="M341" s="38"/>
      <c r="N341" s="38"/>
      <c r="O341" s="25"/>
    </row>
    <row r="342" spans="1:29" ht="12.75" customHeight="1" thickBot="1" x14ac:dyDescent="0.25">
      <c r="B342" s="21"/>
      <c r="C342" s="294"/>
      <c r="D342" s="294"/>
      <c r="E342" s="294"/>
      <c r="F342" s="294"/>
      <c r="G342" s="294"/>
      <c r="H342" s="294"/>
      <c r="I342" s="294"/>
      <c r="J342" s="294"/>
      <c r="K342" s="294"/>
      <c r="L342" s="294"/>
      <c r="M342" s="294"/>
      <c r="N342" s="294"/>
      <c r="O342" s="25"/>
    </row>
    <row r="343" spans="1:29" ht="15.75" customHeight="1" thickBot="1" x14ac:dyDescent="0.3">
      <c r="B343" s="21"/>
      <c r="C343" s="36">
        <v>4</v>
      </c>
      <c r="D343" s="1318" t="str">
        <f>EUconst_FBSubinst &amp; ":"</f>
        <v>Alternatīva apakšiekārta:</v>
      </c>
      <c r="E343" s="1318"/>
      <c r="F343" s="1318"/>
      <c r="G343" s="1318"/>
      <c r="H343" s="1809"/>
      <c r="I343" s="1701" t="str">
        <f>INDEX(EUconst_FallBackListNames,$C343)</f>
        <v>Centralizētās siltumapgādes apakšiekārta</v>
      </c>
      <c r="J343" s="1807"/>
      <c r="K343" s="1807"/>
      <c r="L343" s="1808"/>
      <c r="M343" s="1783" t="str">
        <f>IF(ISBLANK(INDEX(CNTR_FallBackSubInstRelevant,C343)),"",IF(INDEX(CNTR_FallBackSubInstRelevant,C343),EUconst_Relevant,EUconst_NotRelevant))</f>
        <v/>
      </c>
      <c r="N343" s="1784"/>
      <c r="O343" s="25"/>
      <c r="P343" s="582">
        <f>C343</f>
        <v>4</v>
      </c>
      <c r="Q343" s="386" t="s">
        <v>225</v>
      </c>
      <c r="R343" s="845" t="str">
        <f>IF(M343&lt;&gt;EUconst_Relevant,"",INDEX(CNTR_SubInstStartDate,MATCH($I343,CNTR_SubInstListNames,0)))</f>
        <v/>
      </c>
      <c r="S343" s="842" t="b">
        <f>IF($M343&lt;&gt;EUconst_Relevant,FALSE,AND(I$796,YEAR($R343)&lt;I$793))</f>
        <v>0</v>
      </c>
      <c r="T343" s="842" t="b">
        <f>IF($M343&lt;&gt;EUconst_Relevant,FALSE,AND(J$796,YEAR($R343)&lt;J$793))</f>
        <v>0</v>
      </c>
      <c r="U343" s="842" t="b">
        <f>IF($M343&lt;&gt;EUconst_Relevant,FALSE,AND(K$796,YEAR($R343)&lt;K$793))</f>
        <v>0</v>
      </c>
      <c r="V343" s="842" t="b">
        <f>IF($M343&lt;&gt;EUconst_Relevant,FALSE,AND(L$796,YEAR($R343)&lt;L$793))</f>
        <v>0</v>
      </c>
      <c r="W343" s="842" t="b">
        <f>IF($M343&lt;&gt;EUconst_Relevant,FALSE,AND(M$796,YEAR($R343)&lt;M$793))</f>
        <v>0</v>
      </c>
      <c r="X343" s="624"/>
      <c r="AB343" s="926" t="s">
        <v>529</v>
      </c>
      <c r="AC343" s="927" t="b">
        <f>AND(CNTR_ExistSubInstEntries,M343=EUconst_NotRelevant)</f>
        <v>0</v>
      </c>
    </row>
    <row r="344" spans="1:29" ht="12.75" customHeight="1" x14ac:dyDescent="0.2">
      <c r="B344" s="38"/>
      <c r="C344" s="38"/>
      <c r="D344" s="38"/>
      <c r="E344" s="38"/>
      <c r="F344" s="38"/>
      <c r="G344" s="38"/>
      <c r="H344" s="68"/>
      <c r="I344" s="1804" t="str">
        <f>IF(M343="","",IF(M343=EUconst_Relevant,HYPERLINK("",EUconst_MsgEnterThisSection),HYPERLINK(Q344,EUconst_MsgGoToNextSubInst)))</f>
        <v/>
      </c>
      <c r="J344" s="1805"/>
      <c r="K344" s="1805"/>
      <c r="L344" s="1805"/>
      <c r="M344" s="1805"/>
      <c r="N344" s="1806"/>
      <c r="O344" s="25"/>
      <c r="P344" s="20" t="s">
        <v>192</v>
      </c>
      <c r="Q344" s="593" t="str">
        <f>"#JUMP_G"&amp;P343+1</f>
        <v>#JUMP_G5</v>
      </c>
    </row>
    <row r="345" spans="1:29" s="697" customFormat="1" ht="5.0999999999999996" customHeight="1" x14ac:dyDescent="0.2">
      <c r="A345" s="452"/>
      <c r="B345" s="21"/>
      <c r="C345" s="21"/>
      <c r="D345" s="21"/>
      <c r="E345" s="21"/>
      <c r="F345" s="21"/>
      <c r="G345" s="21"/>
      <c r="H345" s="21"/>
      <c r="I345" s="21"/>
      <c r="J345" s="21"/>
      <c r="K345" s="21"/>
      <c r="L345" s="21"/>
      <c r="M345" s="25"/>
      <c r="N345" s="25"/>
      <c r="O345" s="25"/>
      <c r="P345" s="26"/>
      <c r="Q345" s="437"/>
      <c r="R345" s="437"/>
      <c r="S345" s="437"/>
      <c r="T345" s="437"/>
      <c r="U345" s="437"/>
      <c r="V345" s="437"/>
      <c r="W345" s="437"/>
      <c r="X345" s="452"/>
      <c r="Y345" s="452"/>
      <c r="Z345" s="452"/>
      <c r="AA345" s="452"/>
      <c r="AB345" s="452"/>
      <c r="AC345" s="452"/>
    </row>
    <row r="346" spans="1:29" s="697" customFormat="1" ht="12.75" customHeight="1" x14ac:dyDescent="0.2">
      <c r="A346" s="452"/>
      <c r="B346" s="414"/>
      <c r="C346" s="414"/>
      <c r="D346" s="414"/>
      <c r="E346" s="1519" t="str">
        <f>CONCATENATE(EUconst_MsgSeeFirst," (G.I.1)")</f>
        <v>Sīki norādījumi par datu ievadi šajā rīkā ir pieejami pirmajā vietā, kur parādās šis rīks.  (G.I.1)</v>
      </c>
      <c r="F346" s="1519"/>
      <c r="G346" s="1519"/>
      <c r="H346" s="1519"/>
      <c r="I346" s="1519"/>
      <c r="J346" s="1519"/>
      <c r="K346" s="1519"/>
      <c r="L346" s="1519"/>
      <c r="M346" s="1519"/>
      <c r="N346" s="1519"/>
      <c r="O346" s="25"/>
      <c r="P346" s="437"/>
      <c r="Q346" s="437"/>
      <c r="R346" s="437"/>
      <c r="S346" s="437"/>
      <c r="T346" s="437"/>
      <c r="U346" s="437"/>
      <c r="V346" s="437"/>
      <c r="W346" s="437"/>
      <c r="X346" s="452"/>
      <c r="Y346" s="452"/>
      <c r="Z346" s="452"/>
      <c r="AA346" s="452"/>
      <c r="AB346" s="452"/>
      <c r="AC346" s="452"/>
    </row>
    <row r="347" spans="1:29" ht="5.0999999999999996" customHeight="1" x14ac:dyDescent="0.2">
      <c r="B347" s="21"/>
      <c r="C347" s="21"/>
      <c r="D347" s="21"/>
      <c r="E347" s="21"/>
      <c r="F347" s="21"/>
      <c r="G347" s="21"/>
      <c r="H347" s="21"/>
      <c r="I347" s="21"/>
      <c r="J347" s="21"/>
      <c r="K347" s="21"/>
      <c r="L347" s="21"/>
      <c r="M347" s="25"/>
      <c r="N347" s="25"/>
      <c r="O347" s="25"/>
      <c r="P347" s="26"/>
      <c r="Q347" s="26"/>
      <c r="R347" s="26"/>
      <c r="S347" s="26"/>
      <c r="T347" s="26"/>
      <c r="U347" s="26"/>
      <c r="V347" s="26"/>
      <c r="W347" s="26"/>
      <c r="X347" s="624"/>
    </row>
    <row r="348" spans="1:29" ht="12.75" customHeight="1" thickBot="1" x14ac:dyDescent="0.25">
      <c r="B348" s="21"/>
      <c r="C348" s="370"/>
      <c r="D348" s="32" t="s">
        <v>165</v>
      </c>
      <c r="E348" s="1250" t="str">
        <f>Translations!$B$670</f>
        <v>Vēsturiskie darbības līmeņi</v>
      </c>
      <c r="F348" s="1250"/>
      <c r="G348" s="1250"/>
      <c r="H348" s="1250"/>
      <c r="I348" s="1250"/>
      <c r="J348" s="1250"/>
      <c r="K348" s="1250"/>
      <c r="L348" s="1250"/>
      <c r="M348" s="1250"/>
      <c r="N348" s="1250"/>
      <c r="O348" s="25"/>
      <c r="P348" s="26"/>
      <c r="Q348" s="26"/>
      <c r="R348" s="26"/>
      <c r="S348" s="26"/>
      <c r="T348" s="26"/>
      <c r="U348" s="26"/>
      <c r="V348" s="26"/>
      <c r="W348" s="26"/>
      <c r="X348" s="624"/>
    </row>
    <row r="349" spans="1:29" ht="12.75" customHeight="1" thickBot="1" x14ac:dyDescent="0.25">
      <c r="B349" s="21"/>
      <c r="C349" s="384"/>
      <c r="D349" s="34"/>
      <c r="E349" s="1822" t="str">
        <f>Translations!$B$827</f>
        <v>Šie dati tiek automātiski ņemti no lapas "E_EnergyFlows" II sadaļas r) punkta. Tāpēc minētajā sadaļā dati jāievada obligāti.</v>
      </c>
      <c r="F349" s="1822"/>
      <c r="G349" s="1822"/>
      <c r="H349" s="1822"/>
      <c r="I349" s="1822"/>
      <c r="J349" s="1822"/>
      <c r="K349" s="1822"/>
      <c r="L349" s="1822"/>
      <c r="M349" s="1822"/>
      <c r="N349" s="1822"/>
      <c r="O349" s="25"/>
      <c r="P349" s="26"/>
      <c r="Q349" s="439" t="s">
        <v>416</v>
      </c>
      <c r="R349" s="187" t="s">
        <v>229</v>
      </c>
      <c r="S349" s="188"/>
      <c r="T349" s="188"/>
      <c r="U349" s="188"/>
      <c r="V349" s="188"/>
      <c r="W349" s="188"/>
      <c r="X349" s="1187"/>
    </row>
    <row r="350" spans="1:29" ht="12.75" customHeight="1" x14ac:dyDescent="0.2">
      <c r="B350" s="38"/>
      <c r="C350" s="370"/>
      <c r="D350" s="32"/>
      <c r="E350" s="1320" t="str">
        <f>Translations!$B$829</f>
        <v>Galvenais darbības līmenis:</v>
      </c>
      <c r="F350" s="1320"/>
      <c r="G350" s="1320"/>
      <c r="H350" s="52" t="str">
        <f>EUconst_Unit</f>
        <v>Vienība</v>
      </c>
      <c r="I350" s="412">
        <f>I$793</f>
        <v>2019</v>
      </c>
      <c r="J350" s="412">
        <f>J$793</f>
        <v>2020</v>
      </c>
      <c r="K350" s="412">
        <f>K$793</f>
        <v>2021</v>
      </c>
      <c r="L350" s="412">
        <f>L$793</f>
        <v>2022</v>
      </c>
      <c r="M350" s="412">
        <f>M$793</f>
        <v>2023</v>
      </c>
      <c r="N350" s="23"/>
      <c r="O350" s="25"/>
      <c r="P350" s="182" t="s">
        <v>228</v>
      </c>
      <c r="Q350" s="1024" t="s">
        <v>618</v>
      </c>
      <c r="R350" s="190" t="s">
        <v>629</v>
      </c>
      <c r="S350" s="183">
        <f>I350</f>
        <v>2019</v>
      </c>
      <c r="T350" s="134">
        <f>J350</f>
        <v>2020</v>
      </c>
      <c r="U350" s="134">
        <f>K350</f>
        <v>2021</v>
      </c>
      <c r="V350" s="134">
        <f>L350</f>
        <v>2022</v>
      </c>
      <c r="W350" s="134">
        <f>M350</f>
        <v>2023</v>
      </c>
      <c r="X350" s="1188"/>
    </row>
    <row r="351" spans="1:29" ht="12.75" customHeight="1" thickBot="1" x14ac:dyDescent="0.25">
      <c r="B351" s="38"/>
      <c r="C351" s="38"/>
      <c r="D351" s="38"/>
      <c r="E351" s="1689" t="str">
        <f>I343</f>
        <v>Centralizētās siltumapgādes apakšiekārta</v>
      </c>
      <c r="F351" s="1689"/>
      <c r="G351" s="1689"/>
      <c r="H351" s="116" t="str">
        <f>INDEX(EUconst_FallBackListUnits,MATCH(E351,EUconst_FallBackListNames,0))</f>
        <v>TJ</v>
      </c>
      <c r="I351" s="328" t="str">
        <f>IF($M343=EUconst_Relevant,IF(ISNUMBER(INDEX(E_EnergyFlows!I$412:I$420,MATCH($E351,E_EnergyFlows!$E$412:$E$420,0))),INDEX(E_EnergyFlows!I$412:I$420,MATCH($E351,E_EnergyFlows!$E$412:$E$420,0)),INDEX(EUconst_FallbackListMissing,$P343)),"")</f>
        <v/>
      </c>
      <c r="J351" s="328" t="str">
        <f>IF($M343=EUconst_Relevant,IF(ISNUMBER(INDEX(E_EnergyFlows!J$412:J$420,MATCH($E351,E_EnergyFlows!$E$412:$E$420,0))),INDEX(E_EnergyFlows!J$412:J$420,MATCH($E351,E_EnergyFlows!$E$412:$E$420,0)),INDEX(EUconst_FallbackListMissing,$P343)),"")</f>
        <v/>
      </c>
      <c r="K351" s="328" t="str">
        <f>IF($M343=EUconst_Relevant,IF(ISNUMBER(INDEX(E_EnergyFlows!K$412:K$420,MATCH($E351,E_EnergyFlows!$E$412:$E$420,0))),INDEX(E_EnergyFlows!K$412:K$420,MATCH($E351,E_EnergyFlows!$E$412:$E$420,0)),INDEX(EUconst_FallbackListMissing,$P343)),"")</f>
        <v/>
      </c>
      <c r="L351" s="328" t="str">
        <f>IF($M343=EUconst_Relevant,IF(ISNUMBER(INDEX(E_EnergyFlows!L$412:L$420,MATCH($E351,E_EnergyFlows!$E$412:$E$420,0))),INDEX(E_EnergyFlows!L$412:L$420,MATCH($E351,E_EnergyFlows!$E$412:$E$420,0)),INDEX(EUconst_FallbackListMissing,$P343)),"")</f>
        <v/>
      </c>
      <c r="M351" s="328" t="str">
        <f>IF($M343=EUconst_Relevant,IF(ISNUMBER(INDEX(E_EnergyFlows!M$412:M$420,MATCH($E351,E_EnergyFlows!$E$412:$E$420,0))),INDEX(E_EnergyFlows!M$412:M$420,MATCH($E351,E_EnergyFlows!$E$412:$E$420,0)),INDEX(EUconst_FallbackListMissing,$P343)),"")</f>
        <v/>
      </c>
      <c r="N351" s="23"/>
      <c r="O351" s="25"/>
      <c r="P351" s="185" t="str">
        <f>EUconst_CNTR_HAL&amp;E351</f>
        <v>HAL_Centralizētās siltumapgādes apakšiekārta</v>
      </c>
      <c r="Q351" s="186" t="str">
        <f>IF(COUNT($K351:$L351)&gt;0,AVERAGE($K351:$L351),"")</f>
        <v/>
      </c>
      <c r="R351" s="184" t="str">
        <f>IF(COUNT(S351:W351)&gt;0,MEDIAN(S351:W351),"")</f>
        <v/>
      </c>
      <c r="S351" s="189" t="str">
        <f>IF(S343,IF(ISNUMBER(I351),I351,0),"")</f>
        <v/>
      </c>
      <c r="T351" s="137" t="str">
        <f>IF(T343,IF(ISNUMBER(J351),J351,0),"")</f>
        <v/>
      </c>
      <c r="U351" s="137" t="str">
        <f>IF(U343,IF(ISNUMBER(K351),K351,0),"")</f>
        <v/>
      </c>
      <c r="V351" s="137" t="str">
        <f>IF(V343,IF(ISNUMBER(L351),L351,0),"")</f>
        <v/>
      </c>
      <c r="W351" s="137" t="str">
        <f>IF(W343,IF(ISNUMBER(M351),M351,0),"")</f>
        <v/>
      </c>
      <c r="X351" s="1189"/>
      <c r="Y351" s="1190" t="s">
        <v>574</v>
      </c>
      <c r="Z351" s="709" t="b">
        <f>IF(M343&lt;&gt;EUconst_Relevant,FALSE,INDEX(CNTR_SubInstLess1Year,MATCH(I343,CNTR_SubInstListNames,0)))</f>
        <v>0</v>
      </c>
    </row>
    <row r="352" spans="1:29" ht="12.75" customHeight="1" x14ac:dyDescent="0.2">
      <c r="B352" s="38"/>
      <c r="C352" s="23"/>
      <c r="D352" s="23"/>
      <c r="E352" s="23"/>
      <c r="F352" s="23"/>
      <c r="G352" s="23"/>
      <c r="H352" s="23"/>
      <c r="I352" s="23"/>
      <c r="J352" s="23"/>
      <c r="K352" s="23"/>
      <c r="L352" s="23"/>
      <c r="M352" s="23"/>
      <c r="N352" s="23"/>
      <c r="O352" s="25"/>
    </row>
    <row r="353" spans="2:28" ht="15" customHeight="1" x14ac:dyDescent="0.25">
      <c r="B353" s="38"/>
      <c r="C353" s="383"/>
      <c r="D353" s="1318" t="str">
        <f>Translations!$B$700</f>
        <v>Ražošanas dati</v>
      </c>
      <c r="E353" s="1318"/>
      <c r="F353" s="1318"/>
      <c r="G353" s="1318"/>
      <c r="H353" s="1318"/>
      <c r="I353" s="1318"/>
      <c r="J353" s="1318"/>
      <c r="K353" s="1318"/>
      <c r="L353" s="1318"/>
      <c r="M353" s="1318"/>
      <c r="N353" s="1318"/>
      <c r="O353" s="25"/>
      <c r="Y353" s="624"/>
      <c r="Z353" s="624"/>
      <c r="AA353" s="624"/>
      <c r="AB353" s="624"/>
    </row>
    <row r="354" spans="2:28" ht="5.0999999999999996" customHeight="1" x14ac:dyDescent="0.2">
      <c r="B354" s="21"/>
      <c r="C354" s="23"/>
      <c r="D354" s="21"/>
      <c r="E354" s="21"/>
      <c r="F354" s="21"/>
      <c r="G354" s="21"/>
      <c r="H354" s="21"/>
      <c r="I354" s="21"/>
      <c r="J354" s="21"/>
      <c r="K354" s="21"/>
      <c r="L354" s="21"/>
      <c r="M354" s="21"/>
      <c r="N354" s="21"/>
      <c r="O354" s="25"/>
      <c r="P354" s="26"/>
      <c r="Q354" s="26"/>
    </row>
    <row r="355" spans="2:28" ht="12.75" customHeight="1" x14ac:dyDescent="0.2">
      <c r="B355" s="21"/>
      <c r="C355" s="370"/>
      <c r="D355" s="32" t="s">
        <v>339</v>
      </c>
      <c r="E355" s="1250" t="str">
        <f>Translations!$B$830</f>
        <v>Ar šo apakšiekārtu saistīto relevanto produktu vai pakalpojumu identificēšana</v>
      </c>
      <c r="F355" s="1250"/>
      <c r="G355" s="1250"/>
      <c r="H355" s="1250"/>
      <c r="I355" s="1250"/>
      <c r="J355" s="1250"/>
      <c r="K355" s="1250"/>
      <c r="L355" s="1250"/>
      <c r="M355" s="1250"/>
      <c r="N355" s="1250"/>
      <c r="O355" s="25"/>
      <c r="P355" s="26"/>
    </row>
    <row r="356" spans="2:28" ht="5.0999999999999996" customHeight="1" x14ac:dyDescent="0.2">
      <c r="B356" s="21"/>
      <c r="C356" s="384"/>
      <c r="D356" s="34"/>
      <c r="E356" s="35"/>
      <c r="F356" s="35"/>
      <c r="G356" s="35"/>
      <c r="H356" s="35"/>
      <c r="I356" s="35"/>
      <c r="J356" s="39"/>
      <c r="K356" s="369"/>
      <c r="L356" s="369"/>
      <c r="M356" s="44"/>
      <c r="N356" s="44"/>
      <c r="O356" s="25"/>
      <c r="P356" s="26"/>
    </row>
    <row r="357" spans="2:28" ht="25.5" customHeight="1" x14ac:dyDescent="0.2">
      <c r="B357" s="38"/>
      <c r="C357" s="370"/>
      <c r="D357" s="360"/>
      <c r="E357" s="1418" t="str">
        <f>Translations!$B$837</f>
        <v>Izmantojuma veids</v>
      </c>
      <c r="F357" s="1747"/>
      <c r="G357" s="1841" t="str">
        <f>Translations!$B$880</f>
        <v>Centralizētās siltumapgādes tīkls</v>
      </c>
      <c r="H357" s="1842"/>
      <c r="I357" s="1842"/>
      <c r="J357" s="1842"/>
      <c r="K357" s="1842"/>
      <c r="L357" s="1843"/>
      <c r="M357" s="1121" t="str">
        <f>Translations!$B$1668</f>
        <v>PRODCOM 2010</v>
      </c>
      <c r="N357" s="1122" t="str">
        <f>Translations!$B$1669</f>
        <v>KN kodi</v>
      </c>
      <c r="O357" s="25"/>
      <c r="Y357" s="624"/>
      <c r="Z357" s="624"/>
      <c r="AA357" s="624"/>
      <c r="AB357" s="624"/>
    </row>
    <row r="358" spans="2:28" ht="12.75" customHeight="1" x14ac:dyDescent="0.2">
      <c r="B358" s="38"/>
      <c r="C358" s="68"/>
      <c r="D358" s="55">
        <v>1</v>
      </c>
      <c r="E358" s="1839" t="str">
        <f>Translations!$B$881</f>
        <v>Centralizētā siltumapgāde</v>
      </c>
      <c r="F358" s="1840"/>
      <c r="G358" s="1438"/>
      <c r="H358" s="1439"/>
      <c r="I358" s="1439"/>
      <c r="J358" s="1439"/>
      <c r="K358" s="1439"/>
      <c r="L358" s="1437"/>
      <c r="M358" s="558"/>
      <c r="N358" s="1084"/>
      <c r="O358" s="25"/>
    </row>
    <row r="359" spans="2:28" ht="12.75" customHeight="1" x14ac:dyDescent="0.2">
      <c r="B359" s="38"/>
      <c r="C359" s="68"/>
      <c r="D359" s="56">
        <f>D358+1</f>
        <v>2</v>
      </c>
      <c r="E359" s="1752" t="str">
        <f>Translations!$B$881</f>
        <v>Centralizētā siltumapgāde</v>
      </c>
      <c r="F359" s="1753"/>
      <c r="G359" s="1416"/>
      <c r="H359" s="1423"/>
      <c r="I359" s="1423"/>
      <c r="J359" s="1423"/>
      <c r="K359" s="1423"/>
      <c r="L359" s="1417"/>
      <c r="M359" s="559"/>
      <c r="N359" s="1085"/>
      <c r="O359" s="25"/>
    </row>
    <row r="360" spans="2:28" ht="12.75" customHeight="1" x14ac:dyDescent="0.2">
      <c r="B360" s="38"/>
      <c r="C360" s="68"/>
      <c r="D360" s="56">
        <f t="shared" ref="D360:D367" si="9">D359+1</f>
        <v>3</v>
      </c>
      <c r="E360" s="1752" t="str">
        <f>Translations!$B$881</f>
        <v>Centralizētā siltumapgāde</v>
      </c>
      <c r="F360" s="1753"/>
      <c r="G360" s="1416"/>
      <c r="H360" s="1423"/>
      <c r="I360" s="1423"/>
      <c r="J360" s="1423"/>
      <c r="K360" s="1423"/>
      <c r="L360" s="1417"/>
      <c r="M360" s="559"/>
      <c r="N360" s="1085"/>
      <c r="O360" s="25"/>
    </row>
    <row r="361" spans="2:28" ht="12.75" customHeight="1" x14ac:dyDescent="0.2">
      <c r="B361" s="38"/>
      <c r="C361" s="68"/>
      <c r="D361" s="56">
        <f t="shared" si="9"/>
        <v>4</v>
      </c>
      <c r="E361" s="1752" t="str">
        <f>Translations!$B$881</f>
        <v>Centralizētā siltumapgāde</v>
      </c>
      <c r="F361" s="1753"/>
      <c r="G361" s="1416"/>
      <c r="H361" s="1423"/>
      <c r="I361" s="1423"/>
      <c r="J361" s="1423"/>
      <c r="K361" s="1423"/>
      <c r="L361" s="1417"/>
      <c r="M361" s="559"/>
      <c r="N361" s="1085"/>
      <c r="O361" s="25"/>
    </row>
    <row r="362" spans="2:28" ht="12.75" customHeight="1" x14ac:dyDescent="0.2">
      <c r="B362" s="38"/>
      <c r="C362" s="68"/>
      <c r="D362" s="56">
        <f t="shared" si="9"/>
        <v>5</v>
      </c>
      <c r="E362" s="1752" t="str">
        <f>Translations!$B$881</f>
        <v>Centralizētā siltumapgāde</v>
      </c>
      <c r="F362" s="1753"/>
      <c r="G362" s="1416"/>
      <c r="H362" s="1423"/>
      <c r="I362" s="1423"/>
      <c r="J362" s="1423"/>
      <c r="K362" s="1423"/>
      <c r="L362" s="1417"/>
      <c r="M362" s="559"/>
      <c r="N362" s="1085"/>
      <c r="O362" s="25"/>
      <c r="Y362" s="624"/>
      <c r="Z362" s="624"/>
      <c r="AA362" s="624"/>
      <c r="AB362" s="624"/>
    </row>
    <row r="363" spans="2:28" ht="12.75" customHeight="1" x14ac:dyDescent="0.2">
      <c r="B363" s="38"/>
      <c r="C363" s="68"/>
      <c r="D363" s="56">
        <f t="shared" si="9"/>
        <v>6</v>
      </c>
      <c r="E363" s="1752" t="str">
        <f>Translations!$B$881</f>
        <v>Centralizētā siltumapgāde</v>
      </c>
      <c r="F363" s="1753"/>
      <c r="G363" s="1416"/>
      <c r="H363" s="1423"/>
      <c r="I363" s="1423"/>
      <c r="J363" s="1423"/>
      <c r="K363" s="1423"/>
      <c r="L363" s="1417"/>
      <c r="M363" s="559"/>
      <c r="N363" s="1085"/>
      <c r="O363" s="25"/>
    </row>
    <row r="364" spans="2:28" ht="12.75" customHeight="1" x14ac:dyDescent="0.2">
      <c r="B364" s="38"/>
      <c r="C364" s="68"/>
      <c r="D364" s="56">
        <f t="shared" si="9"/>
        <v>7</v>
      </c>
      <c r="E364" s="1752" t="str">
        <f>Translations!$B$881</f>
        <v>Centralizētā siltumapgāde</v>
      </c>
      <c r="F364" s="1753"/>
      <c r="G364" s="1416"/>
      <c r="H364" s="1423"/>
      <c r="I364" s="1423"/>
      <c r="J364" s="1423"/>
      <c r="K364" s="1423"/>
      <c r="L364" s="1417"/>
      <c r="M364" s="559"/>
      <c r="N364" s="1085"/>
      <c r="O364" s="25"/>
    </row>
    <row r="365" spans="2:28" ht="12.75" customHeight="1" x14ac:dyDescent="0.2">
      <c r="B365" s="38"/>
      <c r="C365" s="68"/>
      <c r="D365" s="56">
        <f t="shared" si="9"/>
        <v>8</v>
      </c>
      <c r="E365" s="1752" t="str">
        <f>Translations!$B$881</f>
        <v>Centralizētā siltumapgāde</v>
      </c>
      <c r="F365" s="1753"/>
      <c r="G365" s="1416"/>
      <c r="H365" s="1423"/>
      <c r="I365" s="1423"/>
      <c r="J365" s="1423"/>
      <c r="K365" s="1423"/>
      <c r="L365" s="1417"/>
      <c r="M365" s="559"/>
      <c r="N365" s="1085"/>
      <c r="O365" s="25"/>
    </row>
    <row r="366" spans="2:28" ht="12.75" customHeight="1" x14ac:dyDescent="0.2">
      <c r="B366" s="38"/>
      <c r="C366" s="68"/>
      <c r="D366" s="56">
        <f t="shared" si="9"/>
        <v>9</v>
      </c>
      <c r="E366" s="1752" t="str">
        <f>Translations!$B$881</f>
        <v>Centralizētā siltumapgāde</v>
      </c>
      <c r="F366" s="1753"/>
      <c r="G366" s="1416"/>
      <c r="H366" s="1423"/>
      <c r="I366" s="1423"/>
      <c r="J366" s="1423"/>
      <c r="K366" s="1423"/>
      <c r="L366" s="1417"/>
      <c r="M366" s="559"/>
      <c r="N366" s="1085"/>
      <c r="O366" s="25"/>
    </row>
    <row r="367" spans="2:28" ht="12.75" customHeight="1" x14ac:dyDescent="0.2">
      <c r="B367" s="38"/>
      <c r="C367" s="68"/>
      <c r="D367" s="59">
        <f t="shared" si="9"/>
        <v>10</v>
      </c>
      <c r="E367" s="1750" t="str">
        <f>Translations!$B$881</f>
        <v>Centralizētā siltumapgāde</v>
      </c>
      <c r="F367" s="1751"/>
      <c r="G367" s="1433"/>
      <c r="H367" s="1434"/>
      <c r="I367" s="1434"/>
      <c r="J367" s="1434"/>
      <c r="K367" s="1434"/>
      <c r="L367" s="1435"/>
      <c r="M367" s="560"/>
      <c r="N367" s="1086"/>
      <c r="O367" s="25"/>
      <c r="Y367" s="624"/>
      <c r="Z367" s="624"/>
      <c r="AA367" s="624"/>
      <c r="AB367" s="624"/>
    </row>
    <row r="368" spans="2:28" ht="5.0999999999999996" customHeight="1" x14ac:dyDescent="0.2">
      <c r="B368" s="21"/>
      <c r="C368" s="23"/>
      <c r="D368" s="21"/>
      <c r="E368" s="21"/>
      <c r="F368" s="21"/>
      <c r="G368" s="21"/>
      <c r="H368" s="21"/>
      <c r="I368" s="21"/>
      <c r="J368" s="21"/>
      <c r="K368" s="21"/>
      <c r="L368" s="21"/>
      <c r="M368" s="21"/>
      <c r="N368" s="21"/>
      <c r="O368" s="25"/>
      <c r="P368" s="26"/>
      <c r="Q368" s="26"/>
    </row>
    <row r="369" spans="2:19" ht="12.75" customHeight="1" x14ac:dyDescent="0.2">
      <c r="B369" s="21"/>
      <c r="C369" s="370"/>
      <c r="D369" s="32"/>
      <c r="E369" s="1250" t="str">
        <f>Translations!$B$840</f>
        <v>Ražošanas līmeņi</v>
      </c>
      <c r="F369" s="1250"/>
      <c r="G369" s="1250"/>
      <c r="H369" s="1250"/>
      <c r="I369" s="1250"/>
      <c r="J369" s="1250"/>
      <c r="K369" s="1250"/>
      <c r="L369" s="1250"/>
      <c r="M369" s="1250"/>
      <c r="N369" s="1250"/>
      <c r="O369" s="25"/>
      <c r="P369" s="26"/>
    </row>
    <row r="370" spans="2:19" ht="5.0999999999999996" customHeight="1" x14ac:dyDescent="0.2">
      <c r="B370" s="21"/>
      <c r="C370" s="384"/>
      <c r="D370" s="34"/>
      <c r="E370" s="35"/>
      <c r="F370" s="35"/>
      <c r="G370" s="35"/>
      <c r="H370" s="35"/>
      <c r="I370" s="35"/>
      <c r="J370" s="39"/>
      <c r="K370" s="39"/>
      <c r="L370" s="39"/>
      <c r="M370" s="25"/>
      <c r="N370" s="25"/>
      <c r="O370" s="25"/>
      <c r="P370" s="26"/>
    </row>
    <row r="371" spans="2:19" ht="12.75" customHeight="1" x14ac:dyDescent="0.2">
      <c r="B371" s="38"/>
      <c r="C371" s="370"/>
      <c r="D371" s="360"/>
      <c r="E371" s="1767" t="str">
        <f>G357</f>
        <v>Centralizētās siltumapgādes tīkls</v>
      </c>
      <c r="F371" s="1320"/>
      <c r="G371" s="1838"/>
      <c r="H371" s="52" t="str">
        <f>EUconst_Unit</f>
        <v>Vienība</v>
      </c>
      <c r="I371" s="412">
        <f>I$793</f>
        <v>2019</v>
      </c>
      <c r="J371" s="412">
        <f>J$793</f>
        <v>2020</v>
      </c>
      <c r="K371" s="412">
        <f>K$793</f>
        <v>2021</v>
      </c>
      <c r="L371" s="412">
        <f>L$793</f>
        <v>2022</v>
      </c>
      <c r="M371" s="412">
        <f>M$793</f>
        <v>2023</v>
      </c>
      <c r="N371" s="25"/>
      <c r="O371" s="25"/>
    </row>
    <row r="372" spans="2:19" ht="12.75" customHeight="1" x14ac:dyDescent="0.2">
      <c r="B372" s="38"/>
      <c r="C372" s="68"/>
      <c r="D372" s="55">
        <v>1</v>
      </c>
      <c r="E372" s="1748" t="str">
        <f>IF(ISBLANK(G358),"",G358)</f>
        <v/>
      </c>
      <c r="F372" s="1598"/>
      <c r="G372" s="1749"/>
      <c r="H372" s="728" t="str">
        <f t="shared" ref="H372:H381" si="10">EUconst_TJ</f>
        <v>TJ</v>
      </c>
      <c r="I372" s="484"/>
      <c r="J372" s="484"/>
      <c r="K372" s="484"/>
      <c r="L372" s="484"/>
      <c r="M372" s="484"/>
      <c r="N372" s="25"/>
      <c r="O372" s="25"/>
    </row>
    <row r="373" spans="2:19" ht="12.75" customHeight="1" x14ac:dyDescent="0.2">
      <c r="B373" s="38"/>
      <c r="C373" s="68"/>
      <c r="D373" s="56">
        <f>D372+1</f>
        <v>2</v>
      </c>
      <c r="E373" s="1754" t="str">
        <f t="shared" ref="E373:E381" si="11">IF(ISBLANK(G359),"",G359)</f>
        <v/>
      </c>
      <c r="F373" s="1571"/>
      <c r="G373" s="1810"/>
      <c r="H373" s="729" t="str">
        <f t="shared" si="10"/>
        <v>TJ</v>
      </c>
      <c r="I373" s="557"/>
      <c r="J373" s="557"/>
      <c r="K373" s="557"/>
      <c r="L373" s="557"/>
      <c r="M373" s="557"/>
      <c r="N373" s="25"/>
      <c r="O373" s="25"/>
    </row>
    <row r="374" spans="2:19" ht="12.75" customHeight="1" x14ac:dyDescent="0.2">
      <c r="B374" s="38"/>
      <c r="C374" s="68"/>
      <c r="D374" s="56">
        <f t="shared" ref="D374:D381" si="12">D373+1</f>
        <v>3</v>
      </c>
      <c r="E374" s="1754" t="str">
        <f t="shared" si="11"/>
        <v/>
      </c>
      <c r="F374" s="1571"/>
      <c r="G374" s="1810"/>
      <c r="H374" s="729" t="str">
        <f t="shared" si="10"/>
        <v>TJ</v>
      </c>
      <c r="I374" s="557"/>
      <c r="J374" s="557"/>
      <c r="K374" s="557"/>
      <c r="L374" s="557"/>
      <c r="M374" s="557"/>
      <c r="N374" s="25"/>
      <c r="O374" s="25"/>
    </row>
    <row r="375" spans="2:19" ht="12.75" customHeight="1" x14ac:dyDescent="0.2">
      <c r="B375" s="38"/>
      <c r="C375" s="68"/>
      <c r="D375" s="56">
        <f t="shared" si="12"/>
        <v>4</v>
      </c>
      <c r="E375" s="1754" t="str">
        <f t="shared" si="11"/>
        <v/>
      </c>
      <c r="F375" s="1571"/>
      <c r="G375" s="1810"/>
      <c r="H375" s="729" t="str">
        <f t="shared" si="10"/>
        <v>TJ</v>
      </c>
      <c r="I375" s="557"/>
      <c r="J375" s="557"/>
      <c r="K375" s="557"/>
      <c r="L375" s="557"/>
      <c r="M375" s="557"/>
      <c r="N375" s="25"/>
      <c r="O375" s="25"/>
    </row>
    <row r="376" spans="2:19" ht="12.75" customHeight="1" x14ac:dyDescent="0.2">
      <c r="B376" s="38"/>
      <c r="C376" s="68"/>
      <c r="D376" s="56">
        <f t="shared" si="12"/>
        <v>5</v>
      </c>
      <c r="E376" s="1754" t="str">
        <f t="shared" si="11"/>
        <v/>
      </c>
      <c r="F376" s="1571"/>
      <c r="G376" s="1810"/>
      <c r="H376" s="729" t="str">
        <f t="shared" si="10"/>
        <v>TJ</v>
      </c>
      <c r="I376" s="557"/>
      <c r="J376" s="557"/>
      <c r="K376" s="557"/>
      <c r="L376" s="557"/>
      <c r="M376" s="557"/>
      <c r="N376" s="25"/>
      <c r="O376" s="25"/>
    </row>
    <row r="377" spans="2:19" ht="12.75" customHeight="1" x14ac:dyDescent="0.2">
      <c r="B377" s="38"/>
      <c r="C377" s="68"/>
      <c r="D377" s="56">
        <f t="shared" si="12"/>
        <v>6</v>
      </c>
      <c r="E377" s="1754" t="str">
        <f t="shared" si="11"/>
        <v/>
      </c>
      <c r="F377" s="1571"/>
      <c r="G377" s="1810"/>
      <c r="H377" s="729" t="str">
        <f t="shared" si="10"/>
        <v>TJ</v>
      </c>
      <c r="I377" s="557"/>
      <c r="J377" s="557"/>
      <c r="K377" s="557"/>
      <c r="L377" s="557"/>
      <c r="M377" s="557"/>
      <c r="N377" s="25"/>
      <c r="O377" s="25"/>
    </row>
    <row r="378" spans="2:19" ht="12.75" customHeight="1" x14ac:dyDescent="0.2">
      <c r="B378" s="38"/>
      <c r="C378" s="68"/>
      <c r="D378" s="56">
        <f t="shared" si="12"/>
        <v>7</v>
      </c>
      <c r="E378" s="1754" t="str">
        <f t="shared" si="11"/>
        <v/>
      </c>
      <c r="F378" s="1571"/>
      <c r="G378" s="1810"/>
      <c r="H378" s="729" t="str">
        <f t="shared" si="10"/>
        <v>TJ</v>
      </c>
      <c r="I378" s="557"/>
      <c r="J378" s="557"/>
      <c r="K378" s="557"/>
      <c r="L378" s="557"/>
      <c r="M378" s="557"/>
      <c r="N378" s="25"/>
      <c r="O378" s="25"/>
    </row>
    <row r="379" spans="2:19" ht="12.75" customHeight="1" x14ac:dyDescent="0.2">
      <c r="B379" s="38"/>
      <c r="C379" s="68"/>
      <c r="D379" s="56">
        <f t="shared" si="12"/>
        <v>8</v>
      </c>
      <c r="E379" s="1754" t="str">
        <f t="shared" si="11"/>
        <v/>
      </c>
      <c r="F379" s="1571"/>
      <c r="G379" s="1810"/>
      <c r="H379" s="729" t="str">
        <f t="shared" si="10"/>
        <v>TJ</v>
      </c>
      <c r="I379" s="557"/>
      <c r="J379" s="557"/>
      <c r="K379" s="557"/>
      <c r="L379" s="557"/>
      <c r="M379" s="557"/>
      <c r="N379" s="25"/>
      <c r="O379" s="25"/>
    </row>
    <row r="380" spans="2:19" ht="12.75" customHeight="1" x14ac:dyDescent="0.2">
      <c r="B380" s="38"/>
      <c r="C380" s="68"/>
      <c r="D380" s="56">
        <f t="shared" si="12"/>
        <v>9</v>
      </c>
      <c r="E380" s="1754" t="str">
        <f t="shared" si="11"/>
        <v/>
      </c>
      <c r="F380" s="1571"/>
      <c r="G380" s="1810"/>
      <c r="H380" s="729" t="str">
        <f t="shared" si="10"/>
        <v>TJ</v>
      </c>
      <c r="I380" s="557"/>
      <c r="J380" s="557"/>
      <c r="K380" s="557"/>
      <c r="L380" s="557"/>
      <c r="M380" s="557"/>
      <c r="N380" s="25"/>
      <c r="O380" s="25"/>
    </row>
    <row r="381" spans="2:19" ht="12.75" customHeight="1" x14ac:dyDescent="0.2">
      <c r="B381" s="38"/>
      <c r="C381" s="68"/>
      <c r="D381" s="59">
        <f t="shared" si="12"/>
        <v>10</v>
      </c>
      <c r="E381" s="1757" t="str">
        <f t="shared" si="11"/>
        <v/>
      </c>
      <c r="F381" s="1595"/>
      <c r="G381" s="1811"/>
      <c r="H381" s="730" t="str">
        <f t="shared" si="10"/>
        <v>TJ</v>
      </c>
      <c r="I381" s="458"/>
      <c r="J381" s="458"/>
      <c r="K381" s="458"/>
      <c r="L381" s="458"/>
      <c r="M381" s="458"/>
      <c r="N381" s="25"/>
      <c r="O381" s="25"/>
    </row>
    <row r="382" spans="2:19" ht="12.75" customHeight="1" x14ac:dyDescent="0.2">
      <c r="B382" s="38"/>
      <c r="C382" s="38"/>
      <c r="D382" s="115"/>
      <c r="E382" s="1760" t="str">
        <f>Translations!$B$708</f>
        <v>Ražošanas līmeņu summa</v>
      </c>
      <c r="F382" s="1517"/>
      <c r="G382" s="1812"/>
      <c r="H382" s="250"/>
      <c r="I382" s="343" t="str">
        <f>IF(COUNT(I372:I381)&gt;0,SUM(I372:I381),"")</f>
        <v/>
      </c>
      <c r="J382" s="343" t="str">
        <f>IF(COUNT(J372:J381)&gt;0,SUM(J372:J381),"")</f>
        <v/>
      </c>
      <c r="K382" s="343" t="str">
        <f>IF(COUNT(K372:K381)&gt;0,SUM(K372:K381),"")</f>
        <v/>
      </c>
      <c r="L382" s="343" t="str">
        <f>IF(COUNT(L372:L381)&gt;0,SUM(L372:L381),"")</f>
        <v/>
      </c>
      <c r="M382" s="343" t="str">
        <f>IF(COUNT(M372:M381)&gt;0,SUM(M372:M381),"")</f>
        <v/>
      </c>
      <c r="N382" s="25"/>
      <c r="O382" s="25"/>
    </row>
    <row r="383" spans="2:19" ht="12.75" customHeight="1" thickBot="1" x14ac:dyDescent="0.25">
      <c r="B383" s="38"/>
      <c r="C383" s="38"/>
      <c r="D383" s="38"/>
      <c r="E383" s="38"/>
      <c r="F383" s="38"/>
      <c r="G383" s="38"/>
      <c r="H383" s="38"/>
      <c r="I383" s="38"/>
      <c r="J383" s="38"/>
      <c r="K383" s="38"/>
      <c r="L383" s="38"/>
      <c r="M383" s="38"/>
      <c r="N383" s="38"/>
      <c r="O383" s="25"/>
    </row>
    <row r="384" spans="2:19" ht="5.0999999999999996" customHeight="1" x14ac:dyDescent="0.2">
      <c r="B384" s="21"/>
      <c r="C384" s="467"/>
      <c r="D384" s="468"/>
      <c r="E384" s="468"/>
      <c r="F384" s="468"/>
      <c r="G384" s="468"/>
      <c r="H384" s="468"/>
      <c r="I384" s="468"/>
      <c r="J384" s="468"/>
      <c r="K384" s="468"/>
      <c r="L384" s="468"/>
      <c r="M384" s="469"/>
      <c r="N384" s="470"/>
      <c r="O384" s="25"/>
      <c r="P384" s="26"/>
      <c r="R384" s="26"/>
      <c r="S384" s="26"/>
    </row>
    <row r="385" spans="2:23" ht="15" customHeight="1" x14ac:dyDescent="0.2">
      <c r="B385" s="38"/>
      <c r="C385" s="471"/>
      <c r="D385" s="1697" t="str">
        <f>Translations!$B$709</f>
        <v>Dati, kas vajadzīgi, lai noteiktu līmeņatzīmju uzlabošanas rādītāju saskaņā ar ES ETS direktīvas 10.a panta 2. punktu.</v>
      </c>
      <c r="E385" s="1697"/>
      <c r="F385" s="1697"/>
      <c r="G385" s="1697"/>
      <c r="H385" s="1697"/>
      <c r="I385" s="1697"/>
      <c r="J385" s="1697"/>
      <c r="K385" s="1697"/>
      <c r="L385" s="1697"/>
      <c r="M385" s="1697"/>
      <c r="N385" s="1813"/>
      <c r="O385" s="25"/>
      <c r="R385" s="26"/>
      <c r="S385" s="26"/>
    </row>
    <row r="386" spans="2:23" ht="5.0999999999999996" customHeight="1" x14ac:dyDescent="0.2">
      <c r="B386" s="38"/>
      <c r="C386" s="472"/>
      <c r="D386" s="461"/>
      <c r="E386" s="461"/>
      <c r="F386" s="461"/>
      <c r="G386" s="461"/>
      <c r="H386" s="461"/>
      <c r="I386" s="461"/>
      <c r="J386" s="461"/>
      <c r="K386" s="461"/>
      <c r="L386" s="461"/>
      <c r="M386" s="461"/>
      <c r="N386" s="473"/>
      <c r="O386" s="25"/>
      <c r="R386" s="26"/>
      <c r="S386" s="26"/>
    </row>
    <row r="387" spans="2:23" ht="15" customHeight="1" x14ac:dyDescent="0.2">
      <c r="B387" s="38"/>
      <c r="C387" s="472"/>
      <c r="D387" s="1698" t="str">
        <f>EUconst_FBSubinst &amp; ":"</f>
        <v>Alternatīva apakšiekārta:</v>
      </c>
      <c r="E387" s="1698"/>
      <c r="F387" s="1698"/>
      <c r="G387" s="1698"/>
      <c r="H387" s="1845"/>
      <c r="I387" s="1701" t="str">
        <f>I343</f>
        <v>Centralizētās siltumapgādes apakšiekārta</v>
      </c>
      <c r="J387" s="1807"/>
      <c r="K387" s="1807"/>
      <c r="L387" s="1807"/>
      <c r="M387" s="1807"/>
      <c r="N387" s="1808"/>
      <c r="O387" s="25"/>
      <c r="R387" s="26"/>
      <c r="S387" s="26"/>
    </row>
    <row r="388" spans="2:23" ht="5.0999999999999996" customHeight="1" x14ac:dyDescent="0.2">
      <c r="B388" s="38"/>
      <c r="C388" s="472"/>
      <c r="D388" s="461"/>
      <c r="E388" s="461"/>
      <c r="F388" s="461"/>
      <c r="G388" s="461"/>
      <c r="H388" s="461"/>
      <c r="I388" s="461"/>
      <c r="J388" s="461"/>
      <c r="K388" s="461"/>
      <c r="L388" s="461"/>
      <c r="M388" s="461"/>
      <c r="N388" s="473"/>
      <c r="O388" s="25"/>
      <c r="R388" s="26"/>
      <c r="S388" s="26"/>
    </row>
    <row r="389" spans="2:23" ht="12.75" customHeight="1" x14ac:dyDescent="0.2">
      <c r="B389" s="21"/>
      <c r="C389" s="471"/>
      <c r="D389" s="474" t="s">
        <v>11</v>
      </c>
      <c r="E389" s="1654" t="str">
        <f>Translations!$B$841</f>
        <v>Uz šo apakšiekārtu tieši attiecināmas emisijas (DirEm*)</v>
      </c>
      <c r="F389" s="1654"/>
      <c r="G389" s="1654"/>
      <c r="H389" s="1654"/>
      <c r="I389" s="1654"/>
      <c r="J389" s="1654"/>
      <c r="K389" s="1654"/>
      <c r="L389" s="1654"/>
      <c r="M389" s="1654"/>
      <c r="N389" s="1724"/>
      <c r="O389" s="25"/>
      <c r="P389" s="26"/>
      <c r="R389" s="26"/>
      <c r="S389" s="26"/>
    </row>
    <row r="390" spans="2:23" ht="12.75" customHeight="1" thickBot="1" x14ac:dyDescent="0.25">
      <c r="B390" s="21"/>
      <c r="C390" s="471"/>
      <c r="D390" s="460"/>
      <c r="E390" s="1727" t="str">
        <f>Translations!$B$882</f>
        <v>Sīki norādījumi par to, kā šeit ievadīt datus, atrodami augstāk 1. sadaļas c) punktā.</v>
      </c>
      <c r="F390" s="1727"/>
      <c r="G390" s="1727"/>
      <c r="H390" s="1727"/>
      <c r="I390" s="1727"/>
      <c r="J390" s="1727"/>
      <c r="K390" s="1727"/>
      <c r="L390" s="1727"/>
      <c r="M390" s="1727"/>
      <c r="N390" s="1734"/>
      <c r="O390" s="25"/>
      <c r="P390" s="26"/>
      <c r="R390" s="26"/>
    </row>
    <row r="391" spans="2:23" ht="12.75" customHeight="1" x14ac:dyDescent="0.2">
      <c r="B391" s="21"/>
      <c r="C391" s="471"/>
      <c r="D391" s="474"/>
      <c r="E391" s="1653" t="str">
        <f>Translations!$B$690</f>
        <v>Kopējās tiešās emisijas</v>
      </c>
      <c r="F391" s="1653"/>
      <c r="G391" s="1653"/>
      <c r="H391" s="462" t="str">
        <f>EUconst_Unit</f>
        <v>Vienība</v>
      </c>
      <c r="I391" s="463">
        <f>I$793</f>
        <v>2019</v>
      </c>
      <c r="J391" s="463">
        <f>J$793</f>
        <v>2020</v>
      </c>
      <c r="K391" s="463">
        <f>K$793</f>
        <v>2021</v>
      </c>
      <c r="L391" s="463">
        <f>L$793</f>
        <v>2022</v>
      </c>
      <c r="M391" s="463">
        <f>M$793</f>
        <v>2023</v>
      </c>
      <c r="N391" s="475"/>
      <c r="O391" s="25"/>
      <c r="P391" s="26"/>
      <c r="R391" s="808"/>
      <c r="S391" s="809">
        <f>I391</f>
        <v>2019</v>
      </c>
      <c r="T391" s="809">
        <f>J391</f>
        <v>2020</v>
      </c>
      <c r="U391" s="809">
        <f>K391</f>
        <v>2021</v>
      </c>
      <c r="V391" s="809">
        <f>L391</f>
        <v>2022</v>
      </c>
      <c r="W391" s="810">
        <f>M391</f>
        <v>2023</v>
      </c>
    </row>
    <row r="392" spans="2:23" ht="12.75" customHeight="1" thickBot="1" x14ac:dyDescent="0.25">
      <c r="B392" s="21"/>
      <c r="C392" s="471"/>
      <c r="D392" s="460"/>
      <c r="E392" s="1689" t="str">
        <f>I343</f>
        <v>Centralizētās siltumapgādes apakšiekārta</v>
      </c>
      <c r="F392" s="1689"/>
      <c r="G392" s="1689"/>
      <c r="H392" s="464" t="str">
        <f>EUconst_tCO2epa</f>
        <v>t CO2e/gads</v>
      </c>
      <c r="I392" s="337"/>
      <c r="J392" s="337"/>
      <c r="K392" s="337"/>
      <c r="L392" s="337"/>
      <c r="M392" s="337"/>
      <c r="N392" s="475"/>
      <c r="O392" s="25"/>
      <c r="P392" s="367" t="str">
        <f>EUconst_CNTR_Emissions &amp; I343</f>
        <v>DirEmissions_Centralizētās siltumapgādes apakšiekārta</v>
      </c>
      <c r="R392" s="811" t="str">
        <f>EUconst_CNTR_AttributedEmissions &amp; $I343</f>
        <v>AttrEmissions_Centralizētās siltumapgādes apakšiekārta</v>
      </c>
      <c r="S392" s="137" t="str">
        <f>IF(S343,SUM(I392),"")</f>
        <v/>
      </c>
      <c r="T392" s="137" t="str">
        <f>IF(T343,SUM(J392),"")</f>
        <v/>
      </c>
      <c r="U392" s="137" t="str">
        <f>IF(U343,SUM(K392),"")</f>
        <v/>
      </c>
      <c r="V392" s="137" t="str">
        <f>IF(V343,SUM(L392),"")</f>
        <v/>
      </c>
      <c r="W392" s="138" t="str">
        <f>IF(W343,SUM(M392),"")</f>
        <v/>
      </c>
    </row>
    <row r="393" spans="2:23" ht="5.0999999999999996" customHeight="1" x14ac:dyDescent="0.2">
      <c r="B393" s="21"/>
      <c r="C393" s="471"/>
      <c r="D393" s="460"/>
      <c r="E393" s="460"/>
      <c r="F393" s="460"/>
      <c r="G393" s="460"/>
      <c r="H393" s="460"/>
      <c r="I393" s="460"/>
      <c r="J393" s="460"/>
      <c r="K393" s="460"/>
      <c r="L393" s="460"/>
      <c r="M393" s="476"/>
      <c r="N393" s="475"/>
      <c r="O393" s="25"/>
      <c r="P393" s="26"/>
      <c r="R393" s="26"/>
    </row>
    <row r="394" spans="2:23" ht="12.75" customHeight="1" x14ac:dyDescent="0.2">
      <c r="B394" s="21"/>
      <c r="C394" s="471"/>
      <c r="D394" s="474" t="s">
        <v>342</v>
      </c>
      <c r="E394" s="1663" t="str">
        <f>Translations!$B$1670</f>
        <v>Enerģijas ielaide šajā apakšiekārtā un relevantais emisijas faktors</v>
      </c>
      <c r="F394" s="1663"/>
      <c r="G394" s="1663"/>
      <c r="H394" s="1663"/>
      <c r="I394" s="1663"/>
      <c r="J394" s="1663"/>
      <c r="K394" s="1663"/>
      <c r="L394" s="1663"/>
      <c r="M394" s="1663"/>
      <c r="N394" s="1690"/>
      <c r="O394" s="25"/>
      <c r="R394" s="26"/>
    </row>
    <row r="395" spans="2:23" ht="12.75" customHeight="1" x14ac:dyDescent="0.2">
      <c r="B395" s="21"/>
      <c r="C395" s="471"/>
      <c r="D395" s="460"/>
      <c r="E395" s="1727" t="str">
        <f>Translations!$B$877</f>
        <v>Sīki norādījumi par to, kā šeit ievadīt datus, atrodami augstāk 1. sadaļas d) punktā.</v>
      </c>
      <c r="F395" s="1727"/>
      <c r="G395" s="1727"/>
      <c r="H395" s="1727"/>
      <c r="I395" s="1727"/>
      <c r="J395" s="1727"/>
      <c r="K395" s="1727"/>
      <c r="L395" s="1727"/>
      <c r="M395" s="1727"/>
      <c r="N395" s="1734"/>
      <c r="O395" s="25"/>
      <c r="P395" s="26"/>
      <c r="R395" s="26"/>
    </row>
    <row r="396" spans="2:23" ht="12.75" customHeight="1" x14ac:dyDescent="0.2">
      <c r="B396" s="21"/>
      <c r="C396" s="471"/>
      <c r="D396" s="474"/>
      <c r="E396" s="1653"/>
      <c r="F396" s="1657"/>
      <c r="G396" s="1657"/>
      <c r="H396" s="462" t="str">
        <f>EUconst_Unit</f>
        <v>Vienība</v>
      </c>
      <c r="I396" s="463">
        <f>I$793</f>
        <v>2019</v>
      </c>
      <c r="J396" s="463">
        <f>J$793</f>
        <v>2020</v>
      </c>
      <c r="K396" s="463">
        <f>K$793</f>
        <v>2021</v>
      </c>
      <c r="L396" s="463">
        <f>L$793</f>
        <v>2022</v>
      </c>
      <c r="M396" s="463">
        <f>M$793</f>
        <v>2023</v>
      </c>
      <c r="N396" s="475"/>
      <c r="O396" s="25"/>
      <c r="P396" s="26"/>
      <c r="R396" s="26"/>
    </row>
    <row r="397" spans="2:23" ht="12.75" customHeight="1" x14ac:dyDescent="0.2">
      <c r="B397" s="21"/>
      <c r="C397" s="471"/>
      <c r="D397" s="477" t="s">
        <v>2</v>
      </c>
      <c r="E397" s="1667" t="str">
        <f>Translations!$B$852</f>
        <v>Kopējā kurināmo ielaide</v>
      </c>
      <c r="F397" s="1660"/>
      <c r="G397" s="1660"/>
      <c r="H397" s="466" t="str">
        <f>EUconst_TJpa</f>
        <v>TJ / gads</v>
      </c>
      <c r="I397" s="348"/>
      <c r="J397" s="348"/>
      <c r="K397" s="348"/>
      <c r="L397" s="348"/>
      <c r="M397" s="348"/>
      <c r="N397" s="528"/>
      <c r="O397" s="25"/>
      <c r="P397" s="367" t="str">
        <f>EUconst_CNTR_FuelInput &amp; I343</f>
        <v>FuelInput_Centralizētās siltumapgādes apakšiekārta</v>
      </c>
      <c r="R397" s="26"/>
    </row>
    <row r="398" spans="2:23" ht="12.75" customHeight="1" x14ac:dyDescent="0.2">
      <c r="B398" s="21"/>
      <c r="C398" s="471"/>
      <c r="D398" s="477" t="s">
        <v>3</v>
      </c>
      <c r="E398" s="1737" t="str">
        <f>Translations!$B$732</f>
        <v>Svērtais emisijas faktors</v>
      </c>
      <c r="F398" s="1659"/>
      <c r="G398" s="1659"/>
      <c r="H398" s="485" t="str">
        <f>EUconst_tCO2pTJ</f>
        <v>t CO2 / TJ</v>
      </c>
      <c r="I398" s="345"/>
      <c r="J398" s="345"/>
      <c r="K398" s="345"/>
      <c r="L398" s="345"/>
      <c r="M398" s="345"/>
      <c r="N398" s="475"/>
      <c r="O398" s="25"/>
      <c r="P398" s="367" t="str">
        <f>EUconst_CNTR_FuelEF &amp; I343</f>
        <v>FuelEF_Centralizētās siltumapgādes apakšiekārta</v>
      </c>
      <c r="R398" s="26"/>
      <c r="S398" s="26"/>
      <c r="T398" s="26"/>
      <c r="U398" s="26"/>
      <c r="V398" s="26"/>
      <c r="W398" s="26"/>
    </row>
    <row r="399" spans="2:23" ht="12.75" customHeight="1" x14ac:dyDescent="0.2">
      <c r="B399" s="21"/>
      <c r="C399" s="471"/>
      <c r="D399" s="477" t="s">
        <v>4</v>
      </c>
      <c r="E399" s="1667" t="str">
        <f>Translations!$B$853</f>
        <v>Atlikumgāzu kurināmā ielaide</v>
      </c>
      <c r="F399" s="1660"/>
      <c r="G399" s="1660"/>
      <c r="H399" s="466" t="str">
        <f>EUconst_TJpa</f>
        <v>TJ / gads</v>
      </c>
      <c r="I399" s="348"/>
      <c r="J399" s="348"/>
      <c r="K399" s="348"/>
      <c r="L399" s="348"/>
      <c r="M399" s="348"/>
      <c r="N399" s="475"/>
      <c r="O399" s="25"/>
      <c r="P399" s="453" t="str">
        <f>EUconst_CNTR_WGConsumed &amp; I343</f>
        <v>WasteGasCons_Centralizētās siltumapgādes apakšiekārta</v>
      </c>
      <c r="R399" s="26"/>
      <c r="S399" s="26"/>
      <c r="T399" s="26"/>
      <c r="U399" s="26"/>
      <c r="V399" s="26"/>
      <c r="W399" s="26"/>
    </row>
    <row r="400" spans="2:23" ht="12.75" customHeight="1" x14ac:dyDescent="0.2">
      <c r="B400" s="21"/>
      <c r="C400" s="471"/>
      <c r="D400" s="477" t="s">
        <v>6</v>
      </c>
      <c r="E400" s="1737" t="str">
        <f>Translations!$B$854</f>
        <v>Īpatnējais EF (atlikumgāze)</v>
      </c>
      <c r="F400" s="1659"/>
      <c r="G400" s="1659"/>
      <c r="H400" s="485" t="str">
        <f>EUconst_tCO2pTJ</f>
        <v>t CO2 / TJ</v>
      </c>
      <c r="I400" s="345"/>
      <c r="J400" s="345"/>
      <c r="K400" s="345"/>
      <c r="L400" s="345"/>
      <c r="M400" s="345"/>
      <c r="N400" s="475"/>
      <c r="O400" s="25"/>
      <c r="P400" s="367" t="str">
        <f>EUconst_CNTR_WGConsumedEF &amp; I343</f>
        <v>WasteGasConsEF_Centralizētās siltumapgādes apakšiekārta</v>
      </c>
      <c r="R400" s="26"/>
      <c r="S400" s="26"/>
      <c r="T400" s="26"/>
      <c r="U400" s="26"/>
      <c r="V400" s="26"/>
      <c r="W400" s="26"/>
    </row>
    <row r="401" spans="2:23" ht="12.75" customHeight="1" x14ac:dyDescent="0.2">
      <c r="B401" s="21"/>
      <c r="C401" s="471"/>
      <c r="D401" s="477" t="s">
        <v>303</v>
      </c>
      <c r="E401" s="1667" t="str">
        <f>Translations!$B$1631</f>
        <v>Elektroenerģijas ielaide siltuma ražošanai</v>
      </c>
      <c r="F401" s="1660"/>
      <c r="G401" s="1660"/>
      <c r="H401" s="466" t="str">
        <f>EUconst_TJpa</f>
        <v>TJ / gads</v>
      </c>
      <c r="I401" s="348"/>
      <c r="J401" s="348"/>
      <c r="K401" s="348"/>
      <c r="L401" s="348"/>
      <c r="M401" s="348"/>
      <c r="N401" s="475"/>
      <c r="O401" s="25"/>
      <c r="P401" s="367" t="str">
        <f>EUconst_CNTR_ElectricityInput &amp; I343</f>
        <v>ElectricityInput_Centralizētās siltumapgādes apakšiekārta</v>
      </c>
      <c r="R401" s="26"/>
      <c r="S401" s="26"/>
      <c r="T401" s="26"/>
      <c r="U401" s="26"/>
      <c r="V401" s="26"/>
      <c r="W401" s="26"/>
    </row>
    <row r="402" spans="2:23" ht="12.75" customHeight="1" x14ac:dyDescent="0.2">
      <c r="B402" s="21"/>
      <c r="C402" s="471"/>
      <c r="D402" s="477" t="s">
        <v>304</v>
      </c>
      <c r="E402" s="1737" t="str">
        <f>Translations!$B$732</f>
        <v>Svērtais emisijas faktors</v>
      </c>
      <c r="F402" s="1659"/>
      <c r="G402" s="1659"/>
      <c r="H402" s="485" t="str">
        <f>EUconst_tCO2pTJ</f>
        <v>t CO2 / TJ</v>
      </c>
      <c r="I402" s="1182"/>
      <c r="J402" s="1182"/>
      <c r="K402" s="1182"/>
      <c r="L402" s="1182"/>
      <c r="M402" s="1182"/>
      <c r="N402" s="475"/>
      <c r="O402" s="25"/>
      <c r="P402" s="367" t="str">
        <f>EUconst_CNTR_ElectricityEF &amp; I343</f>
        <v>ElectricityEF_Centralizētās siltumapgādes apakšiekārta</v>
      </c>
      <c r="R402" s="26"/>
      <c r="S402" s="26"/>
      <c r="T402" s="26"/>
      <c r="U402" s="26"/>
      <c r="V402" s="26"/>
      <c r="W402" s="26"/>
    </row>
    <row r="403" spans="2:23" ht="12.75" customHeight="1" x14ac:dyDescent="0.2">
      <c r="B403" s="21"/>
      <c r="C403" s="471"/>
      <c r="D403" s="477" t="s">
        <v>305</v>
      </c>
      <c r="E403" s="1667" t="str">
        <f>Translations!$B$1632</f>
        <v>Citas enerģijas (piemēram, eksotermiskā siltuma) ielaide</v>
      </c>
      <c r="F403" s="1660"/>
      <c r="G403" s="1660"/>
      <c r="H403" s="466" t="str">
        <f>EUconst_TJpa</f>
        <v>TJ / gads</v>
      </c>
      <c r="I403" s="348"/>
      <c r="J403" s="348"/>
      <c r="K403" s="348"/>
      <c r="L403" s="348"/>
      <c r="M403" s="348"/>
      <c r="N403" s="475"/>
      <c r="O403" s="25"/>
      <c r="P403" s="367" t="str">
        <f>EUconst_CNTR_OtherEnergyInput &amp; I343</f>
        <v>OtherEnergyInput_Centralizētās siltumapgādes apakšiekārta</v>
      </c>
      <c r="R403" s="26"/>
      <c r="S403" s="26"/>
      <c r="T403" s="26"/>
      <c r="U403" s="26"/>
      <c r="V403" s="26"/>
      <c r="W403" s="26"/>
    </row>
    <row r="404" spans="2:23" ht="12.75" customHeight="1" x14ac:dyDescent="0.2">
      <c r="B404" s="21"/>
      <c r="C404" s="471"/>
      <c r="D404" s="477" t="s">
        <v>306</v>
      </c>
      <c r="E404" s="1737" t="str">
        <f>Translations!$B$732</f>
        <v>Svērtais emisijas faktors</v>
      </c>
      <c r="F404" s="1659"/>
      <c r="G404" s="1659"/>
      <c r="H404" s="485" t="str">
        <f>EUconst_tCO2pTJ</f>
        <v>t CO2 / TJ</v>
      </c>
      <c r="I404" s="1182"/>
      <c r="J404" s="1182"/>
      <c r="K404" s="1182"/>
      <c r="L404" s="1182"/>
      <c r="M404" s="1182"/>
      <c r="N404" s="475"/>
      <c r="O404" s="25"/>
      <c r="P404" s="367" t="str">
        <f>EUconst_CNTR_OtherEnergyEF &amp; I343</f>
        <v>OtherEnergyEF_Centralizētās siltumapgādes apakšiekārta</v>
      </c>
      <c r="R404" s="26"/>
      <c r="S404" s="26"/>
      <c r="T404" s="26"/>
      <c r="U404" s="26"/>
      <c r="V404" s="26"/>
      <c r="W404" s="26"/>
    </row>
    <row r="405" spans="2:23" ht="12.75" customHeight="1" x14ac:dyDescent="0.2">
      <c r="B405" s="21"/>
      <c r="C405" s="471"/>
      <c r="D405" s="477" t="s">
        <v>307</v>
      </c>
      <c r="E405" s="1651" t="str">
        <f>Translations!$B$1678</f>
        <v>Kopējā enerģijas ielaide (= i. + v. + vii.)</v>
      </c>
      <c r="F405" s="1652"/>
      <c r="G405" s="1652"/>
      <c r="H405" s="465" t="str">
        <f>EUconst_TJpa</f>
        <v>TJ / gads</v>
      </c>
      <c r="I405" s="448" t="str">
        <f>IF($M343&lt;&gt;EUconst_Relevant,"",SUM(I397,I401,I403))</f>
        <v/>
      </c>
      <c r="J405" s="448" t="str">
        <f>IF($M343&lt;&gt;EUconst_Relevant,"",SUM(J397,J401,J403))</f>
        <v/>
      </c>
      <c r="K405" s="448" t="str">
        <f>IF($M343&lt;&gt;EUconst_Relevant,"",SUM(K397,K401,K403))</f>
        <v/>
      </c>
      <c r="L405" s="448" t="str">
        <f>IF($M343&lt;&gt;EUconst_Relevant,"",SUM(L397,L401,L403))</f>
        <v/>
      </c>
      <c r="M405" s="448" t="str">
        <f>IF($M343&lt;&gt;EUconst_Relevant,"",SUM(M397,M401,M403))</f>
        <v/>
      </c>
      <c r="N405" s="475"/>
      <c r="O405" s="25"/>
      <c r="P405" s="367" t="str">
        <f>EUconst_CNTR_TotalEnergyInput &amp; I343</f>
        <v>TotalEnergyInput_Centralizētās siltumapgādes apakšiekārta</v>
      </c>
      <c r="R405" s="26"/>
    </row>
    <row r="406" spans="2:23" ht="5.0999999999999996" customHeight="1" x14ac:dyDescent="0.2">
      <c r="B406" s="38"/>
      <c r="C406" s="472"/>
      <c r="D406" s="461"/>
      <c r="E406" s="461"/>
      <c r="F406" s="461"/>
      <c r="G406" s="461"/>
      <c r="H406" s="461"/>
      <c r="I406" s="461"/>
      <c r="J406" s="461"/>
      <c r="K406" s="461"/>
      <c r="L406" s="461"/>
      <c r="M406" s="461"/>
      <c r="N406" s="473"/>
      <c r="O406" s="25"/>
      <c r="R406" s="26"/>
      <c r="S406" s="26"/>
    </row>
    <row r="407" spans="2:23" ht="12.75" customHeight="1" x14ac:dyDescent="0.2">
      <c r="B407" s="21"/>
      <c r="C407" s="471"/>
      <c r="D407" s="474" t="s">
        <v>12</v>
      </c>
      <c r="E407" s="1654" t="str">
        <f>Translations!$B$532</f>
        <v>Saražotais izmērāmais siltums</v>
      </c>
      <c r="F407" s="1654"/>
      <c r="G407" s="1654"/>
      <c r="H407" s="1654"/>
      <c r="I407" s="1654"/>
      <c r="J407" s="1654"/>
      <c r="K407" s="1654"/>
      <c r="L407" s="1654"/>
      <c r="M407" s="1654"/>
      <c r="N407" s="1724"/>
      <c r="O407" s="25"/>
      <c r="P407" s="26"/>
      <c r="R407" s="26"/>
      <c r="S407" s="26"/>
    </row>
    <row r="408" spans="2:23" ht="12.75" customHeight="1" x14ac:dyDescent="0.2">
      <c r="B408" s="21"/>
      <c r="C408" s="471"/>
      <c r="D408" s="460"/>
      <c r="E408" s="1727" t="str">
        <f>Translations!$B$878</f>
        <v>Sīki norādījumi par to, kā šeit ievadīt datus, atrodami augstāk 1. sadaļas e) punktā.</v>
      </c>
      <c r="F408" s="1727"/>
      <c r="G408" s="1727"/>
      <c r="H408" s="1727"/>
      <c r="I408" s="1727"/>
      <c r="J408" s="1727"/>
      <c r="K408" s="1727"/>
      <c r="L408" s="1727"/>
      <c r="M408" s="1727"/>
      <c r="N408" s="1734"/>
      <c r="O408" s="25"/>
      <c r="P408" s="26"/>
      <c r="R408" s="26"/>
    </row>
    <row r="409" spans="2:23" ht="12.75" customHeight="1" x14ac:dyDescent="0.2">
      <c r="B409" s="21"/>
      <c r="C409" s="471"/>
      <c r="D409" s="474"/>
      <c r="E409" s="1653" t="str">
        <f>Translations!$B$532</f>
        <v>Saražotais izmērāmais siltums</v>
      </c>
      <c r="F409" s="1653"/>
      <c r="G409" s="1653"/>
      <c r="H409" s="462" t="str">
        <f>EUconst_Unit</f>
        <v>Vienība</v>
      </c>
      <c r="I409" s="463">
        <f>I$793</f>
        <v>2019</v>
      </c>
      <c r="J409" s="463">
        <f>J$793</f>
        <v>2020</v>
      </c>
      <c r="K409" s="463">
        <f>K$793</f>
        <v>2021</v>
      </c>
      <c r="L409" s="463">
        <f>L$793</f>
        <v>2022</v>
      </c>
      <c r="M409" s="463">
        <f>M$793</f>
        <v>2023</v>
      </c>
      <c r="N409" s="475"/>
      <c r="O409" s="25"/>
      <c r="P409" s="26"/>
      <c r="R409" s="26"/>
      <c r="S409" s="26"/>
      <c r="T409" s="26"/>
      <c r="U409" s="26"/>
      <c r="V409" s="26"/>
      <c r="W409" s="26"/>
    </row>
    <row r="410" spans="2:23" ht="12.75" customHeight="1" x14ac:dyDescent="0.2">
      <c r="B410" s="21"/>
      <c r="C410" s="471"/>
      <c r="D410" s="477" t="s">
        <v>2</v>
      </c>
      <c r="E410" s="1651" t="str">
        <f>Translations!$B$1680</f>
        <v>Kopējais saražotais daudzums (ieskaitot elektroenerģiju)</v>
      </c>
      <c r="F410" s="1652"/>
      <c r="G410" s="1652"/>
      <c r="H410" s="464" t="str">
        <f>EUconst_TJpa</f>
        <v>TJ / gads</v>
      </c>
      <c r="I410" s="337"/>
      <c r="J410" s="337"/>
      <c r="K410" s="337"/>
      <c r="L410" s="337"/>
      <c r="M410" s="337"/>
      <c r="N410" s="475"/>
      <c r="O410" s="25"/>
      <c r="P410" s="367" t="str">
        <f>EUconst_CNTR_HeatProduced &amp; I343</f>
        <v>HeatProd_Centralizētās siltumapgādes apakšiekārta</v>
      </c>
      <c r="R410" s="26"/>
      <c r="S410" s="26"/>
      <c r="T410" s="26"/>
      <c r="U410" s="26"/>
      <c r="V410" s="26"/>
      <c r="W410" s="26"/>
    </row>
    <row r="411" spans="2:23" ht="12.75" customHeight="1" x14ac:dyDescent="0.2">
      <c r="B411" s="21"/>
      <c r="C411" s="471"/>
      <c r="D411" s="477" t="s">
        <v>3</v>
      </c>
      <c r="E411" s="1651" t="str">
        <f>Translations!$B$1681</f>
        <v>No elektroenerģijas saražotais siltums</v>
      </c>
      <c r="F411" s="1652"/>
      <c r="G411" s="1652"/>
      <c r="H411" s="464" t="str">
        <f>EUconst_TJpa</f>
        <v>TJ / gads</v>
      </c>
      <c r="I411" s="337"/>
      <c r="J411" s="337"/>
      <c r="K411" s="337"/>
      <c r="L411" s="337"/>
      <c r="M411" s="337"/>
      <c r="N411" s="475"/>
      <c r="O411" s="25"/>
      <c r="P411" s="367" t="str">
        <f>EUconst_CNTR_HeatProducedElectricity &amp; I343</f>
        <v>HeatProdElec_Centralizētās siltumapgādes apakšiekārta</v>
      </c>
      <c r="R411" s="26"/>
      <c r="S411" s="26"/>
      <c r="T411" s="26"/>
      <c r="U411" s="26"/>
      <c r="V411" s="26"/>
      <c r="W411" s="26"/>
    </row>
    <row r="412" spans="2:23" ht="5.0999999999999996" customHeight="1" x14ac:dyDescent="0.2">
      <c r="B412" s="21"/>
      <c r="C412" s="471"/>
      <c r="D412" s="460"/>
      <c r="E412" s="460"/>
      <c r="F412" s="460"/>
      <c r="G412" s="460"/>
      <c r="H412" s="460"/>
      <c r="I412" s="460"/>
      <c r="J412" s="460"/>
      <c r="K412" s="460"/>
      <c r="L412" s="460"/>
      <c r="M412" s="476"/>
      <c r="N412" s="475"/>
      <c r="O412" s="25"/>
      <c r="P412" s="26"/>
      <c r="R412" s="26"/>
    </row>
    <row r="413" spans="2:23" ht="12.75" customHeight="1" x14ac:dyDescent="0.2">
      <c r="B413" s="21"/>
      <c r="C413" s="471"/>
      <c r="D413" s="474" t="s">
        <v>13</v>
      </c>
      <c r="E413" s="1654" t="str">
        <f>Translations!$B$857</f>
        <v>Importētais izmērāmais siltums</v>
      </c>
      <c r="F413" s="1654"/>
      <c r="G413" s="1654"/>
      <c r="H413" s="1654"/>
      <c r="I413" s="1654"/>
      <c r="J413" s="1654"/>
      <c r="K413" s="1654"/>
      <c r="L413" s="1654"/>
      <c r="M413" s="1654"/>
      <c r="N413" s="1724"/>
      <c r="O413" s="25"/>
      <c r="P413" s="26"/>
      <c r="R413" s="26"/>
    </row>
    <row r="414" spans="2:23" ht="12.75" customHeight="1" x14ac:dyDescent="0.2">
      <c r="B414" s="21"/>
      <c r="C414" s="471"/>
      <c r="D414" s="460"/>
      <c r="E414" s="1727" t="str">
        <f>Translations!$B$879</f>
        <v>Sīki norādījumi par to, kā šeit ievadīt datus, atrodami augstāk 1. sadaļas f) punktā.</v>
      </c>
      <c r="F414" s="1727"/>
      <c r="G414" s="1727"/>
      <c r="H414" s="1727"/>
      <c r="I414" s="1727"/>
      <c r="J414" s="1727"/>
      <c r="K414" s="1727"/>
      <c r="L414" s="1727"/>
      <c r="M414" s="1727"/>
      <c r="N414" s="1734"/>
      <c r="O414" s="25"/>
      <c r="P414" s="26"/>
      <c r="R414" s="26"/>
    </row>
    <row r="415" spans="2:23" ht="12.75" customHeight="1" x14ac:dyDescent="0.2">
      <c r="B415" s="21"/>
      <c r="C415" s="471"/>
      <c r="D415" s="460"/>
      <c r="E415" s="1653" t="str">
        <f>Translations!$B$866</f>
        <v>Neto importētais siltums (citi avoti)</v>
      </c>
      <c r="F415" s="1653"/>
      <c r="G415" s="1653"/>
      <c r="H415" s="462" t="str">
        <f>EUconst_Unit</f>
        <v>Vienība</v>
      </c>
      <c r="I415" s="463">
        <f>I$793</f>
        <v>2019</v>
      </c>
      <c r="J415" s="463">
        <f>J$793</f>
        <v>2020</v>
      </c>
      <c r="K415" s="463">
        <f>K$793</f>
        <v>2021</v>
      </c>
      <c r="L415" s="463">
        <f>L$793</f>
        <v>2022</v>
      </c>
      <c r="M415" s="463">
        <f>M$793</f>
        <v>2023</v>
      </c>
      <c r="N415" s="1205"/>
      <c r="O415" s="25"/>
      <c r="P415" s="26"/>
      <c r="R415" s="26"/>
      <c r="S415" s="63">
        <f>I415</f>
        <v>2019</v>
      </c>
      <c r="T415" s="63">
        <f>J415</f>
        <v>2020</v>
      </c>
      <c r="U415" s="63">
        <f>K415</f>
        <v>2021</v>
      </c>
      <c r="V415" s="63">
        <f>L415</f>
        <v>2022</v>
      </c>
      <c r="W415" s="63">
        <f>M415</f>
        <v>2023</v>
      </c>
    </row>
    <row r="416" spans="2:23" ht="12.75" customHeight="1" x14ac:dyDescent="0.2">
      <c r="B416" s="21"/>
      <c r="C416" s="471"/>
      <c r="D416" s="477" t="s">
        <v>2</v>
      </c>
      <c r="E416" s="1651" t="str">
        <f>Translations!$B$764</f>
        <v>Neto importētais siltums</v>
      </c>
      <c r="F416" s="1651"/>
      <c r="G416" s="1651"/>
      <c r="H416" s="465" t="str">
        <f>EUconst_TJpa</f>
        <v>TJ / gads</v>
      </c>
      <c r="I416" s="483"/>
      <c r="J416" s="483"/>
      <c r="K416" s="483"/>
      <c r="L416" s="483"/>
      <c r="M416" s="483"/>
      <c r="N416" s="528"/>
      <c r="O416" s="25"/>
      <c r="P416" s="367" t="str">
        <f>EUconst_CNTR_HeatImport &amp; I343</f>
        <v>HeatIm_Centralizētās siltumapgādes apakšiekārta</v>
      </c>
      <c r="R416" s="842" t="str">
        <f>EUconst_ERR_AttrEmBMapplied &amp; $I343</f>
        <v>ERR_AttrEmBM_ Centralizētās siltumapgādes apakšiekārta</v>
      </c>
      <c r="S416" s="134">
        <f>IF(AND(I416&lt;&gt;0,I417="",EUconst_StatusOfDataCollection=""),1,0)</f>
        <v>0</v>
      </c>
      <c r="T416" s="134">
        <f>IF(AND(J416&lt;&gt;0,J417="",EUconst_StatusOfDataCollection=""),1,0)</f>
        <v>0</v>
      </c>
      <c r="U416" s="134">
        <f>IF(AND(K416&lt;&gt;0,K417="",EUconst_StatusOfDataCollection=""),1,0)</f>
        <v>0</v>
      </c>
      <c r="V416" s="134">
        <f>IF(AND(L416&lt;&gt;0,L417="",EUconst_StatusOfDataCollection=""),1,0)</f>
        <v>0</v>
      </c>
      <c r="W416" s="134">
        <f>IF(AND(M416&lt;&gt;0,M417="",EUconst_StatusOfDataCollection=""),1,0)</f>
        <v>0</v>
      </c>
    </row>
    <row r="417" spans="2:23" ht="12.75" customHeight="1" x14ac:dyDescent="0.2">
      <c r="B417" s="21"/>
      <c r="C417" s="471"/>
      <c r="D417" s="477" t="s">
        <v>3</v>
      </c>
      <c r="E417" s="1651" t="str">
        <f>Translations!$B$765</f>
        <v>Īpatnējais EF (importētais siltums)</v>
      </c>
      <c r="F417" s="1651"/>
      <c r="G417" s="1651"/>
      <c r="H417" s="465" t="str">
        <f>EUconst_tCO2pTJ</f>
        <v>t CO2 / TJ</v>
      </c>
      <c r="I417" s="760"/>
      <c r="J417" s="760"/>
      <c r="K417" s="760"/>
      <c r="L417" s="760"/>
      <c r="M417" s="760"/>
      <c r="N417" s="475"/>
      <c r="O417" s="25"/>
      <c r="P417" s="367" t="str">
        <f>EUconst_CNTR_HeatImportEF &amp; I343</f>
        <v>HeatImEF_Centralizētās siltumapgādes apakšiekārta</v>
      </c>
      <c r="R417" s="873" t="str">
        <f>EUconst_CNTR_AttributedEmissions &amp; $I343</f>
        <v>AttrEmissions_Centralizētās siltumapgādes apakšiekārta</v>
      </c>
      <c r="S417" s="134" t="str">
        <f>IF(S343,SUM(I416)*IF(ISNUMBER(I417),I417,EUconst_HeatBMvalueForBM),"")</f>
        <v/>
      </c>
      <c r="T417" s="134" t="str">
        <f>IF(T343,SUM(J416)*IF(ISNUMBER(J417),J417,EUconst_HeatBMvalueForBM),"")</f>
        <v/>
      </c>
      <c r="U417" s="134" t="str">
        <f>IF(U343,SUM(K416)*IF(ISNUMBER(K417),K417,EUconst_HeatBMvalueForBM),"")</f>
        <v/>
      </c>
      <c r="V417" s="134" t="str">
        <f>IF(V343,SUM(L416)*IF(ISNUMBER(L417),L417,EUconst_HeatBMvalueForBM),"")</f>
        <v/>
      </c>
      <c r="W417" s="134" t="str">
        <f>IF(W343,SUM(M416)*IF(ISNUMBER(M417),M417,EUconst_HeatBMvalueForBM),"")</f>
        <v/>
      </c>
    </row>
    <row r="418" spans="2:23" ht="5.0999999999999996" customHeight="1" x14ac:dyDescent="0.2">
      <c r="B418" s="21"/>
      <c r="C418" s="471"/>
      <c r="D418" s="460"/>
      <c r="E418" s="460"/>
      <c r="F418" s="460"/>
      <c r="G418" s="460"/>
      <c r="H418" s="460"/>
      <c r="I418" s="460"/>
      <c r="J418" s="460"/>
      <c r="K418" s="460"/>
      <c r="L418" s="460"/>
      <c r="M418" s="476"/>
      <c r="N418" s="475"/>
      <c r="O418" s="25"/>
      <c r="P418" s="26"/>
      <c r="R418" s="26"/>
      <c r="S418" s="26"/>
    </row>
    <row r="419" spans="2:23" ht="12.75" customHeight="1" x14ac:dyDescent="0.2">
      <c r="B419" s="21"/>
      <c r="C419" s="471"/>
      <c r="D419" s="460"/>
      <c r="E419" s="1653" t="str">
        <f>Translations!$B$867</f>
        <v>Siltums no produkta LA</v>
      </c>
      <c r="F419" s="1653"/>
      <c r="G419" s="1653"/>
      <c r="H419" s="462" t="str">
        <f>EUconst_Unit</f>
        <v>Vienība</v>
      </c>
      <c r="I419" s="463">
        <f>I$793</f>
        <v>2019</v>
      </c>
      <c r="J419" s="463">
        <f>J$793</f>
        <v>2020</v>
      </c>
      <c r="K419" s="463">
        <f>K$793</f>
        <v>2021</v>
      </c>
      <c r="L419" s="463">
        <f>L$793</f>
        <v>2022</v>
      </c>
      <c r="M419" s="463">
        <f>M$793</f>
        <v>2023</v>
      </c>
      <c r="N419" s="1205"/>
      <c r="O419" s="25"/>
      <c r="P419" s="26"/>
      <c r="R419" s="26"/>
      <c r="S419" s="63">
        <f>I419</f>
        <v>2019</v>
      </c>
      <c r="T419" s="63">
        <f>J419</f>
        <v>2020</v>
      </c>
      <c r="U419" s="63">
        <f>K419</f>
        <v>2021</v>
      </c>
      <c r="V419" s="63">
        <f>L419</f>
        <v>2022</v>
      </c>
      <c r="W419" s="63">
        <f>M419</f>
        <v>2023</v>
      </c>
    </row>
    <row r="420" spans="2:23" ht="12.75" customHeight="1" x14ac:dyDescent="0.2">
      <c r="B420" s="21"/>
      <c r="C420" s="471"/>
      <c r="D420" s="477" t="s">
        <v>6</v>
      </c>
      <c r="E420" s="1651" t="str">
        <f>Translations!$B$764</f>
        <v>Neto importētais siltums</v>
      </c>
      <c r="F420" s="1651"/>
      <c r="G420" s="1651"/>
      <c r="H420" s="465" t="str">
        <f>EUconst_TJpa</f>
        <v>TJ / gads</v>
      </c>
      <c r="I420" s="483"/>
      <c r="J420" s="483"/>
      <c r="K420" s="483"/>
      <c r="L420" s="483"/>
      <c r="M420" s="483"/>
      <c r="N420" s="528"/>
      <c r="O420" s="25"/>
      <c r="P420" s="367" t="str">
        <f>EUconst_CNTR_HeatImportProduct &amp; I343</f>
        <v>HeatImProd_Centralizētās siltumapgādes apakšiekārta</v>
      </c>
      <c r="R420" s="842" t="str">
        <f>EUconst_ERR_AttrEmBMapplied &amp; $I343</f>
        <v>ERR_AttrEmBM_ Centralizētās siltumapgādes apakšiekārta</v>
      </c>
      <c r="S420" s="134">
        <f>IF(AND(I420&lt;&gt;0,I421="",EUconst_StatusOfDataCollection=""),1,0)</f>
        <v>0</v>
      </c>
      <c r="T420" s="134">
        <f>IF(AND(J420&lt;&gt;0,J421="",EUconst_StatusOfDataCollection=""),1,0)</f>
        <v>0</v>
      </c>
      <c r="U420" s="134">
        <f>IF(AND(K420&lt;&gt;0,K421="",EUconst_StatusOfDataCollection=""),1,0)</f>
        <v>0</v>
      </c>
      <c r="V420" s="134">
        <f>IF(AND(L420&lt;&gt;0,L421="",EUconst_StatusOfDataCollection=""),1,0)</f>
        <v>0</v>
      </c>
      <c r="W420" s="134">
        <f>IF(AND(M420&lt;&gt;0,M421="",EUconst_StatusOfDataCollection=""),1,0)</f>
        <v>0</v>
      </c>
    </row>
    <row r="421" spans="2:23" ht="12.75" customHeight="1" x14ac:dyDescent="0.2">
      <c r="B421" s="21"/>
      <c r="C421" s="471"/>
      <c r="D421" s="477" t="s">
        <v>303</v>
      </c>
      <c r="E421" s="1651" t="str">
        <f>Translations!$B$868</f>
        <v>Īpatnējais EF (siltums no produkta LA)</v>
      </c>
      <c r="F421" s="1651"/>
      <c r="G421" s="1651"/>
      <c r="H421" s="465" t="str">
        <f>EUconst_tCO2pTJ</f>
        <v>t CO2 / TJ</v>
      </c>
      <c r="I421" s="760"/>
      <c r="J421" s="760"/>
      <c r="K421" s="760"/>
      <c r="L421" s="760"/>
      <c r="M421" s="760"/>
      <c r="N421" s="475"/>
      <c r="O421" s="25"/>
      <c r="P421" s="367" t="str">
        <f>EUconst_CNTR_HeatImportProductEF &amp; I343</f>
        <v>HeatImProdEF_Centralizētās siltumapgādes apakšiekārta</v>
      </c>
      <c r="R421" s="873" t="str">
        <f>EUconst_CNTR_AttributedEmissions &amp; $I343</f>
        <v>AttrEmissions_Centralizētās siltumapgādes apakšiekārta</v>
      </c>
      <c r="S421" s="134" t="str">
        <f>IF(S343,SUM(I420)*IF(ISNUMBER(I421),I421,EUconst_HeatBMvalueForBM),"")</f>
        <v/>
      </c>
      <c r="T421" s="134" t="str">
        <f>IF(T343,SUM(J420)*IF(ISNUMBER(J421),J421,EUconst_HeatBMvalueForBM),"")</f>
        <v/>
      </c>
      <c r="U421" s="134" t="str">
        <f>IF(U343,SUM(K420)*IF(ISNUMBER(K421),K421,EUconst_HeatBMvalueForBM),"")</f>
        <v/>
      </c>
      <c r="V421" s="134" t="str">
        <f>IF(V343,SUM(L420)*IF(ISNUMBER(L421),L421,EUconst_HeatBMvalueForBM),"")</f>
        <v/>
      </c>
      <c r="W421" s="134" t="str">
        <f>IF(W343,SUM(M420)*IF(ISNUMBER(M421),M421,EUconst_HeatBMvalueForBM),"")</f>
        <v/>
      </c>
    </row>
    <row r="422" spans="2:23" ht="5.0999999999999996" customHeight="1" x14ac:dyDescent="0.2">
      <c r="B422" s="21"/>
      <c r="C422" s="471"/>
      <c r="D422" s="460"/>
      <c r="E422" s="460"/>
      <c r="F422" s="460"/>
      <c r="G422" s="460"/>
      <c r="H422" s="460"/>
      <c r="I422" s="460"/>
      <c r="J422" s="460"/>
      <c r="K422" s="460"/>
      <c r="L422" s="460"/>
      <c r="M422" s="476"/>
      <c r="N422" s="475"/>
      <c r="O422" s="25"/>
      <c r="P422" s="26"/>
      <c r="R422" s="26"/>
      <c r="S422" s="26"/>
    </row>
    <row r="423" spans="2:23" ht="12.75" customHeight="1" x14ac:dyDescent="0.2">
      <c r="B423" s="21"/>
      <c r="C423" s="471"/>
      <c r="D423" s="460"/>
      <c r="E423" s="1653" t="str">
        <f>Translations!$B$869</f>
        <v>Siltums no pulpas</v>
      </c>
      <c r="F423" s="1653"/>
      <c r="G423" s="1653"/>
      <c r="H423" s="462" t="str">
        <f>EUconst_Unit</f>
        <v>Vienība</v>
      </c>
      <c r="I423" s="463">
        <f>I$793</f>
        <v>2019</v>
      </c>
      <c r="J423" s="463">
        <f>J$793</f>
        <v>2020</v>
      </c>
      <c r="K423" s="463">
        <f>K$793</f>
        <v>2021</v>
      </c>
      <c r="L423" s="463">
        <f>L$793</f>
        <v>2022</v>
      </c>
      <c r="M423" s="463">
        <f>M$793</f>
        <v>2023</v>
      </c>
      <c r="N423" s="1205"/>
      <c r="O423" s="25"/>
      <c r="P423" s="26"/>
      <c r="R423" s="26"/>
      <c r="S423" s="63">
        <f>I423</f>
        <v>2019</v>
      </c>
      <c r="T423" s="63">
        <f>J423</f>
        <v>2020</v>
      </c>
      <c r="U423" s="63">
        <f>K423</f>
        <v>2021</v>
      </c>
      <c r="V423" s="63">
        <f>L423</f>
        <v>2022</v>
      </c>
      <c r="W423" s="63">
        <f>M423</f>
        <v>2023</v>
      </c>
    </row>
    <row r="424" spans="2:23" ht="12.75" customHeight="1" x14ac:dyDescent="0.2">
      <c r="B424" s="21"/>
      <c r="C424" s="471"/>
      <c r="D424" s="477" t="s">
        <v>305</v>
      </c>
      <c r="E424" s="1651" t="str">
        <f>Translations!$B$764</f>
        <v>Neto importētais siltums</v>
      </c>
      <c r="F424" s="1651"/>
      <c r="G424" s="1651"/>
      <c r="H424" s="465" t="str">
        <f>EUconst_TJpa</f>
        <v>TJ / gads</v>
      </c>
      <c r="I424" s="483"/>
      <c r="J424" s="483"/>
      <c r="K424" s="483"/>
      <c r="L424" s="483"/>
      <c r="M424" s="483"/>
      <c r="N424" s="528"/>
      <c r="O424" s="25"/>
      <c r="P424" s="367" t="str">
        <f>EUconst_CNTR_HeatImportPulp &amp; I343</f>
        <v>HeatImPulp_Centralizētās siltumapgādes apakšiekārta</v>
      </c>
      <c r="R424" s="842" t="str">
        <f>EUconst_ERR_AttrEmBMapplied &amp; $I343</f>
        <v>ERR_AttrEmBM_ Centralizētās siltumapgādes apakšiekārta</v>
      </c>
      <c r="S424" s="134">
        <f>IF(AND(I424&lt;&gt;0,I425="",EUconst_StatusOfDataCollection=""),1,0)</f>
        <v>0</v>
      </c>
      <c r="T424" s="134">
        <f>IF(AND(J424&lt;&gt;0,J425="",EUconst_StatusOfDataCollection=""),1,0)</f>
        <v>0</v>
      </c>
      <c r="U424" s="134">
        <f>IF(AND(K424&lt;&gt;0,K425="",EUconst_StatusOfDataCollection=""),1,0)</f>
        <v>0</v>
      </c>
      <c r="V424" s="134">
        <f>IF(AND(L424&lt;&gt;0,L425="",EUconst_StatusOfDataCollection=""),1,0)</f>
        <v>0</v>
      </c>
      <c r="W424" s="134">
        <f>IF(AND(M424&lt;&gt;0,M425="",EUconst_StatusOfDataCollection=""),1,0)</f>
        <v>0</v>
      </c>
    </row>
    <row r="425" spans="2:23" ht="12.75" customHeight="1" x14ac:dyDescent="0.2">
      <c r="B425" s="21"/>
      <c r="C425" s="471"/>
      <c r="D425" s="477" t="s">
        <v>306</v>
      </c>
      <c r="E425" s="1651" t="str">
        <f>Translations!$B$870</f>
        <v>Īpatnējais EF (siltums no pulpas)</v>
      </c>
      <c r="F425" s="1651"/>
      <c r="G425" s="1651"/>
      <c r="H425" s="465" t="str">
        <f>EUconst_tCO2pTJ</f>
        <v>t CO2 / TJ</v>
      </c>
      <c r="I425" s="760"/>
      <c r="J425" s="760"/>
      <c r="K425" s="760"/>
      <c r="L425" s="760"/>
      <c r="M425" s="760"/>
      <c r="N425" s="475"/>
      <c r="O425" s="25"/>
      <c r="P425" s="367" t="str">
        <f>EUconst_CNTR_HeatImportPulpEF &amp; I343</f>
        <v>HeatImPulpEF_Centralizētās siltumapgādes apakšiekārta</v>
      </c>
      <c r="R425" s="873" t="str">
        <f>EUconst_CNTR_AttributedEmissions &amp; $I343</f>
        <v>AttrEmissions_Centralizētās siltumapgādes apakšiekārta</v>
      </c>
      <c r="S425" s="134" t="str">
        <f>IF(S343,SUM(I424)*IF(ISNUMBER(I425),I425,EUconst_HeatBMvalueForBM),"")</f>
        <v/>
      </c>
      <c r="T425" s="134" t="str">
        <f>IF(T343,SUM(J424)*IF(ISNUMBER(J425),J425,EUconst_HeatBMvalueForBM),"")</f>
        <v/>
      </c>
      <c r="U425" s="134" t="str">
        <f>IF(U343,SUM(K424)*IF(ISNUMBER(K425),K425,EUconst_HeatBMvalueForBM),"")</f>
        <v/>
      </c>
      <c r="V425" s="134" t="str">
        <f>IF(V343,SUM(L424)*IF(ISNUMBER(L425),L425,EUconst_HeatBMvalueForBM),"")</f>
        <v/>
      </c>
      <c r="W425" s="134" t="str">
        <f>IF(W343,SUM(M424)*IF(ISNUMBER(M425),M425,EUconst_HeatBMvalueForBM),"")</f>
        <v/>
      </c>
    </row>
    <row r="426" spans="2:23" ht="5.0999999999999996" customHeight="1" x14ac:dyDescent="0.2">
      <c r="B426" s="21"/>
      <c r="C426" s="471"/>
      <c r="D426" s="460"/>
      <c r="E426" s="460"/>
      <c r="F426" s="460"/>
      <c r="G426" s="460"/>
      <c r="H426" s="460"/>
      <c r="I426" s="460"/>
      <c r="J426" s="460"/>
      <c r="K426" s="460"/>
      <c r="L426" s="460"/>
      <c r="M426" s="476"/>
      <c r="N426" s="475"/>
      <c r="O426" s="25"/>
      <c r="P426" s="26"/>
      <c r="R426" s="26"/>
      <c r="S426" s="26"/>
    </row>
    <row r="427" spans="2:23" ht="12.75" customHeight="1" x14ac:dyDescent="0.2">
      <c r="B427" s="21"/>
      <c r="C427" s="471"/>
      <c r="D427" s="460"/>
      <c r="E427" s="1653" t="str">
        <f>Translations!$B$871</f>
        <v>Siltums no kurināmā LA</v>
      </c>
      <c r="F427" s="1653"/>
      <c r="G427" s="1653"/>
      <c r="H427" s="462" t="str">
        <f>EUconst_Unit</f>
        <v>Vienība</v>
      </c>
      <c r="I427" s="463">
        <f>I$793</f>
        <v>2019</v>
      </c>
      <c r="J427" s="463">
        <f>J$793</f>
        <v>2020</v>
      </c>
      <c r="K427" s="463">
        <f>K$793</f>
        <v>2021</v>
      </c>
      <c r="L427" s="463">
        <f>L$793</f>
        <v>2022</v>
      </c>
      <c r="M427" s="463">
        <f>M$793</f>
        <v>2023</v>
      </c>
      <c r="N427" s="1205"/>
      <c r="O427" s="25"/>
      <c r="P427" s="26"/>
      <c r="R427" s="26"/>
      <c r="S427" s="63">
        <f>I427</f>
        <v>2019</v>
      </c>
      <c r="T427" s="63">
        <f>J427</f>
        <v>2020</v>
      </c>
      <c r="U427" s="63">
        <f>K427</f>
        <v>2021</v>
      </c>
      <c r="V427" s="63">
        <f>L427</f>
        <v>2022</v>
      </c>
      <c r="W427" s="63">
        <f>M427</f>
        <v>2023</v>
      </c>
    </row>
    <row r="428" spans="2:23" ht="12.75" customHeight="1" x14ac:dyDescent="0.2">
      <c r="B428" s="21"/>
      <c r="C428" s="471"/>
      <c r="D428" s="477" t="s">
        <v>15</v>
      </c>
      <c r="E428" s="1651" t="str">
        <f>Translations!$B$764</f>
        <v>Neto importētais siltums</v>
      </c>
      <c r="F428" s="1651"/>
      <c r="G428" s="1651"/>
      <c r="H428" s="465" t="str">
        <f>EUconst_TJpa</f>
        <v>TJ / gads</v>
      </c>
      <c r="I428" s="483"/>
      <c r="J428" s="483"/>
      <c r="K428" s="483"/>
      <c r="L428" s="483"/>
      <c r="M428" s="483"/>
      <c r="N428" s="528"/>
      <c r="O428" s="25"/>
      <c r="P428" s="367" t="str">
        <f>EUconst_CNTR_HeatImportFuel &amp; I343</f>
        <v>HeatImFuel_Centralizētās siltumapgādes apakšiekārta</v>
      </c>
      <c r="R428" s="842" t="str">
        <f>EUconst_ERR_AttrEmBMapplied &amp; $I343</f>
        <v>ERR_AttrEmBM_ Centralizētās siltumapgādes apakšiekārta</v>
      </c>
      <c r="S428" s="134">
        <f>IF(AND(I428&lt;&gt;0,I429="",EUconst_StatusOfDataCollection=""),1,0)</f>
        <v>0</v>
      </c>
      <c r="T428" s="134">
        <f>IF(AND(J428&lt;&gt;0,J429="",EUconst_StatusOfDataCollection=""),1,0)</f>
        <v>0</v>
      </c>
      <c r="U428" s="134">
        <f>IF(AND(K428&lt;&gt;0,K429="",EUconst_StatusOfDataCollection=""),1,0)</f>
        <v>0</v>
      </c>
      <c r="V428" s="134">
        <f>IF(AND(L428&lt;&gt;0,L429="",EUconst_StatusOfDataCollection=""),1,0)</f>
        <v>0</v>
      </c>
      <c r="W428" s="134">
        <f>IF(AND(M428&lt;&gt;0,M429="",EUconst_StatusOfDataCollection=""),1,0)</f>
        <v>0</v>
      </c>
    </row>
    <row r="429" spans="2:23" ht="12.75" customHeight="1" x14ac:dyDescent="0.2">
      <c r="B429" s="21"/>
      <c r="C429" s="471"/>
      <c r="D429" s="477" t="s">
        <v>16</v>
      </c>
      <c r="E429" s="1651" t="str">
        <f>Translations!$B$872</f>
        <v>Īpatnējais EF (no kurināmā LA)</v>
      </c>
      <c r="F429" s="1651"/>
      <c r="G429" s="1651"/>
      <c r="H429" s="465" t="str">
        <f>EUconst_tCO2pTJ</f>
        <v>t CO2 / TJ</v>
      </c>
      <c r="I429" s="760"/>
      <c r="J429" s="760"/>
      <c r="K429" s="760"/>
      <c r="L429" s="760"/>
      <c r="M429" s="760"/>
      <c r="N429" s="475"/>
      <c r="O429" s="25"/>
      <c r="P429" s="367" t="str">
        <f>EUconst_CNTR_HeatImportFuelEF &amp; I343</f>
        <v>HeatImFuelEF_Centralizētās siltumapgādes apakšiekārta</v>
      </c>
      <c r="R429" s="873" t="str">
        <f>EUconst_CNTR_AttributedEmissions &amp; $I343</f>
        <v>AttrEmissions_Centralizētās siltumapgādes apakšiekārta</v>
      </c>
      <c r="S429" s="134" t="str">
        <f>IF(S343,SUM(I428)*IF(ISNUMBER(I429),I429,EUconst_HeatBMvalueForBM),"")</f>
        <v/>
      </c>
      <c r="T429" s="134" t="str">
        <f>IF(T343,SUM(J428)*IF(ISNUMBER(J429),J429,EUconst_HeatBMvalueForBM),"")</f>
        <v/>
      </c>
      <c r="U429" s="134" t="str">
        <f>IF(U343,SUM(K428)*IF(ISNUMBER(K429),K429,EUconst_HeatBMvalueForBM),"")</f>
        <v/>
      </c>
      <c r="V429" s="134" t="str">
        <f>IF(V343,SUM(L428)*IF(ISNUMBER(L429),L429,EUconst_HeatBMvalueForBM),"")</f>
        <v/>
      </c>
      <c r="W429" s="134" t="str">
        <f>IF(W343,SUM(M428)*IF(ISNUMBER(M429),M429,EUconst_HeatBMvalueForBM),"")</f>
        <v/>
      </c>
    </row>
    <row r="430" spans="2:23" ht="5.0999999999999996" customHeight="1" x14ac:dyDescent="0.2">
      <c r="B430" s="21"/>
      <c r="C430" s="471"/>
      <c r="D430" s="460"/>
      <c r="E430" s="460"/>
      <c r="F430" s="460"/>
      <c r="G430" s="460"/>
      <c r="H430" s="460"/>
      <c r="I430" s="460"/>
      <c r="J430" s="460"/>
      <c r="K430" s="460"/>
      <c r="L430" s="460"/>
      <c r="M430" s="476"/>
      <c r="N430" s="475"/>
      <c r="O430" s="25"/>
      <c r="P430" s="26"/>
      <c r="R430" s="26"/>
      <c r="S430" s="26"/>
    </row>
    <row r="431" spans="2:23" ht="12.75" customHeight="1" x14ac:dyDescent="0.2">
      <c r="B431" s="21"/>
      <c r="C431" s="471"/>
      <c r="D431" s="460"/>
      <c r="E431" s="1653" t="str">
        <f>Translations!$B$873</f>
        <v>Siltums no atlikumgāzēm</v>
      </c>
      <c r="F431" s="1653"/>
      <c r="G431" s="1653"/>
      <c r="H431" s="462" t="str">
        <f>EUconst_Unit</f>
        <v>Vienība</v>
      </c>
      <c r="I431" s="463">
        <f>I$793</f>
        <v>2019</v>
      </c>
      <c r="J431" s="463">
        <f>J$793</f>
        <v>2020</v>
      </c>
      <c r="K431" s="463">
        <f>K$793</f>
        <v>2021</v>
      </c>
      <c r="L431" s="463">
        <f>L$793</f>
        <v>2022</v>
      </c>
      <c r="M431" s="463">
        <f>M$793</f>
        <v>2023</v>
      </c>
      <c r="N431" s="1205"/>
      <c r="O431" s="25"/>
      <c r="P431" s="26"/>
      <c r="R431" s="26"/>
      <c r="S431" s="63">
        <f>I431</f>
        <v>2019</v>
      </c>
      <c r="T431" s="63">
        <f>J431</f>
        <v>2020</v>
      </c>
      <c r="U431" s="63">
        <f>K431</f>
        <v>2021</v>
      </c>
      <c r="V431" s="63">
        <f>L431</f>
        <v>2022</v>
      </c>
      <c r="W431" s="63">
        <f>M431</f>
        <v>2023</v>
      </c>
    </row>
    <row r="432" spans="2:23" ht="12.75" customHeight="1" x14ac:dyDescent="0.2">
      <c r="B432" s="21"/>
      <c r="C432" s="471"/>
      <c r="D432" s="477" t="s">
        <v>438</v>
      </c>
      <c r="E432" s="1651" t="str">
        <f>Translations!$B$764</f>
        <v>Neto importētais siltums</v>
      </c>
      <c r="F432" s="1651"/>
      <c r="G432" s="1651"/>
      <c r="H432" s="465" t="str">
        <f>EUconst_TJpa</f>
        <v>TJ / gads</v>
      </c>
      <c r="I432" s="483"/>
      <c r="J432" s="483"/>
      <c r="K432" s="483"/>
      <c r="L432" s="483"/>
      <c r="M432" s="483"/>
      <c r="N432" s="528"/>
      <c r="O432" s="25"/>
      <c r="P432" s="367" t="str">
        <f>EUconst_CNTR_WGImport &amp; I343</f>
        <v>WasteGasIm_Centralizētās siltumapgādes apakšiekārta</v>
      </c>
      <c r="R432" s="842" t="str">
        <f>EUconst_ERR_AttrEmBMapplied &amp; $I343</f>
        <v>ERR_AttrEmBM_ Centralizētās siltumapgādes apakšiekārta</v>
      </c>
      <c r="S432" s="134">
        <f>IF(AND(I432&lt;&gt;0,EUconst_StatusOfDataCollection=""),1,0)</f>
        <v>0</v>
      </c>
      <c r="T432" s="134">
        <f>IF(AND(J432&lt;&gt;0,EUconst_StatusOfDataCollection=""),1,0)</f>
        <v>0</v>
      </c>
      <c r="U432" s="134">
        <f>IF(AND(K432&lt;&gt;0,EUconst_StatusOfDataCollection=""),1,0)</f>
        <v>0</v>
      </c>
      <c r="V432" s="134">
        <f>IF(AND(L432&lt;&gt;0,EUconst_StatusOfDataCollection=""),1,0)</f>
        <v>0</v>
      </c>
      <c r="W432" s="134">
        <f>IF(AND(M432&lt;&gt;0,EUconst_StatusOfDataCollection=""),1,0)</f>
        <v>0</v>
      </c>
    </row>
    <row r="433" spans="1:29" ht="12.75" customHeight="1" x14ac:dyDescent="0.2">
      <c r="B433" s="21"/>
      <c r="C433" s="471"/>
      <c r="D433" s="477" t="s">
        <v>439</v>
      </c>
      <c r="E433" s="1651" t="str">
        <f>Translations!$B$874</f>
        <v>Īpatnējais EF (no atlikumgāzēm)</v>
      </c>
      <c r="F433" s="1651"/>
      <c r="G433" s="1651"/>
      <c r="H433" s="465" t="str">
        <f>EUconst_tCO2pTJ</f>
        <v>t CO2 / TJ</v>
      </c>
      <c r="I433" s="760"/>
      <c r="J433" s="760"/>
      <c r="K433" s="760"/>
      <c r="L433" s="760"/>
      <c r="M433" s="760"/>
      <c r="N433" s="475"/>
      <c r="O433" s="25"/>
      <c r="P433" s="367" t="str">
        <f>EUconst_CNTR_WGImportEF &amp; I343</f>
        <v>WasteGasImEF_Centralizētās siltumapgādes apakšiekārta</v>
      </c>
      <c r="R433" s="873" t="str">
        <f>EUconst_CNTR_AttributedEmissions &amp; $I343</f>
        <v>AttrEmissions_Centralizētās siltumapgādes apakšiekārta</v>
      </c>
      <c r="S433" s="134" t="str">
        <f>IF(S343,SUM(I432)*IF(ISNUMBER(I433),I433,EUconst_HeatBMvalueForBM),"")</f>
        <v/>
      </c>
      <c r="T433" s="134" t="str">
        <f>IF(T343,SUM(J432)*IF(ISNUMBER(J433),J433,EUconst_HeatBMvalueForBM),"")</f>
        <v/>
      </c>
      <c r="U433" s="134" t="str">
        <f>IF(U343,SUM(K432)*IF(ISNUMBER(K433),K433,EUconst_HeatBMvalueForBM),"")</f>
        <v/>
      </c>
      <c r="V433" s="134" t="str">
        <f>IF(V343,SUM(L432)*IF(ISNUMBER(L433),L433,EUconst_HeatBMvalueForBM),"")</f>
        <v/>
      </c>
      <c r="W433" s="134" t="str">
        <f>IF(W343,SUM(M432)*IF(ISNUMBER(M433),M433,EUconst_HeatBMvalueForBM),"")</f>
        <v/>
      </c>
    </row>
    <row r="434" spans="1:29" ht="5.0999999999999996" customHeight="1" x14ac:dyDescent="0.2">
      <c r="B434" s="21"/>
      <c r="C434" s="471"/>
      <c r="D434" s="460"/>
      <c r="E434" s="460"/>
      <c r="F434" s="460"/>
      <c r="G434" s="460"/>
      <c r="H434" s="460"/>
      <c r="I434" s="460"/>
      <c r="J434" s="460"/>
      <c r="K434" s="460"/>
      <c r="L434" s="460"/>
      <c r="M434" s="476"/>
      <c r="N434" s="475"/>
      <c r="O434" s="25"/>
      <c r="P434" s="26"/>
      <c r="R434" s="26"/>
      <c r="S434" s="26"/>
    </row>
    <row r="435" spans="1:29" ht="12.75" customHeight="1" x14ac:dyDescent="0.2">
      <c r="B435" s="21"/>
      <c r="C435" s="471"/>
      <c r="D435" s="477" t="s">
        <v>441</v>
      </c>
      <c r="E435" s="1651" t="str">
        <f>Translations!$B$875</f>
        <v>Kopējais neto importētais siltums</v>
      </c>
      <c r="F435" s="1651"/>
      <c r="G435" s="1651"/>
      <c r="H435" s="465" t="str">
        <f>EUconst_TJpa</f>
        <v>TJ / gads</v>
      </c>
      <c r="I435" s="448" t="str">
        <f>IF(COUNT(I416,I420,I424,I428,I432)&gt;0,SUM(I416,I420,I424,I428,I432),"")</f>
        <v/>
      </c>
      <c r="J435" s="448" t="str">
        <f>IF(COUNT(J416,J420,J424,J428,J432)&gt;0,SUM(J416,J420,J424,J428,J432),"")</f>
        <v/>
      </c>
      <c r="K435" s="448" t="str">
        <f>IF(COUNT(K416,K420,K424,K428,K432)&gt;0,SUM(K416,K420,K424,K428,K432),"")</f>
        <v/>
      </c>
      <c r="L435" s="448" t="str">
        <f>IF(COUNT(L416,L420,L424,L428,L432)&gt;0,SUM(L416,L420,L424,L428,L432),"")</f>
        <v/>
      </c>
      <c r="M435" s="448" t="str">
        <f>IF(COUNT(M416,M420,M424,M428,M432)&gt;0,SUM(M416,M420,M424,M428,M432),"")</f>
        <v/>
      </c>
      <c r="N435" s="497"/>
      <c r="O435" s="25"/>
      <c r="R435" s="26"/>
      <c r="S435" s="26"/>
    </row>
    <row r="436" spans="1:29" ht="12.75" customHeight="1" thickBot="1" x14ac:dyDescent="0.25">
      <c r="B436" s="21"/>
      <c r="C436" s="478"/>
      <c r="D436" s="479"/>
      <c r="E436" s="479"/>
      <c r="F436" s="479"/>
      <c r="G436" s="479"/>
      <c r="H436" s="479"/>
      <c r="I436" s="479"/>
      <c r="J436" s="479"/>
      <c r="K436" s="479"/>
      <c r="L436" s="479"/>
      <c r="M436" s="480"/>
      <c r="N436" s="481"/>
      <c r="O436" s="25"/>
      <c r="P436" s="26"/>
      <c r="R436" s="26"/>
    </row>
    <row r="437" spans="1:29" ht="25.5" customHeight="1" thickBot="1" x14ac:dyDescent="0.25">
      <c r="B437" s="38"/>
      <c r="C437" s="38"/>
      <c r="D437" s="38"/>
      <c r="E437" s="38"/>
      <c r="F437" s="38"/>
      <c r="G437" s="38"/>
      <c r="H437" s="38"/>
      <c r="I437" s="38"/>
      <c r="J437" s="38"/>
      <c r="K437" s="38"/>
      <c r="L437" s="38"/>
      <c r="M437" s="38"/>
      <c r="N437" s="38"/>
      <c r="O437" s="25"/>
    </row>
    <row r="438" spans="1:29" ht="12.75" customHeight="1" thickBot="1" x14ac:dyDescent="0.25">
      <c r="B438" s="21"/>
      <c r="C438" s="294"/>
      <c r="D438" s="294"/>
      <c r="E438" s="294"/>
      <c r="F438" s="294"/>
      <c r="G438" s="294"/>
      <c r="H438" s="294"/>
      <c r="I438" s="294"/>
      <c r="J438" s="294"/>
      <c r="K438" s="294"/>
      <c r="L438" s="294"/>
      <c r="M438" s="294"/>
      <c r="N438" s="294"/>
      <c r="O438" s="25"/>
    </row>
    <row r="439" spans="1:29" ht="15.75" customHeight="1" thickBot="1" x14ac:dyDescent="0.3">
      <c r="B439" s="21"/>
      <c r="C439" s="36">
        <v>5</v>
      </c>
      <c r="D439" s="1318" t="str">
        <f>EUconst_FBSubinst &amp; ":"</f>
        <v>Alternatīva apakšiekārta:</v>
      </c>
      <c r="E439" s="1251"/>
      <c r="F439" s="1251"/>
      <c r="G439" s="1251"/>
      <c r="H439" s="1328"/>
      <c r="I439" s="1701" t="str">
        <f>INDEX(EUconst_FallBackListNames,$C439)</f>
        <v>Kurināmā līmeņatzīmes apakšiekārta (OEP | bez OIM)</v>
      </c>
      <c r="J439" s="1457"/>
      <c r="K439" s="1457"/>
      <c r="L439" s="1702"/>
      <c r="M439" s="1783" t="str">
        <f>IF(ISBLANK(INDEX(CNTR_FallBackSubInstRelevant,C439)),"",IF(INDEX(CNTR_FallBackSubInstRelevant,C439),EUconst_Relevant,EUconst_NotRelevant))</f>
        <v/>
      </c>
      <c r="N439" s="1784"/>
      <c r="O439" s="25"/>
      <c r="P439" s="582">
        <f>C439</f>
        <v>5</v>
      </c>
      <c r="Q439" s="386" t="s">
        <v>225</v>
      </c>
      <c r="R439" s="845" t="str">
        <f>IF(M439&lt;&gt;EUconst_Relevant,"",INDEX(CNTR_SubInstStartDate,MATCH($I439,CNTR_SubInstListNames,0)))</f>
        <v/>
      </c>
      <c r="S439" s="842" t="b">
        <f>IF($M439&lt;&gt;EUconst_Relevant,FALSE,AND(I$796,YEAR($R439)&lt;I$793))</f>
        <v>0</v>
      </c>
      <c r="T439" s="842" t="b">
        <f>IF($M439&lt;&gt;EUconst_Relevant,FALSE,AND(J$796,YEAR($R439)&lt;J$793))</f>
        <v>0</v>
      </c>
      <c r="U439" s="842" t="b">
        <f>IF($M439&lt;&gt;EUconst_Relevant,FALSE,AND(K$796,YEAR($R439)&lt;K$793))</f>
        <v>0</v>
      </c>
      <c r="V439" s="842" t="b">
        <f>IF($M439&lt;&gt;EUconst_Relevant,FALSE,AND(L$796,YEAR($R439)&lt;L$793))</f>
        <v>0</v>
      </c>
      <c r="W439" s="842" t="b">
        <f>IF($M439&lt;&gt;EUconst_Relevant,FALSE,AND(M$796,YEAR($R439)&lt;M$793))</f>
        <v>0</v>
      </c>
      <c r="X439" s="624"/>
      <c r="AB439" s="926" t="s">
        <v>529</v>
      </c>
      <c r="AC439" s="927" t="b">
        <f>AND(CNTR_ExistSubInstEntries,M439=EUconst_NotRelevant)</f>
        <v>0</v>
      </c>
    </row>
    <row r="440" spans="1:29" ht="12.75" customHeight="1" x14ac:dyDescent="0.2">
      <c r="B440" s="38"/>
      <c r="C440" s="38"/>
      <c r="D440" s="38"/>
      <c r="E440" s="38"/>
      <c r="F440" s="38"/>
      <c r="G440" s="38"/>
      <c r="H440" s="68"/>
      <c r="I440" s="1785" t="str">
        <f>IF(M439="","",IF(M439=EUconst_Relevant,HYPERLINK("",EUconst_MsgEnterThisSection),HYPERLINK(Q440,EUconst_MsgGoToNextSubInst)))</f>
        <v/>
      </c>
      <c r="J440" s="1786"/>
      <c r="K440" s="1786"/>
      <c r="L440" s="1786"/>
      <c r="M440" s="1787"/>
      <c r="N440" s="1788"/>
      <c r="O440" s="25"/>
      <c r="P440" s="20" t="s">
        <v>192</v>
      </c>
      <c r="Q440" s="593" t="str">
        <f>"#JUMP_G"&amp;P439+1</f>
        <v>#JUMP_G6</v>
      </c>
    </row>
    <row r="441" spans="1:29" s="697" customFormat="1" ht="5.0999999999999996" customHeight="1" x14ac:dyDescent="0.2">
      <c r="A441" s="452"/>
      <c r="B441" s="21"/>
      <c r="C441" s="21"/>
      <c r="D441" s="21"/>
      <c r="E441" s="21"/>
      <c r="F441" s="21"/>
      <c r="G441" s="21"/>
      <c r="H441" s="21"/>
      <c r="I441" s="21"/>
      <c r="J441" s="21"/>
      <c r="K441" s="21"/>
      <c r="L441" s="21"/>
      <c r="M441" s="25"/>
      <c r="N441" s="25"/>
      <c r="O441" s="25"/>
      <c r="P441" s="26"/>
      <c r="Q441" s="437"/>
      <c r="R441" s="437"/>
      <c r="S441" s="437"/>
      <c r="T441" s="437"/>
      <c r="U441" s="437"/>
      <c r="V441" s="437"/>
      <c r="W441" s="437"/>
      <c r="X441" s="452"/>
      <c r="Y441" s="452"/>
      <c r="Z441" s="452"/>
      <c r="AA441" s="452"/>
      <c r="AB441" s="452"/>
      <c r="AC441" s="452"/>
    </row>
    <row r="442" spans="1:29" s="697" customFormat="1" ht="12.75" customHeight="1" x14ac:dyDescent="0.2">
      <c r="A442" s="452"/>
      <c r="B442" s="414"/>
      <c r="C442" s="414"/>
      <c r="D442" s="414"/>
      <c r="E442" s="1519" t="str">
        <f>CONCATENATE(EUconst_MsgSeeFirst," (G.I.1)")</f>
        <v>Sīki norādījumi par datu ievadi šajā rīkā ir pieejami pirmajā vietā, kur parādās šis rīks.  (G.I.1)</v>
      </c>
      <c r="F442" s="1519"/>
      <c r="G442" s="1519"/>
      <c r="H442" s="1519"/>
      <c r="I442" s="1519"/>
      <c r="J442" s="1519"/>
      <c r="K442" s="1519"/>
      <c r="L442" s="1519"/>
      <c r="M442" s="1519"/>
      <c r="N442" s="1519"/>
      <c r="O442" s="25"/>
      <c r="P442" s="437"/>
      <c r="Q442" s="437"/>
      <c r="R442" s="437"/>
      <c r="S442" s="437"/>
      <c r="T442" s="437"/>
      <c r="U442" s="437"/>
      <c r="V442" s="437"/>
      <c r="W442" s="437"/>
      <c r="X442" s="452"/>
      <c r="Y442" s="452"/>
      <c r="Z442" s="452"/>
      <c r="AA442" s="452"/>
      <c r="AB442" s="452"/>
      <c r="AC442" s="452"/>
    </row>
    <row r="443" spans="1:29" s="697" customFormat="1" ht="5.0999999999999996" customHeight="1" x14ac:dyDescent="0.2">
      <c r="A443" s="452"/>
      <c r="B443" s="21"/>
      <c r="C443" s="21"/>
      <c r="D443" s="21"/>
      <c r="E443" s="21"/>
      <c r="F443" s="21"/>
      <c r="G443" s="21"/>
      <c r="H443" s="21"/>
      <c r="I443" s="21"/>
      <c r="J443" s="21"/>
      <c r="K443" s="21"/>
      <c r="L443" s="21"/>
      <c r="M443" s="25"/>
      <c r="N443" s="25"/>
      <c r="O443" s="25"/>
      <c r="P443" s="26"/>
      <c r="Q443" s="437"/>
      <c r="R443" s="437"/>
      <c r="S443" s="437"/>
      <c r="T443" s="437"/>
      <c r="U443" s="437"/>
      <c r="V443" s="437"/>
      <c r="W443" s="437"/>
      <c r="X443" s="452"/>
      <c r="Y443" s="452"/>
      <c r="Z443" s="452"/>
      <c r="AA443" s="452"/>
      <c r="AB443" s="452"/>
      <c r="AC443" s="452"/>
    </row>
    <row r="444" spans="1:29" ht="12.75" customHeight="1" thickBot="1" x14ac:dyDescent="0.25">
      <c r="B444" s="21"/>
      <c r="C444" s="370"/>
      <c r="D444" s="32" t="s">
        <v>165</v>
      </c>
      <c r="E444" s="1250" t="str">
        <f>Translations!$B$670</f>
        <v>Vēsturiskie darbības līmeņi</v>
      </c>
      <c r="F444" s="1251"/>
      <c r="G444" s="1251"/>
      <c r="H444" s="1251"/>
      <c r="I444" s="1251"/>
      <c r="J444" s="1251"/>
      <c r="K444" s="1251"/>
      <c r="L444" s="1251"/>
      <c r="M444" s="1251"/>
      <c r="N444" s="1251"/>
      <c r="O444" s="25"/>
      <c r="P444" s="26"/>
      <c r="Q444" s="26"/>
      <c r="R444" s="26"/>
      <c r="S444" s="26"/>
      <c r="T444" s="26"/>
      <c r="U444" s="26"/>
      <c r="V444" s="26"/>
      <c r="W444" s="26"/>
      <c r="X444" s="624"/>
    </row>
    <row r="445" spans="1:29" ht="12.75" customHeight="1" thickBot="1" x14ac:dyDescent="0.25">
      <c r="B445" s="21"/>
      <c r="C445" s="384"/>
      <c r="D445" s="34"/>
      <c r="E445" s="1822" t="str">
        <f>Translations!$B$884</f>
        <v>Šie dati tiek automātiski ņemti no lapas "E_EnergyFlows" I sadaļas c) punkta. Tāpēc minētajā sadaļā dati jāievada obligāti.</v>
      </c>
      <c r="F445" s="1822"/>
      <c r="G445" s="1822"/>
      <c r="H445" s="1822"/>
      <c r="I445" s="1822"/>
      <c r="J445" s="1822"/>
      <c r="K445" s="1822"/>
      <c r="L445" s="1822"/>
      <c r="M445" s="1822"/>
      <c r="N445" s="1822"/>
      <c r="O445" s="25"/>
      <c r="P445" s="26"/>
      <c r="Q445" s="439" t="s">
        <v>416</v>
      </c>
      <c r="R445" s="187" t="s">
        <v>229</v>
      </c>
      <c r="S445" s="188"/>
      <c r="T445" s="188"/>
      <c r="U445" s="188"/>
      <c r="V445" s="188"/>
      <c r="W445" s="188"/>
      <c r="X445" s="1187"/>
    </row>
    <row r="446" spans="1:29" ht="12.75" customHeight="1" x14ac:dyDescent="0.2">
      <c r="B446" s="38"/>
      <c r="C446" s="370"/>
      <c r="D446" s="32"/>
      <c r="E446" s="1320" t="str">
        <f>Translations!$B$829</f>
        <v>Galvenais darbības līmenis:</v>
      </c>
      <c r="F446" s="1275"/>
      <c r="G446" s="1275"/>
      <c r="H446" s="52" t="str">
        <f>EUconst_Unit</f>
        <v>Vienība</v>
      </c>
      <c r="I446" s="412">
        <f>I$793</f>
        <v>2019</v>
      </c>
      <c r="J446" s="412">
        <f>J$793</f>
        <v>2020</v>
      </c>
      <c r="K446" s="412">
        <f>K$793</f>
        <v>2021</v>
      </c>
      <c r="L446" s="412">
        <f>L$793</f>
        <v>2022</v>
      </c>
      <c r="M446" s="412">
        <f>M$793</f>
        <v>2023</v>
      </c>
      <c r="N446" s="23"/>
      <c r="O446" s="25"/>
      <c r="P446" s="182" t="s">
        <v>228</v>
      </c>
      <c r="Q446" s="1024" t="s">
        <v>618</v>
      </c>
      <c r="R446" s="190" t="s">
        <v>629</v>
      </c>
      <c r="S446" s="183">
        <f>I446</f>
        <v>2019</v>
      </c>
      <c r="T446" s="134">
        <f>J446</f>
        <v>2020</v>
      </c>
      <c r="U446" s="134">
        <f>K446</f>
        <v>2021</v>
      </c>
      <c r="V446" s="134">
        <f>L446</f>
        <v>2022</v>
      </c>
      <c r="W446" s="134">
        <f>M446</f>
        <v>2023</v>
      </c>
      <c r="X446" s="1188"/>
    </row>
    <row r="447" spans="1:29" ht="12.75" customHeight="1" thickBot="1" x14ac:dyDescent="0.25">
      <c r="B447" s="38"/>
      <c r="C447" s="38"/>
      <c r="D447" s="38"/>
      <c r="E447" s="1782" t="str">
        <f>I439</f>
        <v>Kurināmā līmeņatzīmes apakšiekārta (OEP | bez OIM)</v>
      </c>
      <c r="F447" s="1782"/>
      <c r="G447" s="1782"/>
      <c r="H447" s="116" t="str">
        <f>INDEX(EUconst_FallBackListUnits,MATCH(E447,EUconst_FallBackListNames,0))</f>
        <v>TJ</v>
      </c>
      <c r="I447" s="328" t="str">
        <f>IF($M439=EUconst_Relevant,IF(ISNUMBER(INDEX(E_EnergyFlows!I$412:I$420,MATCH($E447,E_EnergyFlows!$E$412:$E$420,0))),INDEX(E_EnergyFlows!I$412:I$420,MATCH($E447,E_EnergyFlows!$E$412:$E$420,0)),INDEX(EUconst_FallbackListMissing,$P439)),"")</f>
        <v/>
      </c>
      <c r="J447" s="328" t="str">
        <f>IF($M439=EUconst_Relevant,IF(ISNUMBER(INDEX(E_EnergyFlows!J$412:J$420,MATCH($E447,E_EnergyFlows!$E$412:$E$420,0))),INDEX(E_EnergyFlows!J$412:J$420,MATCH($E447,E_EnergyFlows!$E$412:$E$420,0)),INDEX(EUconst_FallbackListMissing,$P439)),"")</f>
        <v/>
      </c>
      <c r="K447" s="328" t="str">
        <f>IF($M439=EUconst_Relevant,IF(ISNUMBER(INDEX(E_EnergyFlows!K$412:K$420,MATCH($E447,E_EnergyFlows!$E$412:$E$420,0))),INDEX(E_EnergyFlows!K$412:K$420,MATCH($E447,E_EnergyFlows!$E$412:$E$420,0)),INDEX(EUconst_FallbackListMissing,$P439)),"")</f>
        <v/>
      </c>
      <c r="L447" s="328" t="str">
        <f>IF($M439=EUconst_Relevant,IF(ISNUMBER(INDEX(E_EnergyFlows!L$412:L$420,MATCH($E447,E_EnergyFlows!$E$412:$E$420,0))),INDEX(E_EnergyFlows!L$412:L$420,MATCH($E447,E_EnergyFlows!$E$412:$E$420,0)),INDEX(EUconst_FallbackListMissing,$P439)),"")</f>
        <v/>
      </c>
      <c r="M447" s="328" t="str">
        <f>IF($M439=EUconst_Relevant,IF(ISNUMBER(INDEX(E_EnergyFlows!M$412:M$420,MATCH($E447,E_EnergyFlows!$E$412:$E$420,0))),INDEX(E_EnergyFlows!M$412:M$420,MATCH($E447,E_EnergyFlows!$E$412:$E$420,0)),INDEX(EUconst_FallbackListMissing,$P439)),"")</f>
        <v/>
      </c>
      <c r="N447" s="23"/>
      <c r="O447" s="25"/>
      <c r="P447" s="185" t="str">
        <f>EUconst_CNTR_HAL&amp;E447</f>
        <v>HAL_Kurināmā līmeņatzīmes apakšiekārta (OEP | bez OIM)</v>
      </c>
      <c r="Q447" s="186" t="str">
        <f>IF(COUNT($K447:$L447)&gt;0,AVERAGE($K447:$L447),"")</f>
        <v/>
      </c>
      <c r="R447" s="184" t="str">
        <f>IF(COUNT(S447:W447)&gt;0,MEDIAN(S447:W447),"")</f>
        <v/>
      </c>
      <c r="S447" s="189" t="str">
        <f>IF(S439,IF(ISNUMBER(I447),I447,0),"")</f>
        <v/>
      </c>
      <c r="T447" s="137" t="str">
        <f>IF(T439,IF(ISNUMBER(J447),J447,0),"")</f>
        <v/>
      </c>
      <c r="U447" s="137" t="str">
        <f>IF(U439,IF(ISNUMBER(K447),K447,0),"")</f>
        <v/>
      </c>
      <c r="V447" s="137" t="str">
        <f>IF(V439,IF(ISNUMBER(L447),L447,0),"")</f>
        <v/>
      </c>
      <c r="W447" s="137" t="str">
        <f>IF(W439,IF(ISNUMBER(M447),M447,0),"")</f>
        <v/>
      </c>
      <c r="X447" s="1189"/>
      <c r="Y447" s="1190" t="s">
        <v>574</v>
      </c>
      <c r="Z447" s="709" t="b">
        <f>IF(M439&lt;&gt;EUconst_Relevant,FALSE,INDEX(CNTR_SubInstLess1Year,MATCH(I439,CNTR_SubInstListNames,0)))</f>
        <v>0</v>
      </c>
    </row>
    <row r="448" spans="1:29" ht="12.75" customHeight="1" x14ac:dyDescent="0.2">
      <c r="B448" s="38"/>
      <c r="C448" s="38"/>
      <c r="D448" s="38"/>
      <c r="E448" s="38"/>
      <c r="F448" s="38"/>
      <c r="G448" s="38"/>
      <c r="H448" s="38"/>
      <c r="I448" s="125"/>
      <c r="J448" s="38"/>
      <c r="K448" s="38"/>
      <c r="L448" s="38"/>
      <c r="M448" s="38"/>
      <c r="N448" s="38"/>
      <c r="O448" s="25"/>
      <c r="P448" s="157"/>
      <c r="R448" s="26"/>
      <c r="S448" s="26"/>
    </row>
    <row r="449" spans="1:29" ht="15" x14ac:dyDescent="0.25">
      <c r="B449" s="38"/>
      <c r="C449" s="383"/>
      <c r="D449" s="1318" t="str">
        <f>Translations!$B$700</f>
        <v>Ražošanas dati</v>
      </c>
      <c r="E449" s="1251"/>
      <c r="F449" s="1251"/>
      <c r="G449" s="1251"/>
      <c r="H449" s="1251"/>
      <c r="I449" s="1251"/>
      <c r="J449" s="1251"/>
      <c r="K449" s="1251"/>
      <c r="L449" s="1251"/>
      <c r="M449" s="1251"/>
      <c r="N449" s="1251"/>
      <c r="O449" s="25"/>
      <c r="Y449" s="624"/>
      <c r="Z449" s="624"/>
      <c r="AA449" s="624"/>
      <c r="AB449" s="624"/>
    </row>
    <row r="450" spans="1:29" ht="5.0999999999999996" customHeight="1" x14ac:dyDescent="0.2">
      <c r="B450" s="21"/>
      <c r="C450" s="23"/>
      <c r="D450" s="21"/>
      <c r="E450" s="21"/>
      <c r="F450" s="21"/>
      <c r="G450" s="21"/>
      <c r="H450" s="21"/>
      <c r="I450" s="21"/>
      <c r="J450" s="21"/>
      <c r="K450" s="21"/>
      <c r="L450" s="21"/>
      <c r="M450" s="21"/>
      <c r="N450" s="21"/>
      <c r="O450" s="25"/>
      <c r="P450" s="26"/>
      <c r="Q450" s="26"/>
    </row>
    <row r="451" spans="1:29" ht="12.75" customHeight="1" x14ac:dyDescent="0.2">
      <c r="B451" s="21"/>
      <c r="C451" s="370"/>
      <c r="D451" s="32" t="s">
        <v>339</v>
      </c>
      <c r="E451" s="1250" t="str">
        <f>Translations!$B$830</f>
        <v>Ar šo apakšiekārtu saistīto relevanto produktu vai pakalpojumu identificēšana</v>
      </c>
      <c r="F451" s="1251"/>
      <c r="G451" s="1251"/>
      <c r="H451" s="1251"/>
      <c r="I451" s="1251"/>
      <c r="J451" s="1251"/>
      <c r="K451" s="1251"/>
      <c r="L451" s="1251"/>
      <c r="M451" s="1251"/>
      <c r="N451" s="1251"/>
      <c r="O451" s="25"/>
      <c r="P451" s="26"/>
    </row>
    <row r="452" spans="1:29" s="762" customFormat="1" ht="12.75" customHeight="1" x14ac:dyDescent="0.2">
      <c r="A452" s="445"/>
      <c r="B452" s="21"/>
      <c r="C452" s="384"/>
      <c r="D452" s="34"/>
      <c r="E452" s="1319" t="str">
        <f>Translations!$B$831</f>
        <v>Šeit norādiet, ar kādiem ražošanas procesiem vai pakalpojumiem ir saistīta šī apakšiekārta. Tie var būt, piemēram:</v>
      </c>
      <c r="F452" s="1251"/>
      <c r="G452" s="1251"/>
      <c r="H452" s="1251"/>
      <c r="I452" s="1251"/>
      <c r="J452" s="1251"/>
      <c r="K452" s="1251"/>
      <c r="L452" s="1251"/>
      <c r="M452" s="1251"/>
      <c r="N452" s="1251"/>
      <c r="O452" s="25"/>
      <c r="P452" s="26"/>
      <c r="Q452" s="26"/>
      <c r="R452" s="26"/>
      <c r="S452" s="26"/>
      <c r="T452" s="26"/>
      <c r="U452" s="26"/>
      <c r="V452" s="26"/>
      <c r="W452" s="26"/>
      <c r="X452" s="624"/>
      <c r="Y452" s="624"/>
      <c r="Z452" s="624"/>
      <c r="AA452" s="624"/>
      <c r="AB452" s="624"/>
      <c r="AC452" s="1191"/>
    </row>
    <row r="453" spans="1:29" s="762" customFormat="1" ht="12.75" customHeight="1" x14ac:dyDescent="0.2">
      <c r="A453" s="445"/>
      <c r="B453" s="21"/>
      <c r="C453" s="21"/>
      <c r="D453" s="34"/>
      <c r="E453" s="118" t="s">
        <v>364</v>
      </c>
      <c r="F453" s="1319" t="str">
        <f>Translations!$B$832</f>
        <v>produktu līmeņatzīmju neaptvertu produktu ražošana iekārtā (norādiet produktu veidus);</v>
      </c>
      <c r="G453" s="1251"/>
      <c r="H453" s="1251"/>
      <c r="I453" s="1251"/>
      <c r="J453" s="1251"/>
      <c r="K453" s="1251"/>
      <c r="L453" s="1251"/>
      <c r="M453" s="1251"/>
      <c r="N453" s="1251"/>
      <c r="O453" s="25"/>
      <c r="P453" s="26"/>
      <c r="Q453" s="26"/>
      <c r="R453" s="26"/>
      <c r="S453" s="26"/>
      <c r="T453" s="26"/>
      <c r="U453" s="26"/>
      <c r="V453" s="26"/>
      <c r="W453" s="26"/>
      <c r="X453" s="624"/>
      <c r="Y453" s="1191"/>
      <c r="Z453" s="1191"/>
      <c r="AA453" s="1191"/>
      <c r="AB453" s="1191"/>
      <c r="AC453" s="1191"/>
    </row>
    <row r="454" spans="1:29" s="762" customFormat="1" ht="12.75" customHeight="1" x14ac:dyDescent="0.2">
      <c r="A454" s="445"/>
      <c r="B454" s="21"/>
      <c r="C454" s="21"/>
      <c r="D454" s="34"/>
      <c r="E454" s="118" t="s">
        <v>364</v>
      </c>
      <c r="F454" s="1319" t="str">
        <f>Translations!$B$885</f>
        <v>mehāniskās enerģijas ražošana, siltumapgāde vai aukstumapgāde (visi izmantojumi, izņemot elektroenerģijas ražošanu).</v>
      </c>
      <c r="G454" s="1251"/>
      <c r="H454" s="1251"/>
      <c r="I454" s="1251"/>
      <c r="J454" s="1251"/>
      <c r="K454" s="1251"/>
      <c r="L454" s="1251"/>
      <c r="M454" s="1251"/>
      <c r="N454" s="1251"/>
      <c r="O454" s="25"/>
      <c r="P454" s="26"/>
      <c r="Q454" s="26"/>
      <c r="R454" s="26"/>
      <c r="S454" s="26"/>
      <c r="T454" s="26"/>
      <c r="U454" s="26"/>
      <c r="V454" s="26"/>
      <c r="W454" s="26"/>
      <c r="X454" s="624"/>
      <c r="Y454" s="1191"/>
      <c r="Z454" s="1191"/>
      <c r="AA454" s="1191"/>
      <c r="AB454" s="1191"/>
      <c r="AC454" s="1191"/>
    </row>
    <row r="455" spans="1:29" s="762" customFormat="1" ht="5.0999999999999996" customHeight="1" x14ac:dyDescent="0.2">
      <c r="A455" s="445"/>
      <c r="B455" s="21"/>
      <c r="C455" s="23"/>
      <c r="D455" s="21"/>
      <c r="E455" s="21"/>
      <c r="F455" s="21"/>
      <c r="G455" s="21"/>
      <c r="H455" s="21"/>
      <c r="I455" s="21"/>
      <c r="J455" s="21"/>
      <c r="K455" s="21"/>
      <c r="L455" s="21"/>
      <c r="M455" s="21"/>
      <c r="N455" s="21"/>
      <c r="O455" s="25"/>
      <c r="P455" s="26"/>
      <c r="Q455" s="26"/>
      <c r="R455" s="720"/>
      <c r="S455" s="720"/>
      <c r="T455" s="720"/>
      <c r="U455" s="720"/>
      <c r="V455" s="720"/>
      <c r="W455" s="720"/>
      <c r="X455" s="1191"/>
      <c r="Y455" s="1191"/>
      <c r="Z455" s="1191"/>
      <c r="AA455" s="1191"/>
      <c r="AB455" s="1191"/>
      <c r="AC455" s="1191"/>
    </row>
    <row r="456" spans="1:29" s="762" customFormat="1" ht="25.5" customHeight="1" x14ac:dyDescent="0.2">
      <c r="A456" s="445"/>
      <c r="B456" s="721"/>
      <c r="C456" s="34"/>
      <c r="D456" s="360"/>
      <c r="E456" s="1418" t="str">
        <f>Translations!$B$837</f>
        <v>Izmantojuma veids</v>
      </c>
      <c r="F456" s="1419"/>
      <c r="G456" s="1774" t="str">
        <f>Translations!$B$886</f>
        <v>Produkta nosaukums vai pakalpojuma veids</v>
      </c>
      <c r="H456" s="1775"/>
      <c r="I456" s="1775"/>
      <c r="J456" s="1775"/>
      <c r="K456" s="1775"/>
      <c r="L456" s="1776"/>
      <c r="M456" s="1121" t="str">
        <f>Translations!$B$1668</f>
        <v>PRODCOM 2010</v>
      </c>
      <c r="N456" s="1122" t="str">
        <f>Translations!$B$1669</f>
        <v>KN kodi</v>
      </c>
      <c r="O456" s="25"/>
      <c r="P456" s="720"/>
      <c r="Q456" s="720"/>
      <c r="R456" s="720"/>
      <c r="S456" s="720"/>
      <c r="T456" s="720"/>
      <c r="U456" s="720"/>
      <c r="V456" s="720"/>
      <c r="W456" s="720"/>
      <c r="X456" s="1191"/>
      <c r="Y456" s="1191"/>
      <c r="Z456" s="1191"/>
      <c r="AA456" s="1191"/>
      <c r="AB456" s="1191"/>
      <c r="AC456" s="1191"/>
    </row>
    <row r="457" spans="1:29" s="762" customFormat="1" ht="12.75" customHeight="1" x14ac:dyDescent="0.2">
      <c r="A457" s="445"/>
      <c r="B457" s="721"/>
      <c r="C457" s="34"/>
      <c r="D457" s="722">
        <v>1</v>
      </c>
      <c r="E457" s="1800"/>
      <c r="F457" s="1801"/>
      <c r="G457" s="1371"/>
      <c r="H457" s="1802"/>
      <c r="I457" s="1802"/>
      <c r="J457" s="1802"/>
      <c r="K457" s="1802"/>
      <c r="L457" s="1803"/>
      <c r="M457" s="725"/>
      <c r="N457" s="725"/>
      <c r="O457" s="25"/>
      <c r="P457" s="720"/>
      <c r="Q457" s="720"/>
      <c r="R457" s="720"/>
      <c r="S457" s="720"/>
      <c r="T457" s="720"/>
      <c r="U457" s="720"/>
      <c r="V457" s="720"/>
      <c r="W457" s="720"/>
      <c r="X457" s="1191"/>
      <c r="Y457" s="1191"/>
      <c r="Z457" s="1191"/>
      <c r="AA457" s="1191"/>
      <c r="AB457" s="1191"/>
      <c r="AC457" s="1191"/>
    </row>
    <row r="458" spans="1:29" s="762" customFormat="1" ht="12.75" customHeight="1" x14ac:dyDescent="0.2">
      <c r="A458" s="445"/>
      <c r="B458" s="721"/>
      <c r="C458" s="34"/>
      <c r="D458" s="723">
        <f>D457+1</f>
        <v>2</v>
      </c>
      <c r="E458" s="1795"/>
      <c r="F458" s="1796"/>
      <c r="G458" s="1797"/>
      <c r="H458" s="1798"/>
      <c r="I458" s="1798"/>
      <c r="J458" s="1798"/>
      <c r="K458" s="1798"/>
      <c r="L458" s="1799"/>
      <c r="M458" s="726"/>
      <c r="N458" s="726"/>
      <c r="O458" s="25"/>
      <c r="P458" s="720"/>
      <c r="Q458" s="720"/>
      <c r="R458" s="720"/>
      <c r="S458" s="720"/>
      <c r="T458" s="720"/>
      <c r="U458" s="720"/>
      <c r="V458" s="720"/>
      <c r="W458" s="720"/>
      <c r="X458" s="1191"/>
      <c r="Y458" s="1191"/>
      <c r="Z458" s="1191"/>
      <c r="AA458" s="1191"/>
      <c r="AB458" s="1191"/>
      <c r="AC458" s="1191"/>
    </row>
    <row r="459" spans="1:29" s="762" customFormat="1" ht="12.75" customHeight="1" x14ac:dyDescent="0.2">
      <c r="A459" s="445"/>
      <c r="B459" s="721"/>
      <c r="C459" s="34"/>
      <c r="D459" s="723">
        <f t="shared" ref="D459:D466" si="13">D458+1</f>
        <v>3</v>
      </c>
      <c r="E459" s="1795"/>
      <c r="F459" s="1796"/>
      <c r="G459" s="1797"/>
      <c r="H459" s="1798"/>
      <c r="I459" s="1798"/>
      <c r="J459" s="1798"/>
      <c r="K459" s="1798"/>
      <c r="L459" s="1799"/>
      <c r="M459" s="726"/>
      <c r="N459" s="726"/>
      <c r="O459" s="25"/>
      <c r="P459" s="720"/>
      <c r="Q459" s="720"/>
      <c r="R459" s="720"/>
      <c r="S459" s="720"/>
      <c r="T459" s="720"/>
      <c r="U459" s="720"/>
      <c r="V459" s="720"/>
      <c r="W459" s="720"/>
      <c r="X459" s="1191"/>
      <c r="Y459" s="1191"/>
      <c r="Z459" s="1191"/>
      <c r="AA459" s="1191"/>
      <c r="AB459" s="1191"/>
      <c r="AC459" s="1191"/>
    </row>
    <row r="460" spans="1:29" s="762" customFormat="1" ht="12.75" customHeight="1" x14ac:dyDescent="0.2">
      <c r="A460" s="445"/>
      <c r="B460" s="721"/>
      <c r="C460" s="34"/>
      <c r="D460" s="723">
        <f t="shared" si="13"/>
        <v>4</v>
      </c>
      <c r="E460" s="1795"/>
      <c r="F460" s="1796"/>
      <c r="G460" s="1797"/>
      <c r="H460" s="1798"/>
      <c r="I460" s="1798"/>
      <c r="J460" s="1798"/>
      <c r="K460" s="1798"/>
      <c r="L460" s="1799"/>
      <c r="M460" s="726"/>
      <c r="N460" s="726"/>
      <c r="O460" s="25"/>
      <c r="P460" s="720"/>
      <c r="Q460" s="720"/>
      <c r="R460" s="720"/>
      <c r="S460" s="720"/>
      <c r="T460" s="720"/>
      <c r="U460" s="720"/>
      <c r="V460" s="720"/>
      <c r="W460" s="720"/>
      <c r="X460" s="1191"/>
      <c r="Y460" s="1191"/>
      <c r="Z460" s="1191"/>
      <c r="AA460" s="1191"/>
      <c r="AB460" s="1191"/>
      <c r="AC460" s="1191"/>
    </row>
    <row r="461" spans="1:29" s="762" customFormat="1" ht="12.75" customHeight="1" x14ac:dyDescent="0.2">
      <c r="A461" s="445"/>
      <c r="B461" s="721"/>
      <c r="C461" s="34"/>
      <c r="D461" s="723">
        <f t="shared" si="13"/>
        <v>5</v>
      </c>
      <c r="E461" s="1795"/>
      <c r="F461" s="1796"/>
      <c r="G461" s="1797"/>
      <c r="H461" s="1798"/>
      <c r="I461" s="1798"/>
      <c r="J461" s="1798"/>
      <c r="K461" s="1798"/>
      <c r="L461" s="1799"/>
      <c r="M461" s="726"/>
      <c r="N461" s="726"/>
      <c r="O461" s="25"/>
      <c r="P461" s="720"/>
      <c r="Q461" s="720"/>
      <c r="R461" s="720"/>
      <c r="S461" s="720"/>
      <c r="T461" s="720"/>
      <c r="U461" s="720"/>
      <c r="V461" s="720"/>
      <c r="W461" s="720"/>
      <c r="X461" s="1191"/>
      <c r="Y461" s="1191"/>
      <c r="Z461" s="1191"/>
      <c r="AA461" s="1191"/>
      <c r="AB461" s="1191"/>
      <c r="AC461" s="1191"/>
    </row>
    <row r="462" spans="1:29" s="762" customFormat="1" ht="12.75" customHeight="1" x14ac:dyDescent="0.2">
      <c r="A462" s="445"/>
      <c r="B462" s="721"/>
      <c r="C462" s="34"/>
      <c r="D462" s="723">
        <f t="shared" si="13"/>
        <v>6</v>
      </c>
      <c r="E462" s="1795"/>
      <c r="F462" s="1796"/>
      <c r="G462" s="1797"/>
      <c r="H462" s="1798"/>
      <c r="I462" s="1798"/>
      <c r="J462" s="1798"/>
      <c r="K462" s="1798"/>
      <c r="L462" s="1799"/>
      <c r="M462" s="726"/>
      <c r="N462" s="726"/>
      <c r="O462" s="25"/>
      <c r="P462" s="720"/>
      <c r="Q462" s="720"/>
      <c r="R462" s="720"/>
      <c r="S462" s="720"/>
      <c r="T462" s="720"/>
      <c r="U462" s="720"/>
      <c r="V462" s="720"/>
      <c r="W462" s="720"/>
      <c r="X462" s="1191"/>
      <c r="Y462" s="1191"/>
      <c r="Z462" s="1191"/>
      <c r="AA462" s="1191"/>
      <c r="AB462" s="1191"/>
      <c r="AC462" s="1191"/>
    </row>
    <row r="463" spans="1:29" s="762" customFormat="1" ht="12.75" customHeight="1" x14ac:dyDescent="0.2">
      <c r="A463" s="445"/>
      <c r="B463" s="721"/>
      <c r="C463" s="34"/>
      <c r="D463" s="723">
        <f t="shared" si="13"/>
        <v>7</v>
      </c>
      <c r="E463" s="1795"/>
      <c r="F463" s="1796"/>
      <c r="G463" s="1844"/>
      <c r="H463" s="1798"/>
      <c r="I463" s="1798"/>
      <c r="J463" s="1798"/>
      <c r="K463" s="1798"/>
      <c r="L463" s="1799"/>
      <c r="M463" s="726"/>
      <c r="N463" s="726"/>
      <c r="O463" s="25"/>
      <c r="P463" s="720"/>
      <c r="Q463" s="720"/>
      <c r="R463" s="720"/>
      <c r="S463" s="720"/>
      <c r="T463" s="720"/>
      <c r="U463" s="720"/>
      <c r="V463" s="720"/>
      <c r="W463" s="720"/>
      <c r="X463" s="1191"/>
      <c r="Y463" s="1191"/>
      <c r="Z463" s="1191"/>
      <c r="AA463" s="1191"/>
      <c r="AB463" s="1191"/>
      <c r="AC463" s="1191"/>
    </row>
    <row r="464" spans="1:29" s="762" customFormat="1" ht="12.75" customHeight="1" x14ac:dyDescent="0.2">
      <c r="A464" s="445"/>
      <c r="B464" s="721"/>
      <c r="C464" s="34"/>
      <c r="D464" s="723">
        <f t="shared" si="13"/>
        <v>8</v>
      </c>
      <c r="E464" s="1795"/>
      <c r="F464" s="1796"/>
      <c r="G464" s="1797"/>
      <c r="H464" s="1798"/>
      <c r="I464" s="1798"/>
      <c r="J464" s="1798"/>
      <c r="K464" s="1798"/>
      <c r="L464" s="1799"/>
      <c r="M464" s="726"/>
      <c r="N464" s="726"/>
      <c r="O464" s="25"/>
      <c r="P464" s="720"/>
      <c r="Q464" s="720"/>
      <c r="R464" s="720"/>
      <c r="S464" s="720"/>
      <c r="T464" s="720"/>
      <c r="U464" s="720"/>
      <c r="V464" s="720"/>
      <c r="W464" s="720"/>
      <c r="X464" s="1191"/>
      <c r="Y464" s="1191"/>
      <c r="Z464" s="1191"/>
      <c r="AA464" s="1191"/>
      <c r="AB464" s="1191"/>
      <c r="AC464" s="1191"/>
    </row>
    <row r="465" spans="1:29" s="762" customFormat="1" ht="12.75" customHeight="1" x14ac:dyDescent="0.2">
      <c r="A465" s="445"/>
      <c r="B465" s="721"/>
      <c r="C465" s="34"/>
      <c r="D465" s="723">
        <f t="shared" si="13"/>
        <v>9</v>
      </c>
      <c r="E465" s="1795"/>
      <c r="F465" s="1796"/>
      <c r="G465" s="1797"/>
      <c r="H465" s="1798"/>
      <c r="I465" s="1798"/>
      <c r="J465" s="1798"/>
      <c r="K465" s="1798"/>
      <c r="L465" s="1799"/>
      <c r="M465" s="726"/>
      <c r="N465" s="726"/>
      <c r="O465" s="25"/>
      <c r="P465" s="720"/>
      <c r="Q465" s="720"/>
      <c r="R465" s="720"/>
      <c r="S465" s="720"/>
      <c r="T465" s="720"/>
      <c r="U465" s="720"/>
      <c r="V465" s="720"/>
      <c r="W465" s="720"/>
      <c r="X465" s="1191"/>
      <c r="Y465" s="1191"/>
      <c r="Z465" s="1191"/>
      <c r="AA465" s="1191"/>
      <c r="AB465" s="1191"/>
      <c r="AC465" s="1191"/>
    </row>
    <row r="466" spans="1:29" s="762" customFormat="1" ht="12.75" customHeight="1" x14ac:dyDescent="0.2">
      <c r="A466" s="445"/>
      <c r="B466" s="721"/>
      <c r="C466" s="34"/>
      <c r="D466" s="724">
        <f t="shared" si="13"/>
        <v>10</v>
      </c>
      <c r="E466" s="1790"/>
      <c r="F466" s="1791"/>
      <c r="G466" s="1792"/>
      <c r="H466" s="1793"/>
      <c r="I466" s="1793"/>
      <c r="J466" s="1793"/>
      <c r="K466" s="1793"/>
      <c r="L466" s="1794"/>
      <c r="M466" s="727"/>
      <c r="N466" s="727"/>
      <c r="O466" s="25"/>
      <c r="P466" s="720"/>
      <c r="Q466" s="720"/>
      <c r="R466" s="720"/>
      <c r="S466" s="720"/>
      <c r="T466" s="720"/>
      <c r="U466" s="720"/>
      <c r="V466" s="720"/>
      <c r="W466" s="720"/>
      <c r="X466" s="1191"/>
      <c r="Y466" s="1191"/>
      <c r="Z466" s="1191"/>
      <c r="AA466" s="1191"/>
      <c r="AB466" s="1191"/>
      <c r="AC466" s="1191"/>
    </row>
    <row r="467" spans="1:29" s="762" customFormat="1" ht="5.0999999999999996" customHeight="1" x14ac:dyDescent="0.2">
      <c r="A467" s="445"/>
      <c r="B467" s="721"/>
      <c r="C467" s="384"/>
      <c r="D467" s="384"/>
      <c r="E467" s="384"/>
      <c r="F467" s="384"/>
      <c r="G467" s="721"/>
      <c r="H467" s="721"/>
      <c r="I467" s="721"/>
      <c r="J467" s="721"/>
      <c r="K467" s="721"/>
      <c r="L467" s="721"/>
      <c r="M467" s="721"/>
      <c r="N467" s="721"/>
      <c r="O467" s="25"/>
      <c r="P467" s="720"/>
      <c r="Q467" s="720"/>
      <c r="R467" s="720"/>
      <c r="S467" s="720"/>
      <c r="T467" s="720"/>
      <c r="U467" s="720"/>
      <c r="V467" s="720"/>
      <c r="W467" s="720"/>
      <c r="X467" s="1191"/>
      <c r="Y467" s="1191"/>
      <c r="Z467" s="1191"/>
      <c r="AA467" s="1191"/>
      <c r="AB467" s="1191"/>
      <c r="AC467" s="1191"/>
    </row>
    <row r="468" spans="1:29" ht="12.75" customHeight="1" x14ac:dyDescent="0.2">
      <c r="B468" s="21"/>
      <c r="C468" s="370"/>
      <c r="D468" s="32"/>
      <c r="E468" s="1250" t="str">
        <f>Translations!$B$840</f>
        <v>Ražošanas līmeņi</v>
      </c>
      <c r="F468" s="1251"/>
      <c r="G468" s="1251"/>
      <c r="H468" s="1251"/>
      <c r="I468" s="1251"/>
      <c r="J468" s="1251"/>
      <c r="K468" s="1251"/>
      <c r="L468" s="1251"/>
      <c r="M468" s="1251"/>
      <c r="N468" s="1251"/>
      <c r="O468" s="25"/>
      <c r="P468" s="26"/>
    </row>
    <row r="469" spans="1:29" ht="5.0999999999999996" customHeight="1" x14ac:dyDescent="0.2">
      <c r="B469" s="21"/>
      <c r="C469" s="384"/>
      <c r="D469" s="34"/>
      <c r="E469" s="35"/>
      <c r="F469" s="35"/>
      <c r="G469" s="35"/>
      <c r="H469" s="35"/>
      <c r="I469" s="35"/>
      <c r="J469" s="39"/>
      <c r="K469" s="39"/>
      <c r="L469" s="39"/>
      <c r="M469" s="25"/>
      <c r="N469" s="25"/>
      <c r="O469" s="25"/>
      <c r="P469" s="26"/>
    </row>
    <row r="470" spans="1:29" ht="12.75" customHeight="1" x14ac:dyDescent="0.2">
      <c r="B470" s="38"/>
      <c r="C470" s="370"/>
      <c r="D470" s="360"/>
      <c r="E470" s="1767" t="str">
        <f>Translations!$B$886</f>
        <v>Produkta nosaukums vai pakalpojuma veids</v>
      </c>
      <c r="F470" s="1275"/>
      <c r="G470" s="1460"/>
      <c r="H470" s="52" t="str">
        <f>EUconst_Unit</f>
        <v>Vienība</v>
      </c>
      <c r="I470" s="412">
        <f>I$793</f>
        <v>2019</v>
      </c>
      <c r="J470" s="412">
        <f>J$793</f>
        <v>2020</v>
      </c>
      <c r="K470" s="412">
        <f>K$793</f>
        <v>2021</v>
      </c>
      <c r="L470" s="412">
        <f>L$793</f>
        <v>2022</v>
      </c>
      <c r="M470" s="412">
        <f>M$793</f>
        <v>2023</v>
      </c>
      <c r="N470" s="25"/>
      <c r="O470" s="25"/>
    </row>
    <row r="471" spans="1:29" ht="12.75" customHeight="1" x14ac:dyDescent="0.2">
      <c r="B471" s="38"/>
      <c r="C471" s="68"/>
      <c r="D471" s="55">
        <v>1</v>
      </c>
      <c r="E471" s="1748" t="str">
        <f t="shared" ref="E471:E480" si="14">IF(ISBLANK(G457),"",G457)</f>
        <v/>
      </c>
      <c r="F471" s="1768"/>
      <c r="G471" s="1769"/>
      <c r="H471" s="248"/>
      <c r="I471" s="484"/>
      <c r="J471" s="484"/>
      <c r="K471" s="484"/>
      <c r="L471" s="484"/>
      <c r="M471" s="484"/>
      <c r="N471" s="25"/>
      <c r="O471" s="25"/>
    </row>
    <row r="472" spans="1:29" ht="12.75" customHeight="1" x14ac:dyDescent="0.2">
      <c r="B472" s="38"/>
      <c r="C472" s="68"/>
      <c r="D472" s="56">
        <f>D471+1</f>
        <v>2</v>
      </c>
      <c r="E472" s="1754" t="str">
        <f t="shared" si="14"/>
        <v/>
      </c>
      <c r="F472" s="1755"/>
      <c r="G472" s="1756"/>
      <c r="H472" s="249"/>
      <c r="I472" s="557"/>
      <c r="J472" s="557"/>
      <c r="K472" s="557"/>
      <c r="L472" s="557"/>
      <c r="M472" s="557"/>
      <c r="N472" s="25"/>
      <c r="O472" s="25"/>
    </row>
    <row r="473" spans="1:29" ht="12.75" customHeight="1" x14ac:dyDescent="0.2">
      <c r="B473" s="38"/>
      <c r="C473" s="68"/>
      <c r="D473" s="56">
        <f t="shared" ref="D473:D480" si="15">D472+1</f>
        <v>3</v>
      </c>
      <c r="E473" s="1754" t="str">
        <f t="shared" si="14"/>
        <v/>
      </c>
      <c r="F473" s="1755"/>
      <c r="G473" s="1756"/>
      <c r="H473" s="249"/>
      <c r="I473" s="557"/>
      <c r="J473" s="557"/>
      <c r="K473" s="557"/>
      <c r="L473" s="557"/>
      <c r="M473" s="557"/>
      <c r="N473" s="25"/>
      <c r="O473" s="25"/>
    </row>
    <row r="474" spans="1:29" ht="12.75" customHeight="1" x14ac:dyDescent="0.2">
      <c r="B474" s="38"/>
      <c r="C474" s="68"/>
      <c r="D474" s="56">
        <f t="shared" si="15"/>
        <v>4</v>
      </c>
      <c r="E474" s="1754" t="str">
        <f t="shared" si="14"/>
        <v/>
      </c>
      <c r="F474" s="1755"/>
      <c r="G474" s="1756"/>
      <c r="H474" s="249"/>
      <c r="I474" s="557"/>
      <c r="J474" s="557"/>
      <c r="K474" s="557"/>
      <c r="L474" s="557"/>
      <c r="M474" s="557"/>
      <c r="N474" s="25"/>
      <c r="O474" s="25"/>
    </row>
    <row r="475" spans="1:29" ht="12.75" customHeight="1" x14ac:dyDescent="0.2">
      <c r="B475" s="38"/>
      <c r="C475" s="68"/>
      <c r="D475" s="56">
        <f t="shared" si="15"/>
        <v>5</v>
      </c>
      <c r="E475" s="1754" t="str">
        <f t="shared" si="14"/>
        <v/>
      </c>
      <c r="F475" s="1755"/>
      <c r="G475" s="1756"/>
      <c r="H475" s="249"/>
      <c r="I475" s="557"/>
      <c r="J475" s="557"/>
      <c r="K475" s="557"/>
      <c r="L475" s="557"/>
      <c r="M475" s="557"/>
      <c r="N475" s="25"/>
      <c r="O475" s="25"/>
    </row>
    <row r="476" spans="1:29" ht="12.75" customHeight="1" x14ac:dyDescent="0.2">
      <c r="B476" s="38"/>
      <c r="C476" s="68"/>
      <c r="D476" s="56">
        <f t="shared" si="15"/>
        <v>6</v>
      </c>
      <c r="E476" s="1754" t="str">
        <f t="shared" si="14"/>
        <v/>
      </c>
      <c r="F476" s="1755"/>
      <c r="G476" s="1756"/>
      <c r="H476" s="249"/>
      <c r="I476" s="557"/>
      <c r="J476" s="557"/>
      <c r="K476" s="557"/>
      <c r="L476" s="557"/>
      <c r="M476" s="557"/>
      <c r="N476" s="25"/>
      <c r="O476" s="25"/>
    </row>
    <row r="477" spans="1:29" ht="12.75" customHeight="1" x14ac:dyDescent="0.2">
      <c r="B477" s="38"/>
      <c r="C477" s="68"/>
      <c r="D477" s="56">
        <f t="shared" si="15"/>
        <v>7</v>
      </c>
      <c r="E477" s="1754" t="str">
        <f t="shared" si="14"/>
        <v/>
      </c>
      <c r="F477" s="1755"/>
      <c r="G477" s="1756"/>
      <c r="H477" s="249"/>
      <c r="I477" s="557"/>
      <c r="J477" s="557"/>
      <c r="K477" s="557"/>
      <c r="L477" s="557"/>
      <c r="M477" s="557"/>
      <c r="N477" s="25"/>
      <c r="O477" s="25"/>
    </row>
    <row r="478" spans="1:29" ht="12.75" customHeight="1" x14ac:dyDescent="0.2">
      <c r="B478" s="38"/>
      <c r="C478" s="68"/>
      <c r="D478" s="56">
        <f t="shared" si="15"/>
        <v>8</v>
      </c>
      <c r="E478" s="1754" t="str">
        <f t="shared" si="14"/>
        <v/>
      </c>
      <c r="F478" s="1755"/>
      <c r="G478" s="1756"/>
      <c r="H478" s="249"/>
      <c r="I478" s="557"/>
      <c r="J478" s="557"/>
      <c r="K478" s="557"/>
      <c r="L478" s="557"/>
      <c r="M478" s="557"/>
      <c r="N478" s="25"/>
      <c r="O478" s="25"/>
    </row>
    <row r="479" spans="1:29" ht="12.75" customHeight="1" x14ac:dyDescent="0.2">
      <c r="B479" s="38"/>
      <c r="C479" s="68"/>
      <c r="D479" s="56">
        <f t="shared" si="15"/>
        <v>9</v>
      </c>
      <c r="E479" s="1754" t="str">
        <f t="shared" si="14"/>
        <v/>
      </c>
      <c r="F479" s="1755"/>
      <c r="G479" s="1756"/>
      <c r="H479" s="249"/>
      <c r="I479" s="557"/>
      <c r="J479" s="557"/>
      <c r="K479" s="557"/>
      <c r="L479" s="557"/>
      <c r="M479" s="557"/>
      <c r="N479" s="25"/>
      <c r="O479" s="25"/>
    </row>
    <row r="480" spans="1:29" ht="12.75" customHeight="1" x14ac:dyDescent="0.2">
      <c r="B480" s="38"/>
      <c r="C480" s="68"/>
      <c r="D480" s="59">
        <f t="shared" si="15"/>
        <v>10</v>
      </c>
      <c r="E480" s="1757" t="str">
        <f t="shared" si="14"/>
        <v/>
      </c>
      <c r="F480" s="1758"/>
      <c r="G480" s="1759"/>
      <c r="H480" s="250"/>
      <c r="I480" s="458"/>
      <c r="J480" s="458"/>
      <c r="K480" s="458"/>
      <c r="L480" s="458"/>
      <c r="M480" s="458"/>
      <c r="N480" s="25"/>
      <c r="O480" s="25"/>
    </row>
    <row r="481" spans="2:23" ht="12.75" customHeight="1" x14ac:dyDescent="0.2">
      <c r="B481" s="38"/>
      <c r="C481" s="38"/>
      <c r="D481" s="115"/>
      <c r="E481" s="1760" t="str">
        <f>Translations!$B$708</f>
        <v>Ražošanas līmeņu summa</v>
      </c>
      <c r="F481" s="1457"/>
      <c r="G481" s="1259"/>
      <c r="H481" s="250"/>
      <c r="I481" s="343" t="str">
        <f>IF(COUNT(I471:I480)&gt;0,SUM(I471:I480),"")</f>
        <v/>
      </c>
      <c r="J481" s="343" t="str">
        <f>IF(COUNT(J471:J480)&gt;0,SUM(J471:J480),"")</f>
        <v/>
      </c>
      <c r="K481" s="343" t="str">
        <f>IF(COUNT(K471:K480)&gt;0,SUM(K471:K480),"")</f>
        <v/>
      </c>
      <c r="L481" s="343" t="str">
        <f>IF(COUNT(L471:L480)&gt;0,SUM(L471:L480),"")</f>
        <v/>
      </c>
      <c r="M481" s="343" t="str">
        <f>IF(COUNT(M471:M480)&gt;0,SUM(M471:M480),"")</f>
        <v/>
      </c>
      <c r="N481" s="25"/>
      <c r="O481" s="25"/>
    </row>
    <row r="482" spans="2:23" ht="12.75" customHeight="1" thickBot="1" x14ac:dyDescent="0.25">
      <c r="B482" s="38"/>
      <c r="C482" s="38"/>
      <c r="D482" s="38"/>
      <c r="E482" s="38"/>
      <c r="F482" s="38"/>
      <c r="G482" s="38"/>
      <c r="H482" s="38"/>
      <c r="I482" s="38"/>
      <c r="J482" s="38"/>
      <c r="K482" s="38"/>
      <c r="L482" s="38"/>
      <c r="M482" s="38"/>
      <c r="N482" s="38"/>
      <c r="O482" s="25"/>
    </row>
    <row r="483" spans="2:23" ht="5.0999999999999996" customHeight="1" x14ac:dyDescent="0.2">
      <c r="B483" s="21"/>
      <c r="C483" s="467"/>
      <c r="D483" s="468"/>
      <c r="E483" s="468"/>
      <c r="F483" s="468"/>
      <c r="G483" s="468"/>
      <c r="H483" s="468"/>
      <c r="I483" s="468"/>
      <c r="J483" s="468"/>
      <c r="K483" s="468"/>
      <c r="L483" s="468"/>
      <c r="M483" s="469"/>
      <c r="N483" s="470"/>
      <c r="O483" s="25"/>
      <c r="P483" s="26"/>
      <c r="R483" s="26"/>
      <c r="S483" s="26"/>
    </row>
    <row r="484" spans="2:23" ht="15" customHeight="1" x14ac:dyDescent="0.2">
      <c r="B484" s="38"/>
      <c r="C484" s="471"/>
      <c r="D484" s="1697" t="str">
        <f>Translations!$B$709</f>
        <v>Dati, kas vajadzīgi, lai noteiktu līmeņatzīmju uzlabošanas rādītāju saskaņā ar ES ETS direktīvas 10.a panta 2. punktu.</v>
      </c>
      <c r="E484" s="1655"/>
      <c r="F484" s="1655"/>
      <c r="G484" s="1655"/>
      <c r="H484" s="1655"/>
      <c r="I484" s="1655"/>
      <c r="J484" s="1655"/>
      <c r="K484" s="1655"/>
      <c r="L484" s="1655"/>
      <c r="M484" s="1655"/>
      <c r="N484" s="1656"/>
      <c r="O484" s="25"/>
      <c r="R484" s="26"/>
      <c r="S484" s="26"/>
    </row>
    <row r="485" spans="2:23" ht="5.0999999999999996" customHeight="1" x14ac:dyDescent="0.2">
      <c r="B485" s="38"/>
      <c r="C485" s="472"/>
      <c r="D485" s="461"/>
      <c r="E485" s="461"/>
      <c r="F485" s="461"/>
      <c r="G485" s="461"/>
      <c r="H485" s="461"/>
      <c r="I485" s="461"/>
      <c r="J485" s="461"/>
      <c r="K485" s="461"/>
      <c r="L485" s="461"/>
      <c r="M485" s="461"/>
      <c r="N485" s="473"/>
      <c r="O485" s="25"/>
      <c r="R485" s="26"/>
      <c r="S485" s="26"/>
    </row>
    <row r="486" spans="2:23" ht="15" customHeight="1" x14ac:dyDescent="0.2">
      <c r="B486" s="38"/>
      <c r="C486" s="472"/>
      <c r="D486" s="1698" t="str">
        <f>EUconst_FBSubinst &amp; ":"</f>
        <v>Alternatīva apakšiekārta:</v>
      </c>
      <c r="E486" s="1699"/>
      <c r="F486" s="1699"/>
      <c r="G486" s="1699"/>
      <c r="H486" s="1700"/>
      <c r="I486" s="1701" t="str">
        <f>I439</f>
        <v>Kurināmā līmeņatzīmes apakšiekārta (OEP | bez OIM)</v>
      </c>
      <c r="J486" s="1457"/>
      <c r="K486" s="1457"/>
      <c r="L486" s="1457"/>
      <c r="M486" s="1457"/>
      <c r="N486" s="1702"/>
      <c r="O486" s="25"/>
      <c r="R486" s="26"/>
      <c r="S486" s="26"/>
    </row>
    <row r="487" spans="2:23" ht="5.0999999999999996" customHeight="1" x14ac:dyDescent="0.2">
      <c r="B487" s="38"/>
      <c r="C487" s="472"/>
      <c r="D487" s="461"/>
      <c r="E487" s="461"/>
      <c r="F487" s="461"/>
      <c r="G487" s="461"/>
      <c r="H487" s="461"/>
      <c r="I487" s="461"/>
      <c r="J487" s="461"/>
      <c r="K487" s="461"/>
      <c r="L487" s="461"/>
      <c r="M487" s="461"/>
      <c r="N487" s="473"/>
      <c r="O487" s="25"/>
      <c r="R487" s="26"/>
      <c r="S487" s="26"/>
    </row>
    <row r="488" spans="2:23" ht="12.75" customHeight="1" x14ac:dyDescent="0.2">
      <c r="B488" s="21"/>
      <c r="C488" s="471"/>
      <c r="D488" s="474" t="s">
        <v>11</v>
      </c>
      <c r="E488" s="1654" t="str">
        <f>Translations!$B$841</f>
        <v>Uz šo apakšiekārtu tieši attiecināmas emisijas (DirEm*)</v>
      </c>
      <c r="F488" s="1655"/>
      <c r="G488" s="1655"/>
      <c r="H488" s="1655"/>
      <c r="I488" s="1655"/>
      <c r="J488" s="1655"/>
      <c r="K488" s="1655"/>
      <c r="L488" s="1655"/>
      <c r="M488" s="1655"/>
      <c r="N488" s="1656"/>
      <c r="O488" s="25"/>
      <c r="P488" s="26"/>
      <c r="R488" s="26"/>
      <c r="S488" s="26"/>
    </row>
    <row r="489" spans="2:23" ht="12.75" customHeight="1" x14ac:dyDescent="0.2">
      <c r="B489" s="21"/>
      <c r="C489" s="471"/>
      <c r="D489" s="474"/>
      <c r="E489" s="1828" t="str">
        <f>Translations!$B$716</f>
        <v>Šeit sniegtie dati ietekmēs attiecināmās emisijas saskaņā ar FAR VII pielikuma 10.1.1. iedaļu.</v>
      </c>
      <c r="F489" s="1828"/>
      <c r="G489" s="1828"/>
      <c r="H489" s="1828"/>
      <c r="I489" s="1828"/>
      <c r="J489" s="1828"/>
      <c r="K489" s="1828"/>
      <c r="L489" s="1828"/>
      <c r="M489" s="1828"/>
      <c r="N489" s="1829"/>
      <c r="O489" s="25"/>
      <c r="P489" s="26"/>
      <c r="R489" s="26"/>
      <c r="S489" s="26"/>
    </row>
    <row r="490" spans="2:23" ht="25.5" customHeight="1" x14ac:dyDescent="0.2">
      <c r="B490" s="21"/>
      <c r="C490" s="471"/>
      <c r="D490" s="460"/>
      <c r="E490" s="1725" t="str">
        <f>Translations!$B$887</f>
        <v>Šeit ievadiet tiešās emisijas, kuras monitorētas saskaņā ar monitoringa plānu, kas apstiprināts saskaņā ar MZR, t. i., ņemot vērā emisijas, kas iegūtas ar aprēķinos balstītām metodikām (izmantojot avota plūsmas), mērījumos balstītām metodikām (CEMS), kā arī bezpakāpju pieejas (“rezerves pieejas”).</v>
      </c>
      <c r="F490" s="1725"/>
      <c r="G490" s="1725"/>
      <c r="H490" s="1725"/>
      <c r="I490" s="1725"/>
      <c r="J490" s="1725"/>
      <c r="K490" s="1725"/>
      <c r="L490" s="1725"/>
      <c r="M490" s="1725"/>
      <c r="N490" s="1726"/>
      <c r="O490" s="25"/>
      <c r="P490" s="26"/>
      <c r="R490" s="26"/>
    </row>
    <row r="491" spans="2:23" ht="25.5" customHeight="1" thickBot="1" x14ac:dyDescent="0.25">
      <c r="B491" s="21"/>
      <c r="C491" s="471"/>
      <c r="D491" s="460"/>
      <c r="E491" s="1725" t="str">
        <f>Translations!$B$888</f>
        <v>Savukārt emisijas no atlikumgāzu sadedzināšanas iekļauj nevis šeit, bet d) punkta iii. apakšpunktā.</v>
      </c>
      <c r="F491" s="1725"/>
      <c r="G491" s="1725"/>
      <c r="H491" s="1725"/>
      <c r="I491" s="1725"/>
      <c r="J491" s="1725"/>
      <c r="K491" s="1725"/>
      <c r="L491" s="1725"/>
      <c r="M491" s="1725"/>
      <c r="N491" s="1726"/>
      <c r="O491" s="25"/>
      <c r="P491" s="26"/>
      <c r="R491" s="26"/>
    </row>
    <row r="492" spans="2:23" ht="12.75" customHeight="1" x14ac:dyDescent="0.2">
      <c r="B492" s="21"/>
      <c r="C492" s="471"/>
      <c r="D492" s="474"/>
      <c r="E492" s="1653" t="str">
        <f>Translations!$B$690</f>
        <v>Kopējās tiešās emisijas</v>
      </c>
      <c r="F492" s="1657"/>
      <c r="G492" s="1657"/>
      <c r="H492" s="462" t="str">
        <f>EUconst_Unit</f>
        <v>Vienība</v>
      </c>
      <c r="I492" s="463">
        <f>I$793</f>
        <v>2019</v>
      </c>
      <c r="J492" s="463">
        <f>J$793</f>
        <v>2020</v>
      </c>
      <c r="K492" s="463">
        <f>K$793</f>
        <v>2021</v>
      </c>
      <c r="L492" s="463">
        <f>L$793</f>
        <v>2022</v>
      </c>
      <c r="M492" s="463">
        <f>M$793</f>
        <v>2023</v>
      </c>
      <c r="N492" s="475"/>
      <c r="O492" s="25"/>
      <c r="P492" s="26"/>
      <c r="R492" s="808"/>
      <c r="S492" s="809">
        <f>I492</f>
        <v>2019</v>
      </c>
      <c r="T492" s="809">
        <f>J492</f>
        <v>2020</v>
      </c>
      <c r="U492" s="809">
        <f>K492</f>
        <v>2021</v>
      </c>
      <c r="V492" s="809">
        <f>L492</f>
        <v>2022</v>
      </c>
      <c r="W492" s="810">
        <f>M492</f>
        <v>2023</v>
      </c>
    </row>
    <row r="493" spans="2:23" ht="12.75" customHeight="1" thickBot="1" x14ac:dyDescent="0.25">
      <c r="B493" s="21"/>
      <c r="C493" s="471"/>
      <c r="D493" s="460"/>
      <c r="E493" s="1782" t="str">
        <f>I439</f>
        <v>Kurināmā līmeņatzīmes apakšiekārta (OEP | bez OIM)</v>
      </c>
      <c r="F493" s="1782"/>
      <c r="G493" s="1782"/>
      <c r="H493" s="464" t="str">
        <f>EUconst_tCO2epa</f>
        <v>t CO2e/gads</v>
      </c>
      <c r="I493" s="337"/>
      <c r="J493" s="337"/>
      <c r="K493" s="337"/>
      <c r="L493" s="337"/>
      <c r="M493" s="337"/>
      <c r="N493" s="475"/>
      <c r="O493" s="25"/>
      <c r="P493" s="367" t="str">
        <f>EUconst_CNTR_Emissions &amp; I439</f>
        <v>DirEmissions_Kurināmā līmeņatzīmes apakšiekārta (OEP | bez OIM)</v>
      </c>
      <c r="R493" s="811" t="str">
        <f>EUconst_CNTR_AttributedEmissions &amp; I439</f>
        <v>AttrEmissions_Kurināmā līmeņatzīmes apakšiekārta (OEP | bez OIM)</v>
      </c>
      <c r="S493" s="137" t="str">
        <f>IF(S439,SUM(I493),"")</f>
        <v/>
      </c>
      <c r="T493" s="137" t="str">
        <f>IF(T439,SUM(J493),"")</f>
        <v/>
      </c>
      <c r="U493" s="137" t="str">
        <f>IF(U439,SUM(K493),"")</f>
        <v/>
      </c>
      <c r="V493" s="137" t="str">
        <f>IF(V439,SUM(L493),"")</f>
        <v/>
      </c>
      <c r="W493" s="138" t="str">
        <f>IF(W439,SUM(M493),"")</f>
        <v/>
      </c>
    </row>
    <row r="494" spans="2:23" ht="5.0999999999999996" customHeight="1" x14ac:dyDescent="0.2">
      <c r="B494" s="21"/>
      <c r="C494" s="471"/>
      <c r="D494" s="460"/>
      <c r="E494" s="460"/>
      <c r="F494" s="460"/>
      <c r="G494" s="460"/>
      <c r="H494" s="460"/>
      <c r="I494" s="460"/>
      <c r="J494" s="460"/>
      <c r="K494" s="460"/>
      <c r="L494" s="460"/>
      <c r="M494" s="476"/>
      <c r="N494" s="475"/>
      <c r="O494" s="25"/>
      <c r="P494" s="26"/>
      <c r="R494" s="26"/>
    </row>
    <row r="495" spans="2:23" ht="12.75" customHeight="1" x14ac:dyDescent="0.2">
      <c r="B495" s="21"/>
      <c r="C495" s="471"/>
      <c r="D495" s="474" t="s">
        <v>342</v>
      </c>
      <c r="E495" s="1663" t="str">
        <f>Translations!$B$1670</f>
        <v>Enerģijas ielaide šajā apakšiekārtā un relevantais emisijas faktors</v>
      </c>
      <c r="F495" s="1663"/>
      <c r="G495" s="1663"/>
      <c r="H495" s="1663"/>
      <c r="I495" s="1663"/>
      <c r="J495" s="1663"/>
      <c r="K495" s="1663"/>
      <c r="L495" s="1663"/>
      <c r="M495" s="1663"/>
      <c r="N495" s="1690"/>
      <c r="O495" s="25"/>
      <c r="R495" s="26"/>
    </row>
    <row r="496" spans="2:23" ht="12.75" customHeight="1" x14ac:dyDescent="0.2">
      <c r="B496" s="21"/>
      <c r="C496" s="471"/>
      <c r="D496" s="460"/>
      <c r="E496" s="1727" t="str">
        <f>Translations!$B$889</f>
        <v>i. un ii. apakšpunkta vērtības tiek ģenerētas automātiski, balstoties uz ierakstiem a) un c) punktā.</v>
      </c>
      <c r="F496" s="1655"/>
      <c r="G496" s="1655"/>
      <c r="H496" s="1655"/>
      <c r="I496" s="1655"/>
      <c r="J496" s="1655"/>
      <c r="K496" s="1655"/>
      <c r="L496" s="1655"/>
      <c r="M496" s="1655"/>
      <c r="N496" s="1656"/>
      <c r="O496" s="25"/>
      <c r="P496" s="26"/>
      <c r="R496" s="26"/>
    </row>
    <row r="497" spans="2:23" ht="12.75" customHeight="1" x14ac:dyDescent="0.2">
      <c r="B497" s="21"/>
      <c r="C497" s="471"/>
      <c r="D497" s="460"/>
      <c r="E497" s="1727" t="str">
        <f>Translations!$B$890</f>
        <v>iii. un iv. apakšpunktā jāievada attiecīgi atlikumgāzu kurināmā ielaide un attiecīgais emisijas faktors.</v>
      </c>
      <c r="F497" s="1655"/>
      <c r="G497" s="1655"/>
      <c r="H497" s="1655"/>
      <c r="I497" s="1655"/>
      <c r="J497" s="1655"/>
      <c r="K497" s="1655"/>
      <c r="L497" s="1655"/>
      <c r="M497" s="1655"/>
      <c r="N497" s="1656"/>
      <c r="O497" s="25"/>
      <c r="P497" s="26"/>
      <c r="R497" s="26"/>
    </row>
    <row r="498" spans="2:23" ht="25.5" customHeight="1" x14ac:dyDescent="0.2">
      <c r="B498" s="21"/>
      <c r="C498" s="471"/>
      <c r="D498" s="460"/>
      <c r="E498" s="1727" t="str">
        <f>Translations!$B$1682</f>
        <v>iv un vi punktā attiecīgi jāieraksta elektroenerģijas ielaide primāri siltuma ražošanai un attiecīgais emisijas faktors. Tomēr EF parasti nav skaidri noteikts vai zināms. Tāpēc attiecīgie ieraksti šeit ir fakultatīvi.</v>
      </c>
      <c r="F498" s="1727"/>
      <c r="G498" s="1727"/>
      <c r="H498" s="1727"/>
      <c r="I498" s="1727"/>
      <c r="J498" s="1727"/>
      <c r="K498" s="1727"/>
      <c r="L498" s="1727"/>
      <c r="M498" s="1727"/>
      <c r="N498" s="1734"/>
      <c r="O498" s="25"/>
      <c r="P498" s="26"/>
      <c r="R498" s="26"/>
    </row>
    <row r="499" spans="2:23" ht="12.75" customHeight="1" x14ac:dyDescent="0.2">
      <c r="B499" s="21"/>
      <c r="C499" s="471"/>
      <c r="D499" s="474"/>
      <c r="E499" s="1653"/>
      <c r="F499" s="1657"/>
      <c r="G499" s="1657"/>
      <c r="H499" s="462" t="str">
        <f>EUconst_Unit</f>
        <v>Vienība</v>
      </c>
      <c r="I499" s="463">
        <f>I$793</f>
        <v>2019</v>
      </c>
      <c r="J499" s="463">
        <f>J$793</f>
        <v>2020</v>
      </c>
      <c r="K499" s="463">
        <f>K$793</f>
        <v>2021</v>
      </c>
      <c r="L499" s="463">
        <f>L$793</f>
        <v>2022</v>
      </c>
      <c r="M499" s="463">
        <f>M$793</f>
        <v>2023</v>
      </c>
      <c r="N499" s="475"/>
      <c r="O499" s="25"/>
      <c r="P499" s="26"/>
      <c r="R499" s="26"/>
    </row>
    <row r="500" spans="2:23" ht="12.75" customHeight="1" x14ac:dyDescent="0.2">
      <c r="B500" s="21"/>
      <c r="C500" s="471"/>
      <c r="D500" s="477" t="s">
        <v>2</v>
      </c>
      <c r="E500" s="1651" t="str">
        <f>Translations!$B$1683</f>
        <v>a) punktā norādītā enerģijas ielaide</v>
      </c>
      <c r="F500" s="1652"/>
      <c r="G500" s="1652"/>
      <c r="H500" s="465" t="str">
        <f>EUconst_TJpa</f>
        <v>TJ / gads</v>
      </c>
      <c r="I500" s="482" t="str">
        <f>I447</f>
        <v/>
      </c>
      <c r="J500" s="482" t="str">
        <f>J447</f>
        <v/>
      </c>
      <c r="K500" s="482" t="str">
        <f>K447</f>
        <v/>
      </c>
      <c r="L500" s="482" t="str">
        <f>L447</f>
        <v/>
      </c>
      <c r="M500" s="482" t="str">
        <f>M447</f>
        <v/>
      </c>
      <c r="N500" s="528"/>
      <c r="O500" s="25"/>
      <c r="P500" s="367" t="str">
        <f>EUconst_CNTR_FuelInput &amp; I439</f>
        <v>FuelInput_Kurināmā līmeņatzīmes apakšiekārta (OEP | bez OIM)</v>
      </c>
      <c r="R500" s="26"/>
      <c r="S500" s="63">
        <f>I499</f>
        <v>2019</v>
      </c>
      <c r="T500" s="63">
        <f>J499</f>
        <v>2020</v>
      </c>
      <c r="U500" s="63">
        <f>K499</f>
        <v>2021</v>
      </c>
      <c r="V500" s="63">
        <f>L499</f>
        <v>2022</v>
      </c>
      <c r="W500" s="63">
        <f>M499</f>
        <v>2023</v>
      </c>
    </row>
    <row r="501" spans="2:23" ht="12.75" customHeight="1" x14ac:dyDescent="0.2">
      <c r="B501" s="21"/>
      <c r="C501" s="471"/>
      <c r="D501" s="477" t="s">
        <v>3</v>
      </c>
      <c r="E501" s="1709" t="str">
        <f>Translations!$B$892</f>
        <v>Svērtais emisijas faktors (=c./d.)</v>
      </c>
      <c r="F501" s="1710"/>
      <c r="G501" s="1710"/>
      <c r="H501" s="577" t="str">
        <f>EUconst_tCO2pTJ</f>
        <v>t CO2 / TJ</v>
      </c>
      <c r="I501" s="482" t="str">
        <f>IF(COUNT(I493,I500)=2,I493/I500,"")</f>
        <v/>
      </c>
      <c r="J501" s="482" t="str">
        <f>IF(COUNT(J493,J500)=2,J493/J500,"")</f>
        <v/>
      </c>
      <c r="K501" s="482" t="str">
        <f>IF(COUNT(K493,K500)=2,K493/K500,"")</f>
        <v/>
      </c>
      <c r="L501" s="482" t="str">
        <f>IF(COUNT(L493,L500)=2,L493/L500,"")</f>
        <v/>
      </c>
      <c r="M501" s="482" t="str">
        <f>IF(COUNT(M493,M500)=2,M493/M500,"")</f>
        <v/>
      </c>
      <c r="N501" s="475"/>
      <c r="O501" s="25"/>
      <c r="P501" s="367" t="str">
        <f>EUconst_CNTR_FuelEF &amp;I439</f>
        <v>FuelEF_Kurināmā līmeņatzīmes apakšiekārta (OEP | bez OIM)</v>
      </c>
      <c r="R501" s="872" t="str">
        <f>EUconst_ERR_AttrEmBMapplied &amp; I439</f>
        <v>ERR_AttrEmBM_ Kurināmā līmeņatzīmes apakšiekārta (OEP | bez OIM)</v>
      </c>
      <c r="S501" s="134">
        <f>IF(AND(OR(I503&lt;&gt;0,AND(I509&lt;&gt;0,I510="")),EUconst_StatusOfDataCollection=""),1,0)</f>
        <v>0</v>
      </c>
      <c r="T501" s="134">
        <f>IF(AND(OR(J503&lt;&gt;0,AND(J509&lt;&gt;0,J510="")),EUconst_StatusOfDataCollection=""),1,0)</f>
        <v>0</v>
      </c>
      <c r="U501" s="134">
        <f>IF(AND(OR(K503&lt;&gt;0,AND(K509&lt;&gt;0,K510="")),EUconst_StatusOfDataCollection=""),1,0)</f>
        <v>0</v>
      </c>
      <c r="V501" s="134">
        <f>IF(AND(OR(L503&lt;&gt;0,AND(L509&lt;&gt;0,L510="")),EUconst_StatusOfDataCollection=""),1,0)</f>
        <v>0</v>
      </c>
      <c r="W501" s="134">
        <f>IF(AND(OR(M503&lt;&gt;0,AND(M509&lt;&gt;0,M510="")),EUconst_StatusOfDataCollection=""),1,0)</f>
        <v>0</v>
      </c>
    </row>
    <row r="502" spans="2:23" ht="5.0999999999999996" customHeight="1" x14ac:dyDescent="0.2">
      <c r="B502" s="21"/>
      <c r="C502" s="471"/>
      <c r="D502" s="460"/>
      <c r="E502" s="460"/>
      <c r="F502" s="460"/>
      <c r="G502" s="460"/>
      <c r="H502" s="460"/>
      <c r="I502" s="460"/>
      <c r="J502" s="460"/>
      <c r="K502" s="460"/>
      <c r="L502" s="460"/>
      <c r="M502" s="460"/>
      <c r="N502" s="475"/>
      <c r="O502" s="25"/>
      <c r="P502" s="26"/>
    </row>
    <row r="503" spans="2:23" ht="12.75" customHeight="1" x14ac:dyDescent="0.2">
      <c r="B503" s="21"/>
      <c r="C503" s="471"/>
      <c r="D503" s="477" t="s">
        <v>4</v>
      </c>
      <c r="E503" s="1651" t="str">
        <f>Translations!$B$853</f>
        <v>Atlikumgāzu kurināmā ielaide</v>
      </c>
      <c r="F503" s="1652"/>
      <c r="G503" s="1652"/>
      <c r="H503" s="465" t="str">
        <f>EUconst_TJpa</f>
        <v>TJ / gads</v>
      </c>
      <c r="I503" s="330"/>
      <c r="J503" s="330"/>
      <c r="K503" s="330"/>
      <c r="L503" s="330"/>
      <c r="M503" s="330"/>
      <c r="N503" s="475"/>
      <c r="O503" s="25"/>
      <c r="P503" s="453" t="str">
        <f>EUconst_CNTR_WGConsumed &amp; I439</f>
        <v>WasteGasCons_Kurināmā līmeņatzīmes apakšiekārta (OEP | bez OIM)</v>
      </c>
    </row>
    <row r="504" spans="2:23" ht="12.75" customHeight="1" x14ac:dyDescent="0.2">
      <c r="B504" s="21"/>
      <c r="C504" s="471"/>
      <c r="D504" s="477" t="s">
        <v>6</v>
      </c>
      <c r="E504" s="1651" t="str">
        <f>Translations!$B$854</f>
        <v>Īpatnējais EF (atlikumgāze)</v>
      </c>
      <c r="F504" s="1652"/>
      <c r="G504" s="1652"/>
      <c r="H504" s="577" t="str">
        <f>EUconst_tCO2pTJ</f>
        <v>t CO2 / TJ</v>
      </c>
      <c r="I504" s="338"/>
      <c r="J504" s="338"/>
      <c r="K504" s="338"/>
      <c r="L504" s="338"/>
      <c r="M504" s="338"/>
      <c r="N504" s="475"/>
      <c r="O504" s="25"/>
      <c r="P504" s="367" t="str">
        <f>EUconst_CNTR_WGConsumedEF &amp; I439</f>
        <v>WasteGasConsEF_Kurināmā līmeņatzīmes apakšiekārta (OEP | bez OIM)</v>
      </c>
      <c r="R504" s="873" t="str">
        <f>EUconst_CNTR_AttributedEmissions &amp; I439</f>
        <v>AttrEmissions_Kurināmā līmeņatzīmes apakšiekārta (OEP | bez OIM)</v>
      </c>
      <c r="S504" s="134" t="str">
        <f>IF(S439,SUM(I503)*EUconst_FuelBMvalueForBM,"")</f>
        <v/>
      </c>
      <c r="T504" s="134" t="str">
        <f>IF(T439,SUM(J503)*EUconst_FuelBMvalueForBM,"")</f>
        <v/>
      </c>
      <c r="U504" s="134" t="str">
        <f>IF(U439,SUM(K503)*EUconst_FuelBMvalueForBM,"")</f>
        <v/>
      </c>
      <c r="V504" s="134" t="str">
        <f>IF(V439,SUM(L503)*EUconst_FuelBMvalueForBM,"")</f>
        <v/>
      </c>
      <c r="W504" s="134" t="str">
        <f>IF(W439,SUM(M503)*EUconst_FuelBMvalueForBM,"")</f>
        <v/>
      </c>
    </row>
    <row r="505" spans="2:23" ht="5.0999999999999996" customHeight="1" x14ac:dyDescent="0.2">
      <c r="B505" s="21"/>
      <c r="C505" s="471"/>
      <c r="D505" s="460"/>
      <c r="E505" s="460"/>
      <c r="F505" s="460"/>
      <c r="G505" s="460"/>
      <c r="H505" s="460"/>
      <c r="I505" s="460"/>
      <c r="J505" s="460"/>
      <c r="K505" s="460"/>
      <c r="L505" s="460"/>
      <c r="M505" s="476"/>
      <c r="N505" s="475"/>
      <c r="O505" s="25"/>
      <c r="P505" s="26"/>
    </row>
    <row r="506" spans="2:23" ht="12.75" customHeight="1" x14ac:dyDescent="0.2">
      <c r="B506" s="21"/>
      <c r="C506" s="471"/>
      <c r="D506" s="477" t="s">
        <v>303</v>
      </c>
      <c r="E506" s="1651" t="str">
        <f>Translations!$B$1631</f>
        <v>Elektroenerģijas ielaide siltuma ražošanai</v>
      </c>
      <c r="F506" s="1652"/>
      <c r="G506" s="1652"/>
      <c r="H506" s="465" t="str">
        <f>EUconst_TJpa</f>
        <v>TJ / gads</v>
      </c>
      <c r="I506" s="330"/>
      <c r="J506" s="330"/>
      <c r="K506" s="330"/>
      <c r="L506" s="330"/>
      <c r="M506" s="330"/>
      <c r="N506" s="475"/>
      <c r="O506" s="25"/>
      <c r="P506" s="453" t="str">
        <f>EUconst_CNTR_ElectricityInput &amp; I439</f>
        <v>ElectricityInput_Kurināmā līmeņatzīmes apakšiekārta (OEP | bez OIM)</v>
      </c>
    </row>
    <row r="507" spans="2:23" ht="12.75" customHeight="1" x14ac:dyDescent="0.2">
      <c r="B507" s="21"/>
      <c r="C507" s="471"/>
      <c r="D507" s="477" t="s">
        <v>304</v>
      </c>
      <c r="E507" s="1651" t="str">
        <f>Translations!$B$732</f>
        <v>Svērtais emisijas faktors</v>
      </c>
      <c r="F507" s="1652"/>
      <c r="G507" s="1652"/>
      <c r="H507" s="577" t="str">
        <f>EUconst_tCO2pTJ</f>
        <v>t CO2 / TJ</v>
      </c>
      <c r="I507" s="934"/>
      <c r="J507" s="934"/>
      <c r="K507" s="934"/>
      <c r="L507" s="934"/>
      <c r="M507" s="934"/>
      <c r="N507" s="475"/>
      <c r="O507" s="25"/>
      <c r="P507" s="367" t="str">
        <f>EUconst_CNTR_ElectricityEF &amp; I439</f>
        <v>ElectricityEF_Kurināmā līmeņatzīmes apakšiekārta (OEP | bez OIM)</v>
      </c>
    </row>
    <row r="508" spans="2:23" ht="5.0999999999999996" customHeight="1" x14ac:dyDescent="0.2">
      <c r="B508" s="21"/>
      <c r="C508" s="471"/>
      <c r="D508" s="460"/>
      <c r="E508" s="460"/>
      <c r="F508" s="460"/>
      <c r="G508" s="460"/>
      <c r="H508" s="460"/>
      <c r="I508" s="460"/>
      <c r="J508" s="460"/>
      <c r="K508" s="460"/>
      <c r="L508" s="460"/>
      <c r="M508" s="476"/>
      <c r="N508" s="475"/>
      <c r="O508" s="25"/>
      <c r="P508" s="26"/>
    </row>
    <row r="509" spans="2:23" ht="12.75" customHeight="1" x14ac:dyDescent="0.2">
      <c r="B509" s="21"/>
      <c r="C509" s="471"/>
      <c r="D509" s="474" t="s">
        <v>12</v>
      </c>
      <c r="E509" s="1789" t="str">
        <f>Translations!$B$770</f>
        <v>Neto eksportētais siltums</v>
      </c>
      <c r="F509" s="1789"/>
      <c r="G509" s="1789"/>
      <c r="H509" s="465" t="str">
        <f>EUconst_TJpa</f>
        <v>TJ / gads</v>
      </c>
      <c r="I509" s="483"/>
      <c r="J509" s="483"/>
      <c r="K509" s="483"/>
      <c r="L509" s="483"/>
      <c r="M509" s="483"/>
      <c r="N509" s="528"/>
      <c r="O509" s="25"/>
      <c r="P509" s="1025" t="str">
        <f>EUconst_CNTR_HeatExport &amp; I439</f>
        <v>HeatEx_Kurināmā līmeņatzīmes apakšiekārta (OEP | bez OIM)</v>
      </c>
      <c r="R509" s="873" t="str">
        <f>EUconst_CNTR_AttributedEmissions &amp; I439</f>
        <v>AttrEmissions_Kurināmā līmeņatzīmes apakšiekārta (OEP | bez OIM)</v>
      </c>
      <c r="S509" s="134" t="str">
        <f>IF(S439,-SUM(I509)*IF(ISNUMBER(I510),I510,EUconst_HeatBMvalueForBM),"")</f>
        <v/>
      </c>
      <c r="T509" s="134" t="str">
        <f>IF(T439,-SUM(J509)*IF(ISNUMBER(J510),J510,EUconst_HeatBMvalueForBM),"")</f>
        <v/>
      </c>
      <c r="U509" s="134" t="str">
        <f>IF(U439,-SUM(K509)*IF(ISNUMBER(K510),K510,EUconst_HeatBMvalueForBM),"")</f>
        <v/>
      </c>
      <c r="V509" s="134" t="str">
        <f>IF(V439,-SUM(L509)*IF(ISNUMBER(L510),L510,EUconst_HeatBMvalueForBM),"")</f>
        <v/>
      </c>
      <c r="W509" s="134" t="str">
        <f>IF(W439,-SUM(M509)*IF(ISNUMBER(M510),M510,EUconst_HeatBMvalueForBM),"")</f>
        <v/>
      </c>
    </row>
    <row r="510" spans="2:23" ht="12.75" customHeight="1" x14ac:dyDescent="0.2">
      <c r="B510" s="21"/>
      <c r="C510" s="471"/>
      <c r="D510" s="474"/>
      <c r="E510" s="1651" t="str">
        <f>Translations!$B$893</f>
        <v>Īpatnējais EF (siltuma eksports)</v>
      </c>
      <c r="F510" s="1652"/>
      <c r="G510" s="1652"/>
      <c r="H510" s="577" t="str">
        <f>EUconst_tCO2pTJ</f>
        <v>t CO2 / TJ</v>
      </c>
      <c r="I510" s="934"/>
      <c r="J510" s="934"/>
      <c r="K510" s="934"/>
      <c r="L510" s="934"/>
      <c r="M510" s="934"/>
      <c r="N510" s="528"/>
      <c r="O510" s="25"/>
      <c r="P510" s="1025" t="str">
        <f>EUconst_CNTR_HeatExportEF &amp; I439</f>
        <v>HeatExEF_Kurināmā līmeņatzīmes apakšiekārta (OEP | bez OIM)</v>
      </c>
      <c r="R510" s="933"/>
    </row>
    <row r="511" spans="2:23" ht="12.75" customHeight="1" x14ac:dyDescent="0.2">
      <c r="B511" s="21"/>
      <c r="C511" s="471"/>
      <c r="D511" s="474"/>
      <c r="E511" s="1723" t="str">
        <f>Translations!$B$758</f>
        <v>Šeit sniegtie dati ietekmēs attiecināmās emisijas saskaņā ar FAR VII pielikuma 10.1.2. un 10.1.3. iedaļu.</v>
      </c>
      <c r="F511" s="1654"/>
      <c r="G511" s="1654"/>
      <c r="H511" s="1654"/>
      <c r="I511" s="1654"/>
      <c r="J511" s="1654"/>
      <c r="K511" s="1654"/>
      <c r="L511" s="1654"/>
      <c r="M511" s="1654"/>
      <c r="N511" s="1724"/>
      <c r="O511" s="25"/>
      <c r="P511" s="199"/>
      <c r="R511" s="933"/>
    </row>
    <row r="512" spans="2:23" ht="12.75" customHeight="1" x14ac:dyDescent="0.2">
      <c r="B512" s="21"/>
      <c r="C512" s="471"/>
      <c r="D512" s="460"/>
      <c r="E512" s="1727" t="str">
        <f>Translations!$B$894</f>
        <v>Tas attiecas uz visu atlikumsiltumu, kas atgūts un kvalificējas siltuma LA vai centralizētās siltumapgādes apakšiekārtai.</v>
      </c>
      <c r="F512" s="1655"/>
      <c r="G512" s="1655"/>
      <c r="H512" s="1655"/>
      <c r="I512" s="1655"/>
      <c r="J512" s="1655"/>
      <c r="K512" s="1655"/>
      <c r="L512" s="1655"/>
      <c r="M512" s="1655"/>
      <c r="N512" s="1656"/>
      <c r="O512" s="25"/>
      <c r="P512" s="26"/>
      <c r="R512" s="26"/>
    </row>
    <row r="513" spans="1:29" ht="12.75" customHeight="1" thickBot="1" x14ac:dyDescent="0.25">
      <c r="B513" s="21"/>
      <c r="C513" s="478"/>
      <c r="D513" s="479"/>
      <c r="E513" s="479"/>
      <c r="F513" s="479"/>
      <c r="G513" s="479"/>
      <c r="H513" s="479"/>
      <c r="I513" s="479"/>
      <c r="J513" s="479"/>
      <c r="K513" s="479"/>
      <c r="L513" s="479"/>
      <c r="M513" s="480"/>
      <c r="N513" s="481"/>
      <c r="O513" s="25"/>
      <c r="P513" s="26"/>
      <c r="R513" s="26"/>
    </row>
    <row r="514" spans="1:29" ht="25.5" customHeight="1" thickBot="1" x14ac:dyDescent="0.25">
      <c r="B514" s="38"/>
      <c r="C514" s="38"/>
      <c r="D514" s="38"/>
      <c r="E514" s="38"/>
      <c r="F514" s="38"/>
      <c r="G514" s="38"/>
      <c r="H514" s="38"/>
      <c r="I514" s="38"/>
      <c r="J514" s="38"/>
      <c r="K514" s="38"/>
      <c r="L514" s="38"/>
      <c r="M514" s="38"/>
      <c r="N514" s="38"/>
      <c r="O514" s="25"/>
    </row>
    <row r="515" spans="1:29" ht="12.75" customHeight="1" thickBot="1" x14ac:dyDescent="0.25">
      <c r="B515" s="21"/>
      <c r="C515" s="294"/>
      <c r="D515" s="294"/>
      <c r="E515" s="294"/>
      <c r="F515" s="294"/>
      <c r="G515" s="294"/>
      <c r="H515" s="294"/>
      <c r="I515" s="294"/>
      <c r="J515" s="294"/>
      <c r="K515" s="294"/>
      <c r="L515" s="294"/>
      <c r="M515" s="294"/>
      <c r="N515" s="294"/>
      <c r="O515" s="25"/>
    </row>
    <row r="516" spans="1:29" ht="15.75" customHeight="1" thickBot="1" x14ac:dyDescent="0.3">
      <c r="B516" s="21"/>
      <c r="C516" s="36">
        <v>6</v>
      </c>
      <c r="D516" s="1318" t="str">
        <f>EUconst_FBSubinst &amp; ":"</f>
        <v>Alternatīva apakšiekārta:</v>
      </c>
      <c r="E516" s="1251"/>
      <c r="F516" s="1251"/>
      <c r="G516" s="1251"/>
      <c r="H516" s="1328"/>
      <c r="I516" s="1701" t="str">
        <f>INDEX(EUconst_FallBackListNames,$C516)</f>
        <v>Kurināmā līmeņatzīmes apakšiekārta (bez OEP | bez OIM)</v>
      </c>
      <c r="J516" s="1457"/>
      <c r="K516" s="1457"/>
      <c r="L516" s="1702"/>
      <c r="M516" s="1783" t="str">
        <f>IF(ISBLANK(INDEX(CNTR_FallBackSubInstRelevant,C516)),"",IF(INDEX(CNTR_FallBackSubInstRelevant,C516),EUconst_Relevant,EUconst_NotRelevant))</f>
        <v/>
      </c>
      <c r="N516" s="1784"/>
      <c r="O516" s="25"/>
      <c r="P516" s="582">
        <f>C516</f>
        <v>6</v>
      </c>
      <c r="Q516" s="386" t="s">
        <v>225</v>
      </c>
      <c r="R516" s="845" t="str">
        <f>IF(M516&lt;&gt;EUconst_Relevant,"",INDEX(CNTR_SubInstStartDate,MATCH($I516,CNTR_SubInstListNames,0)))</f>
        <v/>
      </c>
      <c r="S516" s="842" t="b">
        <f>IF($M516&lt;&gt;EUconst_Relevant,FALSE,AND(I$796,YEAR($R516)&lt;I$793))</f>
        <v>0</v>
      </c>
      <c r="T516" s="842" t="b">
        <f>IF($M516&lt;&gt;EUconst_Relevant,FALSE,AND(J$796,YEAR($R516)&lt;J$793))</f>
        <v>0</v>
      </c>
      <c r="U516" s="842" t="b">
        <f>IF($M516&lt;&gt;EUconst_Relevant,FALSE,AND(K$796,YEAR($R516)&lt;K$793))</f>
        <v>0</v>
      </c>
      <c r="V516" s="842" t="b">
        <f>IF($M516&lt;&gt;EUconst_Relevant,FALSE,AND(L$796,YEAR($R516)&lt;L$793))</f>
        <v>0</v>
      </c>
      <c r="W516" s="842" t="b">
        <f>IF($M516&lt;&gt;EUconst_Relevant,FALSE,AND(M$796,YEAR($R516)&lt;M$793))</f>
        <v>0</v>
      </c>
      <c r="X516" s="624"/>
      <c r="AB516" s="926" t="s">
        <v>529</v>
      </c>
      <c r="AC516" s="927" t="b">
        <f>AND(CNTR_ExistSubInstEntries,M516=EUconst_NotRelevant)</f>
        <v>0</v>
      </c>
    </row>
    <row r="517" spans="1:29" ht="12.75" customHeight="1" x14ac:dyDescent="0.2">
      <c r="B517" s="38"/>
      <c r="C517" s="38"/>
      <c r="D517" s="38"/>
      <c r="E517" s="38"/>
      <c r="F517" s="38"/>
      <c r="G517" s="38"/>
      <c r="H517" s="68"/>
      <c r="I517" s="1785" t="str">
        <f>IF(M516="","",IF(M516=EUconst_Relevant,HYPERLINK("",EUconst_MsgEnterThisSection),HYPERLINK(Q517,EUconst_MsgGoToNextSubInst)))</f>
        <v/>
      </c>
      <c r="J517" s="1786"/>
      <c r="K517" s="1786"/>
      <c r="L517" s="1786"/>
      <c r="M517" s="1787"/>
      <c r="N517" s="1788"/>
      <c r="O517" s="25"/>
      <c r="P517" s="20" t="s">
        <v>192</v>
      </c>
      <c r="Q517" s="593" t="str">
        <f>"#JUMP_G"&amp;P516+1</f>
        <v>#JUMP_G7</v>
      </c>
    </row>
    <row r="518" spans="1:29" s="697" customFormat="1" ht="5.0999999999999996" customHeight="1" x14ac:dyDescent="0.2">
      <c r="A518" s="452"/>
      <c r="B518" s="21"/>
      <c r="C518" s="21"/>
      <c r="D518" s="21"/>
      <c r="E518" s="21"/>
      <c r="F518" s="21"/>
      <c r="G518" s="21"/>
      <c r="H518" s="21"/>
      <c r="I518" s="21"/>
      <c r="J518" s="21"/>
      <c r="K518" s="21"/>
      <c r="L518" s="21"/>
      <c r="M518" s="25"/>
      <c r="N518" s="25"/>
      <c r="O518" s="25"/>
      <c r="P518" s="26"/>
      <c r="Q518" s="437"/>
      <c r="R518" s="437"/>
      <c r="S518" s="437"/>
      <c r="T518" s="437"/>
      <c r="U518" s="437"/>
      <c r="V518" s="437"/>
      <c r="W518" s="437"/>
      <c r="X518" s="452"/>
      <c r="Y518" s="452"/>
      <c r="Z518" s="452"/>
      <c r="AA518" s="452"/>
      <c r="AB518" s="452"/>
      <c r="AC518" s="452"/>
    </row>
    <row r="519" spans="1:29" s="697" customFormat="1" ht="12.75" customHeight="1" x14ac:dyDescent="0.2">
      <c r="A519" s="452"/>
      <c r="B519" s="414"/>
      <c r="C519" s="414"/>
      <c r="D519" s="414"/>
      <c r="E519" s="1519" t="str">
        <f>CONCATENATE(EUconst_MsgSeeFirst," (G.I.1)")</f>
        <v>Sīki norādījumi par datu ievadi šajā rīkā ir pieejami pirmajā vietā, kur parādās šis rīks.  (G.I.1)</v>
      </c>
      <c r="F519" s="1519"/>
      <c r="G519" s="1519"/>
      <c r="H519" s="1519"/>
      <c r="I519" s="1519"/>
      <c r="J519" s="1519"/>
      <c r="K519" s="1519"/>
      <c r="L519" s="1519"/>
      <c r="M519" s="1519"/>
      <c r="N519" s="1519"/>
      <c r="O519" s="25"/>
      <c r="P519" s="437"/>
      <c r="Q519" s="437"/>
      <c r="R519" s="437"/>
      <c r="S519" s="437"/>
      <c r="T519" s="437"/>
      <c r="U519" s="437"/>
      <c r="V519" s="437"/>
      <c r="W519" s="437"/>
      <c r="X519" s="452"/>
      <c r="Y519" s="452"/>
      <c r="Z519" s="452"/>
      <c r="AA519" s="452"/>
      <c r="AB519" s="452"/>
      <c r="AC519" s="452"/>
    </row>
    <row r="520" spans="1:29" s="697" customFormat="1" ht="5.0999999999999996" customHeight="1" x14ac:dyDescent="0.2">
      <c r="A520" s="452"/>
      <c r="B520" s="21"/>
      <c r="C520" s="21"/>
      <c r="D520" s="21"/>
      <c r="E520" s="21"/>
      <c r="F520" s="21"/>
      <c r="G520" s="21"/>
      <c r="H520" s="21"/>
      <c r="I520" s="21"/>
      <c r="J520" s="21"/>
      <c r="K520" s="21"/>
      <c r="L520" s="21"/>
      <c r="M520" s="25"/>
      <c r="N520" s="25"/>
      <c r="O520" s="25"/>
      <c r="P520" s="26"/>
      <c r="Q520" s="437"/>
      <c r="R520" s="437"/>
      <c r="S520" s="437"/>
      <c r="T520" s="437"/>
      <c r="U520" s="437"/>
      <c r="V520" s="437"/>
      <c r="W520" s="437"/>
      <c r="X520" s="452"/>
      <c r="Y520" s="452"/>
      <c r="Z520" s="452"/>
      <c r="AA520" s="452"/>
      <c r="AB520" s="452"/>
      <c r="AC520" s="452"/>
    </row>
    <row r="521" spans="1:29" ht="12.75" customHeight="1" thickBot="1" x14ac:dyDescent="0.25">
      <c r="B521" s="21"/>
      <c r="C521" s="370"/>
      <c r="D521" s="32" t="s">
        <v>165</v>
      </c>
      <c r="E521" s="1250" t="str">
        <f>Translations!$B$670</f>
        <v>Vēsturiskie darbības līmeņi</v>
      </c>
      <c r="F521" s="1251"/>
      <c r="G521" s="1251"/>
      <c r="H521" s="1251"/>
      <c r="I521" s="1251"/>
      <c r="J521" s="1251"/>
      <c r="K521" s="1251"/>
      <c r="L521" s="1251"/>
      <c r="M521" s="1251"/>
      <c r="N521" s="1251"/>
      <c r="O521" s="25"/>
      <c r="P521" s="26"/>
      <c r="Q521" s="26"/>
      <c r="R521" s="26"/>
      <c r="S521" s="26"/>
      <c r="T521" s="26"/>
      <c r="U521" s="26"/>
      <c r="V521" s="26"/>
      <c r="W521" s="26"/>
      <c r="X521" s="624"/>
    </row>
    <row r="522" spans="1:29" ht="12.75" customHeight="1" thickBot="1" x14ac:dyDescent="0.25">
      <c r="B522" s="21"/>
      <c r="C522" s="384"/>
      <c r="D522" s="34"/>
      <c r="E522" s="1822" t="str">
        <f>Translations!$B$884</f>
        <v>Šie dati tiek automātiski ņemti no lapas "E_EnergyFlows" I sadaļas c) punkta. Tāpēc minētajā sadaļā dati jāievada obligāti.</v>
      </c>
      <c r="F522" s="1822"/>
      <c r="G522" s="1822"/>
      <c r="H522" s="1822"/>
      <c r="I522" s="1822"/>
      <c r="J522" s="1822"/>
      <c r="K522" s="1822"/>
      <c r="L522" s="1822"/>
      <c r="M522" s="1822"/>
      <c r="N522" s="1822"/>
      <c r="O522" s="25"/>
      <c r="P522" s="26"/>
      <c r="Q522" s="439" t="s">
        <v>416</v>
      </c>
      <c r="R522" s="187" t="s">
        <v>229</v>
      </c>
      <c r="S522" s="188"/>
      <c r="T522" s="188"/>
      <c r="U522" s="188"/>
      <c r="V522" s="188"/>
      <c r="W522" s="188"/>
      <c r="X522" s="1187"/>
    </row>
    <row r="523" spans="1:29" ht="12.75" customHeight="1" x14ac:dyDescent="0.2">
      <c r="B523" s="38"/>
      <c r="C523" s="370"/>
      <c r="D523" s="32"/>
      <c r="E523" s="1320" t="str">
        <f>Translations!$B$829</f>
        <v>Galvenais darbības līmenis:</v>
      </c>
      <c r="F523" s="1275"/>
      <c r="G523" s="1275"/>
      <c r="H523" s="52" t="str">
        <f>EUconst_Unit</f>
        <v>Vienība</v>
      </c>
      <c r="I523" s="412">
        <f>I$793</f>
        <v>2019</v>
      </c>
      <c r="J523" s="412">
        <f>J$793</f>
        <v>2020</v>
      </c>
      <c r="K523" s="412">
        <f>K$793</f>
        <v>2021</v>
      </c>
      <c r="L523" s="412">
        <f>L$793</f>
        <v>2022</v>
      </c>
      <c r="M523" s="412">
        <f>M$793</f>
        <v>2023</v>
      </c>
      <c r="N523" s="23"/>
      <c r="O523" s="25"/>
      <c r="P523" s="182" t="s">
        <v>228</v>
      </c>
      <c r="Q523" s="1024" t="s">
        <v>618</v>
      </c>
      <c r="R523" s="190" t="s">
        <v>629</v>
      </c>
      <c r="S523" s="183">
        <f>I523</f>
        <v>2019</v>
      </c>
      <c r="T523" s="134">
        <f>J523</f>
        <v>2020</v>
      </c>
      <c r="U523" s="134">
        <f>K523</f>
        <v>2021</v>
      </c>
      <c r="V523" s="134">
        <f>L523</f>
        <v>2022</v>
      </c>
      <c r="W523" s="134">
        <f>M523</f>
        <v>2023</v>
      </c>
      <c r="X523" s="1188"/>
    </row>
    <row r="524" spans="1:29" ht="12.75" customHeight="1" thickBot="1" x14ac:dyDescent="0.25">
      <c r="B524" s="38"/>
      <c r="C524" s="38"/>
      <c r="D524" s="38"/>
      <c r="E524" s="1782" t="str">
        <f>I516</f>
        <v>Kurināmā līmeņatzīmes apakšiekārta (bez OEP | bez OIM)</v>
      </c>
      <c r="F524" s="1782"/>
      <c r="G524" s="1782"/>
      <c r="H524" s="116" t="str">
        <f>INDEX(EUconst_FallBackListUnits,MATCH(E524,EUconst_FallBackListNames,0))</f>
        <v>TJ</v>
      </c>
      <c r="I524" s="328" t="str">
        <f>IF($M516=EUconst_Relevant,IF(ISNUMBER(INDEX(E_EnergyFlows!I$412:I$420,MATCH($E524,E_EnergyFlows!$E$412:$E$420,0))),INDEX(E_EnergyFlows!I$412:I$420,MATCH($E524,E_EnergyFlows!$E$412:$E$420,0)),INDEX(EUconst_FallbackListMissing,$P516)),"")</f>
        <v/>
      </c>
      <c r="J524" s="328" t="str">
        <f>IF($M516=EUconst_Relevant,IF(ISNUMBER(INDEX(E_EnergyFlows!J$412:J$420,MATCH($E524,E_EnergyFlows!$E$412:$E$420,0))),INDEX(E_EnergyFlows!J$412:J$420,MATCH($E524,E_EnergyFlows!$E$412:$E$420,0)),INDEX(EUconst_FallbackListMissing,$P516)),"")</f>
        <v/>
      </c>
      <c r="K524" s="328" t="str">
        <f>IF($M516=EUconst_Relevant,IF(ISNUMBER(INDEX(E_EnergyFlows!K$412:K$420,MATCH($E524,E_EnergyFlows!$E$412:$E$420,0))),INDEX(E_EnergyFlows!K$412:K$420,MATCH($E524,E_EnergyFlows!$E$412:$E$420,0)),INDEX(EUconst_FallbackListMissing,$P516)),"")</f>
        <v/>
      </c>
      <c r="L524" s="328" t="str">
        <f>IF($M516=EUconst_Relevant,IF(ISNUMBER(INDEX(E_EnergyFlows!L$412:L$420,MATCH($E524,E_EnergyFlows!$E$412:$E$420,0))),INDEX(E_EnergyFlows!L$412:L$420,MATCH($E524,E_EnergyFlows!$E$412:$E$420,0)),INDEX(EUconst_FallbackListMissing,$P516)),"")</f>
        <v/>
      </c>
      <c r="M524" s="328" t="str">
        <f>IF($M516=EUconst_Relevant,IF(ISNUMBER(INDEX(E_EnergyFlows!M$412:M$420,MATCH($E524,E_EnergyFlows!$E$412:$E$420,0))),INDEX(E_EnergyFlows!M$412:M$420,MATCH($E524,E_EnergyFlows!$E$412:$E$420,0)),INDEX(EUconst_FallbackListMissing,$P516)),"")</f>
        <v/>
      </c>
      <c r="N524" s="23"/>
      <c r="O524" s="25"/>
      <c r="P524" s="185" t="str">
        <f>EUconst_CNTR_HAL&amp;E524</f>
        <v>HAL_Kurināmā līmeņatzīmes apakšiekārta (bez OEP | bez OIM)</v>
      </c>
      <c r="Q524" s="186" t="str">
        <f>IF(COUNT($K524:$L524)&gt;0,AVERAGE($K524:$L524),"")</f>
        <v/>
      </c>
      <c r="R524" s="184" t="str">
        <f>IF(COUNT(S524:W524)&gt;0,MEDIAN(S524:W524),"")</f>
        <v/>
      </c>
      <c r="S524" s="189" t="str">
        <f>IF(S516,IF(ISNUMBER(I524),I524,0),"")</f>
        <v/>
      </c>
      <c r="T524" s="137" t="str">
        <f>IF(T516,IF(ISNUMBER(J524),J524,0),"")</f>
        <v/>
      </c>
      <c r="U524" s="137" t="str">
        <f>IF(U516,IF(ISNUMBER(K524),K524,0),"")</f>
        <v/>
      </c>
      <c r="V524" s="137" t="str">
        <f>IF(V516,IF(ISNUMBER(L524),L524,0),"")</f>
        <v/>
      </c>
      <c r="W524" s="137" t="str">
        <f>IF(W516,IF(ISNUMBER(M524),M524,0),"")</f>
        <v/>
      </c>
      <c r="X524" s="1189"/>
      <c r="Y524" s="1190" t="s">
        <v>574</v>
      </c>
      <c r="Z524" s="709" t="b">
        <f>IF(M516&lt;&gt;EUconst_Relevant,FALSE,INDEX(CNTR_SubInstLess1Year,MATCH(I516,CNTR_SubInstListNames,0)))</f>
        <v>0</v>
      </c>
    </row>
    <row r="525" spans="1:29" ht="12.75" customHeight="1" x14ac:dyDescent="0.2">
      <c r="B525" s="38"/>
      <c r="C525" s="23"/>
      <c r="D525" s="23"/>
      <c r="E525" s="23"/>
      <c r="F525" s="23"/>
      <c r="G525" s="23"/>
      <c r="H525" s="23"/>
      <c r="I525" s="23"/>
      <c r="J525" s="23"/>
      <c r="K525" s="23"/>
      <c r="L525" s="23"/>
      <c r="M525" s="23"/>
      <c r="N525" s="23"/>
      <c r="O525" s="25"/>
    </row>
    <row r="526" spans="1:29" ht="15" x14ac:dyDescent="0.25">
      <c r="B526" s="38"/>
      <c r="C526" s="383"/>
      <c r="D526" s="1318" t="str">
        <f>Translations!$B$700</f>
        <v>Ražošanas dati</v>
      </c>
      <c r="E526" s="1251"/>
      <c r="F526" s="1251"/>
      <c r="G526" s="1251"/>
      <c r="H526" s="1251"/>
      <c r="I526" s="1251"/>
      <c r="J526" s="1251"/>
      <c r="K526" s="1251"/>
      <c r="L526" s="1251"/>
      <c r="M526" s="1251"/>
      <c r="N526" s="1251"/>
      <c r="O526" s="25"/>
      <c r="Y526" s="624"/>
      <c r="Z526" s="624"/>
      <c r="AA526" s="624"/>
      <c r="AB526" s="624"/>
    </row>
    <row r="527" spans="1:29" ht="5.0999999999999996" customHeight="1" x14ac:dyDescent="0.2">
      <c r="B527" s="21"/>
      <c r="C527" s="23"/>
      <c r="D527" s="21"/>
      <c r="E527" s="21"/>
      <c r="F527" s="21"/>
      <c r="G527" s="21"/>
      <c r="H527" s="21"/>
      <c r="I527" s="21"/>
      <c r="J527" s="21"/>
      <c r="K527" s="21"/>
      <c r="L527" s="21"/>
      <c r="M527" s="21"/>
      <c r="N527" s="21"/>
      <c r="O527" s="25"/>
      <c r="P527" s="26"/>
      <c r="Q527" s="26"/>
    </row>
    <row r="528" spans="1:29" ht="12.75" customHeight="1" x14ac:dyDescent="0.2">
      <c r="B528" s="21"/>
      <c r="C528" s="370"/>
      <c r="D528" s="32" t="s">
        <v>339</v>
      </c>
      <c r="E528" s="1250" t="str">
        <f>Translations!$B$830</f>
        <v>Ar šo apakšiekārtu saistīto relevanto produktu vai pakalpojumu identificēšana</v>
      </c>
      <c r="F528" s="1251"/>
      <c r="G528" s="1251"/>
      <c r="H528" s="1251"/>
      <c r="I528" s="1251"/>
      <c r="J528" s="1251"/>
      <c r="K528" s="1251"/>
      <c r="L528" s="1251"/>
      <c r="M528" s="1251"/>
      <c r="N528" s="1251"/>
      <c r="O528" s="25"/>
      <c r="P528" s="26"/>
    </row>
    <row r="529" spans="1:29" s="762" customFormat="1" ht="12.75" customHeight="1" x14ac:dyDescent="0.2">
      <c r="A529" s="445"/>
      <c r="B529" s="21"/>
      <c r="C529" s="384"/>
      <c r="D529" s="34"/>
      <c r="E529" s="1319" t="str">
        <f>Translations!$B$831</f>
        <v>Šeit norādiet, ar kādiem ražošanas procesiem vai pakalpojumiem ir saistīta šī apakšiekārta. Tie var būt, piemēram:</v>
      </c>
      <c r="F529" s="1251"/>
      <c r="G529" s="1251"/>
      <c r="H529" s="1251"/>
      <c r="I529" s="1251"/>
      <c r="J529" s="1251"/>
      <c r="K529" s="1251"/>
      <c r="L529" s="1251"/>
      <c r="M529" s="1251"/>
      <c r="N529" s="1251"/>
      <c r="O529" s="25"/>
      <c r="P529" s="26"/>
      <c r="Q529" s="26"/>
      <c r="R529" s="26"/>
      <c r="S529" s="26"/>
      <c r="T529" s="26"/>
      <c r="U529" s="26"/>
      <c r="V529" s="26"/>
      <c r="W529" s="26"/>
      <c r="X529" s="624"/>
      <c r="Y529" s="624"/>
      <c r="Z529" s="624"/>
      <c r="AA529" s="624"/>
      <c r="AB529" s="624"/>
      <c r="AC529" s="1191"/>
    </row>
    <row r="530" spans="1:29" s="762" customFormat="1" ht="12.75" customHeight="1" x14ac:dyDescent="0.2">
      <c r="A530" s="445"/>
      <c r="B530" s="21"/>
      <c r="C530" s="21"/>
      <c r="D530" s="34"/>
      <c r="E530" s="118" t="s">
        <v>364</v>
      </c>
      <c r="F530" s="1319" t="str">
        <f>Translations!$B$832</f>
        <v>produktu līmeņatzīmju neaptvertu produktu ražošana iekārtā (norādiet produktu veidus);</v>
      </c>
      <c r="G530" s="1251"/>
      <c r="H530" s="1251"/>
      <c r="I530" s="1251"/>
      <c r="J530" s="1251"/>
      <c r="K530" s="1251"/>
      <c r="L530" s="1251"/>
      <c r="M530" s="1251"/>
      <c r="N530" s="1251"/>
      <c r="O530" s="25"/>
      <c r="P530" s="26"/>
      <c r="Q530" s="26"/>
      <c r="R530" s="26"/>
      <c r="S530" s="26"/>
      <c r="T530" s="26"/>
      <c r="U530" s="26"/>
      <c r="V530" s="26"/>
      <c r="W530" s="26"/>
      <c r="X530" s="624"/>
      <c r="Y530" s="1191"/>
      <c r="Z530" s="1191"/>
      <c r="AA530" s="1191"/>
      <c r="AB530" s="1191"/>
      <c r="AC530" s="1191"/>
    </row>
    <row r="531" spans="1:29" s="762" customFormat="1" ht="12.75" customHeight="1" x14ac:dyDescent="0.2">
      <c r="A531" s="445"/>
      <c r="B531" s="21"/>
      <c r="C531" s="21"/>
      <c r="D531" s="34"/>
      <c r="E531" s="118" t="s">
        <v>364</v>
      </c>
      <c r="F531" s="1319" t="str">
        <f>Translations!$B$885</f>
        <v>mehāniskās enerģijas ražošana, siltumapgāde vai aukstumapgāde (visi izmantojumi, izņemot elektroenerģijas ražošanu).</v>
      </c>
      <c r="G531" s="1251"/>
      <c r="H531" s="1251"/>
      <c r="I531" s="1251"/>
      <c r="J531" s="1251"/>
      <c r="K531" s="1251"/>
      <c r="L531" s="1251"/>
      <c r="M531" s="1251"/>
      <c r="N531" s="1251"/>
      <c r="O531" s="25"/>
      <c r="P531" s="26"/>
      <c r="Q531" s="26"/>
      <c r="R531" s="26"/>
      <c r="S531" s="26"/>
      <c r="T531" s="26"/>
      <c r="U531" s="26"/>
      <c r="V531" s="26"/>
      <c r="W531" s="26"/>
      <c r="X531" s="624"/>
      <c r="Y531" s="1191"/>
      <c r="Z531" s="1191"/>
      <c r="AA531" s="1191"/>
      <c r="AB531" s="1191"/>
      <c r="AC531" s="1191"/>
    </row>
    <row r="532" spans="1:29" s="762" customFormat="1" ht="5.0999999999999996" customHeight="1" x14ac:dyDescent="0.2">
      <c r="A532" s="445"/>
      <c r="B532" s="21"/>
      <c r="C532" s="23"/>
      <c r="D532" s="21"/>
      <c r="E532" s="21"/>
      <c r="F532" s="21"/>
      <c r="G532" s="21"/>
      <c r="H532" s="21"/>
      <c r="I532" s="21"/>
      <c r="J532" s="21"/>
      <c r="K532" s="21"/>
      <c r="L532" s="21"/>
      <c r="M532" s="21"/>
      <c r="N532" s="21"/>
      <c r="O532" s="25"/>
      <c r="P532" s="26"/>
      <c r="Q532" s="26"/>
      <c r="R532" s="720"/>
      <c r="S532" s="720"/>
      <c r="T532" s="720"/>
      <c r="U532" s="720"/>
      <c r="V532" s="720"/>
      <c r="W532" s="720"/>
      <c r="X532" s="1191"/>
      <c r="Y532" s="1191"/>
      <c r="Z532" s="1191"/>
      <c r="AA532" s="1191"/>
      <c r="AB532" s="1191"/>
      <c r="AC532" s="1191"/>
    </row>
    <row r="533" spans="1:29" s="762" customFormat="1" ht="25.5" customHeight="1" x14ac:dyDescent="0.2">
      <c r="A533" s="445"/>
      <c r="B533" s="721"/>
      <c r="C533" s="34"/>
      <c r="D533" s="360"/>
      <c r="E533" s="1418" t="str">
        <f>Translations!$B$837</f>
        <v>Izmantojuma veids</v>
      </c>
      <c r="F533" s="1419"/>
      <c r="G533" s="1774" t="str">
        <f>Translations!$B$886</f>
        <v>Produkta nosaukums vai pakalpojuma veids</v>
      </c>
      <c r="H533" s="1775"/>
      <c r="I533" s="1775"/>
      <c r="J533" s="1775"/>
      <c r="K533" s="1775"/>
      <c r="L533" s="1776"/>
      <c r="M533" s="1121" t="str">
        <f>Translations!$B$1668</f>
        <v>PRODCOM 2010</v>
      </c>
      <c r="N533" s="1122" t="str">
        <f>Translations!$B$1669</f>
        <v>KN kodi</v>
      </c>
      <c r="O533" s="25"/>
      <c r="P533" s="720"/>
      <c r="Q533" s="720"/>
      <c r="R533" s="720"/>
      <c r="S533" s="720"/>
      <c r="T533" s="720"/>
      <c r="U533" s="720"/>
      <c r="V533" s="720"/>
      <c r="W533" s="720"/>
      <c r="X533" s="1191"/>
      <c r="Y533" s="1191"/>
      <c r="Z533" s="1191"/>
      <c r="AA533" s="1191"/>
      <c r="AB533" s="1191"/>
      <c r="AC533" s="1191"/>
    </row>
    <row r="534" spans="1:29" s="762" customFormat="1" ht="12.75" customHeight="1" x14ac:dyDescent="0.2">
      <c r="A534" s="445"/>
      <c r="B534" s="721"/>
      <c r="C534" s="34"/>
      <c r="D534" s="722">
        <v>1</v>
      </c>
      <c r="E534" s="1800"/>
      <c r="F534" s="1801"/>
      <c r="G534" s="1371"/>
      <c r="H534" s="1802"/>
      <c r="I534" s="1802"/>
      <c r="J534" s="1802"/>
      <c r="K534" s="1802"/>
      <c r="L534" s="1803"/>
      <c r="M534" s="725"/>
      <c r="N534" s="725"/>
      <c r="O534" s="25"/>
      <c r="P534" s="720"/>
      <c r="Q534" s="720"/>
      <c r="R534" s="720"/>
      <c r="S534" s="720"/>
      <c r="T534" s="720"/>
      <c r="U534" s="720"/>
      <c r="V534" s="720"/>
      <c r="W534" s="720"/>
      <c r="X534" s="1191"/>
      <c r="Y534" s="1191"/>
      <c r="Z534" s="1191"/>
      <c r="AA534" s="1191"/>
      <c r="AB534" s="1191"/>
      <c r="AC534" s="1191"/>
    </row>
    <row r="535" spans="1:29" s="762" customFormat="1" ht="12.75" customHeight="1" x14ac:dyDescent="0.2">
      <c r="A535" s="445"/>
      <c r="B535" s="721"/>
      <c r="C535" s="34"/>
      <c r="D535" s="723">
        <f>D534+1</f>
        <v>2</v>
      </c>
      <c r="E535" s="1795"/>
      <c r="F535" s="1796"/>
      <c r="G535" s="1797"/>
      <c r="H535" s="1798"/>
      <c r="I535" s="1798"/>
      <c r="J535" s="1798"/>
      <c r="K535" s="1798"/>
      <c r="L535" s="1799"/>
      <c r="M535" s="726"/>
      <c r="N535" s="726"/>
      <c r="O535" s="25"/>
      <c r="P535" s="720"/>
      <c r="Q535" s="720"/>
      <c r="R535" s="720"/>
      <c r="S535" s="720"/>
      <c r="T535" s="720"/>
      <c r="U535" s="720"/>
      <c r="V535" s="720"/>
      <c r="W535" s="720"/>
      <c r="X535" s="1191"/>
      <c r="Y535" s="1191"/>
      <c r="Z535" s="1191"/>
      <c r="AA535" s="1191"/>
      <c r="AB535" s="1191"/>
      <c r="AC535" s="1191"/>
    </row>
    <row r="536" spans="1:29" s="762" customFormat="1" ht="12.75" customHeight="1" x14ac:dyDescent="0.2">
      <c r="A536" s="445"/>
      <c r="B536" s="721"/>
      <c r="C536" s="34"/>
      <c r="D536" s="723">
        <f t="shared" ref="D536:D542" si="16">D535+1</f>
        <v>3</v>
      </c>
      <c r="E536" s="1795"/>
      <c r="F536" s="1796"/>
      <c r="G536" s="1797"/>
      <c r="H536" s="1798"/>
      <c r="I536" s="1798"/>
      <c r="J536" s="1798"/>
      <c r="K536" s="1798"/>
      <c r="L536" s="1799"/>
      <c r="M536" s="726"/>
      <c r="N536" s="726"/>
      <c r="O536" s="25"/>
      <c r="P536" s="720"/>
      <c r="Q536" s="720"/>
      <c r="R536" s="720"/>
      <c r="S536" s="720"/>
      <c r="T536" s="720"/>
      <c r="U536" s="720"/>
      <c r="V536" s="720"/>
      <c r="W536" s="720"/>
      <c r="X536" s="1191"/>
      <c r="Y536" s="1191"/>
      <c r="Z536" s="1191"/>
      <c r="AA536" s="1191"/>
      <c r="AB536" s="1191"/>
      <c r="AC536" s="1191"/>
    </row>
    <row r="537" spans="1:29" s="762" customFormat="1" ht="12.75" customHeight="1" x14ac:dyDescent="0.2">
      <c r="A537" s="445"/>
      <c r="B537" s="721"/>
      <c r="C537" s="34"/>
      <c r="D537" s="723">
        <f t="shared" si="16"/>
        <v>4</v>
      </c>
      <c r="E537" s="1795"/>
      <c r="F537" s="1796"/>
      <c r="G537" s="1797"/>
      <c r="H537" s="1798"/>
      <c r="I537" s="1798"/>
      <c r="J537" s="1798"/>
      <c r="K537" s="1798"/>
      <c r="L537" s="1799"/>
      <c r="M537" s="726"/>
      <c r="N537" s="726"/>
      <c r="O537" s="25"/>
      <c r="P537" s="720"/>
      <c r="Q537" s="720"/>
      <c r="R537" s="720"/>
      <c r="S537" s="720"/>
      <c r="T537" s="720"/>
      <c r="U537" s="720"/>
      <c r="V537" s="720"/>
      <c r="W537" s="720"/>
      <c r="X537" s="1191"/>
      <c r="Y537" s="1191"/>
      <c r="Z537" s="1191"/>
      <c r="AA537" s="1191"/>
      <c r="AB537" s="1191"/>
      <c r="AC537" s="1191"/>
    </row>
    <row r="538" spans="1:29" s="762" customFormat="1" ht="12.75" customHeight="1" x14ac:dyDescent="0.2">
      <c r="A538" s="445"/>
      <c r="B538" s="721"/>
      <c r="C538" s="34"/>
      <c r="D538" s="723">
        <f t="shared" si="16"/>
        <v>5</v>
      </c>
      <c r="E538" s="1795"/>
      <c r="F538" s="1796"/>
      <c r="G538" s="1797"/>
      <c r="H538" s="1798"/>
      <c r="I538" s="1798"/>
      <c r="J538" s="1798"/>
      <c r="K538" s="1798"/>
      <c r="L538" s="1799"/>
      <c r="M538" s="726"/>
      <c r="N538" s="726"/>
      <c r="O538" s="25"/>
      <c r="P538" s="720"/>
      <c r="Q538" s="720"/>
      <c r="R538" s="720"/>
      <c r="S538" s="720"/>
      <c r="T538" s="720"/>
      <c r="U538" s="720"/>
      <c r="V538" s="720"/>
      <c r="W538" s="720"/>
      <c r="X538" s="1191"/>
      <c r="Y538" s="1191"/>
      <c r="Z538" s="1191"/>
      <c r="AA538" s="1191"/>
      <c r="AB538" s="1191"/>
      <c r="AC538" s="1191"/>
    </row>
    <row r="539" spans="1:29" s="762" customFormat="1" ht="12.75" customHeight="1" x14ac:dyDescent="0.2">
      <c r="A539" s="445"/>
      <c r="B539" s="721"/>
      <c r="C539" s="34"/>
      <c r="D539" s="723">
        <f t="shared" si="16"/>
        <v>6</v>
      </c>
      <c r="E539" s="1795"/>
      <c r="F539" s="1796"/>
      <c r="G539" s="1797"/>
      <c r="H539" s="1798"/>
      <c r="I539" s="1798"/>
      <c r="J539" s="1798"/>
      <c r="K539" s="1798"/>
      <c r="L539" s="1799"/>
      <c r="M539" s="726"/>
      <c r="N539" s="726"/>
      <c r="O539" s="25"/>
      <c r="P539" s="720"/>
      <c r="Q539" s="720"/>
      <c r="R539" s="720"/>
      <c r="S539" s="720"/>
      <c r="T539" s="720"/>
      <c r="U539" s="720"/>
      <c r="V539" s="720"/>
      <c r="W539" s="720"/>
      <c r="X539" s="1191"/>
      <c r="Y539" s="1191"/>
      <c r="Z539" s="1191"/>
      <c r="AA539" s="1191"/>
      <c r="AB539" s="1191"/>
      <c r="AC539" s="1191"/>
    </row>
    <row r="540" spans="1:29" s="762" customFormat="1" ht="12.75" customHeight="1" x14ac:dyDescent="0.2">
      <c r="A540" s="445"/>
      <c r="B540" s="721"/>
      <c r="C540" s="34"/>
      <c r="D540" s="723">
        <f t="shared" si="16"/>
        <v>7</v>
      </c>
      <c r="E540" s="1795"/>
      <c r="F540" s="1796"/>
      <c r="G540" s="1797"/>
      <c r="H540" s="1798"/>
      <c r="I540" s="1798"/>
      <c r="J540" s="1798"/>
      <c r="K540" s="1798"/>
      <c r="L540" s="1799"/>
      <c r="M540" s="726"/>
      <c r="N540" s="726"/>
      <c r="O540" s="25"/>
      <c r="P540" s="720"/>
      <c r="Q540" s="720"/>
      <c r="R540" s="720"/>
      <c r="S540" s="720"/>
      <c r="T540" s="720"/>
      <c r="U540" s="720"/>
      <c r="V540" s="720"/>
      <c r="W540" s="720"/>
      <c r="X540" s="1191"/>
      <c r="Y540" s="1191"/>
      <c r="Z540" s="1191"/>
      <c r="AA540" s="1191"/>
      <c r="AB540" s="1191"/>
      <c r="AC540" s="1191"/>
    </row>
    <row r="541" spans="1:29" s="762" customFormat="1" ht="12.75" customHeight="1" x14ac:dyDescent="0.2">
      <c r="A541" s="445"/>
      <c r="B541" s="721"/>
      <c r="C541" s="34"/>
      <c r="D541" s="723">
        <f t="shared" si="16"/>
        <v>8</v>
      </c>
      <c r="E541" s="1795"/>
      <c r="F541" s="1796"/>
      <c r="G541" s="1797"/>
      <c r="H541" s="1798"/>
      <c r="I541" s="1798"/>
      <c r="J541" s="1798"/>
      <c r="K541" s="1798"/>
      <c r="L541" s="1799"/>
      <c r="M541" s="726"/>
      <c r="N541" s="726"/>
      <c r="O541" s="25"/>
      <c r="P541" s="720"/>
      <c r="Q541" s="720"/>
      <c r="R541" s="720"/>
      <c r="S541" s="720"/>
      <c r="T541" s="720"/>
      <c r="U541" s="720"/>
      <c r="V541" s="720"/>
      <c r="W541" s="720"/>
      <c r="X541" s="1191"/>
      <c r="Y541" s="1191"/>
      <c r="Z541" s="1191"/>
      <c r="AA541" s="1191"/>
      <c r="AB541" s="1191"/>
      <c r="AC541" s="1191"/>
    </row>
    <row r="542" spans="1:29" s="762" customFormat="1" ht="12.75" customHeight="1" x14ac:dyDescent="0.2">
      <c r="A542" s="445"/>
      <c r="B542" s="721"/>
      <c r="C542" s="34"/>
      <c r="D542" s="723">
        <f t="shared" si="16"/>
        <v>9</v>
      </c>
      <c r="E542" s="1795"/>
      <c r="F542" s="1796"/>
      <c r="G542" s="1797"/>
      <c r="H542" s="1798"/>
      <c r="I542" s="1798"/>
      <c r="J542" s="1798"/>
      <c r="K542" s="1798"/>
      <c r="L542" s="1799"/>
      <c r="M542" s="726"/>
      <c r="N542" s="726"/>
      <c r="O542" s="25"/>
      <c r="P542" s="720"/>
      <c r="Q542" s="720"/>
      <c r="R542" s="720"/>
      <c r="S542" s="720"/>
      <c r="T542" s="720"/>
      <c r="U542" s="720"/>
      <c r="V542" s="720"/>
      <c r="W542" s="720"/>
      <c r="X542" s="1191"/>
      <c r="Y542" s="1191"/>
      <c r="Z542" s="1191"/>
      <c r="AA542" s="1191"/>
      <c r="AB542" s="1191"/>
      <c r="AC542" s="1191"/>
    </row>
    <row r="543" spans="1:29" s="762" customFormat="1" ht="12.75" customHeight="1" x14ac:dyDescent="0.2">
      <c r="A543" s="445"/>
      <c r="B543" s="721"/>
      <c r="C543" s="34"/>
      <c r="D543" s="724">
        <f>D547+1</f>
        <v>1</v>
      </c>
      <c r="E543" s="1790"/>
      <c r="F543" s="1791"/>
      <c r="G543" s="1792"/>
      <c r="H543" s="1793"/>
      <c r="I543" s="1793"/>
      <c r="J543" s="1793"/>
      <c r="K543" s="1793"/>
      <c r="L543" s="1794"/>
      <c r="M543" s="727"/>
      <c r="N543" s="727"/>
      <c r="O543" s="25"/>
      <c r="P543" s="720"/>
      <c r="Q543" s="720"/>
      <c r="R543" s="720"/>
      <c r="S543" s="720"/>
      <c r="T543" s="720"/>
      <c r="U543" s="720"/>
      <c r="V543" s="720"/>
      <c r="W543" s="720"/>
      <c r="X543" s="1191"/>
      <c r="Y543" s="1191"/>
      <c r="Z543" s="1191"/>
      <c r="AA543" s="1191"/>
      <c r="AB543" s="1191"/>
      <c r="AC543" s="1191"/>
    </row>
    <row r="544" spans="1:29" s="762" customFormat="1" ht="5.0999999999999996" customHeight="1" x14ac:dyDescent="0.2">
      <c r="A544" s="445"/>
      <c r="B544" s="721"/>
      <c r="C544" s="384"/>
      <c r="D544" s="384"/>
      <c r="E544" s="384"/>
      <c r="F544" s="384"/>
      <c r="G544" s="721"/>
      <c r="H544" s="721"/>
      <c r="I544" s="721"/>
      <c r="J544" s="721"/>
      <c r="K544" s="721"/>
      <c r="L544" s="721"/>
      <c r="M544" s="721"/>
      <c r="N544" s="721"/>
      <c r="O544" s="25"/>
      <c r="P544" s="720"/>
      <c r="Q544" s="720"/>
      <c r="R544" s="720"/>
      <c r="S544" s="720"/>
      <c r="T544" s="720"/>
      <c r="U544" s="720"/>
      <c r="V544" s="720"/>
      <c r="W544" s="720"/>
      <c r="X544" s="1191"/>
      <c r="Y544" s="1191"/>
      <c r="Z544" s="1191"/>
      <c r="AA544" s="1191"/>
      <c r="AB544" s="1191"/>
      <c r="AC544" s="1191"/>
    </row>
    <row r="545" spans="2:19" ht="12.75" customHeight="1" x14ac:dyDescent="0.2">
      <c r="B545" s="21"/>
      <c r="C545" s="370"/>
      <c r="D545" s="32"/>
      <c r="E545" s="1250" t="str">
        <f>Translations!$B$840</f>
        <v>Ražošanas līmeņi</v>
      </c>
      <c r="F545" s="1251"/>
      <c r="G545" s="1251"/>
      <c r="H545" s="1251"/>
      <c r="I545" s="1251"/>
      <c r="J545" s="1251"/>
      <c r="K545" s="1251"/>
      <c r="L545" s="1251"/>
      <c r="M545" s="1251"/>
      <c r="N545" s="1251"/>
      <c r="O545" s="25"/>
      <c r="P545" s="26"/>
    </row>
    <row r="546" spans="2:19" ht="5.0999999999999996" customHeight="1" x14ac:dyDescent="0.2">
      <c r="B546" s="21"/>
      <c r="C546" s="384"/>
      <c r="D546" s="34"/>
      <c r="E546" s="35"/>
      <c r="F546" s="35"/>
      <c r="G546" s="35"/>
      <c r="H546" s="35"/>
      <c r="I546" s="35"/>
      <c r="J546" s="39"/>
      <c r="K546" s="39"/>
      <c r="L546" s="39"/>
      <c r="M546" s="25"/>
      <c r="N546" s="25"/>
      <c r="O546" s="25"/>
      <c r="P546" s="26"/>
    </row>
    <row r="547" spans="2:19" ht="12.75" customHeight="1" x14ac:dyDescent="0.2">
      <c r="B547" s="38"/>
      <c r="C547" s="370"/>
      <c r="D547" s="360"/>
      <c r="E547" s="1767" t="str">
        <f>Translations!$B$886</f>
        <v>Produkta nosaukums vai pakalpojuma veids</v>
      </c>
      <c r="F547" s="1275"/>
      <c r="G547" s="1460"/>
      <c r="H547" s="52" t="str">
        <f>EUconst_Unit</f>
        <v>Vienība</v>
      </c>
      <c r="I547" s="412">
        <f>I$793</f>
        <v>2019</v>
      </c>
      <c r="J547" s="412">
        <f>J$793</f>
        <v>2020</v>
      </c>
      <c r="K547" s="412">
        <f>K$793</f>
        <v>2021</v>
      </c>
      <c r="L547" s="412">
        <f>L$793</f>
        <v>2022</v>
      </c>
      <c r="M547" s="412">
        <f>M$793</f>
        <v>2023</v>
      </c>
      <c r="N547" s="25"/>
      <c r="O547" s="25"/>
    </row>
    <row r="548" spans="2:19" ht="12.75" customHeight="1" x14ac:dyDescent="0.2">
      <c r="B548" s="38"/>
      <c r="C548" s="68"/>
      <c r="D548" s="55">
        <v>1</v>
      </c>
      <c r="E548" s="1748" t="str">
        <f t="shared" ref="E548:E557" si="17">IF(ISBLANK(G534),"",G534)</f>
        <v/>
      </c>
      <c r="F548" s="1768"/>
      <c r="G548" s="1769"/>
      <c r="H548" s="248"/>
      <c r="I548" s="484"/>
      <c r="J548" s="484"/>
      <c r="K548" s="484"/>
      <c r="L548" s="484"/>
      <c r="M548" s="484"/>
      <c r="N548" s="25"/>
      <c r="O548" s="25"/>
    </row>
    <row r="549" spans="2:19" ht="12.75" customHeight="1" x14ac:dyDescent="0.2">
      <c r="B549" s="38"/>
      <c r="C549" s="68"/>
      <c r="D549" s="56">
        <f>D548+1</f>
        <v>2</v>
      </c>
      <c r="E549" s="1754" t="str">
        <f t="shared" si="17"/>
        <v/>
      </c>
      <c r="F549" s="1755"/>
      <c r="G549" s="1756"/>
      <c r="H549" s="249"/>
      <c r="I549" s="557"/>
      <c r="J549" s="557"/>
      <c r="K549" s="557"/>
      <c r="L549" s="557"/>
      <c r="M549" s="557"/>
      <c r="N549" s="25"/>
      <c r="O549" s="25"/>
    </row>
    <row r="550" spans="2:19" ht="12.75" customHeight="1" x14ac:dyDescent="0.2">
      <c r="B550" s="38"/>
      <c r="C550" s="68"/>
      <c r="D550" s="56">
        <f t="shared" ref="D550:D557" si="18">D549+1</f>
        <v>3</v>
      </c>
      <c r="E550" s="1754" t="str">
        <f t="shared" si="17"/>
        <v/>
      </c>
      <c r="F550" s="1755"/>
      <c r="G550" s="1756"/>
      <c r="H550" s="249"/>
      <c r="I550" s="557"/>
      <c r="J550" s="557"/>
      <c r="K550" s="557"/>
      <c r="L550" s="557"/>
      <c r="M550" s="557"/>
      <c r="N550" s="25"/>
      <c r="O550" s="25"/>
    </row>
    <row r="551" spans="2:19" ht="12.75" customHeight="1" x14ac:dyDescent="0.2">
      <c r="B551" s="38"/>
      <c r="C551" s="68"/>
      <c r="D551" s="56">
        <f t="shared" si="18"/>
        <v>4</v>
      </c>
      <c r="E551" s="1754" t="str">
        <f t="shared" si="17"/>
        <v/>
      </c>
      <c r="F551" s="1755"/>
      <c r="G551" s="1756"/>
      <c r="H551" s="249"/>
      <c r="I551" s="557"/>
      <c r="J551" s="557"/>
      <c r="K551" s="557"/>
      <c r="L551" s="557"/>
      <c r="M551" s="557"/>
      <c r="N551" s="25"/>
      <c r="O551" s="25"/>
    </row>
    <row r="552" spans="2:19" ht="12.75" customHeight="1" x14ac:dyDescent="0.2">
      <c r="B552" s="38"/>
      <c r="C552" s="68"/>
      <c r="D552" s="56">
        <f t="shared" si="18"/>
        <v>5</v>
      </c>
      <c r="E552" s="1754" t="str">
        <f t="shared" si="17"/>
        <v/>
      </c>
      <c r="F552" s="1755"/>
      <c r="G552" s="1756"/>
      <c r="H552" s="249"/>
      <c r="I552" s="557"/>
      <c r="J552" s="557"/>
      <c r="K552" s="557"/>
      <c r="L552" s="557"/>
      <c r="M552" s="557"/>
      <c r="N552" s="25"/>
      <c r="O552" s="25"/>
    </row>
    <row r="553" spans="2:19" ht="12.75" customHeight="1" x14ac:dyDescent="0.2">
      <c r="B553" s="38"/>
      <c r="C553" s="68"/>
      <c r="D553" s="56">
        <f t="shared" si="18"/>
        <v>6</v>
      </c>
      <c r="E553" s="1754" t="str">
        <f t="shared" si="17"/>
        <v/>
      </c>
      <c r="F553" s="1755"/>
      <c r="G553" s="1756"/>
      <c r="H553" s="249"/>
      <c r="I553" s="557"/>
      <c r="J553" s="557"/>
      <c r="K553" s="557"/>
      <c r="L553" s="557"/>
      <c r="M553" s="557"/>
      <c r="N553" s="25"/>
      <c r="O553" s="25"/>
    </row>
    <row r="554" spans="2:19" ht="12.75" customHeight="1" x14ac:dyDescent="0.2">
      <c r="B554" s="38"/>
      <c r="C554" s="68"/>
      <c r="D554" s="56">
        <f t="shared" si="18"/>
        <v>7</v>
      </c>
      <c r="E554" s="1754" t="str">
        <f t="shared" si="17"/>
        <v/>
      </c>
      <c r="F554" s="1755"/>
      <c r="G554" s="1756"/>
      <c r="H554" s="249"/>
      <c r="I554" s="557"/>
      <c r="J554" s="557"/>
      <c r="K554" s="557"/>
      <c r="L554" s="557"/>
      <c r="M554" s="557"/>
      <c r="N554" s="25"/>
      <c r="O554" s="25"/>
    </row>
    <row r="555" spans="2:19" ht="12.75" customHeight="1" x14ac:dyDescent="0.2">
      <c r="B555" s="38"/>
      <c r="C555" s="68"/>
      <c r="D555" s="56">
        <f t="shared" si="18"/>
        <v>8</v>
      </c>
      <c r="E555" s="1754" t="str">
        <f t="shared" si="17"/>
        <v/>
      </c>
      <c r="F555" s="1755"/>
      <c r="G555" s="1756"/>
      <c r="H555" s="249"/>
      <c r="I555" s="557"/>
      <c r="J555" s="557"/>
      <c r="K555" s="557"/>
      <c r="L555" s="557"/>
      <c r="M555" s="557"/>
      <c r="N555" s="25"/>
      <c r="O555" s="25"/>
    </row>
    <row r="556" spans="2:19" ht="12.75" customHeight="1" x14ac:dyDescent="0.2">
      <c r="B556" s="38"/>
      <c r="C556" s="68"/>
      <c r="D556" s="56">
        <f t="shared" si="18"/>
        <v>9</v>
      </c>
      <c r="E556" s="1754" t="str">
        <f t="shared" si="17"/>
        <v/>
      </c>
      <c r="F556" s="1755"/>
      <c r="G556" s="1756"/>
      <c r="H556" s="249"/>
      <c r="I556" s="557"/>
      <c r="J556" s="557"/>
      <c r="K556" s="557"/>
      <c r="L556" s="557"/>
      <c r="M556" s="557"/>
      <c r="N556" s="25"/>
      <c r="O556" s="25"/>
    </row>
    <row r="557" spans="2:19" ht="12.75" customHeight="1" x14ac:dyDescent="0.2">
      <c r="B557" s="38"/>
      <c r="C557" s="68"/>
      <c r="D557" s="59">
        <f t="shared" si="18"/>
        <v>10</v>
      </c>
      <c r="E557" s="1757" t="str">
        <f t="shared" si="17"/>
        <v/>
      </c>
      <c r="F557" s="1758"/>
      <c r="G557" s="1759"/>
      <c r="H557" s="250"/>
      <c r="I557" s="458"/>
      <c r="J557" s="458"/>
      <c r="K557" s="458"/>
      <c r="L557" s="458"/>
      <c r="M557" s="458"/>
      <c r="N557" s="25"/>
      <c r="O557" s="25"/>
    </row>
    <row r="558" spans="2:19" ht="12.75" customHeight="1" x14ac:dyDescent="0.2">
      <c r="B558" s="38"/>
      <c r="C558" s="38"/>
      <c r="D558" s="115"/>
      <c r="E558" s="1760" t="str">
        <f>Translations!$B$708</f>
        <v>Ražošanas līmeņu summa</v>
      </c>
      <c r="F558" s="1457"/>
      <c r="G558" s="1259"/>
      <c r="H558" s="250"/>
      <c r="I558" s="343" t="str">
        <f>IF(COUNT(I548:I557)&gt;0,SUM(I548:I557),"")</f>
        <v/>
      </c>
      <c r="J558" s="343" t="str">
        <f>IF(COUNT(J548:J557)&gt;0,SUM(J548:J557),"")</f>
        <v/>
      </c>
      <c r="K558" s="343" t="str">
        <f>IF(COUNT(K548:K557)&gt;0,SUM(K548:K557),"")</f>
        <v/>
      </c>
      <c r="L558" s="343" t="str">
        <f>IF(COUNT(L548:L557)&gt;0,SUM(L548:L557),"")</f>
        <v/>
      </c>
      <c r="M558" s="343" t="str">
        <f>IF(COUNT(M548:M557)&gt;0,SUM(M548:M557),"")</f>
        <v/>
      </c>
      <c r="N558" s="25"/>
      <c r="O558" s="25"/>
    </row>
    <row r="559" spans="2:19" ht="12.75" customHeight="1" thickBot="1" x14ac:dyDescent="0.25">
      <c r="B559" s="38"/>
      <c r="C559" s="38"/>
      <c r="D559" s="38"/>
      <c r="E559" s="38"/>
      <c r="F559" s="38"/>
      <c r="G559" s="38"/>
      <c r="H559" s="38"/>
      <c r="I559" s="38"/>
      <c r="J559" s="38"/>
      <c r="K559" s="38"/>
      <c r="L559" s="38"/>
      <c r="M559" s="38"/>
      <c r="N559" s="38"/>
      <c r="O559" s="25"/>
      <c r="P559" s="445"/>
    </row>
    <row r="560" spans="2:19" ht="5.0999999999999996" customHeight="1" x14ac:dyDescent="0.2">
      <c r="B560" s="21"/>
      <c r="C560" s="467"/>
      <c r="D560" s="468"/>
      <c r="E560" s="468"/>
      <c r="F560" s="468"/>
      <c r="G560" s="468"/>
      <c r="H560" s="468"/>
      <c r="I560" s="468"/>
      <c r="J560" s="468"/>
      <c r="K560" s="468"/>
      <c r="L560" s="468"/>
      <c r="M560" s="469"/>
      <c r="N560" s="470"/>
      <c r="O560" s="25"/>
      <c r="P560" s="26"/>
      <c r="R560" s="26"/>
      <c r="S560" s="26"/>
    </row>
    <row r="561" spans="2:23" ht="15" customHeight="1" x14ac:dyDescent="0.2">
      <c r="B561" s="38"/>
      <c r="C561" s="471"/>
      <c r="D561" s="1697" t="str">
        <f>Translations!$B$709</f>
        <v>Dati, kas vajadzīgi, lai noteiktu līmeņatzīmju uzlabošanas rādītāju saskaņā ar ES ETS direktīvas 10.a panta 2. punktu.</v>
      </c>
      <c r="E561" s="1655"/>
      <c r="F561" s="1655"/>
      <c r="G561" s="1655"/>
      <c r="H561" s="1655"/>
      <c r="I561" s="1655"/>
      <c r="J561" s="1655"/>
      <c r="K561" s="1655"/>
      <c r="L561" s="1655"/>
      <c r="M561" s="1655"/>
      <c r="N561" s="1656"/>
      <c r="O561" s="25"/>
      <c r="R561" s="26"/>
      <c r="S561" s="26"/>
    </row>
    <row r="562" spans="2:23" ht="5.0999999999999996" customHeight="1" x14ac:dyDescent="0.2">
      <c r="B562" s="38"/>
      <c r="C562" s="472"/>
      <c r="D562" s="461"/>
      <c r="E562" s="461"/>
      <c r="F562" s="461"/>
      <c r="G562" s="461"/>
      <c r="H562" s="461"/>
      <c r="I562" s="461"/>
      <c r="J562" s="461"/>
      <c r="K562" s="461"/>
      <c r="L562" s="461"/>
      <c r="M562" s="461"/>
      <c r="N562" s="473"/>
      <c r="O562" s="25"/>
      <c r="R562" s="26"/>
      <c r="S562" s="26"/>
    </row>
    <row r="563" spans="2:23" ht="15" customHeight="1" x14ac:dyDescent="0.2">
      <c r="B563" s="38"/>
      <c r="C563" s="472"/>
      <c r="D563" s="1698" t="str">
        <f>EUconst_FBSubinst &amp; ":"</f>
        <v>Alternatīva apakšiekārta:</v>
      </c>
      <c r="E563" s="1699"/>
      <c r="F563" s="1699"/>
      <c r="G563" s="1699"/>
      <c r="H563" s="1700"/>
      <c r="I563" s="1701" t="str">
        <f>I516</f>
        <v>Kurināmā līmeņatzīmes apakšiekārta (bez OEP | bez OIM)</v>
      </c>
      <c r="J563" s="1457"/>
      <c r="K563" s="1457"/>
      <c r="L563" s="1457"/>
      <c r="M563" s="1457"/>
      <c r="N563" s="1702"/>
      <c r="O563" s="25"/>
      <c r="R563" s="26"/>
      <c r="S563" s="26"/>
    </row>
    <row r="564" spans="2:23" ht="5.0999999999999996" customHeight="1" x14ac:dyDescent="0.2">
      <c r="B564" s="38"/>
      <c r="C564" s="472"/>
      <c r="D564" s="461"/>
      <c r="E564" s="461"/>
      <c r="F564" s="461"/>
      <c r="G564" s="461"/>
      <c r="H564" s="461"/>
      <c r="I564" s="461"/>
      <c r="J564" s="461"/>
      <c r="K564" s="461"/>
      <c r="L564" s="461"/>
      <c r="M564" s="461"/>
      <c r="N564" s="473"/>
      <c r="O564" s="25"/>
      <c r="R564" s="26"/>
      <c r="S564" s="26"/>
    </row>
    <row r="565" spans="2:23" ht="12.75" customHeight="1" x14ac:dyDescent="0.2">
      <c r="B565" s="21"/>
      <c r="C565" s="471"/>
      <c r="D565" s="474" t="s">
        <v>11</v>
      </c>
      <c r="E565" s="1654" t="str">
        <f>Translations!$B$841</f>
        <v>Uz šo apakšiekārtu tieši attiecināmas emisijas (DirEm*)</v>
      </c>
      <c r="F565" s="1655"/>
      <c r="G565" s="1655"/>
      <c r="H565" s="1655"/>
      <c r="I565" s="1655"/>
      <c r="J565" s="1655"/>
      <c r="K565" s="1655"/>
      <c r="L565" s="1655"/>
      <c r="M565" s="1655"/>
      <c r="N565" s="1656"/>
      <c r="O565" s="25"/>
      <c r="P565" s="26"/>
      <c r="R565" s="26"/>
      <c r="S565" s="26"/>
    </row>
    <row r="566" spans="2:23" ht="12.75" customHeight="1" thickBot="1" x14ac:dyDescent="0.25">
      <c r="B566" s="21"/>
      <c r="C566" s="471"/>
      <c r="D566" s="460"/>
      <c r="E566" s="1727" t="str">
        <f>Translations!$B$895</f>
        <v>Sīki norādījumi par to, kā šeit ievadīt datus, atrodami augstāk 4. sadaļas c) punktā.</v>
      </c>
      <c r="F566" s="1727"/>
      <c r="G566" s="1727"/>
      <c r="H566" s="1727"/>
      <c r="I566" s="1727"/>
      <c r="J566" s="1727"/>
      <c r="K566" s="1727"/>
      <c r="L566" s="1727"/>
      <c r="M566" s="1727"/>
      <c r="N566" s="1734"/>
      <c r="O566" s="25"/>
      <c r="P566" s="26"/>
      <c r="R566" s="26"/>
    </row>
    <row r="567" spans="2:23" ht="12.75" customHeight="1" x14ac:dyDescent="0.2">
      <c r="B567" s="21"/>
      <c r="C567" s="471"/>
      <c r="D567" s="474"/>
      <c r="E567" s="1653" t="str">
        <f>Translations!$B$690</f>
        <v>Kopējās tiešās emisijas</v>
      </c>
      <c r="F567" s="1657"/>
      <c r="G567" s="1657"/>
      <c r="H567" s="462" t="str">
        <f>EUconst_Unit</f>
        <v>Vienība</v>
      </c>
      <c r="I567" s="463">
        <f>I$793</f>
        <v>2019</v>
      </c>
      <c r="J567" s="463">
        <f>J$793</f>
        <v>2020</v>
      </c>
      <c r="K567" s="463">
        <f>K$793</f>
        <v>2021</v>
      </c>
      <c r="L567" s="463">
        <f>L$793</f>
        <v>2022</v>
      </c>
      <c r="M567" s="463">
        <f>M$793</f>
        <v>2023</v>
      </c>
      <c r="N567" s="475"/>
      <c r="O567" s="25"/>
      <c r="P567" s="26"/>
      <c r="R567" s="808"/>
      <c r="S567" s="809">
        <f>I567</f>
        <v>2019</v>
      </c>
      <c r="T567" s="809">
        <f>J567</f>
        <v>2020</v>
      </c>
      <c r="U567" s="809">
        <f>K567</f>
        <v>2021</v>
      </c>
      <c r="V567" s="809">
        <f>L567</f>
        <v>2022</v>
      </c>
      <c r="W567" s="810">
        <f>M567</f>
        <v>2023</v>
      </c>
    </row>
    <row r="568" spans="2:23" ht="12.75" customHeight="1" thickBot="1" x14ac:dyDescent="0.25">
      <c r="B568" s="21"/>
      <c r="C568" s="471"/>
      <c r="D568" s="460"/>
      <c r="E568" s="1782" t="str">
        <f>I516</f>
        <v>Kurināmā līmeņatzīmes apakšiekārta (bez OEP | bez OIM)</v>
      </c>
      <c r="F568" s="1782"/>
      <c r="G568" s="1782"/>
      <c r="H568" s="464" t="str">
        <f>EUconst_tCO2epa</f>
        <v>t CO2e/gads</v>
      </c>
      <c r="I568" s="337"/>
      <c r="J568" s="337"/>
      <c r="K568" s="337"/>
      <c r="L568" s="337"/>
      <c r="M568" s="337"/>
      <c r="N568" s="475"/>
      <c r="O568" s="25"/>
      <c r="P568" s="367" t="str">
        <f>EUconst_CNTR_Emissions &amp; I516</f>
        <v>DirEmissions_Kurināmā līmeņatzīmes apakšiekārta (bez OEP | bez OIM)</v>
      </c>
      <c r="R568" s="811" t="str">
        <f>EUconst_CNTR_AttributedEmissions &amp; I516</f>
        <v>AttrEmissions_Kurināmā līmeņatzīmes apakšiekārta (bez OEP | bez OIM)</v>
      </c>
      <c r="S568" s="137" t="str">
        <f>IF(S516,SUM(I568),"")</f>
        <v/>
      </c>
      <c r="T568" s="137" t="str">
        <f>IF(T516,SUM(J568),"")</f>
        <v/>
      </c>
      <c r="U568" s="137" t="str">
        <f>IF(U516,SUM(K568),"")</f>
        <v/>
      </c>
      <c r="V568" s="137" t="str">
        <f>IF(V516,SUM(L568),"")</f>
        <v/>
      </c>
      <c r="W568" s="138" t="str">
        <f>IF(W516,SUM(M568),"")</f>
        <v/>
      </c>
    </row>
    <row r="569" spans="2:23" ht="5.0999999999999996" customHeight="1" x14ac:dyDescent="0.2">
      <c r="B569" s="21"/>
      <c r="C569" s="471"/>
      <c r="D569" s="460"/>
      <c r="E569" s="460"/>
      <c r="F569" s="460"/>
      <c r="G569" s="460"/>
      <c r="H569" s="460"/>
      <c r="I569" s="460"/>
      <c r="J569" s="460"/>
      <c r="K569" s="460"/>
      <c r="L569" s="460"/>
      <c r="M569" s="476"/>
      <c r="N569" s="475"/>
      <c r="O569" s="25"/>
      <c r="P569" s="26"/>
      <c r="R569" s="26"/>
    </row>
    <row r="570" spans="2:23" ht="12.75" customHeight="1" x14ac:dyDescent="0.2">
      <c r="B570" s="21"/>
      <c r="C570" s="471"/>
      <c r="D570" s="474" t="s">
        <v>342</v>
      </c>
      <c r="E570" s="1663" t="str">
        <f>Translations!$B$1670</f>
        <v>Enerģijas ielaide šajā apakšiekārtā un relevantais emisijas faktors</v>
      </c>
      <c r="F570" s="1663"/>
      <c r="G570" s="1663"/>
      <c r="H570" s="1663"/>
      <c r="I570" s="1663"/>
      <c r="J570" s="1663"/>
      <c r="K570" s="1663"/>
      <c r="L570" s="1663"/>
      <c r="M570" s="1663"/>
      <c r="N570" s="1690"/>
      <c r="O570" s="25"/>
      <c r="R570" s="26"/>
    </row>
    <row r="571" spans="2:23" ht="12.75" customHeight="1" x14ac:dyDescent="0.2">
      <c r="B571" s="21"/>
      <c r="C571" s="471"/>
      <c r="D571" s="460"/>
      <c r="E571" s="1727" t="str">
        <f>Translations!$B$896</f>
        <v>Sīki norādījumi par to, kā šeit ievadīt datus, atrodami augstāk 4. sadaļas d) punktā.</v>
      </c>
      <c r="F571" s="1727"/>
      <c r="G571" s="1727"/>
      <c r="H571" s="1727"/>
      <c r="I571" s="1727"/>
      <c r="J571" s="1727"/>
      <c r="K571" s="1727"/>
      <c r="L571" s="1727"/>
      <c r="M571" s="1727"/>
      <c r="N571" s="1734"/>
      <c r="O571" s="25"/>
      <c r="P571" s="26"/>
      <c r="R571" s="26"/>
    </row>
    <row r="572" spans="2:23" ht="12.75" customHeight="1" x14ac:dyDescent="0.2">
      <c r="B572" s="21"/>
      <c r="C572" s="471"/>
      <c r="D572" s="474"/>
      <c r="E572" s="1653"/>
      <c r="F572" s="1657"/>
      <c r="G572" s="1657"/>
      <c r="H572" s="462" t="str">
        <f>EUconst_Unit</f>
        <v>Vienība</v>
      </c>
      <c r="I572" s="463">
        <f>I$793</f>
        <v>2019</v>
      </c>
      <c r="J572" s="463">
        <f>J$793</f>
        <v>2020</v>
      </c>
      <c r="K572" s="463">
        <f>K$793</f>
        <v>2021</v>
      </c>
      <c r="L572" s="463">
        <f>L$793</f>
        <v>2022</v>
      </c>
      <c r="M572" s="463">
        <f>M$793</f>
        <v>2023</v>
      </c>
      <c r="N572" s="475"/>
      <c r="O572" s="25"/>
      <c r="P572" s="26"/>
      <c r="R572" s="26"/>
    </row>
    <row r="573" spans="2:23" ht="12.75" customHeight="1" x14ac:dyDescent="0.2">
      <c r="B573" s="21"/>
      <c r="C573" s="471"/>
      <c r="D573" s="477" t="s">
        <v>2</v>
      </c>
      <c r="E573" s="1651" t="str">
        <f>Translations!$B$1683</f>
        <v>a) punktā norādītā enerģijas ielaide</v>
      </c>
      <c r="F573" s="1652"/>
      <c r="G573" s="1652"/>
      <c r="H573" s="465" t="str">
        <f>EUconst_TJpa</f>
        <v>TJ / gads</v>
      </c>
      <c r="I573" s="482" t="str">
        <f>I524</f>
        <v/>
      </c>
      <c r="J573" s="482" t="str">
        <f>J524</f>
        <v/>
      </c>
      <c r="K573" s="482" t="str">
        <f>K524</f>
        <v/>
      </c>
      <c r="L573" s="482" t="str">
        <f>L524</f>
        <v/>
      </c>
      <c r="M573" s="482" t="str">
        <f>M524</f>
        <v/>
      </c>
      <c r="N573" s="528"/>
      <c r="O573" s="25"/>
      <c r="P573" s="367" t="str">
        <f>EUconst_CNTR_FuelInput &amp; I516</f>
        <v>FuelInput_Kurināmā līmeņatzīmes apakšiekārta (bez OEP | bez OIM)</v>
      </c>
      <c r="R573" s="26"/>
      <c r="S573" s="63">
        <f>I572</f>
        <v>2019</v>
      </c>
      <c r="T573" s="63">
        <f>J572</f>
        <v>2020</v>
      </c>
      <c r="U573" s="63">
        <f>K572</f>
        <v>2021</v>
      </c>
      <c r="V573" s="63">
        <f>L572</f>
        <v>2022</v>
      </c>
      <c r="W573" s="63">
        <f>M572</f>
        <v>2023</v>
      </c>
    </row>
    <row r="574" spans="2:23" ht="12.75" customHeight="1" x14ac:dyDescent="0.2">
      <c r="B574" s="21"/>
      <c r="C574" s="471"/>
      <c r="D574" s="477" t="s">
        <v>3</v>
      </c>
      <c r="E574" s="1709" t="str">
        <f>Translations!$B$892</f>
        <v>Svērtais emisijas faktors (=c./d.)</v>
      </c>
      <c r="F574" s="1710"/>
      <c r="G574" s="1710"/>
      <c r="H574" s="577" t="str">
        <f>EUconst_tCO2pTJ</f>
        <v>t CO2 / TJ</v>
      </c>
      <c r="I574" s="482" t="str">
        <f>IF(COUNT(I568,I573)=2,I568/I573,"")</f>
        <v/>
      </c>
      <c r="J574" s="482" t="str">
        <f>IF(COUNT(J568,J573)=2,J568/J573,"")</f>
        <v/>
      </c>
      <c r="K574" s="482" t="str">
        <f>IF(COUNT(K568,K573)=2,K568/K573,"")</f>
        <v/>
      </c>
      <c r="L574" s="482" t="str">
        <f>IF(COUNT(L568,L573)=2,L568/L573,"")</f>
        <v/>
      </c>
      <c r="M574" s="482" t="str">
        <f>IF(COUNT(M568,M573)=2,M568/M573,"")</f>
        <v/>
      </c>
      <c r="N574" s="475"/>
      <c r="O574" s="25"/>
      <c r="P574" s="367" t="str">
        <f>EUconst_CNTR_FuelEF &amp;I516</f>
        <v>FuelEF_Kurināmā līmeņatzīmes apakšiekārta (bez OEP | bez OIM)</v>
      </c>
      <c r="R574" s="872" t="str">
        <f>EUconst_ERR_AttrEmBMapplied &amp; I516</f>
        <v>ERR_AttrEmBM_ Kurināmā līmeņatzīmes apakšiekārta (bez OEP | bez OIM)</v>
      </c>
      <c r="S574" s="134">
        <f>IF(AND(OR(I576&lt;&gt;0,AND(I582&lt;&gt;0,I583="")),EUconst_StatusOfDataCollection=""),1,0)</f>
        <v>0</v>
      </c>
      <c r="T574" s="134">
        <f>IF(AND(OR(J576&lt;&gt;0,AND(J582&lt;&gt;0,J583="")),EUconst_StatusOfDataCollection=""),1,0)</f>
        <v>0</v>
      </c>
      <c r="U574" s="134">
        <f>IF(AND(OR(K576&lt;&gt;0,AND(K582&lt;&gt;0,K583="")),EUconst_StatusOfDataCollection=""),1,0)</f>
        <v>0</v>
      </c>
      <c r="V574" s="134">
        <f>IF(AND(OR(L576&lt;&gt;0,AND(L582&lt;&gt;0,L583="")),EUconst_StatusOfDataCollection=""),1,0)</f>
        <v>0</v>
      </c>
      <c r="W574" s="134">
        <f>IF(AND(OR(M576&lt;&gt;0,AND(M582&lt;&gt;0,M583="")),EUconst_StatusOfDataCollection=""),1,0)</f>
        <v>0</v>
      </c>
    </row>
    <row r="575" spans="2:23" ht="5.0999999999999996" customHeight="1" x14ac:dyDescent="0.2">
      <c r="B575" s="21"/>
      <c r="C575" s="471"/>
      <c r="D575" s="460"/>
      <c r="E575" s="460"/>
      <c r="F575" s="460"/>
      <c r="G575" s="460"/>
      <c r="H575" s="460"/>
      <c r="I575" s="460"/>
      <c r="J575" s="460"/>
      <c r="K575" s="460"/>
      <c r="L575" s="460"/>
      <c r="M575" s="460"/>
      <c r="N575" s="475"/>
      <c r="O575" s="25"/>
      <c r="P575" s="26"/>
    </row>
    <row r="576" spans="2:23" ht="12.75" customHeight="1" x14ac:dyDescent="0.2">
      <c r="B576" s="21"/>
      <c r="C576" s="471"/>
      <c r="D576" s="477" t="s">
        <v>4</v>
      </c>
      <c r="E576" s="1651" t="str">
        <f>Translations!$B$853</f>
        <v>Atlikumgāzu kurināmā ielaide</v>
      </c>
      <c r="F576" s="1652"/>
      <c r="G576" s="1652"/>
      <c r="H576" s="465" t="str">
        <f>EUconst_TJpa</f>
        <v>TJ / gads</v>
      </c>
      <c r="I576" s="330"/>
      <c r="J576" s="330"/>
      <c r="K576" s="330"/>
      <c r="L576" s="330"/>
      <c r="M576" s="330"/>
      <c r="N576" s="475"/>
      <c r="O576" s="25"/>
      <c r="P576" s="453" t="str">
        <f>EUconst_CNTR_WGConsumed &amp; I516</f>
        <v>WasteGasCons_Kurināmā līmeņatzīmes apakšiekārta (bez OEP | bez OIM)</v>
      </c>
    </row>
    <row r="577" spans="1:29" ht="12.75" customHeight="1" x14ac:dyDescent="0.2">
      <c r="B577" s="21"/>
      <c r="C577" s="471"/>
      <c r="D577" s="477" t="s">
        <v>6</v>
      </c>
      <c r="E577" s="1651" t="str">
        <f>Translations!$B$854</f>
        <v>Īpatnējais EF (atlikumgāze)</v>
      </c>
      <c r="F577" s="1652"/>
      <c r="G577" s="1652"/>
      <c r="H577" s="577" t="str">
        <f>EUconst_tCO2pTJ</f>
        <v>t CO2 / TJ</v>
      </c>
      <c r="I577" s="338"/>
      <c r="J577" s="338"/>
      <c r="K577" s="338"/>
      <c r="L577" s="338"/>
      <c r="M577" s="338"/>
      <c r="N577" s="475"/>
      <c r="O577" s="25"/>
      <c r="P577" s="367" t="str">
        <f>EUconst_CNTR_WGConsumedEF &amp; I516</f>
        <v>WasteGasConsEF_Kurināmā līmeņatzīmes apakšiekārta (bez OEP | bez OIM)</v>
      </c>
      <c r="R577" s="873" t="str">
        <f>EUconst_CNTR_AttributedEmissions &amp; I516</f>
        <v>AttrEmissions_Kurināmā līmeņatzīmes apakšiekārta (bez OEP | bez OIM)</v>
      </c>
      <c r="S577" s="134" t="str">
        <f>IF(S516,SUM(I576)*EUconst_FuelBMvalueForBM,"")</f>
        <v/>
      </c>
      <c r="T577" s="134" t="str">
        <f>IF(T516,SUM(J576)*EUconst_FuelBMvalueForBM,"")</f>
        <v/>
      </c>
      <c r="U577" s="134" t="str">
        <f>IF(U516,SUM(K576)*EUconst_FuelBMvalueForBM,"")</f>
        <v/>
      </c>
      <c r="V577" s="134" t="str">
        <f>IF(V516,SUM(L576)*EUconst_FuelBMvalueForBM,"")</f>
        <v/>
      </c>
      <c r="W577" s="134" t="str">
        <f>IF(W516,SUM(M576)*EUconst_FuelBMvalueForBM,"")</f>
        <v/>
      </c>
    </row>
    <row r="578" spans="1:29" ht="5.0999999999999996" customHeight="1" x14ac:dyDescent="0.2">
      <c r="B578" s="21"/>
      <c r="C578" s="471"/>
      <c r="D578" s="460"/>
      <c r="E578" s="460"/>
      <c r="F578" s="460"/>
      <c r="G578" s="460"/>
      <c r="H578" s="460"/>
      <c r="I578" s="460"/>
      <c r="J578" s="460"/>
      <c r="K578" s="460"/>
      <c r="L578" s="460"/>
      <c r="M578" s="476"/>
      <c r="N578" s="475"/>
      <c r="O578" s="25"/>
      <c r="P578" s="26"/>
    </row>
    <row r="579" spans="1:29" ht="12.75" customHeight="1" x14ac:dyDescent="0.2">
      <c r="B579" s="21"/>
      <c r="C579" s="471"/>
      <c r="D579" s="477" t="s">
        <v>303</v>
      </c>
      <c r="E579" s="1651" t="str">
        <f>Translations!$B$1631</f>
        <v>Elektroenerģijas ielaide siltuma ražošanai</v>
      </c>
      <c r="F579" s="1652"/>
      <c r="G579" s="1652"/>
      <c r="H579" s="465" t="str">
        <f>EUconst_TJpa</f>
        <v>TJ / gads</v>
      </c>
      <c r="I579" s="330"/>
      <c r="J579" s="330"/>
      <c r="K579" s="330"/>
      <c r="L579" s="330"/>
      <c r="M579" s="330"/>
      <c r="N579" s="475"/>
      <c r="O579" s="25"/>
      <c r="P579" s="453" t="str">
        <f>EUconst_CNTR_ElectricityInput &amp; I516</f>
        <v>ElectricityInput_Kurināmā līmeņatzīmes apakšiekārta (bez OEP | bez OIM)</v>
      </c>
    </row>
    <row r="580" spans="1:29" ht="12.75" customHeight="1" x14ac:dyDescent="0.2">
      <c r="B580" s="21"/>
      <c r="C580" s="471"/>
      <c r="D580" s="477" t="s">
        <v>304</v>
      </c>
      <c r="E580" s="1651" t="str">
        <f>Translations!$B$732</f>
        <v>Svērtais emisijas faktors</v>
      </c>
      <c r="F580" s="1652"/>
      <c r="G580" s="1652"/>
      <c r="H580" s="577" t="str">
        <f>EUconst_tCO2pTJ</f>
        <v>t CO2 / TJ</v>
      </c>
      <c r="I580" s="934"/>
      <c r="J580" s="934"/>
      <c r="K580" s="934"/>
      <c r="L580" s="934"/>
      <c r="M580" s="934"/>
      <c r="N580" s="475"/>
      <c r="O580" s="25"/>
      <c r="P580" s="367" t="str">
        <f>EUconst_CNTR_ElectricityEF &amp; I516</f>
        <v>ElectricityEF_Kurināmā līmeņatzīmes apakšiekārta (bez OEP | bez OIM)</v>
      </c>
    </row>
    <row r="581" spans="1:29" ht="5.0999999999999996" customHeight="1" x14ac:dyDescent="0.2">
      <c r="B581" s="21"/>
      <c r="C581" s="471"/>
      <c r="D581" s="460"/>
      <c r="E581" s="460"/>
      <c r="F581" s="460"/>
      <c r="G581" s="460"/>
      <c r="H581" s="460"/>
      <c r="I581" s="460"/>
      <c r="J581" s="460"/>
      <c r="K581" s="460"/>
      <c r="L581" s="460"/>
      <c r="M581" s="476"/>
      <c r="N581" s="475"/>
      <c r="O581" s="25"/>
      <c r="P581" s="26"/>
    </row>
    <row r="582" spans="1:29" ht="12.75" customHeight="1" x14ac:dyDescent="0.2">
      <c r="B582" s="21"/>
      <c r="C582" s="471"/>
      <c r="D582" s="474" t="s">
        <v>12</v>
      </c>
      <c r="E582" s="1789" t="str">
        <f>Translations!$B$770</f>
        <v>Neto eksportētais siltums</v>
      </c>
      <c r="F582" s="1789"/>
      <c r="G582" s="1789"/>
      <c r="H582" s="465" t="str">
        <f>EUconst_TJpa</f>
        <v>TJ / gads</v>
      </c>
      <c r="I582" s="483"/>
      <c r="J582" s="483"/>
      <c r="K582" s="483"/>
      <c r="L582" s="483"/>
      <c r="M582" s="483"/>
      <c r="N582" s="528"/>
      <c r="O582" s="25"/>
      <c r="P582" s="1025" t="str">
        <f>EUconst_CNTR_HeatExport &amp; I516</f>
        <v>HeatEx_Kurināmā līmeņatzīmes apakšiekārta (bez OEP | bez OIM)</v>
      </c>
      <c r="R582" s="873" t="str">
        <f>EUconst_CNTR_AttributedEmissions &amp; I516</f>
        <v>AttrEmissions_Kurināmā līmeņatzīmes apakšiekārta (bez OEP | bez OIM)</v>
      </c>
      <c r="S582" s="134" t="str">
        <f>IF(S516,-SUM(I582)*IF(ISNUMBER(I583),I583,EUconst_HeatBMvalueForBM),"")</f>
        <v/>
      </c>
      <c r="T582" s="134" t="str">
        <f>IF(T516,-SUM(J582)*IF(ISNUMBER(J583),J583,EUconst_HeatBMvalueForBM),"")</f>
        <v/>
      </c>
      <c r="U582" s="134" t="str">
        <f>IF(U516,-SUM(K582)*IF(ISNUMBER(K583),K583,EUconst_HeatBMvalueForBM),"")</f>
        <v/>
      </c>
      <c r="V582" s="134" t="str">
        <f>IF(V516,-SUM(L582)*IF(ISNUMBER(L583),L583,EUconst_HeatBMvalueForBM),"")</f>
        <v/>
      </c>
      <c r="W582" s="134" t="str">
        <f>IF(W516,-SUM(M582)*IF(ISNUMBER(M583),M583,EUconst_HeatBMvalueForBM),"")</f>
        <v/>
      </c>
    </row>
    <row r="583" spans="1:29" ht="12.75" customHeight="1" x14ac:dyDescent="0.2">
      <c r="B583" s="21"/>
      <c r="C583" s="471"/>
      <c r="D583" s="474"/>
      <c r="E583" s="1651" t="str">
        <f>Translations!$B$893</f>
        <v>Īpatnējais EF (siltuma eksports)</v>
      </c>
      <c r="F583" s="1652"/>
      <c r="G583" s="1652"/>
      <c r="H583" s="577" t="str">
        <f>EUconst_tCO2pTJ</f>
        <v>t CO2 / TJ</v>
      </c>
      <c r="I583" s="934"/>
      <c r="J583" s="934"/>
      <c r="K583" s="934"/>
      <c r="L583" s="934"/>
      <c r="M583" s="934"/>
      <c r="N583" s="528"/>
      <c r="O583" s="25"/>
      <c r="P583" s="1025" t="str">
        <f>EUconst_CNTR_HeatExportEF &amp; I516</f>
        <v>HeatExEF_Kurināmā līmeņatzīmes apakšiekārta (bez OEP | bez OIM)</v>
      </c>
      <c r="R583" s="933"/>
    </row>
    <row r="584" spans="1:29" ht="12.75" customHeight="1" thickBot="1" x14ac:dyDescent="0.25">
      <c r="B584" s="21"/>
      <c r="C584" s="478"/>
      <c r="D584" s="479"/>
      <c r="E584" s="479"/>
      <c r="F584" s="479"/>
      <c r="G584" s="479"/>
      <c r="H584" s="479"/>
      <c r="I584" s="479"/>
      <c r="J584" s="479"/>
      <c r="K584" s="479"/>
      <c r="L584" s="479"/>
      <c r="M584" s="480"/>
      <c r="N584" s="481"/>
      <c r="O584" s="25"/>
      <c r="P584" s="26"/>
      <c r="R584" s="26"/>
    </row>
    <row r="585" spans="1:29" ht="25.5" customHeight="1" thickBot="1" x14ac:dyDescent="0.25">
      <c r="B585" s="38"/>
      <c r="C585" s="38"/>
      <c r="D585" s="38"/>
      <c r="E585" s="38"/>
      <c r="F585" s="38"/>
      <c r="G585" s="38"/>
      <c r="H585" s="38"/>
      <c r="I585" s="38"/>
      <c r="J585" s="38"/>
      <c r="K585" s="38"/>
      <c r="L585" s="38"/>
      <c r="M585" s="38"/>
      <c r="N585" s="38"/>
      <c r="O585" s="25"/>
    </row>
    <row r="586" spans="1:29" ht="12.75" customHeight="1" thickBot="1" x14ac:dyDescent="0.25">
      <c r="B586" s="21"/>
      <c r="C586" s="294"/>
      <c r="D586" s="294"/>
      <c r="E586" s="294"/>
      <c r="F586" s="294"/>
      <c r="G586" s="294"/>
      <c r="H586" s="294"/>
      <c r="I586" s="294"/>
      <c r="J586" s="294"/>
      <c r="K586" s="294"/>
      <c r="L586" s="294"/>
      <c r="M586" s="294"/>
      <c r="N586" s="294"/>
      <c r="O586" s="25"/>
    </row>
    <row r="587" spans="1:29" ht="15.75" customHeight="1" thickBot="1" x14ac:dyDescent="0.3">
      <c r="B587" s="21"/>
      <c r="C587" s="36">
        <v>7</v>
      </c>
      <c r="D587" s="1318" t="str">
        <f>EUconst_FBSubinst &amp; ":"</f>
        <v>Alternatīva apakšiekārta:</v>
      </c>
      <c r="E587" s="1251"/>
      <c r="F587" s="1251"/>
      <c r="G587" s="1251"/>
      <c r="H587" s="1328"/>
      <c r="I587" s="1701" t="str">
        <f>INDEX(EUconst_FallBackListNames,$C587)</f>
        <v>Kurināmā līmeņatzīmes apakšiekārta (OEP | OIM)</v>
      </c>
      <c r="J587" s="1457"/>
      <c r="K587" s="1457"/>
      <c r="L587" s="1702"/>
      <c r="M587" s="1783" t="str">
        <f>IF(ISBLANK(INDEX(CNTR_FallBackSubInstRelevant,C587)),"",IF(INDEX(CNTR_FallBackSubInstRelevant,C587),EUconst_Relevant,EUconst_NotRelevant))</f>
        <v/>
      </c>
      <c r="N587" s="1784"/>
      <c r="O587" s="25"/>
      <c r="P587" s="582">
        <f>C587</f>
        <v>7</v>
      </c>
      <c r="Q587" s="386" t="s">
        <v>225</v>
      </c>
      <c r="R587" s="845" t="str">
        <f>IF(M587&lt;&gt;EUconst_Relevant,"",INDEX(CNTR_SubInstStartDate,MATCH($I587,CNTR_SubInstListNames,0)))</f>
        <v/>
      </c>
      <c r="S587" s="842" t="b">
        <f>IF($M587&lt;&gt;EUconst_Relevant,FALSE,AND(I$796,YEAR($R587)&lt;I$793))</f>
        <v>0</v>
      </c>
      <c r="T587" s="842" t="b">
        <f>IF($M587&lt;&gt;EUconst_Relevant,FALSE,AND(J$796,YEAR($R587)&lt;J$793))</f>
        <v>0</v>
      </c>
      <c r="U587" s="842" t="b">
        <f>IF($M587&lt;&gt;EUconst_Relevant,FALSE,AND(K$796,YEAR($R587)&lt;K$793))</f>
        <v>0</v>
      </c>
      <c r="V587" s="842" t="b">
        <f>IF($M587&lt;&gt;EUconst_Relevant,FALSE,AND(L$796,YEAR($R587)&lt;L$793))</f>
        <v>0</v>
      </c>
      <c r="W587" s="842" t="b">
        <f>IF($M587&lt;&gt;EUconst_Relevant,FALSE,AND(M$796,YEAR($R587)&lt;M$793))</f>
        <v>0</v>
      </c>
      <c r="X587" s="624"/>
      <c r="AB587" s="926" t="s">
        <v>529</v>
      </c>
      <c r="AC587" s="927" t="b">
        <f>AND(CNTR_ExistSubInstEntries,M587=EUconst_NotRelevant)</f>
        <v>0</v>
      </c>
    </row>
    <row r="588" spans="1:29" ht="12.75" customHeight="1" x14ac:dyDescent="0.2">
      <c r="B588" s="38"/>
      <c r="C588" s="38"/>
      <c r="D588" s="38"/>
      <c r="E588" s="38"/>
      <c r="F588" s="38"/>
      <c r="G588" s="38"/>
      <c r="H588" s="68"/>
      <c r="I588" s="1785" t="str">
        <f>IF(M587="","",IF(M587=EUconst_Relevant,HYPERLINK("",EUconst_MsgEnterThisSection),HYPERLINK(Q588,EUconst_MsgGoToNextSubInst)))</f>
        <v/>
      </c>
      <c r="J588" s="1786"/>
      <c r="K588" s="1786"/>
      <c r="L588" s="1786"/>
      <c r="M588" s="1787"/>
      <c r="N588" s="1788"/>
      <c r="O588" s="25"/>
      <c r="P588" s="20" t="s">
        <v>192</v>
      </c>
      <c r="Q588" s="593" t="str">
        <f>"#JUMP_G"&amp;P587+1</f>
        <v>#JUMP_G8</v>
      </c>
    </row>
    <row r="589" spans="1:29" s="697" customFormat="1" ht="5.0999999999999996" customHeight="1" x14ac:dyDescent="0.2">
      <c r="A589" s="452"/>
      <c r="B589" s="21"/>
      <c r="C589" s="21"/>
      <c r="D589" s="21"/>
      <c r="E589" s="21"/>
      <c r="F589" s="21"/>
      <c r="G589" s="21"/>
      <c r="H589" s="21"/>
      <c r="I589" s="21"/>
      <c r="J589" s="21"/>
      <c r="K589" s="21"/>
      <c r="L589" s="21"/>
      <c r="M589" s="25"/>
      <c r="N589" s="25"/>
      <c r="O589" s="25"/>
      <c r="P589" s="26"/>
      <c r="Q589" s="437"/>
      <c r="R589" s="437"/>
      <c r="S589" s="437"/>
      <c r="T589" s="437"/>
      <c r="U589" s="437"/>
      <c r="V589" s="437"/>
      <c r="W589" s="437"/>
      <c r="X589" s="452"/>
      <c r="Y589" s="452"/>
      <c r="Z589" s="452"/>
      <c r="AA589" s="452"/>
      <c r="AB589" s="452"/>
      <c r="AC589" s="452"/>
    </row>
    <row r="590" spans="1:29" s="697" customFormat="1" ht="12.75" customHeight="1" x14ac:dyDescent="0.2">
      <c r="A590" s="452"/>
      <c r="B590" s="414"/>
      <c r="C590" s="414"/>
      <c r="D590" s="414"/>
      <c r="E590" s="1519" t="str">
        <f>CONCATENATE(EUconst_MsgSeeFirst," (G.I.1)")</f>
        <v>Sīki norādījumi par datu ievadi šajā rīkā ir pieejami pirmajā vietā, kur parādās šis rīks.  (G.I.1)</v>
      </c>
      <c r="F590" s="1519"/>
      <c r="G590" s="1519"/>
      <c r="H590" s="1519"/>
      <c r="I590" s="1519"/>
      <c r="J590" s="1519"/>
      <c r="K590" s="1519"/>
      <c r="L590" s="1519"/>
      <c r="M590" s="1519"/>
      <c r="N590" s="1519"/>
      <c r="O590" s="25"/>
      <c r="P590" s="437"/>
      <c r="Q590" s="437"/>
      <c r="R590" s="437"/>
      <c r="S590" s="437"/>
      <c r="T590" s="437"/>
      <c r="U590" s="437"/>
      <c r="V590" s="437"/>
      <c r="W590" s="437"/>
      <c r="X590" s="452"/>
      <c r="Y590" s="452"/>
      <c r="Z590" s="452"/>
      <c r="AA590" s="452"/>
      <c r="AB590" s="452"/>
      <c r="AC590" s="452"/>
    </row>
    <row r="591" spans="1:29" s="697" customFormat="1" ht="5.0999999999999996" customHeight="1" x14ac:dyDescent="0.2">
      <c r="A591" s="452"/>
      <c r="B591" s="21"/>
      <c r="C591" s="21"/>
      <c r="D591" s="21"/>
      <c r="E591" s="21"/>
      <c r="F591" s="21"/>
      <c r="G591" s="21"/>
      <c r="H591" s="21"/>
      <c r="I591" s="21"/>
      <c r="J591" s="21"/>
      <c r="K591" s="21"/>
      <c r="L591" s="21"/>
      <c r="M591" s="25"/>
      <c r="N591" s="25"/>
      <c r="O591" s="25"/>
      <c r="P591" s="26"/>
      <c r="Q591" s="437"/>
      <c r="R591" s="437"/>
      <c r="S591" s="437"/>
      <c r="T591" s="437"/>
      <c r="U591" s="437"/>
      <c r="V591" s="437"/>
      <c r="W591" s="437"/>
      <c r="X591" s="452"/>
      <c r="Y591" s="452"/>
      <c r="Z591" s="452"/>
      <c r="AA591" s="452"/>
      <c r="AB591" s="452"/>
      <c r="AC591" s="452"/>
    </row>
    <row r="592" spans="1:29" ht="12.75" customHeight="1" thickBot="1" x14ac:dyDescent="0.25">
      <c r="B592" s="21"/>
      <c r="C592" s="370"/>
      <c r="D592" s="32" t="s">
        <v>165</v>
      </c>
      <c r="E592" s="1250" t="str">
        <f>Translations!$B$670</f>
        <v>Vēsturiskie darbības līmeņi</v>
      </c>
      <c r="F592" s="1251"/>
      <c r="G592" s="1251"/>
      <c r="H592" s="1251"/>
      <c r="I592" s="1251"/>
      <c r="J592" s="1251"/>
      <c r="K592" s="1251"/>
      <c r="L592" s="1251"/>
      <c r="M592" s="1251"/>
      <c r="N592" s="1251"/>
      <c r="O592" s="25"/>
      <c r="P592" s="26"/>
      <c r="Q592" s="26"/>
      <c r="R592" s="26"/>
      <c r="S592" s="26"/>
      <c r="T592" s="26"/>
      <c r="U592" s="26"/>
      <c r="V592" s="26"/>
      <c r="W592" s="26"/>
      <c r="X592" s="624"/>
    </row>
    <row r="593" spans="1:29" ht="12.75" customHeight="1" thickBot="1" x14ac:dyDescent="0.25">
      <c r="B593" s="21"/>
      <c r="C593" s="384"/>
      <c r="D593" s="34"/>
      <c r="E593" s="1822" t="str">
        <f>Translations!$B$884</f>
        <v>Šie dati tiek automātiski ņemti no lapas "E_EnergyFlows" I sadaļas c) punkta. Tāpēc minētajā sadaļā dati jāievada obligāti.</v>
      </c>
      <c r="F593" s="1822"/>
      <c r="G593" s="1822"/>
      <c r="H593" s="1822"/>
      <c r="I593" s="1822"/>
      <c r="J593" s="1822"/>
      <c r="K593" s="1822"/>
      <c r="L593" s="1822"/>
      <c r="M593" s="1822"/>
      <c r="N593" s="1822"/>
      <c r="O593" s="25"/>
      <c r="P593" s="26"/>
      <c r="Q593" s="439" t="s">
        <v>416</v>
      </c>
      <c r="R593" s="187" t="s">
        <v>229</v>
      </c>
      <c r="S593" s="188"/>
      <c r="T593" s="188"/>
      <c r="U593" s="188"/>
      <c r="V593" s="188"/>
      <c r="W593" s="188"/>
      <c r="X593" s="1187"/>
    </row>
    <row r="594" spans="1:29" ht="12.75" customHeight="1" x14ac:dyDescent="0.2">
      <c r="B594" s="38"/>
      <c r="C594" s="370"/>
      <c r="D594" s="32"/>
      <c r="E594" s="1320" t="str">
        <f>Translations!$B$829</f>
        <v>Galvenais darbības līmenis:</v>
      </c>
      <c r="F594" s="1275"/>
      <c r="G594" s="1275"/>
      <c r="H594" s="52" t="str">
        <f>EUconst_Unit</f>
        <v>Vienība</v>
      </c>
      <c r="I594" s="412">
        <f>I$793</f>
        <v>2019</v>
      </c>
      <c r="J594" s="412">
        <f>J$793</f>
        <v>2020</v>
      </c>
      <c r="K594" s="412">
        <f>K$793</f>
        <v>2021</v>
      </c>
      <c r="L594" s="412">
        <f>L$793</f>
        <v>2022</v>
      </c>
      <c r="M594" s="412">
        <f>M$793</f>
        <v>2023</v>
      </c>
      <c r="N594" s="23"/>
      <c r="O594" s="25"/>
      <c r="P594" s="182" t="s">
        <v>228</v>
      </c>
      <c r="Q594" s="1024" t="s">
        <v>618</v>
      </c>
      <c r="R594" s="190" t="s">
        <v>629</v>
      </c>
      <c r="S594" s="183">
        <f>I594</f>
        <v>2019</v>
      </c>
      <c r="T594" s="134">
        <f>J594</f>
        <v>2020</v>
      </c>
      <c r="U594" s="134">
        <f>K594</f>
        <v>2021</v>
      </c>
      <c r="V594" s="134">
        <f>L594</f>
        <v>2022</v>
      </c>
      <c r="W594" s="134">
        <f>M594</f>
        <v>2023</v>
      </c>
      <c r="X594" s="1188"/>
    </row>
    <row r="595" spans="1:29" ht="12.75" customHeight="1" thickBot="1" x14ac:dyDescent="0.25">
      <c r="B595" s="38"/>
      <c r="C595" s="38"/>
      <c r="D595" s="38"/>
      <c r="E595" s="1782" t="str">
        <f>I587</f>
        <v>Kurināmā līmeņatzīmes apakšiekārta (OEP | OIM)</v>
      </c>
      <c r="F595" s="1782"/>
      <c r="G595" s="1782"/>
      <c r="H595" s="116" t="str">
        <f>INDEX(EUconst_FallBackListUnits,MATCH(E595,EUconst_FallBackListNames,0))</f>
        <v>TJ</v>
      </c>
      <c r="I595" s="328" t="str">
        <f>IF($M587=EUconst_Relevant,IF(ISNUMBER(INDEX(E_EnergyFlows!I$412:I$420,MATCH($E595,E_EnergyFlows!$E$412:$E$420,0))),INDEX(E_EnergyFlows!I$412:I$420,MATCH($E595,E_EnergyFlows!$E$412:$E$420,0)),INDEX(EUconst_FallbackListMissing,$P587)),"")</f>
        <v/>
      </c>
      <c r="J595" s="328" t="str">
        <f>IF($M587=EUconst_Relevant,IF(ISNUMBER(INDEX(E_EnergyFlows!J$412:J$420,MATCH($E595,E_EnergyFlows!$E$412:$E$420,0))),INDEX(E_EnergyFlows!J$412:J$420,MATCH($E595,E_EnergyFlows!$E$412:$E$420,0)),INDEX(EUconst_FallbackListMissing,$P587)),"")</f>
        <v/>
      </c>
      <c r="K595" s="328" t="str">
        <f>IF($M587=EUconst_Relevant,IF(ISNUMBER(INDEX(E_EnergyFlows!K$412:K$420,MATCH($E595,E_EnergyFlows!$E$412:$E$420,0))),INDEX(E_EnergyFlows!K$412:K$420,MATCH($E595,E_EnergyFlows!$E$412:$E$420,0)),INDEX(EUconst_FallbackListMissing,$P587)),"")</f>
        <v/>
      </c>
      <c r="L595" s="328" t="str">
        <f>IF($M587=EUconst_Relevant,IF(ISNUMBER(INDEX(E_EnergyFlows!L$412:L$420,MATCH($E595,E_EnergyFlows!$E$412:$E$420,0))),INDEX(E_EnergyFlows!L$412:L$420,MATCH($E595,E_EnergyFlows!$E$412:$E$420,0)),INDEX(EUconst_FallbackListMissing,$P587)),"")</f>
        <v/>
      </c>
      <c r="M595" s="328" t="str">
        <f>IF($M587=EUconst_Relevant,IF(ISNUMBER(INDEX(E_EnergyFlows!M$412:M$420,MATCH($E595,E_EnergyFlows!$E$412:$E$420,0))),INDEX(E_EnergyFlows!M$412:M$420,MATCH($E595,E_EnergyFlows!$E$412:$E$420,0)),INDEX(EUconst_FallbackListMissing,$P587)),"")</f>
        <v/>
      </c>
      <c r="N595" s="23"/>
      <c r="O595" s="25"/>
      <c r="P595" s="185" t="str">
        <f>EUconst_CNTR_HAL&amp;E595</f>
        <v>HAL_Kurināmā līmeņatzīmes apakšiekārta (OEP | OIM)</v>
      </c>
      <c r="Q595" s="186" t="str">
        <f>IF(COUNT($K595:$L595)&gt;0,AVERAGE($K595:$L595),"")</f>
        <v/>
      </c>
      <c r="R595" s="184" t="str">
        <f>IF(COUNT(S595:W595)&gt;0,MEDIAN(S595:W595),"")</f>
        <v/>
      </c>
      <c r="S595" s="189" t="str">
        <f>IF(S587,IF(ISNUMBER(I595),I595,0),"")</f>
        <v/>
      </c>
      <c r="T595" s="137" t="str">
        <f>IF(T587,IF(ISNUMBER(J595),J595,0),"")</f>
        <v/>
      </c>
      <c r="U595" s="137" t="str">
        <f>IF(U587,IF(ISNUMBER(K595),K595,0),"")</f>
        <v/>
      </c>
      <c r="V595" s="137" t="str">
        <f>IF(V587,IF(ISNUMBER(L595),L595,0),"")</f>
        <v/>
      </c>
      <c r="W595" s="137" t="str">
        <f>IF(W587,IF(ISNUMBER(M595),M595,0),"")</f>
        <v/>
      </c>
      <c r="X595" s="1189"/>
      <c r="Y595" s="1190" t="s">
        <v>574</v>
      </c>
      <c r="Z595" s="709" t="b">
        <f>IF(M587&lt;&gt;EUconst_Relevant,FALSE,INDEX(CNTR_SubInstLess1Year,MATCH(I587,CNTR_SubInstListNames,0)))</f>
        <v>0</v>
      </c>
    </row>
    <row r="596" spans="1:29" ht="12.75" customHeight="1" x14ac:dyDescent="0.2">
      <c r="B596" s="38"/>
      <c r="C596" s="23"/>
      <c r="D596" s="23"/>
      <c r="E596" s="23"/>
      <c r="F596" s="23"/>
      <c r="G596" s="23"/>
      <c r="H596" s="23"/>
      <c r="I596" s="23"/>
      <c r="J596" s="23"/>
      <c r="K596" s="23"/>
      <c r="L596" s="23"/>
      <c r="M596" s="23"/>
      <c r="N596" s="23"/>
      <c r="O596" s="25"/>
    </row>
    <row r="597" spans="1:29" ht="15" x14ac:dyDescent="0.25">
      <c r="B597" s="38"/>
      <c r="C597" s="383"/>
      <c r="D597" s="1318" t="str">
        <f>Translations!$B$700</f>
        <v>Ražošanas dati</v>
      </c>
      <c r="E597" s="1251"/>
      <c r="F597" s="1251"/>
      <c r="G597" s="1251"/>
      <c r="H597" s="1251"/>
      <c r="I597" s="1251"/>
      <c r="J597" s="1251"/>
      <c r="K597" s="1251"/>
      <c r="L597" s="1251"/>
      <c r="M597" s="1251"/>
      <c r="N597" s="1251"/>
      <c r="O597" s="25"/>
      <c r="Y597" s="624"/>
      <c r="Z597" s="624"/>
      <c r="AA597" s="624"/>
      <c r="AB597" s="624"/>
    </row>
    <row r="598" spans="1:29" ht="5.0999999999999996" customHeight="1" x14ac:dyDescent="0.2">
      <c r="B598" s="21"/>
      <c r="C598" s="23"/>
      <c r="D598" s="21"/>
      <c r="E598" s="21"/>
      <c r="F598" s="21"/>
      <c r="G598" s="21"/>
      <c r="H598" s="21"/>
      <c r="I598" s="21"/>
      <c r="J598" s="21"/>
      <c r="K598" s="21"/>
      <c r="L598" s="21"/>
      <c r="M598" s="21"/>
      <c r="N598" s="21"/>
      <c r="O598" s="25"/>
      <c r="P598" s="26"/>
      <c r="Q598" s="26"/>
    </row>
    <row r="599" spans="1:29" ht="12.75" customHeight="1" x14ac:dyDescent="0.2">
      <c r="B599" s="21"/>
      <c r="C599" s="370"/>
      <c r="D599" s="32" t="s">
        <v>339</v>
      </c>
      <c r="E599" s="1250" t="str">
        <f>Translations!$B$830</f>
        <v>Ar šo apakšiekārtu saistīto relevanto produktu vai pakalpojumu identificēšana</v>
      </c>
      <c r="F599" s="1251"/>
      <c r="G599" s="1251"/>
      <c r="H599" s="1251"/>
      <c r="I599" s="1251"/>
      <c r="J599" s="1251"/>
      <c r="K599" s="1251"/>
      <c r="L599" s="1251"/>
      <c r="M599" s="1251"/>
      <c r="N599" s="1251"/>
      <c r="O599" s="25"/>
      <c r="P599" s="26"/>
    </row>
    <row r="600" spans="1:29" s="762" customFormat="1" ht="12.75" customHeight="1" x14ac:dyDescent="0.2">
      <c r="A600" s="445"/>
      <c r="B600" s="21"/>
      <c r="C600" s="384"/>
      <c r="D600" s="34"/>
      <c r="E600" s="1319" t="str">
        <f>Translations!$B$831</f>
        <v>Šeit norādiet, ar kādiem ražošanas procesiem vai pakalpojumiem ir saistīta šī apakšiekārta. Tie var būt, piemēram:</v>
      </c>
      <c r="F600" s="1251"/>
      <c r="G600" s="1251"/>
      <c r="H600" s="1251"/>
      <c r="I600" s="1251"/>
      <c r="J600" s="1251"/>
      <c r="K600" s="1251"/>
      <c r="L600" s="1251"/>
      <c r="M600" s="1251"/>
      <c r="N600" s="1251"/>
      <c r="O600" s="25"/>
      <c r="P600" s="26"/>
      <c r="Q600" s="26"/>
      <c r="R600" s="26"/>
      <c r="S600" s="26"/>
      <c r="T600" s="26"/>
      <c r="U600" s="26"/>
      <c r="V600" s="26"/>
      <c r="W600" s="26"/>
      <c r="X600" s="624"/>
      <c r="Y600" s="624"/>
      <c r="Z600" s="624"/>
      <c r="AA600" s="624"/>
      <c r="AB600" s="624"/>
      <c r="AC600" s="1191"/>
    </row>
    <row r="601" spans="1:29" s="762" customFormat="1" ht="12.75" customHeight="1" x14ac:dyDescent="0.2">
      <c r="A601" s="445"/>
      <c r="B601" s="21"/>
      <c r="C601" s="21"/>
      <c r="D601" s="34"/>
      <c r="E601" s="118" t="s">
        <v>364</v>
      </c>
      <c r="F601" s="1319" t="str">
        <f>Translations!$B$832</f>
        <v>produktu līmeņatzīmju neaptvertu produktu ražošana iekārtā (norādiet produktu veidus);</v>
      </c>
      <c r="G601" s="1251"/>
      <c r="H601" s="1251"/>
      <c r="I601" s="1251"/>
      <c r="J601" s="1251"/>
      <c r="K601" s="1251"/>
      <c r="L601" s="1251"/>
      <c r="M601" s="1251"/>
      <c r="N601" s="1251"/>
      <c r="O601" s="25"/>
      <c r="P601" s="26"/>
      <c r="Q601" s="26"/>
      <c r="R601" s="26"/>
      <c r="S601" s="26"/>
      <c r="T601" s="26"/>
      <c r="U601" s="26"/>
      <c r="V601" s="26"/>
      <c r="W601" s="26"/>
      <c r="X601" s="624"/>
      <c r="Y601" s="1191"/>
      <c r="Z601" s="1191"/>
      <c r="AA601" s="1191"/>
      <c r="AB601" s="1191"/>
      <c r="AC601" s="1191"/>
    </row>
    <row r="602" spans="1:29" s="762" customFormat="1" ht="12.75" customHeight="1" x14ac:dyDescent="0.2">
      <c r="A602" s="445"/>
      <c r="B602" s="21"/>
      <c r="C602" s="21"/>
      <c r="D602" s="34"/>
      <c r="E602" s="118" t="s">
        <v>364</v>
      </c>
      <c r="F602" s="1319" t="str">
        <f>Translations!$B$885</f>
        <v>mehāniskās enerģijas ražošana, siltumapgāde vai aukstumapgāde (visi izmantojumi, izņemot elektroenerģijas ražošanu).</v>
      </c>
      <c r="G602" s="1251"/>
      <c r="H602" s="1251"/>
      <c r="I602" s="1251"/>
      <c r="J602" s="1251"/>
      <c r="K602" s="1251"/>
      <c r="L602" s="1251"/>
      <c r="M602" s="1251"/>
      <c r="N602" s="1251"/>
      <c r="O602" s="25"/>
      <c r="P602" s="26"/>
      <c r="Q602" s="26"/>
      <c r="R602" s="26"/>
      <c r="S602" s="26"/>
      <c r="T602" s="26"/>
      <c r="U602" s="26"/>
      <c r="V602" s="26"/>
      <c r="W602" s="26"/>
      <c r="X602" s="624"/>
      <c r="Y602" s="1191"/>
      <c r="Z602" s="1191"/>
      <c r="AA602" s="1191"/>
      <c r="AB602" s="1191"/>
      <c r="AC602" s="1191"/>
    </row>
    <row r="603" spans="1:29" s="762" customFormat="1" ht="5.0999999999999996" customHeight="1" x14ac:dyDescent="0.2">
      <c r="A603" s="445"/>
      <c r="B603" s="21"/>
      <c r="C603" s="23"/>
      <c r="D603" s="21"/>
      <c r="E603" s="21"/>
      <c r="F603" s="21"/>
      <c r="G603" s="21"/>
      <c r="H603" s="21"/>
      <c r="I603" s="21"/>
      <c r="J603" s="21"/>
      <c r="K603" s="21"/>
      <c r="L603" s="21"/>
      <c r="M603" s="21"/>
      <c r="N603" s="21"/>
      <c r="O603" s="25"/>
      <c r="P603" s="26"/>
      <c r="Q603" s="26"/>
      <c r="R603" s="720"/>
      <c r="S603" s="720"/>
      <c r="T603" s="720"/>
      <c r="U603" s="720"/>
      <c r="V603" s="720"/>
      <c r="W603" s="720"/>
      <c r="X603" s="1191"/>
      <c r="Y603" s="1191"/>
      <c r="Z603" s="1191"/>
      <c r="AA603" s="1191"/>
      <c r="AB603" s="1191"/>
      <c r="AC603" s="1191"/>
    </row>
    <row r="604" spans="1:29" s="762" customFormat="1" ht="25.5" customHeight="1" x14ac:dyDescent="0.2">
      <c r="A604" s="445"/>
      <c r="B604" s="721"/>
      <c r="C604" s="34"/>
      <c r="D604" s="360"/>
      <c r="E604" s="1418" t="str">
        <f>Translations!$B$837</f>
        <v>Izmantojuma veids</v>
      </c>
      <c r="F604" s="1419"/>
      <c r="G604" s="1774" t="str">
        <f>Translations!$B$886</f>
        <v>Produkta nosaukums vai pakalpojuma veids</v>
      </c>
      <c r="H604" s="1775"/>
      <c r="I604" s="1775"/>
      <c r="J604" s="1775"/>
      <c r="K604" s="1775"/>
      <c r="L604" s="1776"/>
      <c r="M604" s="1121" t="str">
        <f>Translations!$B$1668</f>
        <v>PRODCOM 2010</v>
      </c>
      <c r="N604" s="1122" t="str">
        <f>Translations!$B$1669</f>
        <v>KN kodi</v>
      </c>
      <c r="O604" s="25"/>
      <c r="P604" s="720"/>
      <c r="Q604" s="720"/>
      <c r="R604" s="720"/>
      <c r="S604" s="720"/>
      <c r="T604" s="720"/>
      <c r="U604" s="720"/>
      <c r="V604" s="720"/>
      <c r="W604" s="720"/>
      <c r="X604" s="1191"/>
      <c r="Y604" s="1191"/>
      <c r="Z604" s="1191"/>
      <c r="AA604" s="1191"/>
      <c r="AB604" s="1191"/>
      <c r="AC604" s="1191"/>
    </row>
    <row r="605" spans="1:29" s="762" customFormat="1" ht="12.75" customHeight="1" x14ac:dyDescent="0.2">
      <c r="A605" s="445"/>
      <c r="B605" s="721"/>
      <c r="C605" s="34"/>
      <c r="D605" s="722">
        <v>1</v>
      </c>
      <c r="E605" s="1800"/>
      <c r="F605" s="1801"/>
      <c r="G605" s="1371"/>
      <c r="H605" s="1802"/>
      <c r="I605" s="1802"/>
      <c r="J605" s="1802"/>
      <c r="K605" s="1802"/>
      <c r="L605" s="1803"/>
      <c r="M605" s="725"/>
      <c r="N605" s="725"/>
      <c r="O605" s="25"/>
      <c r="P605" s="720"/>
      <c r="Q605" s="720"/>
      <c r="R605" s="720"/>
      <c r="S605" s="720"/>
      <c r="T605" s="720"/>
      <c r="U605" s="720"/>
      <c r="V605" s="720"/>
      <c r="W605" s="720"/>
      <c r="X605" s="1191"/>
      <c r="Y605" s="1191"/>
      <c r="Z605" s="1191"/>
      <c r="AA605" s="1191"/>
      <c r="AB605" s="1191"/>
      <c r="AC605" s="1191"/>
    </row>
    <row r="606" spans="1:29" s="762" customFormat="1" ht="12.75" customHeight="1" x14ac:dyDescent="0.2">
      <c r="A606" s="445"/>
      <c r="B606" s="721"/>
      <c r="C606" s="34"/>
      <c r="D606" s="723">
        <f>D605+1</f>
        <v>2</v>
      </c>
      <c r="E606" s="1795"/>
      <c r="F606" s="1796"/>
      <c r="G606" s="1797"/>
      <c r="H606" s="1798"/>
      <c r="I606" s="1798"/>
      <c r="J606" s="1798"/>
      <c r="K606" s="1798"/>
      <c r="L606" s="1799"/>
      <c r="M606" s="726"/>
      <c r="N606" s="726"/>
      <c r="O606" s="25"/>
      <c r="P606" s="720"/>
      <c r="Q606" s="720"/>
      <c r="R606" s="720"/>
      <c r="S606" s="720"/>
      <c r="T606" s="720"/>
      <c r="U606" s="720"/>
      <c r="V606" s="720"/>
      <c r="W606" s="720"/>
      <c r="X606" s="1191"/>
      <c r="Y606" s="1191"/>
      <c r="Z606" s="1191"/>
      <c r="AA606" s="1191"/>
      <c r="AB606" s="1191"/>
      <c r="AC606" s="1191"/>
    </row>
    <row r="607" spans="1:29" s="762" customFormat="1" ht="12.75" customHeight="1" x14ac:dyDescent="0.2">
      <c r="A607" s="445"/>
      <c r="B607" s="721"/>
      <c r="C607" s="34"/>
      <c r="D607" s="723">
        <f t="shared" ref="D607:D613" si="19">D606+1</f>
        <v>3</v>
      </c>
      <c r="E607" s="1795"/>
      <c r="F607" s="1796"/>
      <c r="G607" s="1797"/>
      <c r="H607" s="1798"/>
      <c r="I607" s="1798"/>
      <c r="J607" s="1798"/>
      <c r="K607" s="1798"/>
      <c r="L607" s="1799"/>
      <c r="M607" s="726"/>
      <c r="N607" s="726"/>
      <c r="O607" s="25"/>
      <c r="P607" s="720"/>
      <c r="Q607" s="720"/>
      <c r="R607" s="720"/>
      <c r="S607" s="720"/>
      <c r="T607" s="720"/>
      <c r="U607" s="720"/>
      <c r="V607" s="720"/>
      <c r="W607" s="720"/>
      <c r="X607" s="1191"/>
      <c r="Y607" s="1191"/>
      <c r="Z607" s="1191"/>
      <c r="AA607" s="1191"/>
      <c r="AB607" s="1191"/>
      <c r="AC607" s="1191"/>
    </row>
    <row r="608" spans="1:29" s="762" customFormat="1" ht="12.75" customHeight="1" x14ac:dyDescent="0.2">
      <c r="A608" s="445"/>
      <c r="B608" s="721"/>
      <c r="C608" s="34"/>
      <c r="D608" s="723">
        <f t="shared" si="19"/>
        <v>4</v>
      </c>
      <c r="E608" s="1795"/>
      <c r="F608" s="1796"/>
      <c r="G608" s="1797"/>
      <c r="H608" s="1798"/>
      <c r="I608" s="1798"/>
      <c r="J608" s="1798"/>
      <c r="K608" s="1798"/>
      <c r="L608" s="1799"/>
      <c r="M608" s="726"/>
      <c r="N608" s="726"/>
      <c r="O608" s="25"/>
      <c r="P608" s="720"/>
      <c r="Q608" s="720"/>
      <c r="R608" s="720"/>
      <c r="S608" s="720"/>
      <c r="T608" s="720"/>
      <c r="U608" s="720"/>
      <c r="V608" s="720"/>
      <c r="W608" s="720"/>
      <c r="X608" s="1191"/>
      <c r="Y608" s="1191"/>
      <c r="Z608" s="1191"/>
      <c r="AA608" s="1191"/>
      <c r="AB608" s="1191"/>
      <c r="AC608" s="1191"/>
    </row>
    <row r="609" spans="1:29" s="762" customFormat="1" ht="12.75" customHeight="1" x14ac:dyDescent="0.2">
      <c r="A609" s="445"/>
      <c r="B609" s="721"/>
      <c r="C609" s="34"/>
      <c r="D609" s="723">
        <f t="shared" si="19"/>
        <v>5</v>
      </c>
      <c r="E609" s="1795"/>
      <c r="F609" s="1796"/>
      <c r="G609" s="1797"/>
      <c r="H609" s="1798"/>
      <c r="I609" s="1798"/>
      <c r="J609" s="1798"/>
      <c r="K609" s="1798"/>
      <c r="L609" s="1799"/>
      <c r="M609" s="726"/>
      <c r="N609" s="726"/>
      <c r="O609" s="25"/>
      <c r="P609" s="720"/>
      <c r="Q609" s="720"/>
      <c r="R609" s="720"/>
      <c r="S609" s="720"/>
      <c r="T609" s="720"/>
      <c r="U609" s="720"/>
      <c r="V609" s="720"/>
      <c r="W609" s="720"/>
      <c r="X609" s="1191"/>
      <c r="Y609" s="1191"/>
      <c r="Z609" s="1191"/>
      <c r="AA609" s="1191"/>
      <c r="AB609" s="1191"/>
      <c r="AC609" s="1191"/>
    </row>
    <row r="610" spans="1:29" s="762" customFormat="1" ht="12.75" customHeight="1" x14ac:dyDescent="0.2">
      <c r="A610" s="445"/>
      <c r="B610" s="721"/>
      <c r="C610" s="34"/>
      <c r="D610" s="723">
        <f t="shared" si="19"/>
        <v>6</v>
      </c>
      <c r="E610" s="1795"/>
      <c r="F610" s="1796"/>
      <c r="G610" s="1797"/>
      <c r="H610" s="1798"/>
      <c r="I610" s="1798"/>
      <c r="J610" s="1798"/>
      <c r="K610" s="1798"/>
      <c r="L610" s="1799"/>
      <c r="M610" s="726"/>
      <c r="N610" s="726"/>
      <c r="O610" s="25"/>
      <c r="P610" s="720"/>
      <c r="Q610" s="720"/>
      <c r="R610" s="720"/>
      <c r="S610" s="720"/>
      <c r="T610" s="720"/>
      <c r="U610" s="720"/>
      <c r="V610" s="720"/>
      <c r="W610" s="720"/>
      <c r="X610" s="1191"/>
      <c r="Y610" s="1191"/>
      <c r="Z610" s="1191"/>
      <c r="AA610" s="1191"/>
      <c r="AB610" s="1191"/>
      <c r="AC610" s="1191"/>
    </row>
    <row r="611" spans="1:29" s="762" customFormat="1" ht="12.75" customHeight="1" x14ac:dyDescent="0.2">
      <c r="A611" s="445"/>
      <c r="B611" s="721"/>
      <c r="C611" s="34"/>
      <c r="D611" s="723">
        <f t="shared" si="19"/>
        <v>7</v>
      </c>
      <c r="E611" s="1795"/>
      <c r="F611" s="1796"/>
      <c r="G611" s="1797"/>
      <c r="H611" s="1798"/>
      <c r="I611" s="1798"/>
      <c r="J611" s="1798"/>
      <c r="K611" s="1798"/>
      <c r="L611" s="1799"/>
      <c r="M611" s="726"/>
      <c r="N611" s="726"/>
      <c r="O611" s="25"/>
      <c r="P611" s="720"/>
      <c r="Q611" s="720"/>
      <c r="R611" s="720"/>
      <c r="S611" s="720"/>
      <c r="T611" s="720"/>
      <c r="U611" s="720"/>
      <c r="V611" s="720"/>
      <c r="W611" s="720"/>
      <c r="X611" s="1191"/>
      <c r="Y611" s="1191"/>
      <c r="Z611" s="1191"/>
      <c r="AA611" s="1191"/>
      <c r="AB611" s="1191"/>
      <c r="AC611" s="1191"/>
    </row>
    <row r="612" spans="1:29" s="762" customFormat="1" ht="12.75" customHeight="1" x14ac:dyDescent="0.2">
      <c r="A612" s="445"/>
      <c r="B612" s="721"/>
      <c r="C612" s="34"/>
      <c r="D612" s="723">
        <f t="shared" si="19"/>
        <v>8</v>
      </c>
      <c r="E612" s="1795"/>
      <c r="F612" s="1796"/>
      <c r="G612" s="1797"/>
      <c r="H612" s="1798"/>
      <c r="I612" s="1798"/>
      <c r="J612" s="1798"/>
      <c r="K612" s="1798"/>
      <c r="L612" s="1799"/>
      <c r="M612" s="726"/>
      <c r="N612" s="726"/>
      <c r="O612" s="25"/>
      <c r="P612" s="720"/>
      <c r="Q612" s="720"/>
      <c r="R612" s="720"/>
      <c r="S612" s="720"/>
      <c r="T612" s="20"/>
      <c r="U612" s="20"/>
      <c r="V612" s="20"/>
      <c r="W612" s="20"/>
      <c r="X612" s="1191"/>
      <c r="Y612" s="1191"/>
      <c r="Z612" s="1191"/>
      <c r="AA612" s="1191"/>
      <c r="AB612" s="1191"/>
      <c r="AC612" s="1191"/>
    </row>
    <row r="613" spans="1:29" s="762" customFormat="1" ht="12.75" customHeight="1" x14ac:dyDescent="0.2">
      <c r="A613" s="445"/>
      <c r="B613" s="721"/>
      <c r="C613" s="34"/>
      <c r="D613" s="723">
        <f t="shared" si="19"/>
        <v>9</v>
      </c>
      <c r="E613" s="1795"/>
      <c r="F613" s="1796"/>
      <c r="G613" s="1797"/>
      <c r="H613" s="1798"/>
      <c r="I613" s="1798"/>
      <c r="J613" s="1798"/>
      <c r="K613" s="1798"/>
      <c r="L613" s="1799"/>
      <c r="M613" s="726"/>
      <c r="N613" s="726"/>
      <c r="O613" s="25"/>
      <c r="P613" s="720"/>
      <c r="Q613" s="720"/>
      <c r="R613" s="720"/>
      <c r="S613" s="720"/>
      <c r="T613" s="20"/>
      <c r="U613" s="20"/>
      <c r="V613" s="20"/>
      <c r="W613" s="20"/>
      <c r="X613" s="1191"/>
      <c r="Y613" s="1191"/>
      <c r="Z613" s="1191"/>
      <c r="AA613" s="1191"/>
      <c r="AB613" s="1191"/>
      <c r="AC613" s="1191"/>
    </row>
    <row r="614" spans="1:29" s="762" customFormat="1" ht="12.75" customHeight="1" x14ac:dyDescent="0.2">
      <c r="A614" s="445"/>
      <c r="B614" s="721"/>
      <c r="C614" s="34"/>
      <c r="D614" s="724">
        <f>D618+1</f>
        <v>1</v>
      </c>
      <c r="E614" s="1790"/>
      <c r="F614" s="1791"/>
      <c r="G614" s="1792"/>
      <c r="H614" s="1793"/>
      <c r="I614" s="1793"/>
      <c r="J614" s="1793"/>
      <c r="K614" s="1793"/>
      <c r="L614" s="1794"/>
      <c r="M614" s="727"/>
      <c r="N614" s="727"/>
      <c r="O614" s="25"/>
      <c r="P614" s="720"/>
      <c r="Q614" s="720"/>
      <c r="R614" s="720"/>
      <c r="S614" s="720"/>
      <c r="T614" s="20"/>
      <c r="U614" s="20"/>
      <c r="V614" s="20"/>
      <c r="W614" s="20"/>
      <c r="X614" s="1191"/>
      <c r="Y614" s="1191"/>
      <c r="Z614" s="1191"/>
      <c r="AA614" s="1191"/>
      <c r="AB614" s="1191"/>
      <c r="AC614" s="1191"/>
    </row>
    <row r="615" spans="1:29" s="762" customFormat="1" ht="5.0999999999999996" customHeight="1" x14ac:dyDescent="0.2">
      <c r="A615" s="445"/>
      <c r="B615" s="721"/>
      <c r="C615" s="384"/>
      <c r="D615" s="384"/>
      <c r="E615" s="384"/>
      <c r="F615" s="384"/>
      <c r="G615" s="721"/>
      <c r="H615" s="721"/>
      <c r="I615" s="721"/>
      <c r="J615" s="721"/>
      <c r="K615" s="721"/>
      <c r="L615" s="721"/>
      <c r="M615" s="721"/>
      <c r="N615" s="721"/>
      <c r="O615" s="25"/>
      <c r="P615" s="720"/>
      <c r="Q615" s="720"/>
      <c r="R615" s="720"/>
      <c r="S615" s="720"/>
      <c r="T615" s="20"/>
      <c r="U615" s="20"/>
      <c r="V615" s="20"/>
      <c r="W615" s="20"/>
      <c r="X615" s="1191"/>
      <c r="Y615" s="1191"/>
      <c r="Z615" s="1191"/>
      <c r="AA615" s="1191"/>
      <c r="AB615" s="1191"/>
      <c r="AC615" s="1191"/>
    </row>
    <row r="616" spans="1:29" ht="12.75" customHeight="1" x14ac:dyDescent="0.2">
      <c r="B616" s="21"/>
      <c r="C616" s="370"/>
      <c r="D616" s="32"/>
      <c r="E616" s="1250" t="str">
        <f>Translations!$B$840</f>
        <v>Ražošanas līmeņi</v>
      </c>
      <c r="F616" s="1251"/>
      <c r="G616" s="1251"/>
      <c r="H616" s="1251"/>
      <c r="I616" s="1251"/>
      <c r="J616" s="1251"/>
      <c r="K616" s="1251"/>
      <c r="L616" s="1251"/>
      <c r="M616" s="1251"/>
      <c r="N616" s="1251"/>
      <c r="O616" s="25"/>
      <c r="P616" s="26"/>
    </row>
    <row r="617" spans="1:29" ht="5.0999999999999996" customHeight="1" x14ac:dyDescent="0.2">
      <c r="B617" s="21"/>
      <c r="C617" s="384"/>
      <c r="D617" s="34"/>
      <c r="E617" s="35"/>
      <c r="F617" s="35"/>
      <c r="G617" s="35"/>
      <c r="H617" s="35"/>
      <c r="I617" s="35"/>
      <c r="J617" s="39"/>
      <c r="K617" s="39"/>
      <c r="L617" s="39"/>
      <c r="M617" s="25"/>
      <c r="N617" s="25"/>
      <c r="O617" s="25"/>
      <c r="P617" s="26"/>
    </row>
    <row r="618" spans="1:29" ht="12.75" customHeight="1" x14ac:dyDescent="0.2">
      <c r="B618" s="38"/>
      <c r="C618" s="370"/>
      <c r="D618" s="360"/>
      <c r="E618" s="1767" t="str">
        <f>Translations!$B$886</f>
        <v>Produkta nosaukums vai pakalpojuma veids</v>
      </c>
      <c r="F618" s="1275"/>
      <c r="G618" s="1460"/>
      <c r="H618" s="52" t="str">
        <f>EUconst_Unit</f>
        <v>Vienība</v>
      </c>
      <c r="I618" s="412">
        <f>I$793</f>
        <v>2019</v>
      </c>
      <c r="J618" s="412">
        <f>J$793</f>
        <v>2020</v>
      </c>
      <c r="K618" s="412">
        <f>K$793</f>
        <v>2021</v>
      </c>
      <c r="L618" s="412">
        <f>L$793</f>
        <v>2022</v>
      </c>
      <c r="M618" s="412">
        <f>M$793</f>
        <v>2023</v>
      </c>
      <c r="N618" s="25"/>
      <c r="O618" s="25"/>
    </row>
    <row r="619" spans="1:29" ht="12.75" customHeight="1" x14ac:dyDescent="0.2">
      <c r="B619" s="38"/>
      <c r="C619" s="68"/>
      <c r="D619" s="55">
        <v>1</v>
      </c>
      <c r="E619" s="1748" t="str">
        <f t="shared" ref="E619:E628" si="20">IF(ISBLANK(G605),"",G605)</f>
        <v/>
      </c>
      <c r="F619" s="1768"/>
      <c r="G619" s="1769"/>
      <c r="H619" s="248"/>
      <c r="I619" s="484"/>
      <c r="J619" s="484"/>
      <c r="K619" s="484"/>
      <c r="L619" s="484"/>
      <c r="M619" s="484"/>
      <c r="N619" s="25"/>
      <c r="O619" s="25"/>
    </row>
    <row r="620" spans="1:29" ht="12.75" customHeight="1" x14ac:dyDescent="0.2">
      <c r="B620" s="38"/>
      <c r="C620" s="68"/>
      <c r="D620" s="56">
        <f>D619+1</f>
        <v>2</v>
      </c>
      <c r="E620" s="1754" t="str">
        <f t="shared" si="20"/>
        <v/>
      </c>
      <c r="F620" s="1755"/>
      <c r="G620" s="1756"/>
      <c r="H620" s="249"/>
      <c r="I620" s="557"/>
      <c r="J620" s="557"/>
      <c r="K620" s="557"/>
      <c r="L620" s="557"/>
      <c r="M620" s="557"/>
      <c r="N620" s="25"/>
      <c r="O620" s="25"/>
    </row>
    <row r="621" spans="1:29" ht="12.75" customHeight="1" x14ac:dyDescent="0.2">
      <c r="B621" s="38"/>
      <c r="C621" s="68"/>
      <c r="D621" s="56">
        <f t="shared" ref="D621:D628" si="21">D620+1</f>
        <v>3</v>
      </c>
      <c r="E621" s="1754" t="str">
        <f t="shared" si="20"/>
        <v/>
      </c>
      <c r="F621" s="1755"/>
      <c r="G621" s="1756"/>
      <c r="H621" s="249"/>
      <c r="I621" s="557"/>
      <c r="J621" s="557"/>
      <c r="K621" s="557"/>
      <c r="L621" s="557"/>
      <c r="M621" s="557"/>
      <c r="N621" s="25"/>
      <c r="O621" s="25"/>
    </row>
    <row r="622" spans="1:29" ht="12.75" customHeight="1" x14ac:dyDescent="0.2">
      <c r="B622" s="38"/>
      <c r="C622" s="68"/>
      <c r="D622" s="56">
        <f t="shared" si="21"/>
        <v>4</v>
      </c>
      <c r="E622" s="1754" t="str">
        <f t="shared" si="20"/>
        <v/>
      </c>
      <c r="F622" s="1755"/>
      <c r="G622" s="1756"/>
      <c r="H622" s="249"/>
      <c r="I622" s="557"/>
      <c r="J622" s="557"/>
      <c r="K622" s="557"/>
      <c r="L622" s="557"/>
      <c r="M622" s="557"/>
      <c r="N622" s="25"/>
      <c r="O622" s="25"/>
    </row>
    <row r="623" spans="1:29" ht="12.75" customHeight="1" x14ac:dyDescent="0.2">
      <c r="B623" s="38"/>
      <c r="C623" s="68"/>
      <c r="D623" s="56">
        <f t="shared" si="21"/>
        <v>5</v>
      </c>
      <c r="E623" s="1754" t="str">
        <f t="shared" si="20"/>
        <v/>
      </c>
      <c r="F623" s="1755"/>
      <c r="G623" s="1756"/>
      <c r="H623" s="249"/>
      <c r="I623" s="557"/>
      <c r="J623" s="557"/>
      <c r="K623" s="557"/>
      <c r="L623" s="557"/>
      <c r="M623" s="557"/>
      <c r="N623" s="25"/>
      <c r="O623" s="25"/>
    </row>
    <row r="624" spans="1:29" ht="12.75" customHeight="1" x14ac:dyDescent="0.2">
      <c r="B624" s="38"/>
      <c r="C624" s="68"/>
      <c r="D624" s="56">
        <f t="shared" si="21"/>
        <v>6</v>
      </c>
      <c r="E624" s="1754" t="str">
        <f t="shared" si="20"/>
        <v/>
      </c>
      <c r="F624" s="1755"/>
      <c r="G624" s="1756"/>
      <c r="H624" s="249"/>
      <c r="I624" s="557"/>
      <c r="J624" s="557"/>
      <c r="K624" s="557"/>
      <c r="L624" s="557"/>
      <c r="M624" s="557"/>
      <c r="N624" s="25"/>
      <c r="O624" s="25"/>
    </row>
    <row r="625" spans="2:23" ht="12.75" customHeight="1" x14ac:dyDescent="0.2">
      <c r="B625" s="38"/>
      <c r="C625" s="68"/>
      <c r="D625" s="56">
        <f t="shared" si="21"/>
        <v>7</v>
      </c>
      <c r="E625" s="1754" t="str">
        <f t="shared" si="20"/>
        <v/>
      </c>
      <c r="F625" s="1755"/>
      <c r="G625" s="1756"/>
      <c r="H625" s="249"/>
      <c r="I625" s="557"/>
      <c r="J625" s="557"/>
      <c r="K625" s="557"/>
      <c r="L625" s="557"/>
      <c r="M625" s="557"/>
      <c r="N625" s="25"/>
      <c r="O625" s="25"/>
    </row>
    <row r="626" spans="2:23" ht="12.75" customHeight="1" x14ac:dyDescent="0.2">
      <c r="B626" s="38"/>
      <c r="C626" s="68"/>
      <c r="D626" s="56">
        <f t="shared" si="21"/>
        <v>8</v>
      </c>
      <c r="E626" s="1754" t="str">
        <f t="shared" si="20"/>
        <v/>
      </c>
      <c r="F626" s="1755"/>
      <c r="G626" s="1756"/>
      <c r="H626" s="249"/>
      <c r="I626" s="557"/>
      <c r="J626" s="557"/>
      <c r="K626" s="557"/>
      <c r="L626" s="557"/>
      <c r="M626" s="557"/>
      <c r="N626" s="25"/>
      <c r="O626" s="25"/>
    </row>
    <row r="627" spans="2:23" ht="12.75" customHeight="1" x14ac:dyDescent="0.2">
      <c r="B627" s="38"/>
      <c r="C627" s="68"/>
      <c r="D627" s="56">
        <f t="shared" si="21"/>
        <v>9</v>
      </c>
      <c r="E627" s="1754" t="str">
        <f t="shared" si="20"/>
        <v/>
      </c>
      <c r="F627" s="1755"/>
      <c r="G627" s="1756"/>
      <c r="H627" s="249"/>
      <c r="I627" s="557"/>
      <c r="J627" s="557"/>
      <c r="K627" s="557"/>
      <c r="L627" s="557"/>
      <c r="M627" s="557"/>
      <c r="N627" s="25"/>
      <c r="O627" s="25"/>
    </row>
    <row r="628" spans="2:23" ht="12.75" customHeight="1" x14ac:dyDescent="0.2">
      <c r="B628" s="38"/>
      <c r="C628" s="68"/>
      <c r="D628" s="59">
        <f t="shared" si="21"/>
        <v>10</v>
      </c>
      <c r="E628" s="1757" t="str">
        <f t="shared" si="20"/>
        <v/>
      </c>
      <c r="F628" s="1758"/>
      <c r="G628" s="1759"/>
      <c r="H628" s="250"/>
      <c r="I628" s="458"/>
      <c r="J628" s="458"/>
      <c r="K628" s="458"/>
      <c r="L628" s="458"/>
      <c r="M628" s="458"/>
      <c r="N628" s="25"/>
      <c r="O628" s="25"/>
    </row>
    <row r="629" spans="2:23" ht="12.75" customHeight="1" x14ac:dyDescent="0.2">
      <c r="B629" s="38"/>
      <c r="C629" s="38"/>
      <c r="D629" s="115"/>
      <c r="E629" s="1760" t="str">
        <f>Translations!$B$708</f>
        <v>Ražošanas līmeņu summa</v>
      </c>
      <c r="F629" s="1457"/>
      <c r="G629" s="1259"/>
      <c r="H629" s="250"/>
      <c r="I629" s="343" t="str">
        <f>IF(COUNT(I619:I628)&gt;0,SUM(I619:I628),"")</f>
        <v/>
      </c>
      <c r="J629" s="343" t="str">
        <f>IF(COUNT(J619:J628)&gt;0,SUM(J619:J628),"")</f>
        <v/>
      </c>
      <c r="K629" s="343" t="str">
        <f>IF(COUNT(K619:K628)&gt;0,SUM(K619:K628),"")</f>
        <v/>
      </c>
      <c r="L629" s="343" t="str">
        <f>IF(COUNT(L619:L628)&gt;0,SUM(L619:L628),"")</f>
        <v/>
      </c>
      <c r="M629" s="343" t="str">
        <f>IF(COUNT(M619:M628)&gt;0,SUM(M619:M628),"")</f>
        <v/>
      </c>
      <c r="N629" s="25"/>
      <c r="O629" s="25"/>
    </row>
    <row r="630" spans="2:23" ht="12.75" customHeight="1" thickBot="1" x14ac:dyDescent="0.25">
      <c r="B630" s="38"/>
      <c r="C630" s="38"/>
      <c r="D630" s="38"/>
      <c r="E630" s="38"/>
      <c r="F630" s="38"/>
      <c r="G630" s="38"/>
      <c r="H630" s="38"/>
      <c r="I630" s="38"/>
      <c r="J630" s="38"/>
      <c r="K630" s="38"/>
      <c r="L630" s="38"/>
      <c r="M630" s="38"/>
      <c r="N630" s="38"/>
      <c r="O630" s="25"/>
      <c r="P630" s="445"/>
    </row>
    <row r="631" spans="2:23" ht="5.0999999999999996" customHeight="1" x14ac:dyDescent="0.2">
      <c r="B631" s="21"/>
      <c r="C631" s="467"/>
      <c r="D631" s="468"/>
      <c r="E631" s="468"/>
      <c r="F631" s="468"/>
      <c r="G631" s="468"/>
      <c r="H631" s="468"/>
      <c r="I631" s="468"/>
      <c r="J631" s="468"/>
      <c r="K631" s="468"/>
      <c r="L631" s="468"/>
      <c r="M631" s="469"/>
      <c r="N631" s="470"/>
      <c r="O631" s="25"/>
      <c r="P631" s="26"/>
      <c r="R631" s="26"/>
      <c r="S631" s="26"/>
    </row>
    <row r="632" spans="2:23" ht="15" customHeight="1" x14ac:dyDescent="0.2">
      <c r="B632" s="38"/>
      <c r="C632" s="471"/>
      <c r="D632" s="1697" t="str">
        <f>Translations!$B$709</f>
        <v>Dati, kas vajadzīgi, lai noteiktu līmeņatzīmju uzlabošanas rādītāju saskaņā ar ES ETS direktīvas 10.a panta 2. punktu.</v>
      </c>
      <c r="E632" s="1655"/>
      <c r="F632" s="1655"/>
      <c r="G632" s="1655"/>
      <c r="H632" s="1655"/>
      <c r="I632" s="1655"/>
      <c r="J632" s="1655"/>
      <c r="K632" s="1655"/>
      <c r="L632" s="1655"/>
      <c r="M632" s="1655"/>
      <c r="N632" s="1656"/>
      <c r="O632" s="25"/>
      <c r="R632" s="26"/>
      <c r="S632" s="26"/>
    </row>
    <row r="633" spans="2:23" ht="5.0999999999999996" customHeight="1" x14ac:dyDescent="0.2">
      <c r="B633" s="38"/>
      <c r="C633" s="472"/>
      <c r="D633" s="461"/>
      <c r="E633" s="461"/>
      <c r="F633" s="461"/>
      <c r="G633" s="461"/>
      <c r="H633" s="461"/>
      <c r="I633" s="461"/>
      <c r="J633" s="461"/>
      <c r="K633" s="461"/>
      <c r="L633" s="461"/>
      <c r="M633" s="461"/>
      <c r="N633" s="473"/>
      <c r="O633" s="25"/>
      <c r="R633" s="26"/>
      <c r="S633" s="26"/>
    </row>
    <row r="634" spans="2:23" ht="15" customHeight="1" x14ac:dyDescent="0.2">
      <c r="B634" s="38"/>
      <c r="C634" s="472"/>
      <c r="D634" s="1698" t="str">
        <f>EUconst_FBSubinst &amp; ":"</f>
        <v>Alternatīva apakšiekārta:</v>
      </c>
      <c r="E634" s="1699"/>
      <c r="F634" s="1699"/>
      <c r="G634" s="1699"/>
      <c r="H634" s="1700"/>
      <c r="I634" s="1701" t="str">
        <f>I587</f>
        <v>Kurināmā līmeņatzīmes apakšiekārta (OEP | OIM)</v>
      </c>
      <c r="J634" s="1457"/>
      <c r="K634" s="1457"/>
      <c r="L634" s="1457"/>
      <c r="M634" s="1457"/>
      <c r="N634" s="1702"/>
      <c r="O634" s="25"/>
      <c r="R634" s="26"/>
      <c r="S634" s="26"/>
    </row>
    <row r="635" spans="2:23" ht="5.0999999999999996" customHeight="1" x14ac:dyDescent="0.2">
      <c r="B635" s="38"/>
      <c r="C635" s="472"/>
      <c r="D635" s="461"/>
      <c r="E635" s="461"/>
      <c r="F635" s="461"/>
      <c r="G635" s="461"/>
      <c r="H635" s="461"/>
      <c r="I635" s="461"/>
      <c r="J635" s="461"/>
      <c r="K635" s="461"/>
      <c r="L635" s="461"/>
      <c r="M635" s="461"/>
      <c r="N635" s="473"/>
      <c r="O635" s="25"/>
      <c r="R635" s="26"/>
      <c r="S635" s="26"/>
    </row>
    <row r="636" spans="2:23" ht="12.75" customHeight="1" x14ac:dyDescent="0.2">
      <c r="B636" s="21"/>
      <c r="C636" s="471"/>
      <c r="D636" s="474" t="s">
        <v>11</v>
      </c>
      <c r="E636" s="1654" t="str">
        <f>Translations!$B$841</f>
        <v>Uz šo apakšiekārtu tieši attiecināmas emisijas (DirEm*)</v>
      </c>
      <c r="F636" s="1655"/>
      <c r="G636" s="1655"/>
      <c r="H636" s="1655"/>
      <c r="I636" s="1655"/>
      <c r="J636" s="1655"/>
      <c r="K636" s="1655"/>
      <c r="L636" s="1655"/>
      <c r="M636" s="1655"/>
      <c r="N636" s="1656"/>
      <c r="O636" s="25"/>
      <c r="P636" s="26"/>
      <c r="R636" s="26"/>
      <c r="S636" s="26"/>
    </row>
    <row r="637" spans="2:23" ht="12.75" customHeight="1" thickBot="1" x14ac:dyDescent="0.25">
      <c r="B637" s="21"/>
      <c r="C637" s="471"/>
      <c r="D637" s="460"/>
      <c r="E637" s="1727" t="str">
        <f>Translations!$B$895</f>
        <v>Sīki norādījumi par to, kā šeit ievadīt datus, atrodami augstāk 4. sadaļas c) punktā.</v>
      </c>
      <c r="F637" s="1727"/>
      <c r="G637" s="1727"/>
      <c r="H637" s="1727"/>
      <c r="I637" s="1727"/>
      <c r="J637" s="1727"/>
      <c r="K637" s="1727"/>
      <c r="L637" s="1727"/>
      <c r="M637" s="1727"/>
      <c r="N637" s="1734"/>
      <c r="O637" s="25"/>
      <c r="P637" s="26"/>
      <c r="R637" s="26"/>
    </row>
    <row r="638" spans="2:23" ht="12.75" customHeight="1" x14ac:dyDescent="0.2">
      <c r="B638" s="21"/>
      <c r="C638" s="471"/>
      <c r="D638" s="474"/>
      <c r="E638" s="1653" t="str">
        <f>Translations!$B$690</f>
        <v>Kopējās tiešās emisijas</v>
      </c>
      <c r="F638" s="1657"/>
      <c r="G638" s="1657"/>
      <c r="H638" s="462" t="str">
        <f>EUconst_Unit</f>
        <v>Vienība</v>
      </c>
      <c r="I638" s="463">
        <f>I$793</f>
        <v>2019</v>
      </c>
      <c r="J638" s="463">
        <f>J$793</f>
        <v>2020</v>
      </c>
      <c r="K638" s="463">
        <f>K$793</f>
        <v>2021</v>
      </c>
      <c r="L638" s="463">
        <f>L$793</f>
        <v>2022</v>
      </c>
      <c r="M638" s="463">
        <f>M$793</f>
        <v>2023</v>
      </c>
      <c r="N638" s="475"/>
      <c r="O638" s="25"/>
      <c r="P638" s="26"/>
      <c r="R638" s="808"/>
      <c r="S638" s="809">
        <f>I638</f>
        <v>2019</v>
      </c>
      <c r="T638" s="809">
        <f>J638</f>
        <v>2020</v>
      </c>
      <c r="U638" s="809">
        <f>K638</f>
        <v>2021</v>
      </c>
      <c r="V638" s="809">
        <f>L638</f>
        <v>2022</v>
      </c>
      <c r="W638" s="810">
        <f>M638</f>
        <v>2023</v>
      </c>
    </row>
    <row r="639" spans="2:23" ht="12.75" customHeight="1" thickBot="1" x14ac:dyDescent="0.25">
      <c r="B639" s="21"/>
      <c r="C639" s="471"/>
      <c r="D639" s="460"/>
      <c r="E639" s="1782" t="str">
        <f>I587</f>
        <v>Kurināmā līmeņatzīmes apakšiekārta (OEP | OIM)</v>
      </c>
      <c r="F639" s="1782"/>
      <c r="G639" s="1782"/>
      <c r="H639" s="464" t="str">
        <f>EUconst_tCO2epa</f>
        <v>t CO2e/gads</v>
      </c>
      <c r="I639" s="337"/>
      <c r="J639" s="337"/>
      <c r="K639" s="337"/>
      <c r="L639" s="337"/>
      <c r="M639" s="337"/>
      <c r="N639" s="475"/>
      <c r="O639" s="25"/>
      <c r="P639" s="367" t="str">
        <f>EUconst_CNTR_Emissions &amp; I587</f>
        <v>DirEmissions_Kurināmā līmeņatzīmes apakšiekārta (OEP | OIM)</v>
      </c>
      <c r="R639" s="811" t="str">
        <f>EUconst_CNTR_AttributedEmissions &amp; I587</f>
        <v>AttrEmissions_Kurināmā līmeņatzīmes apakšiekārta (OEP | OIM)</v>
      </c>
      <c r="S639" s="137" t="str">
        <f>IF(S587,SUM(I639),"")</f>
        <v/>
      </c>
      <c r="T639" s="137" t="str">
        <f>IF(T587,SUM(J639),"")</f>
        <v/>
      </c>
      <c r="U639" s="137" t="str">
        <f>IF(U587,SUM(K639),"")</f>
        <v/>
      </c>
      <c r="V639" s="137" t="str">
        <f>IF(V587,SUM(L639),"")</f>
        <v/>
      </c>
      <c r="W639" s="138" t="str">
        <f>IF(W587,SUM(M639),"")</f>
        <v/>
      </c>
    </row>
    <row r="640" spans="2:23" ht="5.0999999999999996" customHeight="1" x14ac:dyDescent="0.2">
      <c r="B640" s="21"/>
      <c r="C640" s="471"/>
      <c r="D640" s="460"/>
      <c r="E640" s="460"/>
      <c r="F640" s="460"/>
      <c r="G640" s="460"/>
      <c r="H640" s="460"/>
      <c r="I640" s="460"/>
      <c r="J640" s="460"/>
      <c r="K640" s="460"/>
      <c r="L640" s="460"/>
      <c r="M640" s="476"/>
      <c r="N640" s="475"/>
      <c r="O640" s="25"/>
      <c r="P640" s="26"/>
      <c r="R640" s="26"/>
    </row>
    <row r="641" spans="2:23" ht="12.75" customHeight="1" x14ac:dyDescent="0.2">
      <c r="B641" s="21"/>
      <c r="C641" s="471"/>
      <c r="D641" s="474" t="s">
        <v>342</v>
      </c>
      <c r="E641" s="1663" t="str">
        <f>Translations!$B$1670</f>
        <v>Enerģijas ielaide šajā apakšiekārtā un relevantais emisijas faktors</v>
      </c>
      <c r="F641" s="1663"/>
      <c r="G641" s="1663"/>
      <c r="H641" s="1663"/>
      <c r="I641" s="1663"/>
      <c r="J641" s="1663"/>
      <c r="K641" s="1663"/>
      <c r="L641" s="1663"/>
      <c r="M641" s="1663"/>
      <c r="N641" s="1690"/>
      <c r="O641" s="25"/>
      <c r="R641" s="26"/>
    </row>
    <row r="642" spans="2:23" ht="12.75" customHeight="1" x14ac:dyDescent="0.2">
      <c r="B642" s="21"/>
      <c r="C642" s="471"/>
      <c r="D642" s="460"/>
      <c r="E642" s="1727" t="str">
        <f>Translations!$B$896</f>
        <v>Sīki norādījumi par to, kā šeit ievadīt datus, atrodami augstāk 4. sadaļas d) punktā.</v>
      </c>
      <c r="F642" s="1727"/>
      <c r="G642" s="1727"/>
      <c r="H642" s="1727"/>
      <c r="I642" s="1727"/>
      <c r="J642" s="1727"/>
      <c r="K642" s="1727"/>
      <c r="L642" s="1727"/>
      <c r="M642" s="1727"/>
      <c r="N642" s="1734"/>
      <c r="O642" s="25"/>
      <c r="P642" s="26"/>
      <c r="R642" s="26"/>
    </row>
    <row r="643" spans="2:23" ht="12.75" customHeight="1" x14ac:dyDescent="0.2">
      <c r="B643" s="21"/>
      <c r="C643" s="471"/>
      <c r="D643" s="474"/>
      <c r="E643" s="1653"/>
      <c r="F643" s="1657"/>
      <c r="G643" s="1657"/>
      <c r="H643" s="462" t="str">
        <f>EUconst_Unit</f>
        <v>Vienība</v>
      </c>
      <c r="I643" s="463">
        <f>I$793</f>
        <v>2019</v>
      </c>
      <c r="J643" s="463">
        <f>J$793</f>
        <v>2020</v>
      </c>
      <c r="K643" s="463">
        <f>K$793</f>
        <v>2021</v>
      </c>
      <c r="L643" s="463">
        <f>L$793</f>
        <v>2022</v>
      </c>
      <c r="M643" s="463">
        <f>M$793</f>
        <v>2023</v>
      </c>
      <c r="N643" s="475"/>
      <c r="O643" s="25"/>
      <c r="P643" s="26"/>
      <c r="R643" s="26"/>
    </row>
    <row r="644" spans="2:23" ht="12.75" customHeight="1" x14ac:dyDescent="0.2">
      <c r="B644" s="21"/>
      <c r="C644" s="471"/>
      <c r="D644" s="477" t="s">
        <v>2</v>
      </c>
      <c r="E644" s="1651" t="str">
        <f>Translations!$B$1683</f>
        <v>a) punktā norādītā enerģijas ielaide</v>
      </c>
      <c r="F644" s="1652"/>
      <c r="G644" s="1652"/>
      <c r="H644" s="465" t="str">
        <f>EUconst_TJpa</f>
        <v>TJ / gads</v>
      </c>
      <c r="I644" s="482" t="str">
        <f>I595</f>
        <v/>
      </c>
      <c r="J644" s="482" t="str">
        <f>J595</f>
        <v/>
      </c>
      <c r="K644" s="482" t="str">
        <f>K595</f>
        <v/>
      </c>
      <c r="L644" s="482" t="str">
        <f>L595</f>
        <v/>
      </c>
      <c r="M644" s="482" t="str">
        <f>M595</f>
        <v/>
      </c>
      <c r="N644" s="528"/>
      <c r="O644" s="25"/>
      <c r="P644" s="367" t="str">
        <f>EUconst_CNTR_FuelInput &amp; I587</f>
        <v>FuelInput_Kurināmā līmeņatzīmes apakšiekārta (OEP | OIM)</v>
      </c>
      <c r="R644" s="26"/>
      <c r="S644" s="63">
        <f>I643</f>
        <v>2019</v>
      </c>
      <c r="T644" s="63">
        <f>J643</f>
        <v>2020</v>
      </c>
      <c r="U644" s="63">
        <f>K643</f>
        <v>2021</v>
      </c>
      <c r="V644" s="63">
        <f>L643</f>
        <v>2022</v>
      </c>
      <c r="W644" s="63">
        <f>M643</f>
        <v>2023</v>
      </c>
    </row>
    <row r="645" spans="2:23" ht="12.75" customHeight="1" x14ac:dyDescent="0.2">
      <c r="B645" s="21"/>
      <c r="C645" s="471"/>
      <c r="D645" s="477" t="s">
        <v>3</v>
      </c>
      <c r="E645" s="1709" t="str">
        <f>Translations!$B$892</f>
        <v>Svērtais emisijas faktors (=c./d.)</v>
      </c>
      <c r="F645" s="1710"/>
      <c r="G645" s="1710"/>
      <c r="H645" s="577" t="str">
        <f>EUconst_tCO2pTJ</f>
        <v>t CO2 / TJ</v>
      </c>
      <c r="I645" s="482" t="str">
        <f>IF(COUNT(I639,I644)=2,I639/I644,"")</f>
        <v/>
      </c>
      <c r="J645" s="482" t="str">
        <f>IF(COUNT(J639,J644)=2,J639/J644,"")</f>
        <v/>
      </c>
      <c r="K645" s="482" t="str">
        <f>IF(COUNT(K639,K644)=2,K639/K644,"")</f>
        <v/>
      </c>
      <c r="L645" s="482" t="str">
        <f>IF(COUNT(L639,L644)=2,L639/L644,"")</f>
        <v/>
      </c>
      <c r="M645" s="482" t="str">
        <f>IF(COUNT(M639,M644)=2,M639/M644,"")</f>
        <v/>
      </c>
      <c r="N645" s="475"/>
      <c r="O645" s="25"/>
      <c r="P645" s="367" t="str">
        <f>EUconst_CNTR_FuelEF &amp;I587</f>
        <v>FuelEF_Kurināmā līmeņatzīmes apakšiekārta (OEP | OIM)</v>
      </c>
      <c r="R645" s="872" t="str">
        <f>EUconst_ERR_AttrEmBMapplied &amp; I587</f>
        <v>ERR_AttrEmBM_ Kurināmā līmeņatzīmes apakšiekārta (OEP | OIM)</v>
      </c>
      <c r="S645" s="134">
        <f>IF(AND(OR(I647&lt;&gt;0,AND(I653&lt;&gt;0,I654="")),EUconst_StatusOfDataCollection=""),1,0)</f>
        <v>0</v>
      </c>
      <c r="T645" s="134">
        <f>IF(AND(OR(J647&lt;&gt;0,AND(J653&lt;&gt;0,J654="")),EUconst_StatusOfDataCollection=""),1,0)</f>
        <v>0</v>
      </c>
      <c r="U645" s="134">
        <f>IF(AND(OR(K647&lt;&gt;0,AND(K653&lt;&gt;0,K654="")),EUconst_StatusOfDataCollection=""),1,0)</f>
        <v>0</v>
      </c>
      <c r="V645" s="134">
        <f>IF(AND(OR(L647&lt;&gt;0,AND(L653&lt;&gt;0,L654="")),EUconst_StatusOfDataCollection=""),1,0)</f>
        <v>0</v>
      </c>
      <c r="W645" s="134">
        <f>IF(AND(OR(M647&lt;&gt;0,AND(M653&lt;&gt;0,M654="")),EUconst_StatusOfDataCollection=""),1,0)</f>
        <v>0</v>
      </c>
    </row>
    <row r="646" spans="2:23" ht="5.0999999999999996" customHeight="1" x14ac:dyDescent="0.2">
      <c r="B646" s="21"/>
      <c r="C646" s="471"/>
      <c r="D646" s="460"/>
      <c r="E646" s="460"/>
      <c r="F646" s="460"/>
      <c r="G646" s="460"/>
      <c r="H646" s="460"/>
      <c r="I646" s="460"/>
      <c r="J646" s="460"/>
      <c r="K646" s="460"/>
      <c r="L646" s="460"/>
      <c r="M646" s="460"/>
      <c r="N646" s="475"/>
      <c r="O646" s="25"/>
      <c r="P646" s="26"/>
    </row>
    <row r="647" spans="2:23" ht="12.75" customHeight="1" x14ac:dyDescent="0.2">
      <c r="B647" s="21"/>
      <c r="C647" s="471"/>
      <c r="D647" s="477" t="s">
        <v>4</v>
      </c>
      <c r="E647" s="1651" t="str">
        <f>Translations!$B$853</f>
        <v>Atlikumgāzu kurināmā ielaide</v>
      </c>
      <c r="F647" s="1652"/>
      <c r="G647" s="1652"/>
      <c r="H647" s="465" t="str">
        <f>EUconst_TJpa</f>
        <v>TJ / gads</v>
      </c>
      <c r="I647" s="330"/>
      <c r="J647" s="330"/>
      <c r="K647" s="330"/>
      <c r="L647" s="330"/>
      <c r="M647" s="330"/>
      <c r="N647" s="475"/>
      <c r="O647" s="25"/>
      <c r="P647" s="453" t="str">
        <f>EUconst_CNTR_WGConsumed &amp; I587</f>
        <v>WasteGasCons_Kurināmā līmeņatzīmes apakšiekārta (OEP | OIM)</v>
      </c>
    </row>
    <row r="648" spans="2:23" ht="12.75" customHeight="1" x14ac:dyDescent="0.2">
      <c r="B648" s="21"/>
      <c r="C648" s="471"/>
      <c r="D648" s="477" t="s">
        <v>6</v>
      </c>
      <c r="E648" s="1651" t="str">
        <f>Translations!$B$854</f>
        <v>Īpatnējais EF (atlikumgāze)</v>
      </c>
      <c r="F648" s="1652"/>
      <c r="G648" s="1652"/>
      <c r="H648" s="577" t="str">
        <f>EUconst_tCO2pTJ</f>
        <v>t CO2 / TJ</v>
      </c>
      <c r="I648" s="338"/>
      <c r="J648" s="338"/>
      <c r="K648" s="338"/>
      <c r="L648" s="338"/>
      <c r="M648" s="338"/>
      <c r="N648" s="475"/>
      <c r="O648" s="25"/>
      <c r="P648" s="367" t="str">
        <f>EUconst_CNTR_WGConsumedEF &amp; I587</f>
        <v>WasteGasConsEF_Kurināmā līmeņatzīmes apakšiekārta (OEP | OIM)</v>
      </c>
      <c r="R648" s="873" t="str">
        <f>EUconst_CNTR_AttributedEmissions &amp; I587</f>
        <v>AttrEmissions_Kurināmā līmeņatzīmes apakšiekārta (OEP | OIM)</v>
      </c>
      <c r="S648" s="134" t="str">
        <f>IF(S587,SUM(I647)*EUconst_FuelBMvalueForBM,"")</f>
        <v/>
      </c>
      <c r="T648" s="134" t="str">
        <f>IF(T587,SUM(J647)*EUconst_FuelBMvalueForBM,"")</f>
        <v/>
      </c>
      <c r="U648" s="134" t="str">
        <f>IF(U587,SUM(K647)*EUconst_FuelBMvalueForBM,"")</f>
        <v/>
      </c>
      <c r="V648" s="134" t="str">
        <f>IF(V587,SUM(L647)*EUconst_FuelBMvalueForBM,"")</f>
        <v/>
      </c>
      <c r="W648" s="134" t="str">
        <f>IF(W587,SUM(M647)*EUconst_FuelBMvalueForBM,"")</f>
        <v/>
      </c>
    </row>
    <row r="649" spans="2:23" ht="5.0999999999999996" customHeight="1" x14ac:dyDescent="0.2">
      <c r="B649" s="21"/>
      <c r="C649" s="471"/>
      <c r="D649" s="460"/>
      <c r="E649" s="460"/>
      <c r="F649" s="460"/>
      <c r="G649" s="460"/>
      <c r="H649" s="460"/>
      <c r="I649" s="460"/>
      <c r="J649" s="460"/>
      <c r="K649" s="460"/>
      <c r="L649" s="460"/>
      <c r="M649" s="476"/>
      <c r="N649" s="475"/>
      <c r="O649" s="25"/>
      <c r="P649" s="26"/>
    </row>
    <row r="650" spans="2:23" ht="12.75" customHeight="1" x14ac:dyDescent="0.2">
      <c r="B650" s="21"/>
      <c r="C650" s="471"/>
      <c r="D650" s="477" t="s">
        <v>303</v>
      </c>
      <c r="E650" s="1651" t="str">
        <f>Translations!$B$1631</f>
        <v>Elektroenerģijas ielaide siltuma ražošanai</v>
      </c>
      <c r="F650" s="1652"/>
      <c r="G650" s="1652"/>
      <c r="H650" s="465" t="str">
        <f>EUconst_TJpa</f>
        <v>TJ / gads</v>
      </c>
      <c r="I650" s="330"/>
      <c r="J650" s="330"/>
      <c r="K650" s="330"/>
      <c r="L650" s="330"/>
      <c r="M650" s="330"/>
      <c r="N650" s="475"/>
      <c r="O650" s="25"/>
      <c r="P650" s="453" t="str">
        <f>EUconst_CNTR_ElectricityInput &amp; I587</f>
        <v>ElectricityInput_Kurināmā līmeņatzīmes apakšiekārta (OEP | OIM)</v>
      </c>
    </row>
    <row r="651" spans="2:23" ht="12.75" customHeight="1" x14ac:dyDescent="0.2">
      <c r="B651" s="21"/>
      <c r="C651" s="471"/>
      <c r="D651" s="477" t="s">
        <v>304</v>
      </c>
      <c r="E651" s="1651" t="str">
        <f>Translations!$B$732</f>
        <v>Svērtais emisijas faktors</v>
      </c>
      <c r="F651" s="1652"/>
      <c r="G651" s="1652"/>
      <c r="H651" s="577" t="str">
        <f>EUconst_tCO2pTJ</f>
        <v>t CO2 / TJ</v>
      </c>
      <c r="I651" s="934"/>
      <c r="J651" s="934"/>
      <c r="K651" s="934"/>
      <c r="L651" s="934"/>
      <c r="M651" s="934"/>
      <c r="N651" s="475"/>
      <c r="O651" s="25"/>
      <c r="P651" s="367" t="str">
        <f>EUconst_CNTR_ElectricityEF &amp; I587</f>
        <v>ElectricityEF_Kurināmā līmeņatzīmes apakšiekārta (OEP | OIM)</v>
      </c>
    </row>
    <row r="652" spans="2:23" ht="5.0999999999999996" customHeight="1" x14ac:dyDescent="0.2">
      <c r="B652" s="21"/>
      <c r="C652" s="471"/>
      <c r="D652" s="460"/>
      <c r="E652" s="460"/>
      <c r="F652" s="460"/>
      <c r="G652" s="460"/>
      <c r="H652" s="460"/>
      <c r="I652" s="460"/>
      <c r="J652" s="460"/>
      <c r="K652" s="460"/>
      <c r="L652" s="460"/>
      <c r="M652" s="476"/>
      <c r="N652" s="475"/>
      <c r="O652" s="25"/>
      <c r="P652" s="26"/>
    </row>
    <row r="653" spans="2:23" ht="12.75" customHeight="1" x14ac:dyDescent="0.2">
      <c r="B653" s="21"/>
      <c r="C653" s="471"/>
      <c r="D653" s="474" t="s">
        <v>12</v>
      </c>
      <c r="E653" s="1789" t="str">
        <f>Translations!$B$770</f>
        <v>Neto eksportētais siltums</v>
      </c>
      <c r="F653" s="1789"/>
      <c r="G653" s="1789"/>
      <c r="H653" s="465" t="str">
        <f>EUconst_TJpa</f>
        <v>TJ / gads</v>
      </c>
      <c r="I653" s="483"/>
      <c r="J653" s="483"/>
      <c r="K653" s="483"/>
      <c r="L653" s="483"/>
      <c r="M653" s="483"/>
      <c r="N653" s="528"/>
      <c r="O653" s="25"/>
      <c r="P653" s="1025" t="str">
        <f>EUconst_CNTR_HeatExport &amp; I587</f>
        <v>HeatEx_Kurināmā līmeņatzīmes apakšiekārta (OEP | OIM)</v>
      </c>
      <c r="R653" s="873" t="str">
        <f>EUconst_CNTR_AttributedEmissions &amp; I587</f>
        <v>AttrEmissions_Kurināmā līmeņatzīmes apakšiekārta (OEP | OIM)</v>
      </c>
      <c r="S653" s="134" t="str">
        <f>IF(S587,-SUM(I653)*IF(ISNUMBER(I654),I654,EUconst_HeatBMvalueForBM),"")</f>
        <v/>
      </c>
      <c r="T653" s="134" t="str">
        <f>IF(T587,-SUM(J653)*IF(ISNUMBER(J654),J654,EUconst_HeatBMvalueForBM),"")</f>
        <v/>
      </c>
      <c r="U653" s="134" t="str">
        <f>IF(U587,-SUM(K653)*IF(ISNUMBER(K654),K654,EUconst_HeatBMvalueForBM),"")</f>
        <v/>
      </c>
      <c r="V653" s="134" t="str">
        <f>IF(V587,-SUM(L653)*IF(ISNUMBER(L654),L654,EUconst_HeatBMvalueForBM),"")</f>
        <v/>
      </c>
      <c r="W653" s="134" t="str">
        <f>IF(W587,-SUM(M653)*IF(ISNUMBER(M654),M654,EUconst_HeatBMvalueForBM),"")</f>
        <v/>
      </c>
    </row>
    <row r="654" spans="2:23" ht="12.75" customHeight="1" x14ac:dyDescent="0.2">
      <c r="B654" s="21"/>
      <c r="C654" s="471"/>
      <c r="D654" s="474"/>
      <c r="E654" s="1651" t="str">
        <f>Translations!$B$893</f>
        <v>Īpatnējais EF (siltuma eksports)</v>
      </c>
      <c r="F654" s="1652"/>
      <c r="G654" s="1652"/>
      <c r="H654" s="577" t="str">
        <f>EUconst_tCO2pTJ</f>
        <v>t CO2 / TJ</v>
      </c>
      <c r="I654" s="934"/>
      <c r="J654" s="934"/>
      <c r="K654" s="934"/>
      <c r="L654" s="934"/>
      <c r="M654" s="934"/>
      <c r="N654" s="528"/>
      <c r="O654" s="25"/>
      <c r="P654" s="1025" t="str">
        <f>EUconst_CNTR_HeatExportEF &amp; I587</f>
        <v>HeatExEF_Kurināmā līmeņatzīmes apakšiekārta (OEP | OIM)</v>
      </c>
      <c r="R654" s="933"/>
    </row>
    <row r="655" spans="2:23" ht="12.75" customHeight="1" thickBot="1" x14ac:dyDescent="0.25">
      <c r="B655" s="21"/>
      <c r="C655" s="478"/>
      <c r="D655" s="479"/>
      <c r="E655" s="479"/>
      <c r="F655" s="479"/>
      <c r="G655" s="479"/>
      <c r="H655" s="479"/>
      <c r="I655" s="479"/>
      <c r="J655" s="479"/>
      <c r="K655" s="479"/>
      <c r="L655" s="479"/>
      <c r="M655" s="480"/>
      <c r="N655" s="481"/>
      <c r="O655" s="25"/>
      <c r="P655" s="26"/>
      <c r="R655" s="26"/>
    </row>
    <row r="656" spans="2:23" ht="25.5" customHeight="1" thickBot="1" x14ac:dyDescent="0.25">
      <c r="B656" s="38"/>
      <c r="C656" s="38"/>
      <c r="D656" s="38"/>
      <c r="E656" s="38"/>
      <c r="F656" s="38"/>
      <c r="G656" s="38"/>
      <c r="H656" s="38"/>
      <c r="I656" s="38"/>
      <c r="J656" s="38"/>
      <c r="K656" s="38"/>
      <c r="L656" s="38"/>
      <c r="M656" s="38"/>
      <c r="N656" s="38"/>
      <c r="O656" s="25"/>
    </row>
    <row r="657" spans="1:29" ht="12.75" customHeight="1" thickBot="1" x14ac:dyDescent="0.25">
      <c r="B657" s="21"/>
      <c r="C657" s="294"/>
      <c r="D657" s="294"/>
      <c r="E657" s="294"/>
      <c r="F657" s="294"/>
      <c r="G657" s="294"/>
      <c r="H657" s="294"/>
      <c r="I657" s="294"/>
      <c r="J657" s="294"/>
      <c r="K657" s="294"/>
      <c r="L657" s="294"/>
      <c r="M657" s="294"/>
      <c r="N657" s="294"/>
      <c r="O657" s="25"/>
    </row>
    <row r="658" spans="1:29" ht="15.75" customHeight="1" thickBot="1" x14ac:dyDescent="0.3">
      <c r="B658" s="21"/>
      <c r="C658" s="36">
        <v>8</v>
      </c>
      <c r="D658" s="1318" t="str">
        <f>EUconst_FBSubinst &amp; ":"</f>
        <v>Alternatīva apakšiekārta:</v>
      </c>
      <c r="E658" s="1251"/>
      <c r="F658" s="1251"/>
      <c r="G658" s="1251"/>
      <c r="H658" s="1328"/>
      <c r="I658" s="1701" t="str">
        <f>INDEX(EUconst_FallBackListNames,$C658)</f>
        <v>Procesa emisiju apakšiekārta (OEP | bez OIM)</v>
      </c>
      <c r="J658" s="1457"/>
      <c r="K658" s="1457"/>
      <c r="L658" s="1702"/>
      <c r="M658" s="1783" t="str">
        <f>IF(ISBLANK(INDEX(CNTR_FallBackSubInstRelevant,C658)),"",IF(INDEX(CNTR_FallBackSubInstRelevant,C658),EUconst_Relevant,EUconst_NotRelevant))</f>
        <v/>
      </c>
      <c r="N658" s="1784"/>
      <c r="O658" s="25"/>
      <c r="P658" s="582">
        <f>C658</f>
        <v>8</v>
      </c>
      <c r="Q658" s="386" t="s">
        <v>225</v>
      </c>
      <c r="R658" s="845" t="str">
        <f>IF(M658&lt;&gt;EUconst_Relevant,"",INDEX(CNTR_SubInstStartDate,MATCH($I658,CNTR_SubInstListNames,0)))</f>
        <v/>
      </c>
      <c r="S658" s="842" t="b">
        <f>IF($M658&lt;&gt;EUconst_Relevant,FALSE,AND(I$796,YEAR($R658)&lt;I$793))</f>
        <v>0</v>
      </c>
      <c r="T658" s="842" t="b">
        <f>IF($M658&lt;&gt;EUconst_Relevant,FALSE,AND(J$796,YEAR($R658)&lt;J$793))</f>
        <v>0</v>
      </c>
      <c r="U658" s="842" t="b">
        <f>IF($M658&lt;&gt;EUconst_Relevant,FALSE,AND(K$796,YEAR($R658)&lt;K$793))</f>
        <v>0</v>
      </c>
      <c r="V658" s="842" t="b">
        <f>IF($M658&lt;&gt;EUconst_Relevant,FALSE,AND(L$796,YEAR($R658)&lt;L$793))</f>
        <v>0</v>
      </c>
      <c r="W658" s="842" t="b">
        <f>IF($M658&lt;&gt;EUconst_Relevant,FALSE,AND(M$796,YEAR($R658)&lt;M$793))</f>
        <v>0</v>
      </c>
      <c r="X658" s="624"/>
      <c r="AB658" s="926" t="s">
        <v>529</v>
      </c>
      <c r="AC658" s="927" t="b">
        <f>AND(CNTR_ExistSubInstEntries,M658=EUconst_NotRelevant)</f>
        <v>0</v>
      </c>
    </row>
    <row r="659" spans="1:29" ht="12.75" customHeight="1" x14ac:dyDescent="0.2">
      <c r="B659" s="38"/>
      <c r="C659" s="38"/>
      <c r="D659" s="38"/>
      <c r="E659" s="38"/>
      <c r="F659" s="38"/>
      <c r="G659" s="38"/>
      <c r="H659" s="68"/>
      <c r="I659" s="1785" t="str">
        <f>IF(M658="","",IF(M658=EUconst_Relevant,HYPERLINK("",EUconst_MsgEnterThisSection),HYPERLINK(Q659,EUconst_MsgGoToNextSubInst)))</f>
        <v/>
      </c>
      <c r="J659" s="1786"/>
      <c r="K659" s="1786"/>
      <c r="L659" s="1786"/>
      <c r="M659" s="1787"/>
      <c r="N659" s="1788"/>
      <c r="O659" s="25"/>
      <c r="P659" s="20" t="s">
        <v>192</v>
      </c>
      <c r="Q659" s="593" t="str">
        <f>"#JUMP_G"&amp;P658+1</f>
        <v>#JUMP_G9</v>
      </c>
    </row>
    <row r="660" spans="1:29" s="697" customFormat="1" ht="5.0999999999999996" customHeight="1" x14ac:dyDescent="0.2">
      <c r="A660" s="452"/>
      <c r="B660" s="21"/>
      <c r="C660" s="21"/>
      <c r="D660" s="21"/>
      <c r="E660" s="21"/>
      <c r="F660" s="21"/>
      <c r="G660" s="21"/>
      <c r="H660" s="21"/>
      <c r="I660" s="21"/>
      <c r="J660" s="21"/>
      <c r="K660" s="21"/>
      <c r="L660" s="21"/>
      <c r="M660" s="25"/>
      <c r="N660" s="25"/>
      <c r="O660" s="25"/>
      <c r="P660" s="26"/>
      <c r="Q660" s="437"/>
      <c r="R660" s="437"/>
      <c r="S660" s="437"/>
      <c r="T660" s="437"/>
      <c r="U660" s="437"/>
      <c r="V660" s="437"/>
      <c r="W660" s="437"/>
      <c r="X660" s="452"/>
      <c r="Y660" s="452"/>
      <c r="Z660" s="452"/>
      <c r="AA660" s="452"/>
      <c r="AB660" s="452"/>
      <c r="AC660" s="452"/>
    </row>
    <row r="661" spans="1:29" s="697" customFormat="1" ht="12.75" customHeight="1" x14ac:dyDescent="0.2">
      <c r="A661" s="452"/>
      <c r="B661" s="414"/>
      <c r="C661" s="414"/>
      <c r="D661" s="414"/>
      <c r="E661" s="1519" t="str">
        <f>CONCATENATE(EUconst_MsgSeeFirst," (G.I.1)")</f>
        <v>Sīki norādījumi par datu ievadi šajā rīkā ir pieejami pirmajā vietā, kur parādās šis rīks.  (G.I.1)</v>
      </c>
      <c r="F661" s="1519"/>
      <c r="G661" s="1519"/>
      <c r="H661" s="1519"/>
      <c r="I661" s="1519"/>
      <c r="J661" s="1519"/>
      <c r="K661" s="1519"/>
      <c r="L661" s="1519"/>
      <c r="M661" s="1519"/>
      <c r="N661" s="1519"/>
      <c r="O661" s="25"/>
      <c r="P661" s="437"/>
      <c r="Q661" s="437"/>
      <c r="R661" s="437"/>
      <c r="S661" s="437"/>
      <c r="T661" s="437"/>
      <c r="U661" s="437"/>
      <c r="V661" s="437"/>
      <c r="W661" s="437"/>
      <c r="X661" s="452"/>
      <c r="Y661" s="452"/>
      <c r="Z661" s="452"/>
      <c r="AA661" s="452"/>
      <c r="AB661" s="452"/>
      <c r="AC661" s="452"/>
    </row>
    <row r="662" spans="1:29" s="697" customFormat="1" ht="5.0999999999999996" customHeight="1" x14ac:dyDescent="0.2">
      <c r="A662" s="452"/>
      <c r="B662" s="21"/>
      <c r="C662" s="21"/>
      <c r="D662" s="21"/>
      <c r="E662" s="21"/>
      <c r="F662" s="21"/>
      <c r="G662" s="21"/>
      <c r="H662" s="21"/>
      <c r="I662" s="21"/>
      <c r="J662" s="21"/>
      <c r="K662" s="21"/>
      <c r="L662" s="21"/>
      <c r="M662" s="25"/>
      <c r="N662" s="25"/>
      <c r="O662" s="25"/>
      <c r="P662" s="26"/>
      <c r="Q662" s="437"/>
      <c r="R662" s="437"/>
      <c r="S662" s="437"/>
      <c r="T662" s="437"/>
      <c r="U662" s="437"/>
      <c r="V662" s="437"/>
      <c r="W662" s="437"/>
      <c r="X662" s="452"/>
      <c r="Y662" s="452"/>
      <c r="Z662" s="452"/>
      <c r="AA662" s="452"/>
      <c r="AB662" s="452"/>
      <c r="AC662" s="452"/>
    </row>
    <row r="663" spans="1:29" ht="12.75" customHeight="1" thickBot="1" x14ac:dyDescent="0.25">
      <c r="B663" s="21"/>
      <c r="C663" s="370"/>
      <c r="D663" s="32" t="s">
        <v>165</v>
      </c>
      <c r="E663" s="1250" t="str">
        <f>Translations!$B$670</f>
        <v>Vēsturiskie darbības līmeņi</v>
      </c>
      <c r="F663" s="1251"/>
      <c r="G663" s="1251"/>
      <c r="H663" s="1251"/>
      <c r="I663" s="1251"/>
      <c r="J663" s="1251"/>
      <c r="K663" s="1251"/>
      <c r="L663" s="1251"/>
      <c r="M663" s="1251"/>
      <c r="N663" s="1251"/>
      <c r="O663" s="25"/>
      <c r="P663" s="26"/>
      <c r="Q663" s="26"/>
      <c r="R663" s="26"/>
      <c r="S663" s="26"/>
      <c r="T663" s="26"/>
      <c r="U663" s="26"/>
      <c r="V663" s="26"/>
      <c r="W663" s="26"/>
      <c r="X663" s="624"/>
    </row>
    <row r="664" spans="1:29" ht="12.75" customHeight="1" thickBot="1" x14ac:dyDescent="0.25">
      <c r="B664" s="21"/>
      <c r="C664" s="384"/>
      <c r="D664" s="34"/>
      <c r="E664" s="1781" t="str">
        <f>Translations!$B$897</f>
        <v>Šeit ievadītajām vērtībām jāietver kvalificējošās emisijas no visām atlikumgāzēm (noteiktas D lapas IV sadaļā).</v>
      </c>
      <c r="F664" s="1781"/>
      <c r="G664" s="1781"/>
      <c r="H664" s="1781"/>
      <c r="I664" s="1781"/>
      <c r="J664" s="1781"/>
      <c r="K664" s="1781"/>
      <c r="L664" s="1781"/>
      <c r="M664" s="1781"/>
      <c r="N664" s="1781"/>
      <c r="O664" s="25"/>
      <c r="P664" s="26"/>
      <c r="Q664" s="439" t="s">
        <v>416</v>
      </c>
      <c r="R664" s="187" t="s">
        <v>229</v>
      </c>
      <c r="S664" s="188"/>
      <c r="T664" s="188"/>
      <c r="U664" s="188"/>
      <c r="V664" s="188"/>
      <c r="W664" s="188"/>
      <c r="X664" s="1187"/>
    </row>
    <row r="665" spans="1:29" ht="12.75" customHeight="1" thickBot="1" x14ac:dyDescent="0.25">
      <c r="B665" s="38"/>
      <c r="C665" s="370"/>
      <c r="D665" s="32"/>
      <c r="E665" s="1320" t="str">
        <f>Translations!$B$829</f>
        <v>Galvenais darbības līmenis:</v>
      </c>
      <c r="F665" s="1275"/>
      <c r="G665" s="1275"/>
      <c r="H665" s="52" t="str">
        <f>EUconst_Unit</f>
        <v>Vienība</v>
      </c>
      <c r="I665" s="412">
        <f>I$793</f>
        <v>2019</v>
      </c>
      <c r="J665" s="412">
        <f>J$793</f>
        <v>2020</v>
      </c>
      <c r="K665" s="412">
        <f>K$793</f>
        <v>2021</v>
      </c>
      <c r="L665" s="412">
        <f>L$793</f>
        <v>2022</v>
      </c>
      <c r="M665" s="412">
        <f>M$793</f>
        <v>2023</v>
      </c>
      <c r="N665" s="23"/>
      <c r="O665" s="25"/>
      <c r="P665" s="182" t="s">
        <v>228</v>
      </c>
      <c r="Q665" s="1024"/>
      <c r="R665" s="190" t="s">
        <v>629</v>
      </c>
      <c r="S665" s="183">
        <f>I665</f>
        <v>2019</v>
      </c>
      <c r="T665" s="134">
        <f>J665</f>
        <v>2020</v>
      </c>
      <c r="U665" s="134">
        <f>K665</f>
        <v>2021</v>
      </c>
      <c r="V665" s="134">
        <f>L665</f>
        <v>2022</v>
      </c>
      <c r="W665" s="134">
        <f>M665</f>
        <v>2023</v>
      </c>
      <c r="X665" s="1188"/>
      <c r="AC665" s="452" t="s">
        <v>450</v>
      </c>
    </row>
    <row r="666" spans="1:29" ht="12.75" customHeight="1" thickBot="1" x14ac:dyDescent="0.25">
      <c r="B666" s="38"/>
      <c r="C666" s="38"/>
      <c r="D666" s="38"/>
      <c r="E666" s="1782" t="str">
        <f>I658</f>
        <v>Procesa emisiju apakšiekārta (OEP | bez OIM)</v>
      </c>
      <c r="F666" s="1782"/>
      <c r="G666" s="1782"/>
      <c r="H666" s="116" t="str">
        <f>INDEX(EUconst_FallBackListUnits,MATCH(E666,EUconst_FallBackListNames,0))</f>
        <v>t CO2e</v>
      </c>
      <c r="I666" s="337"/>
      <c r="J666" s="337"/>
      <c r="K666" s="337"/>
      <c r="L666" s="337"/>
      <c r="M666" s="337"/>
      <c r="N666" s="23"/>
      <c r="O666" s="25"/>
      <c r="P666" s="185" t="str">
        <f>EUconst_CNTR_HAL&amp;E666</f>
        <v>HAL_Procesa emisiju apakšiekārta (OEP | bez OIM)</v>
      </c>
      <c r="Q666" s="186"/>
      <c r="R666" s="184" t="str">
        <f>IF(COUNT(S666:W666)&gt;0,MEDIAN(S666:W666),"")</f>
        <v/>
      </c>
      <c r="S666" s="189" t="str">
        <f>IF(S658,IF(ISNUMBER(I666),I666,0),"")</f>
        <v/>
      </c>
      <c r="T666" s="137" t="str">
        <f>IF(T658,IF(ISNUMBER(J666),J666,0),"")</f>
        <v/>
      </c>
      <c r="U666" s="137" t="str">
        <f>IF(U658,IF(ISNUMBER(K666),K666,0),"")</f>
        <v/>
      </c>
      <c r="V666" s="137" t="str">
        <f>IF(V658,IF(ISNUMBER(L666),L666,0),"")</f>
        <v/>
      </c>
      <c r="W666" s="137" t="str">
        <f>IF(W658,IF(ISNUMBER(M666),M666,0),"")</f>
        <v/>
      </c>
      <c r="X666" s="1189"/>
      <c r="Y666" s="1190" t="s">
        <v>574</v>
      </c>
      <c r="Z666" s="709" t="b">
        <f>IF(M658&lt;&gt;EUconst_Relevant,FALSE,INDEX(CNTR_SubInstLess1Year,MATCH(I658,CNTR_SubInstListNames,0)))</f>
        <v>0</v>
      </c>
      <c r="AC666" s="927" t="b">
        <f>IF(CNTR_ExistSubInstEntries,IF(M658=EUconst_Relevant,INDEX(CNTR_SubInstLess1Year,MATCH(I658,CNTR_SubInstListNames,0)),TRUE),FALSE)</f>
        <v>0</v>
      </c>
    </row>
    <row r="667" spans="1:29" ht="12.75" customHeight="1" x14ac:dyDescent="0.2">
      <c r="B667" s="38"/>
      <c r="C667" s="23"/>
      <c r="D667" s="23"/>
      <c r="E667" s="23"/>
      <c r="F667" s="23"/>
      <c r="G667" s="23"/>
      <c r="H667" s="23"/>
      <c r="I667" s="23"/>
      <c r="J667" s="23"/>
      <c r="K667" s="23"/>
      <c r="L667" s="23"/>
      <c r="M667" s="23"/>
      <c r="N667" s="23"/>
      <c r="O667" s="25"/>
    </row>
    <row r="668" spans="1:29" ht="15" x14ac:dyDescent="0.25">
      <c r="B668" s="38"/>
      <c r="C668" s="383"/>
      <c r="D668" s="1318" t="str">
        <f>Translations!$B$700</f>
        <v>Ražošanas dati</v>
      </c>
      <c r="E668" s="1251"/>
      <c r="F668" s="1251"/>
      <c r="G668" s="1251"/>
      <c r="H668" s="1251"/>
      <c r="I668" s="1251"/>
      <c r="J668" s="1251"/>
      <c r="K668" s="1251"/>
      <c r="L668" s="1251"/>
      <c r="M668" s="1251"/>
      <c r="N668" s="1251"/>
      <c r="O668" s="25"/>
      <c r="Y668" s="624"/>
      <c r="Z668" s="624"/>
      <c r="AB668" s="624"/>
    </row>
    <row r="669" spans="1:29" ht="5.0999999999999996" customHeight="1" x14ac:dyDescent="0.2">
      <c r="B669" s="21"/>
      <c r="C669" s="23"/>
      <c r="D669" s="21"/>
      <c r="E669" s="21"/>
      <c r="F669" s="21"/>
      <c r="G669" s="21"/>
      <c r="H669" s="21"/>
      <c r="I669" s="21"/>
      <c r="J669" s="21"/>
      <c r="K669" s="21"/>
      <c r="L669" s="21"/>
      <c r="M669" s="21"/>
      <c r="N669" s="21"/>
      <c r="O669" s="25"/>
      <c r="P669" s="26"/>
      <c r="Q669" s="26"/>
    </row>
    <row r="670" spans="1:29" s="697" customFormat="1" x14ac:dyDescent="0.2">
      <c r="A670" s="452"/>
      <c r="B670" s="21"/>
      <c r="C670" s="370"/>
      <c r="D670" s="32" t="s">
        <v>339</v>
      </c>
      <c r="E670" s="1250" t="str">
        <f>Translations!$B$830</f>
        <v>Ar šo apakšiekārtu saistīto relevanto produktu vai pakalpojumu identificēšana</v>
      </c>
      <c r="F670" s="1251"/>
      <c r="G670" s="1251"/>
      <c r="H670" s="1251"/>
      <c r="I670" s="1251"/>
      <c r="J670" s="1251"/>
      <c r="K670" s="1251"/>
      <c r="L670" s="1251"/>
      <c r="M670" s="1251"/>
      <c r="N670" s="1251"/>
      <c r="O670" s="25"/>
      <c r="P670" s="26"/>
      <c r="Q670" s="437"/>
      <c r="R670" s="437"/>
      <c r="S670" s="437"/>
      <c r="T670" s="437"/>
      <c r="U670" s="437"/>
      <c r="V670" s="437"/>
      <c r="W670" s="437"/>
      <c r="X670" s="452"/>
      <c r="Y670" s="452"/>
      <c r="Z670" s="452"/>
      <c r="AA670" s="452"/>
      <c r="AB670" s="452"/>
      <c r="AC670" s="452"/>
    </row>
    <row r="671" spans="1:29" s="697" customFormat="1" x14ac:dyDescent="0.2">
      <c r="A671" s="452"/>
      <c r="B671" s="21"/>
      <c r="C671" s="21"/>
      <c r="D671" s="34"/>
      <c r="E671" s="1319" t="str">
        <f>Translations!$B$898</f>
        <v>Šāda veida apakšiekārtas vienmēr attiecas uz tādu preču ražošanu iekārtā, uz kurām neattiecas produktu līmeņatzīmes.</v>
      </c>
      <c r="F671" s="1251"/>
      <c r="G671" s="1251"/>
      <c r="H671" s="1251"/>
      <c r="I671" s="1251"/>
      <c r="J671" s="1251"/>
      <c r="K671" s="1251"/>
      <c r="L671" s="1251"/>
      <c r="M671" s="1251"/>
      <c r="N671" s="1251"/>
      <c r="O671" s="25"/>
      <c r="P671" s="26"/>
      <c r="Q671" s="26"/>
      <c r="R671" s="26"/>
      <c r="S671" s="26"/>
      <c r="T671" s="26"/>
      <c r="U671" s="26"/>
      <c r="V671" s="26"/>
      <c r="W671" s="26"/>
      <c r="X671" s="624"/>
      <c r="Y671" s="452"/>
      <c r="Z671" s="452"/>
      <c r="AA671" s="452"/>
      <c r="AB671" s="452"/>
      <c r="AC671" s="452"/>
    </row>
    <row r="672" spans="1:29" s="697" customFormat="1" ht="5.0999999999999996" customHeight="1" x14ac:dyDescent="0.2">
      <c r="A672" s="452"/>
      <c r="B672" s="21"/>
      <c r="C672" s="23"/>
      <c r="D672" s="21"/>
      <c r="E672" s="21"/>
      <c r="F672" s="21"/>
      <c r="G672" s="21"/>
      <c r="H672" s="21"/>
      <c r="I672" s="21"/>
      <c r="J672" s="21"/>
      <c r="K672" s="21"/>
      <c r="L672" s="21"/>
      <c r="M672" s="21"/>
      <c r="N672" s="21"/>
      <c r="O672" s="25"/>
      <c r="P672" s="26"/>
      <c r="Q672" s="26"/>
      <c r="R672" s="437"/>
      <c r="S672" s="437"/>
      <c r="T672" s="437"/>
      <c r="U672" s="437"/>
      <c r="V672" s="437"/>
      <c r="W672" s="437"/>
      <c r="X672" s="452"/>
      <c r="Y672" s="452"/>
      <c r="Z672" s="452"/>
      <c r="AA672" s="452"/>
      <c r="AB672" s="452"/>
      <c r="AC672" s="452"/>
    </row>
    <row r="673" spans="1:29" s="697" customFormat="1" ht="25.5" customHeight="1" thickBot="1" x14ac:dyDescent="0.25">
      <c r="A673" s="452"/>
      <c r="B673" s="414"/>
      <c r="C673" s="34"/>
      <c r="D673" s="360"/>
      <c r="E673" s="1118" t="str">
        <f>Translations!$B$899</f>
        <v>Procesa emisiju veids</v>
      </c>
      <c r="F673" s="1119"/>
      <c r="G673" s="1120"/>
      <c r="H673" s="1774" t="str">
        <f>Translations!$B$886</f>
        <v>Produkta nosaukums vai pakalpojuma veids</v>
      </c>
      <c r="I673" s="1775"/>
      <c r="J673" s="1775"/>
      <c r="K673" s="1775"/>
      <c r="L673" s="1776"/>
      <c r="M673" s="1121" t="str">
        <f>Translations!$B$1668</f>
        <v>PRODCOM 2010</v>
      </c>
      <c r="N673" s="1122" t="str">
        <f>Translations!$B$1669</f>
        <v>KN kodi</v>
      </c>
      <c r="O673" s="25"/>
      <c r="P673" s="437"/>
      <c r="Q673" s="437"/>
      <c r="R673" s="26"/>
      <c r="S673" s="887">
        <f>I665</f>
        <v>2019</v>
      </c>
      <c r="T673" s="887">
        <f>J665</f>
        <v>2020</v>
      </c>
      <c r="U673" s="887">
        <f>K665</f>
        <v>2021</v>
      </c>
      <c r="V673" s="887">
        <f>L665</f>
        <v>2022</v>
      </c>
      <c r="W673" s="887">
        <f>M665</f>
        <v>2023</v>
      </c>
      <c r="X673" s="452"/>
      <c r="Y673" s="452"/>
      <c r="Z673" s="452"/>
      <c r="AA673" s="452"/>
      <c r="AB673" s="452"/>
      <c r="AC673" s="452"/>
    </row>
    <row r="674" spans="1:29" s="697" customFormat="1" ht="13.5" thickBot="1" x14ac:dyDescent="0.25">
      <c r="A674" s="452"/>
      <c r="B674" s="414"/>
      <c r="C674" s="34"/>
      <c r="D674" s="589">
        <v>1</v>
      </c>
      <c r="E674" s="1705"/>
      <c r="F674" s="1777"/>
      <c r="G674" s="1778"/>
      <c r="H674" s="1371"/>
      <c r="I674" s="1779"/>
      <c r="J674" s="1779"/>
      <c r="K674" s="1779"/>
      <c r="L674" s="1780"/>
      <c r="M674" s="558"/>
      <c r="N674" s="1084"/>
      <c r="O674" s="25"/>
      <c r="P674" s="437"/>
      <c r="Q674" s="437"/>
      <c r="R674" s="873" t="str">
        <f>EUconst_CNTR_AttributedEmissions &amp;I658</f>
        <v>AttrEmissions_Procesa emisiju apakšiekārta (OEP | bez OIM)</v>
      </c>
      <c r="S674" s="134" t="str">
        <f>IF(S658,SUM(I666),"")</f>
        <v/>
      </c>
      <c r="T674" s="134" t="str">
        <f>IF(T658,SUM(J666),"")</f>
        <v/>
      </c>
      <c r="U674" s="134" t="str">
        <f>IF(U658,SUM(K666),"")</f>
        <v/>
      </c>
      <c r="V674" s="134" t="str">
        <f>IF(V658,SUM(L666),"")</f>
        <v/>
      </c>
      <c r="W674" s="134" t="str">
        <f>IF(W658,SUM(M666),"")</f>
        <v/>
      </c>
      <c r="X674" s="452"/>
      <c r="Y674" s="452"/>
      <c r="Z674" s="452"/>
      <c r="AA674" s="452"/>
      <c r="AB674" s="452"/>
      <c r="AC674" s="630" t="b">
        <f>IF(CNTR_ExistSubInstEntries,M658=EUconst_NotRelevant)</f>
        <v>0</v>
      </c>
    </row>
    <row r="675" spans="1:29" s="697" customFormat="1" x14ac:dyDescent="0.2">
      <c r="A675" s="452"/>
      <c r="B675" s="414"/>
      <c r="C675" s="34"/>
      <c r="D675" s="590">
        <f>D674+1</f>
        <v>2</v>
      </c>
      <c r="E675" s="1707"/>
      <c r="F675" s="1770"/>
      <c r="G675" s="1771"/>
      <c r="H675" s="1361"/>
      <c r="I675" s="1772"/>
      <c r="J675" s="1772"/>
      <c r="K675" s="1772"/>
      <c r="L675" s="1773"/>
      <c r="M675" s="559"/>
      <c r="N675" s="1085"/>
      <c r="O675" s="25"/>
      <c r="P675" s="437"/>
      <c r="Q675" s="437"/>
      <c r="R675" s="437"/>
      <c r="S675" s="437"/>
      <c r="T675" s="437"/>
      <c r="U675" s="437"/>
      <c r="V675" s="437"/>
      <c r="W675" s="437"/>
      <c r="X675" s="452"/>
      <c r="Y675" s="452"/>
      <c r="Z675" s="452"/>
      <c r="AA675" s="452"/>
      <c r="AB675" s="452"/>
      <c r="AC675" s="452"/>
    </row>
    <row r="676" spans="1:29" s="697" customFormat="1" x14ac:dyDescent="0.2">
      <c r="A676" s="452"/>
      <c r="B676" s="414"/>
      <c r="C676" s="34"/>
      <c r="D676" s="590">
        <f t="shared" ref="D676:D683" si="22">D675+1</f>
        <v>3</v>
      </c>
      <c r="E676" s="1707"/>
      <c r="F676" s="1770"/>
      <c r="G676" s="1771"/>
      <c r="H676" s="1361"/>
      <c r="I676" s="1772"/>
      <c r="J676" s="1772"/>
      <c r="K676" s="1772"/>
      <c r="L676" s="1773"/>
      <c r="M676" s="559"/>
      <c r="N676" s="1085"/>
      <c r="O676" s="25"/>
      <c r="P676" s="437"/>
      <c r="Q676" s="437"/>
      <c r="R676" s="437"/>
      <c r="S676" s="437"/>
      <c r="T676" s="437"/>
      <c r="U676" s="437"/>
      <c r="V676" s="437"/>
      <c r="W676" s="437"/>
      <c r="X676" s="452"/>
      <c r="Y676" s="452"/>
      <c r="Z676" s="452"/>
      <c r="AA676" s="452"/>
      <c r="AB676" s="452"/>
      <c r="AC676" s="452"/>
    </row>
    <row r="677" spans="1:29" s="697" customFormat="1" x14ac:dyDescent="0.2">
      <c r="A677" s="452"/>
      <c r="B677" s="414"/>
      <c r="C677" s="34"/>
      <c r="D677" s="590">
        <f t="shared" si="22"/>
        <v>4</v>
      </c>
      <c r="E677" s="1707"/>
      <c r="F677" s="1770"/>
      <c r="G677" s="1771"/>
      <c r="H677" s="1361"/>
      <c r="I677" s="1772"/>
      <c r="J677" s="1772"/>
      <c r="K677" s="1772"/>
      <c r="L677" s="1773"/>
      <c r="M677" s="559"/>
      <c r="N677" s="1085"/>
      <c r="O677" s="25"/>
      <c r="P677" s="437"/>
      <c r="Q677" s="437"/>
      <c r="R677" s="437"/>
      <c r="S677" s="437"/>
      <c r="T677" s="437"/>
      <c r="U677" s="437"/>
      <c r="V677" s="437"/>
      <c r="W677" s="437"/>
      <c r="X677" s="452"/>
      <c r="Y677" s="452"/>
      <c r="Z677" s="452"/>
      <c r="AA677" s="452"/>
      <c r="AB677" s="452"/>
      <c r="AC677" s="452"/>
    </row>
    <row r="678" spans="1:29" s="697" customFormat="1" x14ac:dyDescent="0.2">
      <c r="A678" s="452"/>
      <c r="B678" s="414"/>
      <c r="C678" s="34"/>
      <c r="D678" s="590">
        <f t="shared" si="22"/>
        <v>5</v>
      </c>
      <c r="E678" s="1707"/>
      <c r="F678" s="1770"/>
      <c r="G678" s="1771"/>
      <c r="H678" s="1361"/>
      <c r="I678" s="1772"/>
      <c r="J678" s="1772"/>
      <c r="K678" s="1772"/>
      <c r="L678" s="1773"/>
      <c r="M678" s="559"/>
      <c r="N678" s="1085"/>
      <c r="O678" s="25"/>
      <c r="P678" s="437"/>
      <c r="Q678" s="437"/>
      <c r="R678" s="437"/>
      <c r="S678" s="437"/>
      <c r="T678" s="437"/>
      <c r="U678" s="437"/>
      <c r="V678" s="437"/>
      <c r="W678" s="437"/>
      <c r="X678" s="452"/>
      <c r="Y678" s="452"/>
      <c r="Z678" s="452"/>
      <c r="AA678" s="452"/>
      <c r="AB678" s="452"/>
      <c r="AC678" s="452"/>
    </row>
    <row r="679" spans="1:29" s="697" customFormat="1" x14ac:dyDescent="0.2">
      <c r="A679" s="452"/>
      <c r="B679" s="414"/>
      <c r="C679" s="34"/>
      <c r="D679" s="590">
        <f t="shared" si="22"/>
        <v>6</v>
      </c>
      <c r="E679" s="1707"/>
      <c r="F679" s="1770"/>
      <c r="G679" s="1771"/>
      <c r="H679" s="1361"/>
      <c r="I679" s="1772"/>
      <c r="J679" s="1772"/>
      <c r="K679" s="1772"/>
      <c r="L679" s="1773"/>
      <c r="M679" s="559"/>
      <c r="N679" s="1085"/>
      <c r="O679" s="25"/>
      <c r="P679" s="437"/>
      <c r="Q679" s="437"/>
      <c r="R679" s="437"/>
      <c r="S679" s="437"/>
      <c r="T679" s="437"/>
      <c r="U679" s="437"/>
      <c r="V679" s="437"/>
      <c r="W679" s="437"/>
      <c r="X679" s="452"/>
      <c r="Y679" s="452"/>
      <c r="Z679" s="452"/>
      <c r="AA679" s="452"/>
      <c r="AB679" s="452"/>
      <c r="AC679" s="452"/>
    </row>
    <row r="680" spans="1:29" s="697" customFormat="1" x14ac:dyDescent="0.2">
      <c r="A680" s="452"/>
      <c r="B680" s="414"/>
      <c r="C680" s="34"/>
      <c r="D680" s="590">
        <f t="shared" si="22"/>
        <v>7</v>
      </c>
      <c r="E680" s="1707"/>
      <c r="F680" s="1770"/>
      <c r="G680" s="1771"/>
      <c r="H680" s="1361"/>
      <c r="I680" s="1772"/>
      <c r="J680" s="1772"/>
      <c r="K680" s="1772"/>
      <c r="L680" s="1773"/>
      <c r="M680" s="559"/>
      <c r="N680" s="1085"/>
      <c r="O680" s="25"/>
      <c r="P680" s="437"/>
      <c r="Q680" s="437"/>
      <c r="R680" s="437"/>
      <c r="S680" s="437"/>
      <c r="T680" s="437"/>
      <c r="U680" s="437"/>
      <c r="V680" s="437"/>
      <c r="W680" s="437"/>
      <c r="X680" s="452"/>
      <c r="Y680" s="452"/>
      <c r="Z680" s="452"/>
      <c r="AA680" s="452"/>
      <c r="AB680" s="452"/>
      <c r="AC680" s="452"/>
    </row>
    <row r="681" spans="1:29" s="697" customFormat="1" x14ac:dyDescent="0.2">
      <c r="A681" s="452"/>
      <c r="B681" s="414"/>
      <c r="C681" s="34"/>
      <c r="D681" s="590">
        <f t="shared" si="22"/>
        <v>8</v>
      </c>
      <c r="E681" s="1707"/>
      <c r="F681" s="1770"/>
      <c r="G681" s="1771"/>
      <c r="H681" s="1361"/>
      <c r="I681" s="1772"/>
      <c r="J681" s="1772"/>
      <c r="K681" s="1772"/>
      <c r="L681" s="1773"/>
      <c r="M681" s="559"/>
      <c r="N681" s="1085"/>
      <c r="O681" s="25"/>
      <c r="P681" s="437"/>
      <c r="Q681" s="437"/>
      <c r="R681" s="437"/>
      <c r="S681" s="437"/>
      <c r="T681" s="437"/>
      <c r="U681" s="437"/>
      <c r="V681" s="437"/>
      <c r="W681" s="437"/>
      <c r="X681" s="452"/>
      <c r="Y681" s="452"/>
      <c r="Z681" s="452"/>
      <c r="AA681" s="452"/>
      <c r="AB681" s="452"/>
      <c r="AC681" s="452"/>
    </row>
    <row r="682" spans="1:29" s="697" customFormat="1" x14ac:dyDescent="0.2">
      <c r="A682" s="452"/>
      <c r="B682" s="414"/>
      <c r="C682" s="34"/>
      <c r="D682" s="590">
        <f t="shared" si="22"/>
        <v>9</v>
      </c>
      <c r="E682" s="1707"/>
      <c r="F682" s="1770"/>
      <c r="G682" s="1771"/>
      <c r="H682" s="1361"/>
      <c r="I682" s="1772"/>
      <c r="J682" s="1772"/>
      <c r="K682" s="1772"/>
      <c r="L682" s="1773"/>
      <c r="M682" s="559"/>
      <c r="N682" s="1085"/>
      <c r="O682" s="25"/>
      <c r="P682" s="437"/>
      <c r="Q682" s="437"/>
      <c r="R682" s="437"/>
      <c r="S682" s="437"/>
      <c r="T682" s="437"/>
      <c r="U682" s="437"/>
      <c r="V682" s="437"/>
      <c r="W682" s="437"/>
      <c r="X682" s="452"/>
      <c r="Y682" s="452"/>
      <c r="Z682" s="452"/>
      <c r="AA682" s="452"/>
      <c r="AB682" s="452"/>
      <c r="AC682" s="452"/>
    </row>
    <row r="683" spans="1:29" s="697" customFormat="1" x14ac:dyDescent="0.2">
      <c r="A683" s="452"/>
      <c r="B683" s="414"/>
      <c r="C683" s="34"/>
      <c r="D683" s="592">
        <f t="shared" si="22"/>
        <v>10</v>
      </c>
      <c r="E683" s="1762"/>
      <c r="F683" s="1763"/>
      <c r="G683" s="1764"/>
      <c r="H683" s="1359"/>
      <c r="I683" s="1765"/>
      <c r="J683" s="1765"/>
      <c r="K683" s="1765"/>
      <c r="L683" s="1766"/>
      <c r="M683" s="560"/>
      <c r="N683" s="1086"/>
      <c r="O683" s="25"/>
      <c r="P683" s="437"/>
      <c r="Q683" s="437"/>
      <c r="R683" s="437"/>
      <c r="S683" s="437"/>
      <c r="T683" s="437"/>
      <c r="U683" s="437"/>
      <c r="V683" s="437"/>
      <c r="W683" s="437"/>
      <c r="X683" s="452"/>
      <c r="Y683" s="452"/>
      <c r="Z683" s="452"/>
      <c r="AA683" s="452"/>
      <c r="AB683" s="452"/>
      <c r="AC683" s="452"/>
    </row>
    <row r="684" spans="1:29" s="697" customFormat="1" ht="5.0999999999999996" customHeight="1" x14ac:dyDescent="0.2">
      <c r="A684" s="452"/>
      <c r="B684" s="21"/>
      <c r="C684" s="384"/>
      <c r="D684" s="34"/>
      <c r="E684" s="35"/>
      <c r="F684" s="35"/>
      <c r="G684" s="35"/>
      <c r="H684" s="35"/>
      <c r="I684" s="35"/>
      <c r="J684" s="39"/>
      <c r="K684" s="39"/>
      <c r="L684" s="39"/>
      <c r="M684" s="25"/>
      <c r="N684" s="25"/>
      <c r="O684" s="25"/>
      <c r="P684" s="26"/>
      <c r="Q684" s="437"/>
      <c r="R684" s="437"/>
      <c r="S684" s="437"/>
      <c r="T684" s="437"/>
      <c r="U684" s="437"/>
      <c r="V684" s="437"/>
      <c r="W684" s="437"/>
      <c r="X684" s="452"/>
      <c r="Y684" s="452"/>
      <c r="Z684" s="452"/>
      <c r="AA684" s="452"/>
      <c r="AB684" s="452"/>
      <c r="AC684" s="452"/>
    </row>
    <row r="685" spans="1:29" s="697" customFormat="1" ht="12.75" customHeight="1" x14ac:dyDescent="0.2">
      <c r="A685" s="452"/>
      <c r="B685" s="21"/>
      <c r="C685" s="370"/>
      <c r="D685" s="32" t="s">
        <v>11</v>
      </c>
      <c r="E685" s="1250" t="str">
        <f>Translations!$B$840</f>
        <v>Ražošanas līmeņi</v>
      </c>
      <c r="F685" s="1251"/>
      <c r="G685" s="1251"/>
      <c r="H685" s="1251"/>
      <c r="I685" s="1251"/>
      <c r="J685" s="1251"/>
      <c r="K685" s="1251"/>
      <c r="L685" s="1251"/>
      <c r="M685" s="1251"/>
      <c r="N685" s="1251"/>
      <c r="O685" s="25"/>
      <c r="P685" s="26"/>
      <c r="Q685" s="437"/>
      <c r="R685" s="437"/>
      <c r="S685" s="437"/>
      <c r="T685" s="437"/>
      <c r="U685" s="437"/>
      <c r="V685" s="437"/>
      <c r="W685" s="437"/>
      <c r="X685" s="452"/>
      <c r="Y685" s="452"/>
      <c r="Z685" s="452"/>
      <c r="AA685" s="452"/>
      <c r="AB685" s="452"/>
      <c r="AC685" s="452"/>
    </row>
    <row r="686" spans="1:29" s="697" customFormat="1" ht="5.0999999999999996" customHeight="1" x14ac:dyDescent="0.2">
      <c r="A686" s="452"/>
      <c r="B686" s="21"/>
      <c r="C686" s="23"/>
      <c r="D686" s="21"/>
      <c r="E686" s="21"/>
      <c r="F686" s="21"/>
      <c r="G686" s="21"/>
      <c r="H686" s="21"/>
      <c r="I686" s="21"/>
      <c r="J686" s="21"/>
      <c r="K686" s="21"/>
      <c r="L686" s="21"/>
      <c r="M686" s="21"/>
      <c r="N686" s="25"/>
      <c r="O686" s="25"/>
      <c r="P686" s="26"/>
      <c r="Q686" s="26"/>
      <c r="R686" s="437"/>
      <c r="S686" s="437"/>
      <c r="T686" s="437"/>
      <c r="U686" s="437"/>
      <c r="V686" s="437"/>
      <c r="W686" s="437"/>
      <c r="X686" s="452"/>
      <c r="Y686" s="452"/>
      <c r="Z686" s="452"/>
      <c r="AA686" s="452"/>
      <c r="AB686" s="452"/>
      <c r="AC686" s="452"/>
    </row>
    <row r="687" spans="1:29" s="697" customFormat="1" x14ac:dyDescent="0.2">
      <c r="A687" s="452"/>
      <c r="B687" s="414"/>
      <c r="C687" s="370"/>
      <c r="D687" s="360"/>
      <c r="E687" s="1767" t="str">
        <f>Translations!$B$886</f>
        <v>Produkta nosaukums vai pakalpojuma veids</v>
      </c>
      <c r="F687" s="1275"/>
      <c r="G687" s="1460"/>
      <c r="H687" s="52" t="str">
        <f>EUconst_Unit</f>
        <v>Vienība</v>
      </c>
      <c r="I687" s="412">
        <f>I$793</f>
        <v>2019</v>
      </c>
      <c r="J687" s="412">
        <f>J$793</f>
        <v>2020</v>
      </c>
      <c r="K687" s="412">
        <f>K$793</f>
        <v>2021</v>
      </c>
      <c r="L687" s="412">
        <f>L$793</f>
        <v>2022</v>
      </c>
      <c r="M687" s="412">
        <f>M$793</f>
        <v>2023</v>
      </c>
      <c r="N687" s="25"/>
      <c r="O687" s="25"/>
      <c r="P687" s="437"/>
      <c r="Q687" s="437"/>
      <c r="R687" s="437"/>
      <c r="S687" s="437"/>
      <c r="T687" s="437"/>
      <c r="U687" s="437"/>
      <c r="V687" s="437"/>
      <c r="W687" s="437"/>
      <c r="X687" s="452"/>
      <c r="Y687" s="452"/>
      <c r="Z687" s="452"/>
      <c r="AA687" s="452"/>
      <c r="AB687" s="452"/>
      <c r="AC687" s="452"/>
    </row>
    <row r="688" spans="1:29" ht="12.75" customHeight="1" x14ac:dyDescent="0.2">
      <c r="B688" s="38"/>
      <c r="C688" s="68"/>
      <c r="D688" s="55">
        <v>1</v>
      </c>
      <c r="E688" s="1748" t="str">
        <f t="shared" ref="E688:E697" si="23">IF(ISBLANK(H674),"",H674)</f>
        <v/>
      </c>
      <c r="F688" s="1768"/>
      <c r="G688" s="1769"/>
      <c r="H688" s="763"/>
      <c r="I688" s="484"/>
      <c r="J688" s="484"/>
      <c r="K688" s="484"/>
      <c r="L688" s="484"/>
      <c r="M688" s="484"/>
      <c r="N688" s="25"/>
      <c r="O688" s="25"/>
    </row>
    <row r="689" spans="1:29" ht="12.75" customHeight="1" x14ac:dyDescent="0.2">
      <c r="B689" s="38"/>
      <c r="C689" s="68"/>
      <c r="D689" s="56">
        <f>D688+1</f>
        <v>2</v>
      </c>
      <c r="E689" s="1754" t="str">
        <f t="shared" si="23"/>
        <v/>
      </c>
      <c r="F689" s="1755"/>
      <c r="G689" s="1756"/>
      <c r="H689" s="764"/>
      <c r="I689" s="557"/>
      <c r="J689" s="557"/>
      <c r="K689" s="557"/>
      <c r="L689" s="557"/>
      <c r="M689" s="557"/>
      <c r="N689" s="25"/>
      <c r="O689" s="25"/>
    </row>
    <row r="690" spans="1:29" ht="12.75" customHeight="1" x14ac:dyDescent="0.2">
      <c r="B690" s="38"/>
      <c r="C690" s="68"/>
      <c r="D690" s="56">
        <f t="shared" ref="D690:D697" si="24">D689+1</f>
        <v>3</v>
      </c>
      <c r="E690" s="1754" t="str">
        <f t="shared" si="23"/>
        <v/>
      </c>
      <c r="F690" s="1755"/>
      <c r="G690" s="1756"/>
      <c r="H690" s="764"/>
      <c r="I690" s="557"/>
      <c r="J690" s="557"/>
      <c r="K690" s="557"/>
      <c r="L690" s="557"/>
      <c r="M690" s="557"/>
      <c r="N690" s="25"/>
      <c r="O690" s="25"/>
    </row>
    <row r="691" spans="1:29" ht="12.75" customHeight="1" x14ac:dyDescent="0.2">
      <c r="B691" s="38"/>
      <c r="C691" s="68"/>
      <c r="D691" s="56">
        <f t="shared" si="24"/>
        <v>4</v>
      </c>
      <c r="E691" s="1754" t="str">
        <f t="shared" si="23"/>
        <v/>
      </c>
      <c r="F691" s="1755"/>
      <c r="G691" s="1756"/>
      <c r="H691" s="764"/>
      <c r="I691" s="557"/>
      <c r="J691" s="557"/>
      <c r="K691" s="557"/>
      <c r="L691" s="557"/>
      <c r="M691" s="557"/>
      <c r="N691" s="25"/>
      <c r="O691" s="25"/>
    </row>
    <row r="692" spans="1:29" ht="12.75" customHeight="1" x14ac:dyDescent="0.2">
      <c r="B692" s="38"/>
      <c r="C692" s="68"/>
      <c r="D692" s="56">
        <f t="shared" si="24"/>
        <v>5</v>
      </c>
      <c r="E692" s="1754" t="str">
        <f t="shared" si="23"/>
        <v/>
      </c>
      <c r="F692" s="1755"/>
      <c r="G692" s="1756"/>
      <c r="H692" s="764"/>
      <c r="I692" s="557"/>
      <c r="J692" s="557"/>
      <c r="K692" s="557"/>
      <c r="L692" s="557"/>
      <c r="M692" s="557"/>
      <c r="N692" s="25"/>
      <c r="O692" s="25"/>
    </row>
    <row r="693" spans="1:29" ht="12.75" customHeight="1" x14ac:dyDescent="0.2">
      <c r="B693" s="38"/>
      <c r="C693" s="68"/>
      <c r="D693" s="56">
        <f t="shared" si="24"/>
        <v>6</v>
      </c>
      <c r="E693" s="1754" t="str">
        <f t="shared" si="23"/>
        <v/>
      </c>
      <c r="F693" s="1755"/>
      <c r="G693" s="1756"/>
      <c r="H693" s="764"/>
      <c r="I693" s="557"/>
      <c r="J693" s="557"/>
      <c r="K693" s="557"/>
      <c r="L693" s="557"/>
      <c r="M693" s="557"/>
      <c r="N693" s="25"/>
      <c r="O693" s="25"/>
    </row>
    <row r="694" spans="1:29" ht="12.75" customHeight="1" x14ac:dyDescent="0.2">
      <c r="B694" s="38"/>
      <c r="C694" s="68"/>
      <c r="D694" s="56">
        <f t="shared" si="24"/>
        <v>7</v>
      </c>
      <c r="E694" s="1754" t="str">
        <f t="shared" si="23"/>
        <v/>
      </c>
      <c r="F694" s="1755"/>
      <c r="G694" s="1756"/>
      <c r="H694" s="764"/>
      <c r="I694" s="557"/>
      <c r="J694" s="557"/>
      <c r="K694" s="557"/>
      <c r="L694" s="557"/>
      <c r="M694" s="557"/>
      <c r="N694" s="25"/>
      <c r="O694" s="25"/>
    </row>
    <row r="695" spans="1:29" ht="12.75" customHeight="1" x14ac:dyDescent="0.2">
      <c r="B695" s="38"/>
      <c r="C695" s="68"/>
      <c r="D695" s="56">
        <f t="shared" si="24"/>
        <v>8</v>
      </c>
      <c r="E695" s="1754" t="str">
        <f t="shared" si="23"/>
        <v/>
      </c>
      <c r="F695" s="1755"/>
      <c r="G695" s="1756"/>
      <c r="H695" s="764"/>
      <c r="I695" s="557"/>
      <c r="J695" s="557"/>
      <c r="K695" s="557"/>
      <c r="L695" s="557"/>
      <c r="M695" s="557"/>
      <c r="N695" s="25"/>
      <c r="O695" s="25"/>
    </row>
    <row r="696" spans="1:29" ht="12.75" customHeight="1" x14ac:dyDescent="0.2">
      <c r="B696" s="38"/>
      <c r="C696" s="68"/>
      <c r="D696" s="56">
        <f t="shared" si="24"/>
        <v>9</v>
      </c>
      <c r="E696" s="1754" t="str">
        <f t="shared" si="23"/>
        <v/>
      </c>
      <c r="F696" s="1755"/>
      <c r="G696" s="1756"/>
      <c r="H696" s="764"/>
      <c r="I696" s="557"/>
      <c r="J696" s="557"/>
      <c r="K696" s="557"/>
      <c r="L696" s="557"/>
      <c r="M696" s="557"/>
      <c r="N696" s="25"/>
      <c r="O696" s="25"/>
    </row>
    <row r="697" spans="1:29" ht="12.75" customHeight="1" x14ac:dyDescent="0.2">
      <c r="B697" s="38"/>
      <c r="C697" s="68"/>
      <c r="D697" s="59">
        <f t="shared" si="24"/>
        <v>10</v>
      </c>
      <c r="E697" s="1757" t="str">
        <f t="shared" si="23"/>
        <v/>
      </c>
      <c r="F697" s="1758"/>
      <c r="G697" s="1759"/>
      <c r="H697" s="765"/>
      <c r="I697" s="458"/>
      <c r="J697" s="458"/>
      <c r="K697" s="458"/>
      <c r="L697" s="458"/>
      <c r="M697" s="458"/>
      <c r="N697" s="25"/>
      <c r="O697" s="25"/>
    </row>
    <row r="698" spans="1:29" ht="12.75" customHeight="1" x14ac:dyDescent="0.2">
      <c r="B698" s="38"/>
      <c r="C698" s="38"/>
      <c r="D698" s="115"/>
      <c r="E698" s="1760" t="str">
        <f>Translations!$B$708</f>
        <v>Ražošanas līmeņu summa</v>
      </c>
      <c r="F698" s="1457"/>
      <c r="G698" s="1259"/>
      <c r="H698" s="250"/>
      <c r="I698" s="343" t="str">
        <f>IF(COUNT(I688:I697)&gt;0,SUM(I688:I697),"")</f>
        <v/>
      </c>
      <c r="J698" s="343" t="str">
        <f>IF(COUNT(J688:J697)&gt;0,SUM(J688:J697),"")</f>
        <v/>
      </c>
      <c r="K698" s="343" t="str">
        <f>IF(COUNT(K688:K697)&gt;0,SUM(K688:K697),"")</f>
        <v/>
      </c>
      <c r="L698" s="343" t="str">
        <f>IF(COUNT(L688:L697)&gt;0,SUM(L688:L697),"")</f>
        <v/>
      </c>
      <c r="M698" s="343" t="str">
        <f>IF(COUNT(M688:M697)&gt;0,SUM(M688:M697),"")</f>
        <v/>
      </c>
      <c r="N698" s="25"/>
      <c r="O698" s="25"/>
    </row>
    <row r="699" spans="1:29" ht="25.5" customHeight="1" thickBot="1" x14ac:dyDescent="0.25">
      <c r="B699" s="38"/>
      <c r="C699" s="38"/>
      <c r="D699" s="38"/>
      <c r="E699" s="38"/>
      <c r="F699" s="38"/>
      <c r="G699" s="38"/>
      <c r="H699" s="38"/>
      <c r="I699" s="38"/>
      <c r="J699" s="38"/>
      <c r="K699" s="38"/>
      <c r="L699" s="38"/>
      <c r="M699" s="38"/>
      <c r="N699" s="38"/>
      <c r="O699" s="25"/>
    </row>
    <row r="700" spans="1:29" ht="12.75" customHeight="1" thickBot="1" x14ac:dyDescent="0.25">
      <c r="B700" s="21"/>
      <c r="C700" s="294"/>
      <c r="D700" s="294"/>
      <c r="E700" s="294"/>
      <c r="F700" s="294"/>
      <c r="G700" s="294"/>
      <c r="H700" s="294"/>
      <c r="I700" s="294"/>
      <c r="J700" s="294"/>
      <c r="K700" s="294"/>
      <c r="L700" s="294"/>
      <c r="M700" s="294"/>
      <c r="N700" s="294"/>
      <c r="O700" s="25"/>
    </row>
    <row r="701" spans="1:29" ht="15.75" customHeight="1" thickBot="1" x14ac:dyDescent="0.3">
      <c r="B701" s="21"/>
      <c r="C701" s="36">
        <v>9</v>
      </c>
      <c r="D701" s="1318" t="str">
        <f>EUconst_FBSubinst &amp; ":"</f>
        <v>Alternatīva apakšiekārta:</v>
      </c>
      <c r="E701" s="1251"/>
      <c r="F701" s="1251"/>
      <c r="G701" s="1251"/>
      <c r="H701" s="1328"/>
      <c r="I701" s="1701" t="str">
        <f>INDEX(EUconst_FallBackListNames,$C701)</f>
        <v>Procesa emisiju apakšiekārta (bez OEP | bez OIM)</v>
      </c>
      <c r="J701" s="1457"/>
      <c r="K701" s="1457"/>
      <c r="L701" s="1702"/>
      <c r="M701" s="1783" t="str">
        <f>IF(ISBLANK(INDEX(CNTR_FallBackSubInstRelevant,C701)),"",IF(INDEX(CNTR_FallBackSubInstRelevant,C701),EUconst_Relevant,EUconst_NotRelevant))</f>
        <v/>
      </c>
      <c r="N701" s="1784"/>
      <c r="O701" s="25"/>
      <c r="P701" s="582">
        <f>C701</f>
        <v>9</v>
      </c>
      <c r="Q701" s="386" t="s">
        <v>225</v>
      </c>
      <c r="R701" s="845" t="str">
        <f>IF(M701&lt;&gt;EUconst_Relevant,"",INDEX(CNTR_SubInstStartDate,MATCH($I701,CNTR_SubInstListNames,0)))</f>
        <v/>
      </c>
      <c r="S701" s="842" t="b">
        <f>IF($M701&lt;&gt;EUconst_Relevant,FALSE,AND(I$796,YEAR($R701)&lt;I$793))</f>
        <v>0</v>
      </c>
      <c r="T701" s="842" t="b">
        <f>IF($M701&lt;&gt;EUconst_Relevant,FALSE,AND(J$796,YEAR($R701)&lt;J$793))</f>
        <v>0</v>
      </c>
      <c r="U701" s="842" t="b">
        <f>IF($M701&lt;&gt;EUconst_Relevant,FALSE,AND(K$796,YEAR($R701)&lt;K$793))</f>
        <v>0</v>
      </c>
      <c r="V701" s="842" t="b">
        <f>IF($M701&lt;&gt;EUconst_Relevant,FALSE,AND(L$796,YEAR($R701)&lt;L$793))</f>
        <v>0</v>
      </c>
      <c r="W701" s="842" t="b">
        <f>IF($M701&lt;&gt;EUconst_Relevant,FALSE,AND(M$796,YEAR($R701)&lt;M$793))</f>
        <v>0</v>
      </c>
      <c r="X701" s="624"/>
      <c r="AB701" s="926" t="s">
        <v>529</v>
      </c>
      <c r="AC701" s="927" t="b">
        <f>AND(CNTR_ExistSubInstEntries,M701=EUconst_NotRelevant)</f>
        <v>0</v>
      </c>
    </row>
    <row r="702" spans="1:29" ht="12.75" customHeight="1" x14ac:dyDescent="0.2">
      <c r="B702" s="38"/>
      <c r="C702" s="38"/>
      <c r="D702" s="38"/>
      <c r="E702" s="38"/>
      <c r="F702" s="38"/>
      <c r="G702" s="38"/>
      <c r="H702" s="68"/>
      <c r="I702" s="1785" t="str">
        <f>IF(M701="","",IF(M701=EUconst_Relevant,HYPERLINK("",EUconst_MsgEnterThisSection),HYPERLINK(Q702,EUconst_MsgGoToNextSubInst)))</f>
        <v/>
      </c>
      <c r="J702" s="1786"/>
      <c r="K702" s="1786"/>
      <c r="L702" s="1786"/>
      <c r="M702" s="1787"/>
      <c r="N702" s="1788"/>
      <c r="O702" s="25"/>
      <c r="P702" s="20" t="s">
        <v>192</v>
      </c>
      <c r="Q702" s="593" t="str">
        <f>"#"&amp;ADDRESS(ROW(JUMP_G_Bottom),COLUMN(JUMP_G_Bottom))</f>
        <v>#$D$785</v>
      </c>
    </row>
    <row r="703" spans="1:29" s="697" customFormat="1" ht="5.0999999999999996" customHeight="1" x14ac:dyDescent="0.2">
      <c r="A703" s="452"/>
      <c r="B703" s="21"/>
      <c r="C703" s="21"/>
      <c r="D703" s="21"/>
      <c r="E703" s="21"/>
      <c r="F703" s="21"/>
      <c r="G703" s="21"/>
      <c r="H703" s="21"/>
      <c r="I703" s="21"/>
      <c r="J703" s="21"/>
      <c r="K703" s="21"/>
      <c r="L703" s="21"/>
      <c r="M703" s="25"/>
      <c r="N703" s="25"/>
      <c r="O703" s="25"/>
      <c r="P703" s="26"/>
      <c r="Q703" s="437"/>
      <c r="R703" s="437"/>
      <c r="S703" s="437"/>
      <c r="T703" s="437"/>
      <c r="U703" s="437"/>
      <c r="V703" s="437"/>
      <c r="W703" s="437"/>
      <c r="X703" s="452"/>
      <c r="Y703" s="452"/>
      <c r="Z703" s="452"/>
      <c r="AA703" s="452"/>
      <c r="AB703" s="452"/>
      <c r="AC703" s="452"/>
    </row>
    <row r="704" spans="1:29" s="697" customFormat="1" ht="12.75" customHeight="1" x14ac:dyDescent="0.2">
      <c r="A704" s="452"/>
      <c r="B704" s="414"/>
      <c r="C704" s="414"/>
      <c r="D704" s="414"/>
      <c r="E704" s="1519" t="str">
        <f>CONCATENATE(EUconst_MsgSeeFirst," (G.I.1)")</f>
        <v>Sīki norādījumi par datu ievadi šajā rīkā ir pieejami pirmajā vietā, kur parādās šis rīks.  (G.I.1)</v>
      </c>
      <c r="F704" s="1519"/>
      <c r="G704" s="1519"/>
      <c r="H704" s="1519"/>
      <c r="I704" s="1519"/>
      <c r="J704" s="1519"/>
      <c r="K704" s="1519"/>
      <c r="L704" s="1519"/>
      <c r="M704" s="1519"/>
      <c r="N704" s="1519"/>
      <c r="O704" s="25"/>
      <c r="P704" s="437"/>
      <c r="Q704" s="437"/>
      <c r="R704" s="437"/>
      <c r="S704" s="437"/>
      <c r="T704" s="437"/>
      <c r="U704" s="437"/>
      <c r="V704" s="437"/>
      <c r="W704" s="437"/>
      <c r="X704" s="452"/>
      <c r="Y704" s="452"/>
      <c r="Z704" s="452"/>
      <c r="AA704" s="452"/>
      <c r="AB704" s="452"/>
      <c r="AC704" s="452"/>
    </row>
    <row r="705" spans="1:29" s="697" customFormat="1" ht="5.0999999999999996" customHeight="1" x14ac:dyDescent="0.2">
      <c r="A705" s="452"/>
      <c r="B705" s="21"/>
      <c r="C705" s="21"/>
      <c r="D705" s="21"/>
      <c r="E705" s="21"/>
      <c r="F705" s="21"/>
      <c r="G705" s="21"/>
      <c r="H705" s="21"/>
      <c r="I705" s="21"/>
      <c r="J705" s="21"/>
      <c r="K705" s="21"/>
      <c r="L705" s="21"/>
      <c r="M705" s="25"/>
      <c r="N705" s="25"/>
      <c r="O705" s="25"/>
      <c r="P705" s="26"/>
      <c r="Q705" s="437"/>
      <c r="R705" s="437"/>
      <c r="S705" s="437"/>
      <c r="T705" s="437"/>
      <c r="U705" s="437"/>
      <c r="V705" s="437"/>
      <c r="W705" s="437"/>
      <c r="X705" s="452"/>
      <c r="Y705" s="452"/>
      <c r="Z705" s="452"/>
      <c r="AA705" s="452"/>
      <c r="AB705" s="452"/>
      <c r="AC705" s="452"/>
    </row>
    <row r="706" spans="1:29" ht="12.75" customHeight="1" thickBot="1" x14ac:dyDescent="0.25">
      <c r="B706" s="21"/>
      <c r="C706" s="370"/>
      <c r="D706" s="32" t="s">
        <v>165</v>
      </c>
      <c r="E706" s="1250" t="str">
        <f>Translations!$B$670</f>
        <v>Vēsturiskie darbības līmeņi</v>
      </c>
      <c r="F706" s="1251"/>
      <c r="G706" s="1251"/>
      <c r="H706" s="1251"/>
      <c r="I706" s="1251"/>
      <c r="J706" s="1251"/>
      <c r="K706" s="1251"/>
      <c r="L706" s="1251"/>
      <c r="M706" s="1251"/>
      <c r="N706" s="1251"/>
      <c r="O706" s="25"/>
      <c r="P706" s="26"/>
      <c r="Q706" s="26"/>
      <c r="R706" s="26"/>
      <c r="S706" s="26"/>
      <c r="T706" s="26"/>
      <c r="U706" s="26"/>
      <c r="V706" s="26"/>
      <c r="W706" s="26"/>
      <c r="X706" s="624"/>
    </row>
    <row r="707" spans="1:29" ht="12.75" customHeight="1" thickBot="1" x14ac:dyDescent="0.25">
      <c r="B707" s="21"/>
      <c r="C707" s="384"/>
      <c r="D707" s="34"/>
      <c r="E707" s="1781" t="str">
        <f>Translations!$B$897</f>
        <v>Šeit ievadītajām vērtībām jāietver kvalificējošās emisijas no visām atlikumgāzēm (noteiktas D lapas IV sadaļā).</v>
      </c>
      <c r="F707" s="1781"/>
      <c r="G707" s="1781"/>
      <c r="H707" s="1781"/>
      <c r="I707" s="1781"/>
      <c r="J707" s="1781"/>
      <c r="K707" s="1781"/>
      <c r="L707" s="1781"/>
      <c r="M707" s="1781"/>
      <c r="N707" s="1781"/>
      <c r="O707" s="25"/>
      <c r="P707" s="26"/>
      <c r="Q707" s="439" t="s">
        <v>416</v>
      </c>
      <c r="R707" s="187" t="s">
        <v>229</v>
      </c>
      <c r="S707" s="188"/>
      <c r="T707" s="188"/>
      <c r="U707" s="188"/>
      <c r="V707" s="188"/>
      <c r="W707" s="188"/>
      <c r="X707" s="1187"/>
    </row>
    <row r="708" spans="1:29" ht="12.75" customHeight="1" thickBot="1" x14ac:dyDescent="0.25">
      <c r="B708" s="38"/>
      <c r="C708" s="370"/>
      <c r="D708" s="32"/>
      <c r="E708" s="1320" t="str">
        <f>Translations!$B$829</f>
        <v>Galvenais darbības līmenis:</v>
      </c>
      <c r="F708" s="1275"/>
      <c r="G708" s="1275"/>
      <c r="H708" s="52" t="str">
        <f>EUconst_Unit</f>
        <v>Vienība</v>
      </c>
      <c r="I708" s="412">
        <f>I$793</f>
        <v>2019</v>
      </c>
      <c r="J708" s="412">
        <f>J$793</f>
        <v>2020</v>
      </c>
      <c r="K708" s="412">
        <f>K$793</f>
        <v>2021</v>
      </c>
      <c r="L708" s="412">
        <f>L$793</f>
        <v>2022</v>
      </c>
      <c r="M708" s="412">
        <f>M$793</f>
        <v>2023</v>
      </c>
      <c r="N708" s="23"/>
      <c r="O708" s="25"/>
      <c r="P708" s="182" t="s">
        <v>228</v>
      </c>
      <c r="Q708" s="1024"/>
      <c r="R708" s="190" t="s">
        <v>629</v>
      </c>
      <c r="S708" s="183">
        <f>I708</f>
        <v>2019</v>
      </c>
      <c r="T708" s="134">
        <f>J708</f>
        <v>2020</v>
      </c>
      <c r="U708" s="134">
        <f>K708</f>
        <v>2021</v>
      </c>
      <c r="V708" s="134">
        <f>L708</f>
        <v>2022</v>
      </c>
      <c r="W708" s="134">
        <f>M708</f>
        <v>2023</v>
      </c>
      <c r="X708" s="1188"/>
      <c r="AC708" s="452" t="s">
        <v>450</v>
      </c>
    </row>
    <row r="709" spans="1:29" ht="12.75" customHeight="1" thickBot="1" x14ac:dyDescent="0.25">
      <c r="B709" s="38"/>
      <c r="C709" s="38"/>
      <c r="D709" s="38"/>
      <c r="E709" s="1782" t="str">
        <f>I701</f>
        <v>Procesa emisiju apakšiekārta (bez OEP | bez OIM)</v>
      </c>
      <c r="F709" s="1782"/>
      <c r="G709" s="1782"/>
      <c r="H709" s="116" t="str">
        <f>INDEX(EUconst_FallBackListUnits,MATCH(E709,EUconst_FallBackListNames,0))</f>
        <v>t CO2e</v>
      </c>
      <c r="I709" s="337"/>
      <c r="J709" s="337"/>
      <c r="K709" s="337"/>
      <c r="L709" s="337"/>
      <c r="M709" s="337"/>
      <c r="N709" s="23"/>
      <c r="O709" s="25"/>
      <c r="P709" s="185" t="str">
        <f>EUconst_CNTR_HAL&amp;E709</f>
        <v>HAL_Procesa emisiju apakšiekārta (bez OEP | bez OIM)</v>
      </c>
      <c r="Q709" s="186"/>
      <c r="R709" s="184" t="str">
        <f>IF(COUNT(S709:W709)&gt;0,MEDIAN(S709:W709),"")</f>
        <v/>
      </c>
      <c r="S709" s="189" t="str">
        <f>IF(S701,IF(ISNUMBER(I709),I709,0),"")</f>
        <v/>
      </c>
      <c r="T709" s="137" t="str">
        <f>IF(T701,IF(ISNUMBER(J709),J709,0),"")</f>
        <v/>
      </c>
      <c r="U709" s="137" t="str">
        <f>IF(U701,IF(ISNUMBER(K709),K709,0),"")</f>
        <v/>
      </c>
      <c r="V709" s="137" t="str">
        <f>IF(V701,IF(ISNUMBER(L709),L709,0),"")</f>
        <v/>
      </c>
      <c r="W709" s="137" t="str">
        <f>IF(W701,IF(ISNUMBER(M709),M709,0),"")</f>
        <v/>
      </c>
      <c r="X709" s="1189"/>
      <c r="Y709" s="1190" t="s">
        <v>574</v>
      </c>
      <c r="Z709" s="709" t="b">
        <f>IF(M701&lt;&gt;EUconst_Relevant,FALSE,INDEX(CNTR_SubInstLess1Year,MATCH(I701,CNTR_SubInstListNames,0)))</f>
        <v>0</v>
      </c>
      <c r="AC709" s="927" t="b">
        <f>IF(CNTR_ExistSubInstEntries,IF(M701=EUconst_Relevant,INDEX(CNTR_SubInstLess1Year,MATCH(I701,CNTR_SubInstListNames,0)),TRUE),FALSE)</f>
        <v>0</v>
      </c>
    </row>
    <row r="710" spans="1:29" ht="12.75" customHeight="1" x14ac:dyDescent="0.2">
      <c r="B710" s="38"/>
      <c r="C710" s="38"/>
      <c r="D710" s="38"/>
      <c r="E710" s="38"/>
      <c r="F710" s="38"/>
      <c r="G710" s="38"/>
      <c r="H710" s="38"/>
      <c r="I710" s="125"/>
      <c r="J710" s="38"/>
      <c r="K710" s="38"/>
      <c r="L710" s="38"/>
      <c r="M710" s="38"/>
      <c r="N710" s="38"/>
      <c r="O710" s="25"/>
      <c r="P710" s="157"/>
      <c r="R710" s="26"/>
      <c r="S710" s="26"/>
    </row>
    <row r="711" spans="1:29" ht="15" x14ac:dyDescent="0.25">
      <c r="B711" s="38"/>
      <c r="C711" s="383"/>
      <c r="D711" s="1318" t="str">
        <f>Translations!$B$700</f>
        <v>Ražošanas dati</v>
      </c>
      <c r="E711" s="1251"/>
      <c r="F711" s="1251"/>
      <c r="G711" s="1251"/>
      <c r="H711" s="1251"/>
      <c r="I711" s="1251"/>
      <c r="J711" s="1251"/>
      <c r="K711" s="1251"/>
      <c r="L711" s="1251"/>
      <c r="M711" s="1251"/>
      <c r="N711" s="1251"/>
      <c r="O711" s="25"/>
      <c r="Y711" s="624"/>
      <c r="Z711" s="624"/>
      <c r="AA711" s="624"/>
      <c r="AB711" s="624"/>
    </row>
    <row r="712" spans="1:29" ht="5.0999999999999996" customHeight="1" x14ac:dyDescent="0.2">
      <c r="B712" s="21"/>
      <c r="C712" s="23"/>
      <c r="D712" s="21"/>
      <c r="E712" s="21"/>
      <c r="F712" s="21"/>
      <c r="G712" s="21"/>
      <c r="H712" s="21"/>
      <c r="I712" s="21"/>
      <c r="J712" s="21"/>
      <c r="K712" s="21"/>
      <c r="L712" s="21"/>
      <c r="M712" s="21"/>
      <c r="N712" s="21"/>
      <c r="O712" s="25"/>
      <c r="P712" s="26"/>
      <c r="Q712" s="26"/>
    </row>
    <row r="713" spans="1:29" s="697" customFormat="1" x14ac:dyDescent="0.2">
      <c r="A713" s="452"/>
      <c r="B713" s="21"/>
      <c r="C713" s="370"/>
      <c r="D713" s="32" t="s">
        <v>339</v>
      </c>
      <c r="E713" s="1250" t="str">
        <f>Translations!$B$830</f>
        <v>Ar šo apakšiekārtu saistīto relevanto produktu vai pakalpojumu identificēšana</v>
      </c>
      <c r="F713" s="1251"/>
      <c r="G713" s="1251"/>
      <c r="H713" s="1251"/>
      <c r="I713" s="1251"/>
      <c r="J713" s="1251"/>
      <c r="K713" s="1251"/>
      <c r="L713" s="1251"/>
      <c r="M713" s="1251"/>
      <c r="N713" s="1251"/>
      <c r="O713" s="25"/>
      <c r="P713" s="26"/>
      <c r="Q713" s="437"/>
      <c r="R713" s="437"/>
      <c r="S713" s="437"/>
      <c r="T713" s="437"/>
      <c r="U713" s="437"/>
      <c r="V713" s="437"/>
      <c r="W713" s="437"/>
      <c r="X713" s="452"/>
      <c r="Y713" s="452"/>
      <c r="Z713" s="452"/>
      <c r="AA713" s="452"/>
      <c r="AB713" s="452"/>
      <c r="AC713" s="452"/>
    </row>
    <row r="714" spans="1:29" s="697" customFormat="1" ht="5.0999999999999996" customHeight="1" x14ac:dyDescent="0.2">
      <c r="A714" s="452"/>
      <c r="B714" s="21"/>
      <c r="C714" s="23"/>
      <c r="D714" s="21"/>
      <c r="E714" s="21"/>
      <c r="F714" s="21"/>
      <c r="G714" s="21"/>
      <c r="H714" s="21"/>
      <c r="I714" s="21"/>
      <c r="J714" s="21"/>
      <c r="K714" s="21"/>
      <c r="L714" s="21"/>
      <c r="M714" s="21"/>
      <c r="N714" s="21"/>
      <c r="O714" s="25"/>
      <c r="P714" s="26"/>
      <c r="Q714" s="26"/>
      <c r="R714" s="437"/>
      <c r="S714" s="437"/>
      <c r="T714" s="437"/>
      <c r="U714" s="437"/>
      <c r="V714" s="437"/>
      <c r="W714" s="437"/>
      <c r="X714" s="452"/>
      <c r="Y714" s="452"/>
      <c r="Z714" s="452"/>
      <c r="AA714" s="452"/>
      <c r="AB714" s="452"/>
      <c r="AC714" s="452"/>
    </row>
    <row r="715" spans="1:29" s="697" customFormat="1" ht="25.5" customHeight="1" thickBot="1" x14ac:dyDescent="0.25">
      <c r="A715" s="452"/>
      <c r="B715" s="414"/>
      <c r="C715" s="34"/>
      <c r="D715" s="360"/>
      <c r="E715" s="1118" t="str">
        <f>Translations!$B$899</f>
        <v>Procesa emisiju veids</v>
      </c>
      <c r="F715" s="1119"/>
      <c r="G715" s="1120"/>
      <c r="H715" s="1774" t="str">
        <f>Translations!$B$886</f>
        <v>Produkta nosaukums vai pakalpojuma veids</v>
      </c>
      <c r="I715" s="1775"/>
      <c r="J715" s="1775"/>
      <c r="K715" s="1775"/>
      <c r="L715" s="1776"/>
      <c r="M715" s="1121" t="str">
        <f>Translations!$B$1668</f>
        <v>PRODCOM 2010</v>
      </c>
      <c r="N715" s="1122" t="str">
        <f>Translations!$B$1669</f>
        <v>KN kodi</v>
      </c>
      <c r="O715" s="25"/>
      <c r="P715" s="437"/>
      <c r="Q715" s="437"/>
      <c r="R715" s="437"/>
      <c r="S715" s="437"/>
      <c r="T715" s="437"/>
      <c r="U715" s="437"/>
      <c r="V715" s="437"/>
      <c r="W715" s="437"/>
      <c r="X715" s="452"/>
      <c r="Y715" s="452"/>
      <c r="Z715" s="452"/>
      <c r="AA715" s="452"/>
      <c r="AB715" s="452"/>
      <c r="AC715" s="452"/>
    </row>
    <row r="716" spans="1:29" s="697" customFormat="1" ht="13.5" thickBot="1" x14ac:dyDescent="0.25">
      <c r="A716" s="452"/>
      <c r="B716" s="414"/>
      <c r="C716" s="34"/>
      <c r="D716" s="589">
        <v>1</v>
      </c>
      <c r="E716" s="1705"/>
      <c r="F716" s="1777"/>
      <c r="G716" s="1778"/>
      <c r="H716" s="1371"/>
      <c r="I716" s="1779"/>
      <c r="J716" s="1779"/>
      <c r="K716" s="1779"/>
      <c r="L716" s="1780"/>
      <c r="M716" s="558"/>
      <c r="N716" s="1084"/>
      <c r="O716" s="25"/>
      <c r="P716" s="437"/>
      <c r="Q716" s="437"/>
      <c r="R716" s="437"/>
      <c r="S716" s="437"/>
      <c r="T716" s="437"/>
      <c r="U716" s="437"/>
      <c r="V716" s="437"/>
      <c r="W716" s="437"/>
      <c r="X716" s="452"/>
      <c r="Y716" s="452"/>
      <c r="Z716" s="452"/>
      <c r="AA716" s="452"/>
      <c r="AB716" s="452"/>
      <c r="AC716" s="630" t="b">
        <f>IF(CNTR_ExistSubInstEntries,M701=EUconst_NotRelevant)</f>
        <v>0</v>
      </c>
    </row>
    <row r="717" spans="1:29" s="697" customFormat="1" x14ac:dyDescent="0.2">
      <c r="A717" s="452"/>
      <c r="B717" s="414"/>
      <c r="C717" s="34"/>
      <c r="D717" s="590">
        <f t="shared" ref="D717:D725" si="25">D716+1</f>
        <v>2</v>
      </c>
      <c r="E717" s="1707"/>
      <c r="F717" s="1770"/>
      <c r="G717" s="1771"/>
      <c r="H717" s="1361"/>
      <c r="I717" s="1772"/>
      <c r="J717" s="1772"/>
      <c r="K717" s="1772"/>
      <c r="L717" s="1773"/>
      <c r="M717" s="559"/>
      <c r="N717" s="1085"/>
      <c r="O717" s="25"/>
      <c r="P717" s="437"/>
      <c r="Q717" s="437"/>
      <c r="R717" s="437"/>
      <c r="S717" s="437"/>
      <c r="T717" s="437"/>
      <c r="U717" s="437"/>
      <c r="V717" s="437"/>
      <c r="W717" s="437"/>
      <c r="X717" s="452"/>
      <c r="Y717" s="452"/>
      <c r="Z717" s="452"/>
      <c r="AA717" s="452"/>
      <c r="AB717" s="452"/>
      <c r="AC717" s="452"/>
    </row>
    <row r="718" spans="1:29" s="697" customFormat="1" x14ac:dyDescent="0.2">
      <c r="A718" s="452"/>
      <c r="B718" s="414"/>
      <c r="C718" s="34"/>
      <c r="D718" s="590">
        <f t="shared" si="25"/>
        <v>3</v>
      </c>
      <c r="E718" s="1707"/>
      <c r="F718" s="1770"/>
      <c r="G718" s="1771"/>
      <c r="H718" s="1361"/>
      <c r="I718" s="1772"/>
      <c r="J718" s="1772"/>
      <c r="K718" s="1772"/>
      <c r="L718" s="1773"/>
      <c r="M718" s="559"/>
      <c r="N718" s="1085"/>
      <c r="O718" s="25"/>
      <c r="P718" s="437"/>
      <c r="Q718" s="437"/>
      <c r="R718" s="437"/>
      <c r="S718" s="437"/>
      <c r="T718" s="437"/>
      <c r="U718" s="437"/>
      <c r="V718" s="437"/>
      <c r="W718" s="437"/>
      <c r="X718" s="452"/>
      <c r="Y718" s="452"/>
      <c r="Z718" s="452"/>
      <c r="AA718" s="452"/>
      <c r="AB718" s="452"/>
      <c r="AC718" s="452"/>
    </row>
    <row r="719" spans="1:29" s="697" customFormat="1" x14ac:dyDescent="0.2">
      <c r="A719" s="452"/>
      <c r="B719" s="414"/>
      <c r="C719" s="34"/>
      <c r="D719" s="590">
        <f t="shared" si="25"/>
        <v>4</v>
      </c>
      <c r="E719" s="1707"/>
      <c r="F719" s="1770"/>
      <c r="G719" s="1771"/>
      <c r="H719" s="1361"/>
      <c r="I719" s="1772"/>
      <c r="J719" s="1772"/>
      <c r="K719" s="1772"/>
      <c r="L719" s="1773"/>
      <c r="M719" s="559"/>
      <c r="N719" s="1085"/>
      <c r="O719" s="25"/>
      <c r="P719" s="437"/>
      <c r="Q719" s="437"/>
      <c r="R719" s="437"/>
      <c r="S719" s="437"/>
      <c r="T719" s="437"/>
      <c r="U719" s="437"/>
      <c r="V719" s="437"/>
      <c r="W719" s="437"/>
      <c r="X719" s="452"/>
      <c r="Y719" s="452"/>
      <c r="Z719" s="452"/>
      <c r="AA719" s="452"/>
      <c r="AB719" s="452"/>
      <c r="AC719" s="452"/>
    </row>
    <row r="720" spans="1:29" s="697" customFormat="1" x14ac:dyDescent="0.2">
      <c r="A720" s="452"/>
      <c r="B720" s="414"/>
      <c r="C720" s="34"/>
      <c r="D720" s="590">
        <f t="shared" si="25"/>
        <v>5</v>
      </c>
      <c r="E720" s="1707"/>
      <c r="F720" s="1770"/>
      <c r="G720" s="1771"/>
      <c r="H720" s="1361"/>
      <c r="I720" s="1772"/>
      <c r="J720" s="1772"/>
      <c r="K720" s="1772"/>
      <c r="L720" s="1773"/>
      <c r="M720" s="559"/>
      <c r="N720" s="1085"/>
      <c r="O720" s="25"/>
      <c r="P720" s="437"/>
      <c r="Q720" s="437"/>
      <c r="R720" s="437"/>
      <c r="S720" s="437"/>
      <c r="T720" s="437"/>
      <c r="U720" s="437"/>
      <c r="V720" s="437"/>
      <c r="W720" s="437"/>
      <c r="X720" s="452"/>
      <c r="Y720" s="452"/>
      <c r="Z720" s="452"/>
      <c r="AA720" s="452"/>
      <c r="AB720" s="452"/>
      <c r="AC720" s="452"/>
    </row>
    <row r="721" spans="1:29" s="697" customFormat="1" x14ac:dyDescent="0.2">
      <c r="A721" s="452"/>
      <c r="B721" s="414"/>
      <c r="C721" s="34"/>
      <c r="D721" s="590">
        <f t="shared" si="25"/>
        <v>6</v>
      </c>
      <c r="E721" s="1707"/>
      <c r="F721" s="1770"/>
      <c r="G721" s="1771"/>
      <c r="H721" s="1361"/>
      <c r="I721" s="1772"/>
      <c r="J721" s="1772"/>
      <c r="K721" s="1772"/>
      <c r="L721" s="1773"/>
      <c r="M721" s="559"/>
      <c r="N721" s="1085"/>
      <c r="O721" s="25"/>
      <c r="P721" s="437"/>
      <c r="Q721" s="437"/>
      <c r="R721" s="437"/>
      <c r="S721" s="437"/>
      <c r="T721" s="437"/>
      <c r="U721" s="437"/>
      <c r="V721" s="437"/>
      <c r="W721" s="437"/>
      <c r="X721" s="452"/>
      <c r="Y721" s="452"/>
      <c r="Z721" s="452"/>
      <c r="AA721" s="452"/>
      <c r="AB721" s="452"/>
      <c r="AC721" s="452"/>
    </row>
    <row r="722" spans="1:29" s="697" customFormat="1" x14ac:dyDescent="0.2">
      <c r="A722" s="452"/>
      <c r="B722" s="414"/>
      <c r="C722" s="34"/>
      <c r="D722" s="590">
        <f t="shared" si="25"/>
        <v>7</v>
      </c>
      <c r="E722" s="1707"/>
      <c r="F722" s="1770"/>
      <c r="G722" s="1771"/>
      <c r="H722" s="1361"/>
      <c r="I722" s="1772"/>
      <c r="J722" s="1772"/>
      <c r="K722" s="1772"/>
      <c r="L722" s="1773"/>
      <c r="M722" s="559"/>
      <c r="N722" s="1085"/>
      <c r="O722" s="25"/>
      <c r="P722" s="437"/>
      <c r="Q722" s="437"/>
      <c r="R722" s="437"/>
      <c r="S722" s="437"/>
      <c r="T722" s="437"/>
      <c r="U722" s="437"/>
      <c r="V722" s="437"/>
      <c r="W722" s="437"/>
      <c r="X722" s="452"/>
      <c r="Y722" s="452"/>
      <c r="Z722" s="452"/>
      <c r="AA722" s="452"/>
      <c r="AB722" s="452"/>
      <c r="AC722" s="452"/>
    </row>
    <row r="723" spans="1:29" s="697" customFormat="1" x14ac:dyDescent="0.2">
      <c r="A723" s="452"/>
      <c r="B723" s="414"/>
      <c r="C723" s="34"/>
      <c r="D723" s="590">
        <f t="shared" si="25"/>
        <v>8</v>
      </c>
      <c r="E723" s="1707"/>
      <c r="F723" s="1770"/>
      <c r="G723" s="1771"/>
      <c r="H723" s="1361"/>
      <c r="I723" s="1772"/>
      <c r="J723" s="1772"/>
      <c r="K723" s="1772"/>
      <c r="L723" s="1773"/>
      <c r="M723" s="559"/>
      <c r="N723" s="1085"/>
      <c r="O723" s="25"/>
      <c r="P723" s="437"/>
      <c r="Q723" s="437"/>
      <c r="R723" s="437"/>
      <c r="S723" s="437"/>
      <c r="T723" s="437"/>
      <c r="U723" s="437"/>
      <c r="V723" s="437"/>
      <c r="W723" s="437"/>
      <c r="X723" s="452"/>
      <c r="Y723" s="452"/>
      <c r="Z723" s="452"/>
      <c r="AA723" s="452"/>
      <c r="AB723" s="452"/>
      <c r="AC723" s="452"/>
    </row>
    <row r="724" spans="1:29" s="697" customFormat="1" x14ac:dyDescent="0.2">
      <c r="A724" s="452"/>
      <c r="B724" s="414"/>
      <c r="C724" s="34"/>
      <c r="D724" s="590">
        <f t="shared" si="25"/>
        <v>9</v>
      </c>
      <c r="E724" s="1707"/>
      <c r="F724" s="1770"/>
      <c r="G724" s="1771"/>
      <c r="H724" s="1361"/>
      <c r="I724" s="1772"/>
      <c r="J724" s="1772"/>
      <c r="K724" s="1772"/>
      <c r="L724" s="1773"/>
      <c r="M724" s="559"/>
      <c r="N724" s="1085"/>
      <c r="O724" s="25"/>
      <c r="P724" s="437"/>
      <c r="Q724" s="437"/>
      <c r="R724" s="437"/>
      <c r="S724" s="437"/>
      <c r="T724" s="437"/>
      <c r="U724" s="437"/>
      <c r="V724" s="437"/>
      <c r="W724" s="437"/>
      <c r="X724" s="452"/>
      <c r="Y724" s="452"/>
      <c r="Z724" s="452"/>
      <c r="AA724" s="452"/>
      <c r="AB724" s="452"/>
      <c r="AC724" s="452"/>
    </row>
    <row r="725" spans="1:29" s="697" customFormat="1" x14ac:dyDescent="0.2">
      <c r="A725" s="452"/>
      <c r="B725" s="414"/>
      <c r="C725" s="34"/>
      <c r="D725" s="592">
        <f t="shared" si="25"/>
        <v>10</v>
      </c>
      <c r="E725" s="1762"/>
      <c r="F725" s="1763"/>
      <c r="G725" s="1764"/>
      <c r="H725" s="1359"/>
      <c r="I725" s="1765"/>
      <c r="J725" s="1765"/>
      <c r="K725" s="1765"/>
      <c r="L725" s="1766"/>
      <c r="M725" s="560"/>
      <c r="N725" s="1086"/>
      <c r="O725" s="25"/>
      <c r="P725" s="437"/>
      <c r="Q725" s="437"/>
      <c r="R725" s="437"/>
      <c r="S725" s="437"/>
      <c r="T725" s="437"/>
      <c r="U725" s="437"/>
      <c r="V725" s="437"/>
      <c r="W725" s="437"/>
      <c r="X725" s="452"/>
      <c r="Y725" s="452"/>
      <c r="Z725" s="452"/>
      <c r="AA725" s="452"/>
      <c r="AB725" s="452"/>
      <c r="AC725" s="452"/>
    </row>
    <row r="726" spans="1:29" s="697" customFormat="1" ht="5.0999999999999996" customHeight="1" x14ac:dyDescent="0.2">
      <c r="A726" s="452"/>
      <c r="B726" s="21"/>
      <c r="C726" s="384"/>
      <c r="D726" s="34"/>
      <c r="E726" s="35"/>
      <c r="F726" s="35"/>
      <c r="G726" s="35"/>
      <c r="H726" s="35"/>
      <c r="I726" s="35"/>
      <c r="J726" s="39"/>
      <c r="K726" s="39"/>
      <c r="L726" s="39"/>
      <c r="M726" s="25"/>
      <c r="N726" s="25"/>
      <c r="O726" s="25"/>
      <c r="P726" s="26"/>
      <c r="Q726" s="437"/>
      <c r="R726" s="437"/>
      <c r="S726" s="437"/>
      <c r="T726" s="437"/>
      <c r="U726" s="437"/>
      <c r="V726" s="437"/>
      <c r="W726" s="437"/>
      <c r="X726" s="452"/>
      <c r="Y726" s="452"/>
      <c r="Z726" s="452"/>
      <c r="AA726" s="452"/>
      <c r="AB726" s="452"/>
      <c r="AC726" s="452"/>
    </row>
    <row r="727" spans="1:29" s="697" customFormat="1" ht="12.75" customHeight="1" x14ac:dyDescent="0.2">
      <c r="A727" s="452"/>
      <c r="B727" s="21"/>
      <c r="C727" s="370"/>
      <c r="D727" s="32" t="s">
        <v>11</v>
      </c>
      <c r="E727" s="1250" t="str">
        <f>Translations!$B$900</f>
        <v>Ražošanas līmeņu dezagregācijas pakāpe:</v>
      </c>
      <c r="F727" s="1251"/>
      <c r="G727" s="1251"/>
      <c r="H727" s="1251"/>
      <c r="I727" s="1251"/>
      <c r="J727" s="1251"/>
      <c r="K727" s="1251"/>
      <c r="L727" s="1251"/>
      <c r="M727" s="1251"/>
      <c r="N727" s="1251"/>
      <c r="O727" s="25"/>
      <c r="P727" s="26"/>
      <c r="Q727" s="437"/>
      <c r="R727" s="437"/>
      <c r="S727" s="437"/>
      <c r="T727" s="437"/>
      <c r="U727" s="437"/>
      <c r="V727" s="437"/>
      <c r="W727" s="437"/>
      <c r="X727" s="452"/>
      <c r="Y727" s="452"/>
      <c r="Z727" s="452"/>
      <c r="AA727" s="452"/>
      <c r="AB727" s="452"/>
      <c r="AC727" s="452"/>
    </row>
    <row r="728" spans="1:29" s="697" customFormat="1" ht="5.0999999999999996" customHeight="1" x14ac:dyDescent="0.2">
      <c r="A728" s="452"/>
      <c r="B728" s="21"/>
      <c r="C728" s="23"/>
      <c r="D728" s="21"/>
      <c r="E728" s="21"/>
      <c r="F728" s="21"/>
      <c r="G728" s="21"/>
      <c r="H728" s="21"/>
      <c r="I728" s="21"/>
      <c r="J728" s="21"/>
      <c r="K728" s="21"/>
      <c r="L728" s="21"/>
      <c r="M728" s="21"/>
      <c r="N728" s="25"/>
      <c r="O728" s="25"/>
      <c r="P728" s="26"/>
      <c r="Q728" s="26"/>
      <c r="R728" s="437"/>
      <c r="S728" s="437"/>
      <c r="T728" s="437"/>
      <c r="U728" s="437"/>
      <c r="V728" s="437"/>
      <c r="W728" s="437"/>
      <c r="X728" s="452"/>
      <c r="Y728" s="452"/>
      <c r="Z728" s="452"/>
      <c r="AA728" s="452"/>
      <c r="AB728" s="452"/>
      <c r="AC728" s="452"/>
    </row>
    <row r="729" spans="1:29" s="697" customFormat="1" x14ac:dyDescent="0.2">
      <c r="A729" s="452"/>
      <c r="B729" s="414"/>
      <c r="C729" s="370"/>
      <c r="D729" s="360"/>
      <c r="E729" s="1767" t="str">
        <f>Translations!$B$886</f>
        <v>Produkta nosaukums vai pakalpojuma veids</v>
      </c>
      <c r="F729" s="1275"/>
      <c r="G729" s="1460"/>
      <c r="H729" s="52" t="str">
        <f>EUconst_Unit</f>
        <v>Vienība</v>
      </c>
      <c r="I729" s="412">
        <f>I$793</f>
        <v>2019</v>
      </c>
      <c r="J729" s="412">
        <f>J$793</f>
        <v>2020</v>
      </c>
      <c r="K729" s="412">
        <f>K$793</f>
        <v>2021</v>
      </c>
      <c r="L729" s="412">
        <f>L$793</f>
        <v>2022</v>
      </c>
      <c r="M729" s="412">
        <f>M$793</f>
        <v>2023</v>
      </c>
      <c r="N729" s="25"/>
      <c r="O729" s="25"/>
      <c r="P729" s="437"/>
      <c r="Q729" s="437"/>
      <c r="R729" s="437"/>
      <c r="S729" s="437"/>
      <c r="T729" s="437"/>
      <c r="U729" s="437"/>
      <c r="V729" s="437"/>
      <c r="W729" s="437"/>
      <c r="X729" s="452"/>
      <c r="Y729" s="452"/>
      <c r="Z729" s="452"/>
      <c r="AA729" s="452"/>
      <c r="AB729" s="452"/>
      <c r="AC729" s="452"/>
    </row>
    <row r="730" spans="1:29" ht="12.75" customHeight="1" x14ac:dyDescent="0.2">
      <c r="B730" s="38"/>
      <c r="C730" s="68"/>
      <c r="D730" s="55">
        <v>1</v>
      </c>
      <c r="E730" s="1748" t="str">
        <f t="shared" ref="E730:E739" si="26">IF(ISBLANK(H716),"",H716)</f>
        <v/>
      </c>
      <c r="F730" s="1768"/>
      <c r="G730" s="1769"/>
      <c r="H730" s="763"/>
      <c r="I730" s="484"/>
      <c r="J730" s="484"/>
      <c r="K730" s="484"/>
      <c r="L730" s="484"/>
      <c r="M730" s="484"/>
      <c r="N730" s="25"/>
      <c r="O730" s="25"/>
    </row>
    <row r="731" spans="1:29" ht="12.75" customHeight="1" x14ac:dyDescent="0.2">
      <c r="B731" s="38"/>
      <c r="C731" s="68"/>
      <c r="D731" s="56">
        <f>D730+1</f>
        <v>2</v>
      </c>
      <c r="E731" s="1754" t="str">
        <f t="shared" si="26"/>
        <v/>
      </c>
      <c r="F731" s="1755"/>
      <c r="G731" s="1756"/>
      <c r="H731" s="764"/>
      <c r="I731" s="557"/>
      <c r="J731" s="557"/>
      <c r="K731" s="557"/>
      <c r="L731" s="557"/>
      <c r="M731" s="557"/>
      <c r="N731" s="25"/>
      <c r="O731" s="25"/>
    </row>
    <row r="732" spans="1:29" ht="12.75" customHeight="1" x14ac:dyDescent="0.2">
      <c r="B732" s="38"/>
      <c r="C732" s="68"/>
      <c r="D732" s="56">
        <f t="shared" ref="D732:D739" si="27">D731+1</f>
        <v>3</v>
      </c>
      <c r="E732" s="1754" t="str">
        <f t="shared" si="26"/>
        <v/>
      </c>
      <c r="F732" s="1755"/>
      <c r="G732" s="1756"/>
      <c r="H732" s="764"/>
      <c r="I732" s="557"/>
      <c r="J732" s="557"/>
      <c r="K732" s="557"/>
      <c r="L732" s="557"/>
      <c r="M732" s="557"/>
      <c r="N732" s="25"/>
      <c r="O732" s="25"/>
    </row>
    <row r="733" spans="1:29" ht="12.75" customHeight="1" x14ac:dyDescent="0.2">
      <c r="B733" s="38"/>
      <c r="C733" s="68"/>
      <c r="D733" s="56">
        <f t="shared" si="27"/>
        <v>4</v>
      </c>
      <c r="E733" s="1754" t="str">
        <f t="shared" si="26"/>
        <v/>
      </c>
      <c r="F733" s="1755"/>
      <c r="G733" s="1756"/>
      <c r="H733" s="764"/>
      <c r="I733" s="557"/>
      <c r="J733" s="557"/>
      <c r="K733" s="557"/>
      <c r="L733" s="557"/>
      <c r="M733" s="557"/>
      <c r="N733" s="25"/>
      <c r="O733" s="25"/>
    </row>
    <row r="734" spans="1:29" ht="12.75" customHeight="1" x14ac:dyDescent="0.2">
      <c r="B734" s="38"/>
      <c r="C734" s="68"/>
      <c r="D734" s="56">
        <f t="shared" si="27"/>
        <v>5</v>
      </c>
      <c r="E734" s="1754" t="str">
        <f t="shared" si="26"/>
        <v/>
      </c>
      <c r="F734" s="1755"/>
      <c r="G734" s="1756"/>
      <c r="H734" s="764"/>
      <c r="I734" s="557"/>
      <c r="J734" s="557"/>
      <c r="K734" s="557"/>
      <c r="L734" s="557"/>
      <c r="M734" s="557"/>
      <c r="N734" s="25"/>
      <c r="O734" s="25"/>
    </row>
    <row r="735" spans="1:29" ht="12.75" customHeight="1" x14ac:dyDescent="0.2">
      <c r="B735" s="38"/>
      <c r="C735" s="68"/>
      <c r="D735" s="56">
        <f t="shared" si="27"/>
        <v>6</v>
      </c>
      <c r="E735" s="1754" t="str">
        <f t="shared" si="26"/>
        <v/>
      </c>
      <c r="F735" s="1755"/>
      <c r="G735" s="1756"/>
      <c r="H735" s="764"/>
      <c r="I735" s="557"/>
      <c r="J735" s="557"/>
      <c r="K735" s="557"/>
      <c r="L735" s="557"/>
      <c r="M735" s="557"/>
      <c r="N735" s="25"/>
      <c r="O735" s="25"/>
    </row>
    <row r="736" spans="1:29" ht="12.75" customHeight="1" x14ac:dyDescent="0.2">
      <c r="B736" s="38"/>
      <c r="C736" s="68"/>
      <c r="D736" s="56">
        <f t="shared" si="27"/>
        <v>7</v>
      </c>
      <c r="E736" s="1754" t="str">
        <f t="shared" si="26"/>
        <v/>
      </c>
      <c r="F736" s="1755"/>
      <c r="G736" s="1756"/>
      <c r="H736" s="764"/>
      <c r="I736" s="557"/>
      <c r="J736" s="557"/>
      <c r="K736" s="557"/>
      <c r="L736" s="557"/>
      <c r="M736" s="557"/>
      <c r="N736" s="25"/>
      <c r="O736" s="25"/>
    </row>
    <row r="737" spans="1:29" ht="12.75" customHeight="1" x14ac:dyDescent="0.2">
      <c r="B737" s="38"/>
      <c r="C737" s="68"/>
      <c r="D737" s="56">
        <f t="shared" si="27"/>
        <v>8</v>
      </c>
      <c r="E737" s="1754" t="str">
        <f t="shared" si="26"/>
        <v/>
      </c>
      <c r="F737" s="1755"/>
      <c r="G737" s="1756"/>
      <c r="H737" s="764"/>
      <c r="I737" s="557"/>
      <c r="J737" s="557"/>
      <c r="K737" s="557"/>
      <c r="L737" s="557"/>
      <c r="M737" s="557"/>
      <c r="N737" s="25"/>
      <c r="O737" s="25"/>
    </row>
    <row r="738" spans="1:29" ht="12.75" customHeight="1" x14ac:dyDescent="0.2">
      <c r="B738" s="38"/>
      <c r="C738" s="68"/>
      <c r="D738" s="56">
        <f t="shared" si="27"/>
        <v>9</v>
      </c>
      <c r="E738" s="1754" t="str">
        <f t="shared" si="26"/>
        <v/>
      </c>
      <c r="F738" s="1755"/>
      <c r="G738" s="1756"/>
      <c r="H738" s="764"/>
      <c r="I738" s="557"/>
      <c r="J738" s="557"/>
      <c r="K738" s="557"/>
      <c r="L738" s="557"/>
      <c r="M738" s="557"/>
      <c r="N738" s="25"/>
      <c r="O738" s="25"/>
    </row>
    <row r="739" spans="1:29" ht="12.75" customHeight="1" x14ac:dyDescent="0.2">
      <c r="B739" s="38"/>
      <c r="C739" s="68"/>
      <c r="D739" s="59">
        <f t="shared" si="27"/>
        <v>10</v>
      </c>
      <c r="E739" s="1757" t="str">
        <f t="shared" si="26"/>
        <v/>
      </c>
      <c r="F739" s="1758"/>
      <c r="G739" s="1759"/>
      <c r="H739" s="765"/>
      <c r="I739" s="458"/>
      <c r="J739" s="458"/>
      <c r="K739" s="458"/>
      <c r="L739" s="458"/>
      <c r="M739" s="458"/>
      <c r="N739" s="25"/>
      <c r="O739" s="25"/>
    </row>
    <row r="740" spans="1:29" ht="12.75" customHeight="1" x14ac:dyDescent="0.2">
      <c r="B740" s="38"/>
      <c r="C740" s="38"/>
      <c r="D740" s="115"/>
      <c r="E740" s="1760" t="str">
        <f>Translations!$B$708</f>
        <v>Ražošanas līmeņu summa</v>
      </c>
      <c r="F740" s="1457"/>
      <c r="G740" s="1259"/>
      <c r="H740" s="250"/>
      <c r="I740" s="343" t="str">
        <f>IF(COUNT(I730:I739)&gt;0,SUM(I730:I739),"")</f>
        <v/>
      </c>
      <c r="J740" s="343" t="str">
        <f>IF(COUNT(J730:J739)&gt;0,SUM(J730:J739),"")</f>
        <v/>
      </c>
      <c r="K740" s="343" t="str">
        <f>IF(COUNT(K730:K739)&gt;0,SUM(K730:K739),"")</f>
        <v/>
      </c>
      <c r="L740" s="343" t="str">
        <f>IF(COUNT(L730:L739)&gt;0,SUM(L730:L739),"")</f>
        <v/>
      </c>
      <c r="M740" s="343" t="str">
        <f>IF(COUNT(M730:M739)&gt;0,SUM(M730:M739),"")</f>
        <v/>
      </c>
      <c r="N740" s="25"/>
      <c r="O740" s="25"/>
    </row>
    <row r="741" spans="1:29" ht="25.5" customHeight="1" thickBot="1" x14ac:dyDescent="0.25">
      <c r="B741" s="38"/>
      <c r="C741" s="38"/>
      <c r="D741" s="38"/>
      <c r="E741" s="38"/>
      <c r="F741" s="38"/>
      <c r="G741" s="38"/>
      <c r="H741" s="38"/>
      <c r="I741" s="38"/>
      <c r="J741" s="38"/>
      <c r="K741" s="38"/>
      <c r="L741" s="38"/>
      <c r="M741" s="38"/>
      <c r="N741" s="25"/>
      <c r="O741" s="25"/>
      <c r="R741" s="26"/>
      <c r="S741" s="26"/>
    </row>
    <row r="742" spans="1:29" ht="12.75" customHeight="1" thickBot="1" x14ac:dyDescent="0.25">
      <c r="B742" s="21"/>
      <c r="C742" s="294"/>
      <c r="D742" s="294"/>
      <c r="E742" s="294"/>
      <c r="F742" s="294"/>
      <c r="G742" s="294"/>
      <c r="H742" s="294"/>
      <c r="I742" s="294"/>
      <c r="J742" s="294"/>
      <c r="K742" s="294"/>
      <c r="L742" s="294"/>
      <c r="M742" s="294"/>
      <c r="N742" s="294"/>
      <c r="O742" s="25"/>
    </row>
    <row r="743" spans="1:29" ht="15.75" customHeight="1" thickBot="1" x14ac:dyDescent="0.3">
      <c r="B743" s="21"/>
      <c r="C743" s="36">
        <v>10</v>
      </c>
      <c r="D743" s="1318" t="str">
        <f>EUconst_FBSubinst &amp; ":"</f>
        <v>Alternatīva apakšiekārta:</v>
      </c>
      <c r="E743" s="1251"/>
      <c r="F743" s="1251"/>
      <c r="G743" s="1251"/>
      <c r="H743" s="1328"/>
      <c r="I743" s="1701" t="str">
        <f>INDEX(EUconst_FallBackListNames,$C743)</f>
        <v>Procesa emisiju apakšiekārta (OEP | OIM)</v>
      </c>
      <c r="J743" s="1457"/>
      <c r="K743" s="1457"/>
      <c r="L743" s="1702"/>
      <c r="M743" s="1783" t="str">
        <f>IF(ISBLANK(INDEX(CNTR_FallBackSubInstRelevant,C743)),"",IF(INDEX(CNTR_FallBackSubInstRelevant,C743),EUconst_Relevant,EUconst_NotRelevant))</f>
        <v/>
      </c>
      <c r="N743" s="1784"/>
      <c r="O743" s="25"/>
      <c r="P743" s="582">
        <f>C743</f>
        <v>10</v>
      </c>
      <c r="Q743" s="386" t="s">
        <v>225</v>
      </c>
      <c r="R743" s="845" t="str">
        <f>IF(M743&lt;&gt;EUconst_Relevant,"",INDEX(CNTR_SubInstStartDate,MATCH($I743,CNTR_SubInstListNames,0)))</f>
        <v/>
      </c>
      <c r="S743" s="842" t="b">
        <f>IF($M743&lt;&gt;EUconst_Relevant,FALSE,AND(I$796,YEAR($R743)&lt;I$793))</f>
        <v>0</v>
      </c>
      <c r="T743" s="842" t="b">
        <f>IF($M743&lt;&gt;EUconst_Relevant,FALSE,AND(J$796,YEAR($R743)&lt;J$793))</f>
        <v>0</v>
      </c>
      <c r="U743" s="842" t="b">
        <f>IF($M743&lt;&gt;EUconst_Relevant,FALSE,AND(K$796,YEAR($R743)&lt;K$793))</f>
        <v>0</v>
      </c>
      <c r="V743" s="842" t="b">
        <f>IF($M743&lt;&gt;EUconst_Relevant,FALSE,AND(L$796,YEAR($R743)&lt;L$793))</f>
        <v>0</v>
      </c>
      <c r="W743" s="842" t="b">
        <f>IF($M743&lt;&gt;EUconst_Relevant,FALSE,AND(M$796,YEAR($R743)&lt;M$793))</f>
        <v>0</v>
      </c>
      <c r="X743" s="624"/>
      <c r="AB743" s="926" t="s">
        <v>529</v>
      </c>
      <c r="AC743" s="927" t="b">
        <f>AND(CNTR_ExistSubInstEntries,M743=EUconst_NotRelevant)</f>
        <v>0</v>
      </c>
    </row>
    <row r="744" spans="1:29" ht="12.75" customHeight="1" x14ac:dyDescent="0.2">
      <c r="B744" s="38"/>
      <c r="C744" s="38"/>
      <c r="D744" s="38"/>
      <c r="E744" s="38"/>
      <c r="F744" s="38"/>
      <c r="G744" s="38"/>
      <c r="H744" s="68"/>
      <c r="I744" s="1785" t="str">
        <f>IF(M743="","",IF(M743=EUconst_Relevant,HYPERLINK("",EUconst_MsgEnterThisSection),HYPERLINK(Q744,EUconst_MsgGoToNextSubInst)))</f>
        <v/>
      </c>
      <c r="J744" s="1786"/>
      <c r="K744" s="1786"/>
      <c r="L744" s="1786"/>
      <c r="M744" s="1787"/>
      <c r="N744" s="1788"/>
      <c r="O744" s="25"/>
      <c r="P744" s="20" t="s">
        <v>192</v>
      </c>
      <c r="Q744" s="593" t="str">
        <f>"#"&amp;ADDRESS(ROW(JUMP_G_Bottom),COLUMN(JUMP_G_Bottom))</f>
        <v>#$D$785</v>
      </c>
    </row>
    <row r="745" spans="1:29" s="697" customFormat="1" ht="5.0999999999999996" customHeight="1" x14ac:dyDescent="0.2">
      <c r="A745" s="452"/>
      <c r="B745" s="21"/>
      <c r="C745" s="21"/>
      <c r="D745" s="21"/>
      <c r="E745" s="21"/>
      <c r="F745" s="21"/>
      <c r="G745" s="21"/>
      <c r="H745" s="21"/>
      <c r="I745" s="21"/>
      <c r="J745" s="21"/>
      <c r="K745" s="21"/>
      <c r="L745" s="21"/>
      <c r="M745" s="25"/>
      <c r="N745" s="25"/>
      <c r="O745" s="25"/>
      <c r="P745" s="26"/>
      <c r="Q745" s="437"/>
      <c r="R745" s="437"/>
      <c r="S745" s="437"/>
      <c r="T745" s="437"/>
      <c r="U745" s="437"/>
      <c r="V745" s="437"/>
      <c r="W745" s="437"/>
      <c r="X745" s="452"/>
      <c r="Y745" s="452"/>
      <c r="Z745" s="452"/>
      <c r="AA745" s="452"/>
      <c r="AB745" s="452"/>
      <c r="AC745" s="452"/>
    </row>
    <row r="746" spans="1:29" s="697" customFormat="1" ht="12.75" customHeight="1" x14ac:dyDescent="0.2">
      <c r="A746" s="452"/>
      <c r="B746" s="414"/>
      <c r="C746" s="414"/>
      <c r="D746" s="414"/>
      <c r="E746" s="1519" t="str">
        <f>CONCATENATE(EUconst_MsgSeeFirst," (G.I.1)")</f>
        <v>Sīki norādījumi par datu ievadi šajā rīkā ir pieejami pirmajā vietā, kur parādās šis rīks.  (G.I.1)</v>
      </c>
      <c r="F746" s="1519"/>
      <c r="G746" s="1519"/>
      <c r="H746" s="1519"/>
      <c r="I746" s="1519"/>
      <c r="J746" s="1519"/>
      <c r="K746" s="1519"/>
      <c r="L746" s="1519"/>
      <c r="M746" s="1519"/>
      <c r="N746" s="1519"/>
      <c r="O746" s="25"/>
      <c r="P746" s="437"/>
      <c r="Q746" s="437"/>
      <c r="R746" s="437"/>
      <c r="S746" s="437"/>
      <c r="T746" s="437"/>
      <c r="U746" s="437"/>
      <c r="V746" s="437"/>
      <c r="W746" s="437"/>
      <c r="X746" s="452"/>
      <c r="Y746" s="452"/>
      <c r="Z746" s="452"/>
      <c r="AA746" s="452"/>
      <c r="AB746" s="452"/>
      <c r="AC746" s="452"/>
    </row>
    <row r="747" spans="1:29" s="697" customFormat="1" ht="5.0999999999999996" customHeight="1" x14ac:dyDescent="0.2">
      <c r="A747" s="452"/>
      <c r="B747" s="21"/>
      <c r="C747" s="21"/>
      <c r="D747" s="21"/>
      <c r="E747" s="21"/>
      <c r="F747" s="21"/>
      <c r="G747" s="21"/>
      <c r="H747" s="21"/>
      <c r="I747" s="21"/>
      <c r="J747" s="21"/>
      <c r="K747" s="21"/>
      <c r="L747" s="21"/>
      <c r="M747" s="25"/>
      <c r="N747" s="25"/>
      <c r="O747" s="25"/>
      <c r="P747" s="26"/>
      <c r="Q747" s="437"/>
      <c r="R747" s="437"/>
      <c r="S747" s="437"/>
      <c r="T747" s="437"/>
      <c r="U747" s="437"/>
      <c r="V747" s="437"/>
      <c r="W747" s="437"/>
      <c r="X747" s="452"/>
      <c r="Y747" s="452"/>
      <c r="Z747" s="452"/>
      <c r="AA747" s="452"/>
      <c r="AB747" s="452"/>
      <c r="AC747" s="452"/>
    </row>
    <row r="748" spans="1:29" ht="12.75" customHeight="1" thickBot="1" x14ac:dyDescent="0.25">
      <c r="B748" s="21"/>
      <c r="C748" s="370"/>
      <c r="D748" s="32" t="s">
        <v>165</v>
      </c>
      <c r="E748" s="1250" t="str">
        <f>Translations!$B$670</f>
        <v>Vēsturiskie darbības līmeņi</v>
      </c>
      <c r="F748" s="1251"/>
      <c r="G748" s="1251"/>
      <c r="H748" s="1251"/>
      <c r="I748" s="1251"/>
      <c r="J748" s="1251"/>
      <c r="K748" s="1251"/>
      <c r="L748" s="1251"/>
      <c r="M748" s="1251"/>
      <c r="N748" s="1251"/>
      <c r="O748" s="25"/>
      <c r="P748" s="26"/>
      <c r="Q748" s="26"/>
      <c r="R748" s="26"/>
      <c r="S748" s="26"/>
      <c r="T748" s="26"/>
      <c r="U748" s="26"/>
      <c r="V748" s="26"/>
      <c r="W748" s="26"/>
      <c r="X748" s="624"/>
    </row>
    <row r="749" spans="1:29" ht="12.75" customHeight="1" thickBot="1" x14ac:dyDescent="0.25">
      <c r="B749" s="21"/>
      <c r="C749" s="384"/>
      <c r="D749" s="34"/>
      <c r="E749" s="1781" t="str">
        <f>Translations!$B$897</f>
        <v>Šeit ievadītajām vērtībām jāietver kvalificējošās emisijas no visām atlikumgāzēm (noteiktas D lapas IV sadaļā).</v>
      </c>
      <c r="F749" s="1781"/>
      <c r="G749" s="1781"/>
      <c r="H749" s="1781"/>
      <c r="I749" s="1781"/>
      <c r="J749" s="1781"/>
      <c r="K749" s="1781"/>
      <c r="L749" s="1781"/>
      <c r="M749" s="1781"/>
      <c r="N749" s="1781"/>
      <c r="O749" s="25"/>
      <c r="P749" s="26"/>
      <c r="Q749" s="439" t="s">
        <v>416</v>
      </c>
      <c r="R749" s="187" t="s">
        <v>229</v>
      </c>
      <c r="S749" s="188"/>
      <c r="T749" s="188"/>
      <c r="U749" s="188"/>
      <c r="V749" s="188"/>
      <c r="W749" s="188"/>
      <c r="X749" s="1187"/>
    </row>
    <row r="750" spans="1:29" ht="12.75" customHeight="1" thickBot="1" x14ac:dyDescent="0.25">
      <c r="B750" s="38"/>
      <c r="C750" s="370"/>
      <c r="D750" s="32"/>
      <c r="E750" s="1320" t="str">
        <f>Translations!$B$829</f>
        <v>Galvenais darbības līmenis:</v>
      </c>
      <c r="F750" s="1275"/>
      <c r="G750" s="1275"/>
      <c r="H750" s="52" t="str">
        <f>EUconst_Unit</f>
        <v>Vienība</v>
      </c>
      <c r="I750" s="412">
        <f>I$793</f>
        <v>2019</v>
      </c>
      <c r="J750" s="412">
        <f>J$793</f>
        <v>2020</v>
      </c>
      <c r="K750" s="412">
        <f>K$793</f>
        <v>2021</v>
      </c>
      <c r="L750" s="412">
        <f>L$793</f>
        <v>2022</v>
      </c>
      <c r="M750" s="412">
        <f>M$793</f>
        <v>2023</v>
      </c>
      <c r="N750" s="23"/>
      <c r="O750" s="25"/>
      <c r="P750" s="182" t="s">
        <v>228</v>
      </c>
      <c r="Q750" s="1024"/>
      <c r="R750" s="190" t="s">
        <v>629</v>
      </c>
      <c r="S750" s="183">
        <f>I750</f>
        <v>2019</v>
      </c>
      <c r="T750" s="134">
        <f>J750</f>
        <v>2020</v>
      </c>
      <c r="U750" s="134">
        <f>K750</f>
        <v>2021</v>
      </c>
      <c r="V750" s="134">
        <f>L750</f>
        <v>2022</v>
      </c>
      <c r="W750" s="134">
        <f>M750</f>
        <v>2023</v>
      </c>
      <c r="X750" s="1188"/>
      <c r="AC750" s="452" t="s">
        <v>450</v>
      </c>
    </row>
    <row r="751" spans="1:29" ht="12.75" customHeight="1" thickBot="1" x14ac:dyDescent="0.25">
      <c r="B751" s="38"/>
      <c r="C751" s="38"/>
      <c r="D751" s="38"/>
      <c r="E751" s="1782" t="str">
        <f>I743</f>
        <v>Procesa emisiju apakšiekārta (OEP | OIM)</v>
      </c>
      <c r="F751" s="1782"/>
      <c r="G751" s="1782"/>
      <c r="H751" s="116" t="str">
        <f>INDEX(EUconst_FallBackListUnits,MATCH(E751,EUconst_FallBackListNames,0))</f>
        <v>t CO2e</v>
      </c>
      <c r="I751" s="337"/>
      <c r="J751" s="337"/>
      <c r="K751" s="337"/>
      <c r="L751" s="337"/>
      <c r="M751" s="337"/>
      <c r="N751" s="23"/>
      <c r="O751" s="25"/>
      <c r="P751" s="185" t="str">
        <f>EUconst_CNTR_HAL&amp;E751</f>
        <v>HAL_Procesa emisiju apakšiekārta (OEP | OIM)</v>
      </c>
      <c r="Q751" s="186"/>
      <c r="R751" s="184" t="str">
        <f>IF(COUNT(S751:W751)&gt;0,MEDIAN(S751:W751),"")</f>
        <v/>
      </c>
      <c r="S751" s="189" t="str">
        <f>IF(S743,IF(ISNUMBER(I751),I751,0),"")</f>
        <v/>
      </c>
      <c r="T751" s="137" t="str">
        <f>IF(T743,IF(ISNUMBER(J751),J751,0),"")</f>
        <v/>
      </c>
      <c r="U751" s="137" t="str">
        <f>IF(U743,IF(ISNUMBER(K751),K751,0),"")</f>
        <v/>
      </c>
      <c r="V751" s="137" t="str">
        <f>IF(V743,IF(ISNUMBER(L751),L751,0),"")</f>
        <v/>
      </c>
      <c r="W751" s="137" t="str">
        <f>IF(W743,IF(ISNUMBER(M751),M751,0),"")</f>
        <v/>
      </c>
      <c r="X751" s="1189"/>
      <c r="Y751" s="1190" t="s">
        <v>574</v>
      </c>
      <c r="Z751" s="709" t="b">
        <f>IF(M743&lt;&gt;EUconst_Relevant,FALSE,INDEX(CNTR_SubInstLess1Year,MATCH(I743,CNTR_SubInstListNames,0)))</f>
        <v>0</v>
      </c>
      <c r="AC751" s="927" t="b">
        <f>IF(CNTR_ExistSubInstEntries,IF(M743=EUconst_Relevant,INDEX(CNTR_SubInstLess1Year,MATCH(I743,CNTR_SubInstListNames,0)),TRUE),FALSE)</f>
        <v>0</v>
      </c>
    </row>
    <row r="752" spans="1:29" ht="12.75" customHeight="1" x14ac:dyDescent="0.2">
      <c r="B752" s="38"/>
      <c r="C752" s="38"/>
      <c r="D752" s="38"/>
      <c r="E752" s="38"/>
      <c r="F752" s="38"/>
      <c r="G752" s="38"/>
      <c r="H752" s="38"/>
      <c r="I752" s="125"/>
      <c r="J752" s="38"/>
      <c r="K752" s="38"/>
      <c r="L752" s="38"/>
      <c r="M752" s="38"/>
      <c r="N752" s="38"/>
      <c r="O752" s="25"/>
      <c r="P752" s="157"/>
      <c r="R752" s="26"/>
      <c r="S752" s="26"/>
    </row>
    <row r="753" spans="1:29" ht="15" x14ac:dyDescent="0.25">
      <c r="B753" s="38"/>
      <c r="C753" s="383"/>
      <c r="D753" s="1318" t="str">
        <f>Translations!$B$700</f>
        <v>Ražošanas dati</v>
      </c>
      <c r="E753" s="1251"/>
      <c r="F753" s="1251"/>
      <c r="G753" s="1251"/>
      <c r="H753" s="1251"/>
      <c r="I753" s="1251"/>
      <c r="J753" s="1251"/>
      <c r="K753" s="1251"/>
      <c r="L753" s="1251"/>
      <c r="M753" s="1251"/>
      <c r="N753" s="1251"/>
      <c r="O753" s="25"/>
      <c r="Y753" s="624"/>
      <c r="Z753" s="624"/>
      <c r="AA753" s="624"/>
      <c r="AB753" s="624"/>
    </row>
    <row r="754" spans="1:29" ht="5.0999999999999996" customHeight="1" x14ac:dyDescent="0.2">
      <c r="B754" s="21"/>
      <c r="C754" s="23"/>
      <c r="D754" s="21"/>
      <c r="E754" s="21"/>
      <c r="F754" s="21"/>
      <c r="G754" s="21"/>
      <c r="H754" s="21"/>
      <c r="I754" s="21"/>
      <c r="J754" s="21"/>
      <c r="K754" s="21"/>
      <c r="L754" s="21"/>
      <c r="M754" s="21"/>
      <c r="N754" s="21"/>
      <c r="O754" s="25"/>
      <c r="P754" s="26"/>
      <c r="Q754" s="26"/>
    </row>
    <row r="755" spans="1:29" s="697" customFormat="1" x14ac:dyDescent="0.2">
      <c r="A755" s="452"/>
      <c r="B755" s="21"/>
      <c r="C755" s="370"/>
      <c r="D755" s="32" t="s">
        <v>339</v>
      </c>
      <c r="E755" s="1250" t="str">
        <f>Translations!$B$830</f>
        <v>Ar šo apakšiekārtu saistīto relevanto produktu vai pakalpojumu identificēšana</v>
      </c>
      <c r="F755" s="1251"/>
      <c r="G755" s="1251"/>
      <c r="H755" s="1251"/>
      <c r="I755" s="1251"/>
      <c r="J755" s="1251"/>
      <c r="K755" s="1251"/>
      <c r="L755" s="1251"/>
      <c r="M755" s="1251"/>
      <c r="N755" s="1251"/>
      <c r="O755" s="25"/>
      <c r="P755" s="26"/>
      <c r="Q755" s="437"/>
      <c r="R755" s="437"/>
      <c r="S755" s="437"/>
      <c r="T755" s="437"/>
      <c r="U755" s="437"/>
      <c r="V755" s="437"/>
      <c r="W755" s="437"/>
      <c r="X755" s="452"/>
      <c r="Y755" s="452"/>
      <c r="Z755" s="452"/>
      <c r="AA755" s="452"/>
      <c r="AB755" s="452"/>
      <c r="AC755" s="452"/>
    </row>
    <row r="756" spans="1:29" s="697" customFormat="1" ht="5.0999999999999996" customHeight="1" x14ac:dyDescent="0.2">
      <c r="A756" s="452"/>
      <c r="B756" s="21"/>
      <c r="C756" s="23"/>
      <c r="D756" s="21"/>
      <c r="E756" s="21"/>
      <c r="F756" s="21"/>
      <c r="G756" s="21"/>
      <c r="H756" s="21"/>
      <c r="I756" s="21"/>
      <c r="J756" s="21"/>
      <c r="K756" s="21"/>
      <c r="L756" s="21"/>
      <c r="M756" s="21"/>
      <c r="N756" s="21"/>
      <c r="O756" s="25"/>
      <c r="P756" s="26"/>
      <c r="Q756" s="26"/>
      <c r="R756" s="437"/>
      <c r="S756" s="437"/>
      <c r="T756" s="437"/>
      <c r="U756" s="437"/>
      <c r="V756" s="437"/>
      <c r="W756" s="437"/>
      <c r="X756" s="452"/>
      <c r="Y756" s="452"/>
      <c r="Z756" s="452"/>
      <c r="AA756" s="452"/>
      <c r="AB756" s="452"/>
      <c r="AC756" s="452"/>
    </row>
    <row r="757" spans="1:29" s="697" customFormat="1" ht="25.5" customHeight="1" thickBot="1" x14ac:dyDescent="0.25">
      <c r="A757" s="452"/>
      <c r="B757" s="414"/>
      <c r="C757" s="34"/>
      <c r="D757" s="360"/>
      <c r="E757" s="1118" t="str">
        <f>Translations!$B$899</f>
        <v>Procesa emisiju veids</v>
      </c>
      <c r="F757" s="1119"/>
      <c r="G757" s="1120"/>
      <c r="H757" s="1774" t="str">
        <f>Translations!$B$886</f>
        <v>Produkta nosaukums vai pakalpojuma veids</v>
      </c>
      <c r="I757" s="1775"/>
      <c r="J757" s="1775"/>
      <c r="K757" s="1775"/>
      <c r="L757" s="1776"/>
      <c r="M757" s="1121" t="str">
        <f>Translations!$B$1668</f>
        <v>PRODCOM 2010</v>
      </c>
      <c r="N757" s="1122" t="str">
        <f>Translations!$B$1669</f>
        <v>KN kodi</v>
      </c>
      <c r="O757" s="25"/>
      <c r="P757" s="437"/>
      <c r="Q757" s="437"/>
      <c r="R757" s="437"/>
      <c r="S757" s="437"/>
      <c r="T757" s="437"/>
      <c r="U757" s="437"/>
      <c r="V757" s="437"/>
      <c r="W757" s="437"/>
      <c r="X757" s="452"/>
      <c r="Y757" s="452"/>
      <c r="Z757" s="452"/>
      <c r="AA757" s="452"/>
      <c r="AB757" s="452"/>
      <c r="AC757" s="452"/>
    </row>
    <row r="758" spans="1:29" s="697" customFormat="1" ht="13.5" thickBot="1" x14ac:dyDescent="0.25">
      <c r="A758" s="452"/>
      <c r="B758" s="414"/>
      <c r="C758" s="34"/>
      <c r="D758" s="589">
        <v>1</v>
      </c>
      <c r="E758" s="1705"/>
      <c r="F758" s="1777"/>
      <c r="G758" s="1778"/>
      <c r="H758" s="1371"/>
      <c r="I758" s="1779"/>
      <c r="J758" s="1779"/>
      <c r="K758" s="1779"/>
      <c r="L758" s="1780"/>
      <c r="M758" s="558"/>
      <c r="N758" s="1084"/>
      <c r="O758" s="25"/>
      <c r="P758" s="437"/>
      <c r="Q758" s="437"/>
      <c r="R758" s="437"/>
      <c r="S758" s="437"/>
      <c r="T758" s="437"/>
      <c r="U758" s="437"/>
      <c r="V758" s="437"/>
      <c r="W758" s="437"/>
      <c r="X758" s="452"/>
      <c r="Y758" s="452"/>
      <c r="Z758" s="452"/>
      <c r="AA758" s="452"/>
      <c r="AB758" s="452"/>
      <c r="AC758" s="630" t="b">
        <f>IF(CNTR_ExistSubInstEntries,M743=EUconst_NotRelevant)</f>
        <v>0</v>
      </c>
    </row>
    <row r="759" spans="1:29" s="697" customFormat="1" x14ac:dyDescent="0.2">
      <c r="A759" s="452"/>
      <c r="B759" s="414"/>
      <c r="C759" s="34"/>
      <c r="D759" s="590">
        <f t="shared" ref="D759:D767" si="28">D758+1</f>
        <v>2</v>
      </c>
      <c r="E759" s="1707"/>
      <c r="F759" s="1770"/>
      <c r="G759" s="1771"/>
      <c r="H759" s="1361"/>
      <c r="I759" s="1772"/>
      <c r="J759" s="1772"/>
      <c r="K759" s="1772"/>
      <c r="L759" s="1773"/>
      <c r="M759" s="559"/>
      <c r="N759" s="1085"/>
      <c r="O759" s="25"/>
      <c r="P759" s="437"/>
      <c r="Q759" s="437"/>
      <c r="R759" s="437"/>
      <c r="S759" s="437"/>
      <c r="T759" s="437"/>
      <c r="U759" s="437"/>
      <c r="V759" s="437"/>
      <c r="W759" s="437"/>
      <c r="X759" s="452"/>
      <c r="Y759" s="452"/>
      <c r="Z759" s="452"/>
      <c r="AA759" s="452"/>
      <c r="AB759" s="452"/>
      <c r="AC759" s="452"/>
    </row>
    <row r="760" spans="1:29" s="697" customFormat="1" x14ac:dyDescent="0.2">
      <c r="A760" s="452"/>
      <c r="B760" s="414"/>
      <c r="C760" s="34"/>
      <c r="D760" s="590">
        <f t="shared" si="28"/>
        <v>3</v>
      </c>
      <c r="E760" s="1707"/>
      <c r="F760" s="1770"/>
      <c r="G760" s="1771"/>
      <c r="H760" s="1361"/>
      <c r="I760" s="1772"/>
      <c r="J760" s="1772"/>
      <c r="K760" s="1772"/>
      <c r="L760" s="1773"/>
      <c r="M760" s="559"/>
      <c r="N760" s="1085"/>
      <c r="O760" s="25"/>
      <c r="P760" s="437"/>
      <c r="Q760" s="437"/>
      <c r="R760" s="437"/>
      <c r="S760" s="437"/>
      <c r="T760" s="437"/>
      <c r="U760" s="437"/>
      <c r="V760" s="437"/>
      <c r="W760" s="437"/>
      <c r="X760" s="452"/>
      <c r="Y760" s="452"/>
      <c r="Z760" s="452"/>
      <c r="AA760" s="452"/>
      <c r="AB760" s="452"/>
      <c r="AC760" s="452"/>
    </row>
    <row r="761" spans="1:29" s="697" customFormat="1" x14ac:dyDescent="0.2">
      <c r="A761" s="452"/>
      <c r="B761" s="414"/>
      <c r="C761" s="34"/>
      <c r="D761" s="590">
        <f t="shared" si="28"/>
        <v>4</v>
      </c>
      <c r="E761" s="1707"/>
      <c r="F761" s="1770"/>
      <c r="G761" s="1771"/>
      <c r="H761" s="1361"/>
      <c r="I761" s="1772"/>
      <c r="J761" s="1772"/>
      <c r="K761" s="1772"/>
      <c r="L761" s="1773"/>
      <c r="M761" s="559"/>
      <c r="N761" s="1085"/>
      <c r="O761" s="25"/>
      <c r="P761" s="437"/>
      <c r="Q761" s="437"/>
      <c r="R761" s="437"/>
      <c r="S761" s="437"/>
      <c r="T761" s="437"/>
      <c r="U761" s="437"/>
      <c r="V761" s="437"/>
      <c r="W761" s="437"/>
      <c r="X761" s="452"/>
      <c r="Y761" s="452"/>
      <c r="Z761" s="452"/>
      <c r="AA761" s="452"/>
      <c r="AB761" s="452"/>
      <c r="AC761" s="452"/>
    </row>
    <row r="762" spans="1:29" s="697" customFormat="1" x14ac:dyDescent="0.2">
      <c r="A762" s="452"/>
      <c r="B762" s="414"/>
      <c r="C762" s="34"/>
      <c r="D762" s="590">
        <f t="shared" si="28"/>
        <v>5</v>
      </c>
      <c r="E762" s="1707"/>
      <c r="F762" s="1770"/>
      <c r="G762" s="1771"/>
      <c r="H762" s="1361"/>
      <c r="I762" s="1772"/>
      <c r="J762" s="1772"/>
      <c r="K762" s="1772"/>
      <c r="L762" s="1773"/>
      <c r="M762" s="559"/>
      <c r="N762" s="1085"/>
      <c r="O762" s="25"/>
      <c r="P762" s="437"/>
      <c r="Q762" s="437"/>
      <c r="R762" s="437"/>
      <c r="S762" s="437"/>
      <c r="T762" s="437"/>
      <c r="U762" s="437"/>
      <c r="V762" s="437"/>
      <c r="W762" s="437"/>
      <c r="X762" s="452"/>
      <c r="Y762" s="452"/>
      <c r="Z762" s="452"/>
      <c r="AA762" s="452"/>
      <c r="AB762" s="452"/>
      <c r="AC762" s="452"/>
    </row>
    <row r="763" spans="1:29" s="697" customFormat="1" x14ac:dyDescent="0.2">
      <c r="A763" s="452"/>
      <c r="B763" s="414"/>
      <c r="C763" s="34"/>
      <c r="D763" s="590">
        <f t="shared" si="28"/>
        <v>6</v>
      </c>
      <c r="E763" s="1707"/>
      <c r="F763" s="1770"/>
      <c r="G763" s="1771"/>
      <c r="H763" s="1361"/>
      <c r="I763" s="1772"/>
      <c r="J763" s="1772"/>
      <c r="K763" s="1772"/>
      <c r="L763" s="1773"/>
      <c r="M763" s="559"/>
      <c r="N763" s="1085"/>
      <c r="O763" s="25"/>
      <c r="P763" s="437"/>
      <c r="Q763" s="437"/>
      <c r="R763" s="437"/>
      <c r="S763" s="437"/>
      <c r="T763" s="437"/>
      <c r="U763" s="437"/>
      <c r="V763" s="437"/>
      <c r="W763" s="437"/>
      <c r="X763" s="452"/>
      <c r="Y763" s="452"/>
      <c r="Z763" s="452"/>
      <c r="AA763" s="452"/>
      <c r="AB763" s="452"/>
      <c r="AC763" s="452"/>
    </row>
    <row r="764" spans="1:29" s="697" customFormat="1" x14ac:dyDescent="0.2">
      <c r="A764" s="452"/>
      <c r="B764" s="414"/>
      <c r="C764" s="34"/>
      <c r="D764" s="590">
        <f t="shared" si="28"/>
        <v>7</v>
      </c>
      <c r="E764" s="1707"/>
      <c r="F764" s="1770"/>
      <c r="G764" s="1771"/>
      <c r="H764" s="1361"/>
      <c r="I764" s="1772"/>
      <c r="J764" s="1772"/>
      <c r="K764" s="1772"/>
      <c r="L764" s="1773"/>
      <c r="M764" s="559"/>
      <c r="N764" s="1085"/>
      <c r="O764" s="25"/>
      <c r="P764" s="437"/>
      <c r="Q764" s="437"/>
      <c r="R764" s="437"/>
      <c r="S764" s="437"/>
      <c r="T764" s="437"/>
      <c r="U764" s="437"/>
      <c r="V764" s="437"/>
      <c r="W764" s="437"/>
      <c r="X764" s="452"/>
      <c r="Y764" s="452"/>
      <c r="Z764" s="452"/>
      <c r="AA764" s="452"/>
      <c r="AB764" s="452"/>
      <c r="AC764" s="452"/>
    </row>
    <row r="765" spans="1:29" s="697" customFormat="1" x14ac:dyDescent="0.2">
      <c r="A765" s="452"/>
      <c r="B765" s="414"/>
      <c r="C765" s="34"/>
      <c r="D765" s="590">
        <f t="shared" si="28"/>
        <v>8</v>
      </c>
      <c r="E765" s="1707"/>
      <c r="F765" s="1770"/>
      <c r="G765" s="1771"/>
      <c r="H765" s="1361"/>
      <c r="I765" s="1772"/>
      <c r="J765" s="1772"/>
      <c r="K765" s="1772"/>
      <c r="L765" s="1773"/>
      <c r="M765" s="559"/>
      <c r="N765" s="1085"/>
      <c r="O765" s="25"/>
      <c r="P765" s="437"/>
      <c r="Q765" s="437"/>
      <c r="R765" s="437"/>
      <c r="S765" s="437"/>
      <c r="T765" s="437"/>
      <c r="U765" s="437"/>
      <c r="V765" s="437"/>
      <c r="W765" s="437"/>
      <c r="X765" s="452"/>
      <c r="Y765" s="452"/>
      <c r="Z765" s="452"/>
      <c r="AA765" s="452"/>
      <c r="AB765" s="452"/>
      <c r="AC765" s="452"/>
    </row>
    <row r="766" spans="1:29" s="697" customFormat="1" x14ac:dyDescent="0.2">
      <c r="A766" s="452"/>
      <c r="B766" s="414"/>
      <c r="C766" s="34"/>
      <c r="D766" s="590">
        <f t="shared" si="28"/>
        <v>9</v>
      </c>
      <c r="E766" s="1707"/>
      <c r="F766" s="1770"/>
      <c r="G766" s="1771"/>
      <c r="H766" s="1361"/>
      <c r="I766" s="1772"/>
      <c r="J766" s="1772"/>
      <c r="K766" s="1772"/>
      <c r="L766" s="1773"/>
      <c r="M766" s="559"/>
      <c r="N766" s="1085"/>
      <c r="O766" s="25"/>
      <c r="P766" s="437"/>
      <c r="Q766" s="437"/>
      <c r="R766" s="437"/>
      <c r="S766" s="437"/>
      <c r="T766" s="437"/>
      <c r="U766" s="437"/>
      <c r="V766" s="437"/>
      <c r="W766" s="437"/>
      <c r="X766" s="452"/>
      <c r="Y766" s="452"/>
      <c r="Z766" s="452"/>
      <c r="AA766" s="452"/>
      <c r="AB766" s="452"/>
      <c r="AC766" s="452"/>
    </row>
    <row r="767" spans="1:29" s="697" customFormat="1" x14ac:dyDescent="0.2">
      <c r="A767" s="452"/>
      <c r="B767" s="414"/>
      <c r="C767" s="34"/>
      <c r="D767" s="592">
        <f t="shared" si="28"/>
        <v>10</v>
      </c>
      <c r="E767" s="1762"/>
      <c r="F767" s="1763"/>
      <c r="G767" s="1764"/>
      <c r="H767" s="1359"/>
      <c r="I767" s="1765"/>
      <c r="J767" s="1765"/>
      <c r="K767" s="1765"/>
      <c r="L767" s="1766"/>
      <c r="M767" s="560"/>
      <c r="N767" s="1086"/>
      <c r="O767" s="25"/>
      <c r="P767" s="437"/>
      <c r="Q767" s="437"/>
      <c r="R767" s="437"/>
      <c r="S767" s="437"/>
      <c r="T767" s="437"/>
      <c r="U767" s="437"/>
      <c r="V767" s="437"/>
      <c r="W767" s="437"/>
      <c r="X767" s="452"/>
      <c r="Y767" s="452"/>
      <c r="Z767" s="452"/>
      <c r="AA767" s="452"/>
      <c r="AB767" s="452"/>
      <c r="AC767" s="452"/>
    </row>
    <row r="768" spans="1:29" s="697" customFormat="1" ht="5.0999999999999996" customHeight="1" x14ac:dyDescent="0.2">
      <c r="A768" s="452"/>
      <c r="B768" s="21"/>
      <c r="C768" s="384"/>
      <c r="D768" s="34"/>
      <c r="E768" s="35"/>
      <c r="F768" s="35"/>
      <c r="G768" s="35"/>
      <c r="H768" s="35"/>
      <c r="I768" s="35"/>
      <c r="J768" s="39"/>
      <c r="K768" s="39"/>
      <c r="L768" s="39"/>
      <c r="M768" s="25"/>
      <c r="N768" s="25"/>
      <c r="O768" s="25"/>
      <c r="P768" s="26"/>
      <c r="Q768" s="437"/>
      <c r="R768" s="437"/>
      <c r="S768" s="437"/>
      <c r="T768" s="437"/>
      <c r="U768" s="437"/>
      <c r="V768" s="437"/>
      <c r="W768" s="437"/>
      <c r="X768" s="452"/>
      <c r="Y768" s="452"/>
      <c r="Z768" s="452"/>
      <c r="AA768" s="452"/>
      <c r="AB768" s="452"/>
      <c r="AC768" s="452"/>
    </row>
    <row r="769" spans="1:29" s="697" customFormat="1" ht="12.75" customHeight="1" x14ac:dyDescent="0.2">
      <c r="A769" s="452"/>
      <c r="B769" s="21"/>
      <c r="C769" s="370"/>
      <c r="D769" s="32" t="s">
        <v>11</v>
      </c>
      <c r="E769" s="1250" t="str">
        <f>Translations!$B$900</f>
        <v>Ražošanas līmeņu dezagregācijas pakāpe:</v>
      </c>
      <c r="F769" s="1251"/>
      <c r="G769" s="1251"/>
      <c r="H769" s="1251"/>
      <c r="I769" s="1251"/>
      <c r="J769" s="1251"/>
      <c r="K769" s="1251"/>
      <c r="L769" s="1251"/>
      <c r="M769" s="1251"/>
      <c r="N769" s="1251"/>
      <c r="O769" s="25"/>
      <c r="P769" s="26"/>
      <c r="Q769" s="437"/>
      <c r="R769" s="437"/>
      <c r="S769" s="437"/>
      <c r="T769" s="437"/>
      <c r="U769" s="437"/>
      <c r="V769" s="437"/>
      <c r="W769" s="437"/>
      <c r="X769" s="452"/>
      <c r="Y769" s="452"/>
      <c r="Z769" s="452"/>
      <c r="AA769" s="452"/>
      <c r="AB769" s="452"/>
      <c r="AC769" s="452"/>
    </row>
    <row r="770" spans="1:29" s="697" customFormat="1" ht="5.0999999999999996" customHeight="1" x14ac:dyDescent="0.2">
      <c r="A770" s="452"/>
      <c r="B770" s="21"/>
      <c r="C770" s="23"/>
      <c r="D770" s="21"/>
      <c r="E770" s="21"/>
      <c r="F770" s="21"/>
      <c r="G770" s="21"/>
      <c r="H770" s="21"/>
      <c r="I770" s="21"/>
      <c r="J770" s="21"/>
      <c r="K770" s="21"/>
      <c r="L770" s="21"/>
      <c r="M770" s="21"/>
      <c r="N770" s="25"/>
      <c r="O770" s="25"/>
      <c r="P770" s="26"/>
      <c r="Q770" s="26"/>
      <c r="R770" s="437"/>
      <c r="S770" s="437"/>
      <c r="T770" s="437"/>
      <c r="U770" s="437"/>
      <c r="V770" s="437"/>
      <c r="W770" s="437"/>
      <c r="X770" s="452"/>
      <c r="Y770" s="452"/>
      <c r="Z770" s="452"/>
      <c r="AA770" s="452"/>
      <c r="AB770" s="452"/>
      <c r="AC770" s="452"/>
    </row>
    <row r="771" spans="1:29" s="697" customFormat="1" x14ac:dyDescent="0.2">
      <c r="A771" s="452"/>
      <c r="B771" s="414"/>
      <c r="C771" s="370"/>
      <c r="D771" s="360"/>
      <c r="E771" s="1767" t="str">
        <f>Translations!$B$886</f>
        <v>Produkta nosaukums vai pakalpojuma veids</v>
      </c>
      <c r="F771" s="1275"/>
      <c r="G771" s="1460"/>
      <c r="H771" s="52" t="str">
        <f>EUconst_Unit</f>
        <v>Vienība</v>
      </c>
      <c r="I771" s="412">
        <f>I$793</f>
        <v>2019</v>
      </c>
      <c r="J771" s="412">
        <f>J$793</f>
        <v>2020</v>
      </c>
      <c r="K771" s="412">
        <f>K$793</f>
        <v>2021</v>
      </c>
      <c r="L771" s="412">
        <f>L$793</f>
        <v>2022</v>
      </c>
      <c r="M771" s="412">
        <f>M$793</f>
        <v>2023</v>
      </c>
      <c r="N771" s="25"/>
      <c r="O771" s="25"/>
      <c r="P771" s="437"/>
      <c r="Q771" s="437"/>
      <c r="R771" s="437"/>
      <c r="S771" s="437"/>
      <c r="T771" s="437"/>
      <c r="U771" s="437"/>
      <c r="V771" s="437"/>
      <c r="W771" s="437"/>
      <c r="X771" s="452"/>
      <c r="Y771" s="452"/>
      <c r="Z771" s="452"/>
      <c r="AA771" s="452"/>
      <c r="AB771" s="452"/>
      <c r="AC771" s="452"/>
    </row>
    <row r="772" spans="1:29" ht="12.75" customHeight="1" x14ac:dyDescent="0.2">
      <c r="B772" s="38"/>
      <c r="C772" s="68"/>
      <c r="D772" s="55">
        <v>1</v>
      </c>
      <c r="E772" s="1748" t="str">
        <f t="shared" ref="E772:E781" si="29">IF(ISBLANK(H758),"",H758)</f>
        <v/>
      </c>
      <c r="F772" s="1768"/>
      <c r="G772" s="1769"/>
      <c r="H772" s="763"/>
      <c r="I772" s="484"/>
      <c r="J772" s="484"/>
      <c r="K772" s="484"/>
      <c r="L772" s="484"/>
      <c r="M772" s="484"/>
      <c r="N772" s="25"/>
      <c r="O772" s="25"/>
    </row>
    <row r="773" spans="1:29" ht="12.75" customHeight="1" x14ac:dyDescent="0.2">
      <c r="B773" s="38"/>
      <c r="C773" s="68"/>
      <c r="D773" s="56">
        <f>D772+1</f>
        <v>2</v>
      </c>
      <c r="E773" s="1754" t="str">
        <f t="shared" si="29"/>
        <v/>
      </c>
      <c r="F773" s="1755"/>
      <c r="G773" s="1756"/>
      <c r="H773" s="764"/>
      <c r="I773" s="557"/>
      <c r="J773" s="557"/>
      <c r="K773" s="557"/>
      <c r="L773" s="557"/>
      <c r="M773" s="557"/>
      <c r="N773" s="25"/>
      <c r="O773" s="25"/>
    </row>
    <row r="774" spans="1:29" ht="12.75" customHeight="1" x14ac:dyDescent="0.2">
      <c r="B774" s="38"/>
      <c r="C774" s="68"/>
      <c r="D774" s="56">
        <f t="shared" ref="D774:D781" si="30">D773+1</f>
        <v>3</v>
      </c>
      <c r="E774" s="1754" t="str">
        <f t="shared" si="29"/>
        <v/>
      </c>
      <c r="F774" s="1755"/>
      <c r="G774" s="1756"/>
      <c r="H774" s="764"/>
      <c r="I774" s="557"/>
      <c r="J774" s="557"/>
      <c r="K774" s="557"/>
      <c r="L774" s="557"/>
      <c r="M774" s="557"/>
      <c r="N774" s="25"/>
      <c r="O774" s="25"/>
    </row>
    <row r="775" spans="1:29" ht="12.75" customHeight="1" x14ac:dyDescent="0.2">
      <c r="B775" s="38"/>
      <c r="C775" s="68"/>
      <c r="D775" s="56">
        <f t="shared" si="30"/>
        <v>4</v>
      </c>
      <c r="E775" s="1754" t="str">
        <f t="shared" si="29"/>
        <v/>
      </c>
      <c r="F775" s="1755"/>
      <c r="G775" s="1756"/>
      <c r="H775" s="764"/>
      <c r="I775" s="557"/>
      <c r="J775" s="557"/>
      <c r="K775" s="557"/>
      <c r="L775" s="557"/>
      <c r="M775" s="557"/>
      <c r="N775" s="25"/>
      <c r="O775" s="25"/>
    </row>
    <row r="776" spans="1:29" ht="12.75" customHeight="1" x14ac:dyDescent="0.2">
      <c r="B776" s="38"/>
      <c r="C776" s="68"/>
      <c r="D776" s="56">
        <f t="shared" si="30"/>
        <v>5</v>
      </c>
      <c r="E776" s="1754" t="str">
        <f t="shared" si="29"/>
        <v/>
      </c>
      <c r="F776" s="1755"/>
      <c r="G776" s="1756"/>
      <c r="H776" s="764"/>
      <c r="I776" s="557"/>
      <c r="J776" s="557"/>
      <c r="K776" s="557"/>
      <c r="L776" s="557"/>
      <c r="M776" s="557"/>
      <c r="N776" s="25"/>
      <c r="O776" s="25"/>
    </row>
    <row r="777" spans="1:29" ht="12.75" customHeight="1" x14ac:dyDescent="0.2">
      <c r="B777" s="38"/>
      <c r="C777" s="68"/>
      <c r="D777" s="56">
        <f t="shared" si="30"/>
        <v>6</v>
      </c>
      <c r="E777" s="1754" t="str">
        <f t="shared" si="29"/>
        <v/>
      </c>
      <c r="F777" s="1755"/>
      <c r="G777" s="1756"/>
      <c r="H777" s="764"/>
      <c r="I777" s="557"/>
      <c r="J777" s="557"/>
      <c r="K777" s="557"/>
      <c r="L777" s="557"/>
      <c r="M777" s="557"/>
      <c r="N777" s="25"/>
      <c r="O777" s="25"/>
    </row>
    <row r="778" spans="1:29" ht="12.75" customHeight="1" x14ac:dyDescent="0.2">
      <c r="B778" s="38"/>
      <c r="C778" s="68"/>
      <c r="D778" s="56">
        <f t="shared" si="30"/>
        <v>7</v>
      </c>
      <c r="E778" s="1754" t="str">
        <f t="shared" si="29"/>
        <v/>
      </c>
      <c r="F778" s="1755"/>
      <c r="G778" s="1756"/>
      <c r="H778" s="764"/>
      <c r="I778" s="557"/>
      <c r="J778" s="557"/>
      <c r="K778" s="557"/>
      <c r="L778" s="557"/>
      <c r="M778" s="557"/>
      <c r="N778" s="25"/>
      <c r="O778" s="25"/>
    </row>
    <row r="779" spans="1:29" ht="12.75" customHeight="1" x14ac:dyDescent="0.2">
      <c r="B779" s="38"/>
      <c r="C779" s="68"/>
      <c r="D779" s="56">
        <f t="shared" si="30"/>
        <v>8</v>
      </c>
      <c r="E779" s="1754" t="str">
        <f t="shared" si="29"/>
        <v/>
      </c>
      <c r="F779" s="1755"/>
      <c r="G779" s="1756"/>
      <c r="H779" s="764"/>
      <c r="I779" s="557"/>
      <c r="J779" s="557"/>
      <c r="K779" s="557"/>
      <c r="L779" s="557"/>
      <c r="M779" s="557"/>
      <c r="N779" s="25"/>
      <c r="O779" s="25"/>
    </row>
    <row r="780" spans="1:29" ht="12.75" customHeight="1" x14ac:dyDescent="0.2">
      <c r="B780" s="38"/>
      <c r="C780" s="68"/>
      <c r="D780" s="56">
        <f t="shared" si="30"/>
        <v>9</v>
      </c>
      <c r="E780" s="1754" t="str">
        <f t="shared" si="29"/>
        <v/>
      </c>
      <c r="F780" s="1755"/>
      <c r="G780" s="1756"/>
      <c r="H780" s="764"/>
      <c r="I780" s="557"/>
      <c r="J780" s="557"/>
      <c r="K780" s="557"/>
      <c r="L780" s="557"/>
      <c r="M780" s="557"/>
      <c r="N780" s="25"/>
      <c r="O780" s="25"/>
    </row>
    <row r="781" spans="1:29" ht="12.75" customHeight="1" x14ac:dyDescent="0.2">
      <c r="B781" s="38"/>
      <c r="C781" s="68"/>
      <c r="D781" s="59">
        <f t="shared" si="30"/>
        <v>10</v>
      </c>
      <c r="E781" s="1757" t="str">
        <f t="shared" si="29"/>
        <v/>
      </c>
      <c r="F781" s="1758"/>
      <c r="G781" s="1759"/>
      <c r="H781" s="765"/>
      <c r="I781" s="458"/>
      <c r="J781" s="458"/>
      <c r="K781" s="458"/>
      <c r="L781" s="458"/>
      <c r="M781" s="458"/>
      <c r="N781" s="25"/>
      <c r="O781" s="25"/>
    </row>
    <row r="782" spans="1:29" ht="12.75" customHeight="1" x14ac:dyDescent="0.2">
      <c r="B782" s="38"/>
      <c r="C782" s="38"/>
      <c r="D782" s="115"/>
      <c r="E782" s="1760" t="str">
        <f>Translations!$B$708</f>
        <v>Ražošanas līmeņu summa</v>
      </c>
      <c r="F782" s="1457"/>
      <c r="G782" s="1259"/>
      <c r="H782" s="250"/>
      <c r="I782" s="343" t="str">
        <f>IF(COUNT(I772:I781)&gt;0,SUM(I772:I781),"")</f>
        <v/>
      </c>
      <c r="J782" s="343" t="str">
        <f>IF(COUNT(J772:J781)&gt;0,SUM(J772:J781),"")</f>
        <v/>
      </c>
      <c r="K782" s="343" t="str">
        <f>IF(COUNT(K772:K781)&gt;0,SUM(K772:K781),"")</f>
        <v/>
      </c>
      <c r="L782" s="343" t="str">
        <f>IF(COUNT(L772:L781)&gt;0,SUM(L772:L781),"")</f>
        <v/>
      </c>
      <c r="M782" s="343" t="str">
        <f>IF(COUNT(M772:M781)&gt;0,SUM(M772:M781),"")</f>
        <v/>
      </c>
      <c r="N782" s="25"/>
      <c r="O782" s="25"/>
    </row>
    <row r="783" spans="1:29" ht="12.75" customHeight="1" x14ac:dyDescent="0.2">
      <c r="B783" s="38"/>
      <c r="C783" s="38"/>
      <c r="D783" s="38"/>
      <c r="E783" s="38"/>
      <c r="F783" s="38"/>
      <c r="G783" s="38"/>
      <c r="H783" s="38"/>
      <c r="I783" s="38"/>
      <c r="J783" s="38"/>
      <c r="K783" s="38"/>
      <c r="L783" s="38"/>
      <c r="M783" s="38"/>
      <c r="N783" s="25"/>
      <c r="O783" s="25"/>
      <c r="R783" s="26"/>
      <c r="S783" s="26"/>
    </row>
    <row r="784" spans="1:29" ht="12.75" customHeight="1" x14ac:dyDescent="0.2">
      <c r="B784" s="38"/>
      <c r="C784" s="38"/>
      <c r="D784" s="38"/>
      <c r="E784" s="38"/>
      <c r="F784" s="38"/>
      <c r="G784" s="38"/>
      <c r="H784" s="38"/>
      <c r="I784" s="38"/>
      <c r="J784" s="38"/>
      <c r="K784" s="38"/>
      <c r="L784" s="38"/>
      <c r="M784" s="38"/>
      <c r="N784" s="38"/>
      <c r="O784" s="25"/>
    </row>
    <row r="785" spans="1:29" ht="12.75" customHeight="1" x14ac:dyDescent="0.2">
      <c r="B785" s="38"/>
      <c r="C785" s="38"/>
      <c r="D785" s="1519" t="str">
        <f>Translations!$B$73</f>
        <v xml:space="preserve">&lt;&lt;&lt; Lai pārietu uz nākamo lapu, klikšķiniet šeit &gt;&gt;&gt; </v>
      </c>
      <c r="E785" s="1519"/>
      <c r="F785" s="1519"/>
      <c r="G785" s="1519"/>
      <c r="H785" s="1519"/>
      <c r="I785" s="1519"/>
      <c r="J785" s="1519"/>
      <c r="K785" s="1519"/>
      <c r="L785" s="1519"/>
      <c r="M785" s="1519"/>
      <c r="N785" s="1519"/>
      <c r="O785" s="25"/>
    </row>
    <row r="786" spans="1:29" ht="12.75" customHeight="1" x14ac:dyDescent="0.2">
      <c r="B786" s="38"/>
      <c r="C786" s="38"/>
      <c r="D786" s="38"/>
      <c r="E786" s="38"/>
      <c r="F786" s="38"/>
      <c r="G786" s="38"/>
      <c r="H786" s="38"/>
      <c r="I786" s="38"/>
      <c r="J786" s="38"/>
      <c r="K786" s="38"/>
      <c r="L786" s="38"/>
      <c r="M786" s="38"/>
      <c r="N786" s="38"/>
      <c r="O786" s="25"/>
    </row>
    <row r="787" spans="1:29" hidden="1" x14ac:dyDescent="0.2">
      <c r="A787" s="445" t="s">
        <v>93</v>
      </c>
      <c r="B787" s="20" t="s">
        <v>336</v>
      </c>
      <c r="C787" s="20" t="s">
        <v>336</v>
      </c>
      <c r="D787" s="20" t="s">
        <v>336</v>
      </c>
      <c r="E787" s="20" t="s">
        <v>336</v>
      </c>
      <c r="F787" s="20" t="s">
        <v>336</v>
      </c>
      <c r="G787" s="20" t="s">
        <v>336</v>
      </c>
      <c r="H787" s="20" t="s">
        <v>336</v>
      </c>
      <c r="I787" s="20" t="s">
        <v>336</v>
      </c>
      <c r="J787" s="20" t="s">
        <v>336</v>
      </c>
      <c r="K787" s="20" t="s">
        <v>336</v>
      </c>
      <c r="L787" s="20" t="s">
        <v>336</v>
      </c>
      <c r="M787" s="20" t="s">
        <v>336</v>
      </c>
      <c r="N787" s="20" t="s">
        <v>336</v>
      </c>
      <c r="O787" s="20" t="s">
        <v>336</v>
      </c>
      <c r="P787" s="20" t="s">
        <v>336</v>
      </c>
      <c r="Q787" s="20" t="s">
        <v>336</v>
      </c>
      <c r="R787" s="20" t="s">
        <v>336</v>
      </c>
      <c r="S787" s="20" t="s">
        <v>336</v>
      </c>
      <c r="T787" s="20" t="s">
        <v>336</v>
      </c>
      <c r="U787" s="20" t="s">
        <v>336</v>
      </c>
      <c r="V787" s="20" t="s">
        <v>336</v>
      </c>
      <c r="W787" s="20" t="s">
        <v>336</v>
      </c>
      <c r="X787" s="445" t="s">
        <v>336</v>
      </c>
      <c r="Y787" s="445" t="s">
        <v>336</v>
      </c>
      <c r="Z787" s="445" t="s">
        <v>336</v>
      </c>
      <c r="AA787" s="445" t="s">
        <v>336</v>
      </c>
      <c r="AB787" s="445" t="s">
        <v>336</v>
      </c>
      <c r="AC787" s="445" t="s">
        <v>336</v>
      </c>
    </row>
    <row r="788" spans="1:29" hidden="1" x14ac:dyDescent="0.2">
      <c r="A788" s="445" t="s">
        <v>93</v>
      </c>
    </row>
    <row r="789" spans="1:29" ht="13.5" hidden="1" thickBot="1" x14ac:dyDescent="0.25">
      <c r="A789" s="445" t="s">
        <v>93</v>
      </c>
      <c r="B789" s="20"/>
      <c r="C789" s="20"/>
      <c r="D789" s="63" t="s">
        <v>337</v>
      </c>
      <c r="E789" s="20"/>
      <c r="F789" s="20"/>
      <c r="G789" s="20"/>
      <c r="H789" s="20"/>
      <c r="I789" s="20"/>
      <c r="J789" s="20"/>
      <c r="K789" s="20"/>
      <c r="L789" s="20"/>
      <c r="M789" s="20"/>
      <c r="N789" s="20"/>
      <c r="O789" s="20"/>
    </row>
    <row r="790" spans="1:29" hidden="1" x14ac:dyDescent="0.2">
      <c r="A790" s="445" t="s">
        <v>93</v>
      </c>
      <c r="D790" s="64"/>
      <c r="E790" s="180" t="s">
        <v>227</v>
      </c>
      <c r="F790" s="84"/>
      <c r="G790" s="84"/>
      <c r="H790" s="84"/>
      <c r="I790" s="84"/>
      <c r="J790" s="84"/>
      <c r="K790" s="84"/>
      <c r="L790" s="84"/>
      <c r="M790" s="84"/>
      <c r="N790" s="86"/>
    </row>
    <row r="791" spans="1:29" hidden="1" x14ac:dyDescent="0.2">
      <c r="A791" s="445" t="s">
        <v>93</v>
      </c>
      <c r="E791" s="119" t="s">
        <v>340</v>
      </c>
      <c r="F791" s="41"/>
      <c r="G791" s="41"/>
      <c r="H791" s="41"/>
      <c r="I791" s="170">
        <v>1</v>
      </c>
      <c r="J791" s="170">
        <v>2</v>
      </c>
      <c r="K791" s="170">
        <v>3</v>
      </c>
      <c r="L791" s="170">
        <v>4</v>
      </c>
      <c r="M791" s="170">
        <v>5</v>
      </c>
      <c r="N791" s="173"/>
    </row>
    <row r="792" spans="1:29" hidden="1" x14ac:dyDescent="0.2">
      <c r="A792" s="445" t="s">
        <v>93</v>
      </c>
      <c r="E792" s="174" t="s">
        <v>457</v>
      </c>
      <c r="F792" s="41"/>
      <c r="G792" s="41"/>
      <c r="H792" s="41"/>
      <c r="I792" s="170">
        <f>INDEX(EUconst_ReportingYears,I791)</f>
        <v>2014</v>
      </c>
      <c r="J792" s="170">
        <f>INDEX(EUconst_ReportingYears,J791)</f>
        <v>2015</v>
      </c>
      <c r="K792" s="170">
        <f>INDEX(EUconst_ReportingYears,K791)</f>
        <v>2016</v>
      </c>
      <c r="L792" s="170">
        <f>INDEX(EUconst_ReportingYears,L791)</f>
        <v>2017</v>
      </c>
      <c r="M792" s="170">
        <f>INDEX(EUconst_ReportingYears,M791)</f>
        <v>2018</v>
      </c>
      <c r="N792" s="173"/>
    </row>
    <row r="793" spans="1:29" hidden="1" x14ac:dyDescent="0.2">
      <c r="A793" s="445" t="s">
        <v>93</v>
      </c>
      <c r="E793" s="174" t="s">
        <v>456</v>
      </c>
      <c r="F793" s="171"/>
      <c r="G793" s="171"/>
      <c r="H793" s="171"/>
      <c r="I793" s="172">
        <f>IF(CNTR_BaselinePeriod=EUconst_NA,I792,INDEX(EUconst_ReportingYears,I791)+(CNTR_BaselinePeriod-1)*5)</f>
        <v>2019</v>
      </c>
      <c r="J793" s="172">
        <f>IF(CNTR_BaselinePeriod=EUconst_NA,J792,INDEX(EUconst_ReportingYears,J791)+(CNTR_BaselinePeriod-1)*5)</f>
        <v>2020</v>
      </c>
      <c r="K793" s="172">
        <f>IF(CNTR_BaselinePeriod=EUconst_NA,K792,INDEX(EUconst_ReportingYears,K791)+(CNTR_BaselinePeriod-1)*5)</f>
        <v>2021</v>
      </c>
      <c r="L793" s="172">
        <f>IF(CNTR_BaselinePeriod=EUconst_NA,L792,INDEX(EUconst_ReportingYears,L791)+(CNTR_BaselinePeriod-1)*5)</f>
        <v>2022</v>
      </c>
      <c r="M793" s="172">
        <f>IF(CNTR_BaselinePeriod=EUconst_NA,M792,INDEX(EUconst_ReportingYears,M791)+(CNTR_BaselinePeriod-1)*5)</f>
        <v>2023</v>
      </c>
      <c r="N793" s="175"/>
      <c r="O793" s="38"/>
    </row>
    <row r="794" spans="1:29" hidden="1" x14ac:dyDescent="0.2">
      <c r="A794" s="445" t="s">
        <v>93</v>
      </c>
      <c r="E794" s="174" t="s">
        <v>226</v>
      </c>
      <c r="F794" s="171"/>
      <c r="G794" s="171"/>
      <c r="H794" s="171"/>
      <c r="I794" s="172">
        <v>1</v>
      </c>
      <c r="J794" s="172">
        <v>1</v>
      </c>
      <c r="K794" s="172">
        <v>1</v>
      </c>
      <c r="L794" s="172">
        <v>1</v>
      </c>
      <c r="M794" s="172">
        <v>1</v>
      </c>
      <c r="N794" s="175"/>
    </row>
    <row r="795" spans="1:29" hidden="1" x14ac:dyDescent="0.2">
      <c r="A795" s="445" t="s">
        <v>93</v>
      </c>
      <c r="E795" s="174" t="s">
        <v>224</v>
      </c>
      <c r="F795" s="171"/>
      <c r="G795" s="171"/>
      <c r="H795" s="171"/>
      <c r="I795" s="171" t="b">
        <f>(I794=CNTR_BaselinePeriod)</f>
        <v>0</v>
      </c>
      <c r="J795" s="171" t="b">
        <f>(J794=CNTR_BaselinePeriod)</f>
        <v>0</v>
      </c>
      <c r="K795" s="171" t="b">
        <f>(K794=CNTR_BaselinePeriod)</f>
        <v>0</v>
      </c>
      <c r="L795" s="171" t="b">
        <f>(L794=CNTR_BaselinePeriod)</f>
        <v>0</v>
      </c>
      <c r="M795" s="171" t="b">
        <f>(M794=CNTR_BaselinePeriod)</f>
        <v>0</v>
      </c>
      <c r="N795" s="176"/>
    </row>
    <row r="796" spans="1:29" ht="13.5" hidden="1" thickBot="1" x14ac:dyDescent="0.25">
      <c r="A796" s="445" t="s">
        <v>93</v>
      </c>
      <c r="E796" s="177" t="s">
        <v>225</v>
      </c>
      <c r="F796" s="178"/>
      <c r="G796" s="178"/>
      <c r="H796" s="178"/>
      <c r="I796" s="178">
        <f>INDEX(CNTR_BaslineYearRelevant,I791)</f>
        <v>0</v>
      </c>
      <c r="J796" s="178">
        <f>INDEX(CNTR_BaslineYearRelevant,J791)</f>
        <v>0</v>
      </c>
      <c r="K796" s="178">
        <f>INDEX(CNTR_BaslineYearRelevant,K791)</f>
        <v>0</v>
      </c>
      <c r="L796" s="178">
        <f>INDEX(CNTR_BaslineYearRelevant,L791)</f>
        <v>0</v>
      </c>
      <c r="M796" s="178">
        <f>INDEX(CNTR_BaslineYearRelevant,M791)</f>
        <v>0</v>
      </c>
      <c r="N796" s="179"/>
      <c r="O796" s="696"/>
    </row>
    <row r="797" spans="1:29" hidden="1" x14ac:dyDescent="0.2">
      <c r="A797" s="445" t="s">
        <v>93</v>
      </c>
      <c r="O797" s="696"/>
    </row>
    <row r="798" spans="1:29" hidden="1" x14ac:dyDescent="0.2">
      <c r="A798" s="445" t="s">
        <v>93</v>
      </c>
      <c r="O798" s="696"/>
    </row>
    <row r="799" spans="1:29" hidden="1" x14ac:dyDescent="0.2">
      <c r="A799" s="445" t="s">
        <v>93</v>
      </c>
      <c r="E799" s="19" t="s">
        <v>312</v>
      </c>
      <c r="O799" s="696"/>
    </row>
    <row r="800" spans="1:29" hidden="1" x14ac:dyDescent="0.2">
      <c r="A800" s="445" t="s">
        <v>93</v>
      </c>
      <c r="F800" s="19" t="s">
        <v>159</v>
      </c>
      <c r="G800" s="67" t="b">
        <f t="shared" ref="G800:G809" si="31">(COUNTIF($Y$12:$Y$787,EUconst_Error&amp;F800)&gt;0)</f>
        <v>0</v>
      </c>
      <c r="O800" s="696"/>
    </row>
    <row r="801" spans="1:15" hidden="1" x14ac:dyDescent="0.2">
      <c r="A801" s="445" t="s">
        <v>93</v>
      </c>
      <c r="F801" s="19" t="s">
        <v>160</v>
      </c>
      <c r="G801" s="67" t="b">
        <f t="shared" si="31"/>
        <v>0</v>
      </c>
      <c r="O801" s="696"/>
    </row>
    <row r="802" spans="1:15" hidden="1" x14ac:dyDescent="0.2">
      <c r="A802" s="445" t="s">
        <v>93</v>
      </c>
      <c r="F802" s="19" t="s">
        <v>161</v>
      </c>
      <c r="G802" s="67" t="b">
        <f t="shared" si="31"/>
        <v>0</v>
      </c>
      <c r="O802" s="696"/>
    </row>
    <row r="803" spans="1:15" hidden="1" x14ac:dyDescent="0.2">
      <c r="A803" s="445" t="s">
        <v>93</v>
      </c>
      <c r="F803" s="19" t="s">
        <v>162</v>
      </c>
      <c r="G803" s="67" t="b">
        <f t="shared" si="31"/>
        <v>0</v>
      </c>
      <c r="O803" s="696"/>
    </row>
    <row r="804" spans="1:15" hidden="1" x14ac:dyDescent="0.2">
      <c r="A804" s="445" t="s">
        <v>93</v>
      </c>
      <c r="F804" s="19" t="s">
        <v>163</v>
      </c>
      <c r="G804" s="67" t="b">
        <f t="shared" si="31"/>
        <v>0</v>
      </c>
      <c r="O804" s="696"/>
    </row>
    <row r="805" spans="1:15" hidden="1" x14ac:dyDescent="0.2">
      <c r="A805" s="445" t="s">
        <v>93</v>
      </c>
      <c r="F805" s="19" t="s">
        <v>164</v>
      </c>
      <c r="G805" s="67" t="b">
        <f t="shared" si="31"/>
        <v>0</v>
      </c>
      <c r="O805" s="696"/>
    </row>
    <row r="806" spans="1:15" hidden="1" x14ac:dyDescent="0.2">
      <c r="A806" s="445" t="s">
        <v>93</v>
      </c>
      <c r="F806" s="19" t="s">
        <v>496</v>
      </c>
      <c r="G806" s="67" t="b">
        <f t="shared" si="31"/>
        <v>0</v>
      </c>
      <c r="O806" s="696"/>
    </row>
    <row r="807" spans="1:15" hidden="1" x14ac:dyDescent="0.2">
      <c r="A807" s="445" t="s">
        <v>93</v>
      </c>
      <c r="F807" s="19" t="s">
        <v>647</v>
      </c>
      <c r="G807" s="67" t="b">
        <f t="shared" si="31"/>
        <v>0</v>
      </c>
      <c r="O807" s="696"/>
    </row>
    <row r="808" spans="1:15" hidden="1" x14ac:dyDescent="0.2">
      <c r="A808" s="445" t="s">
        <v>93</v>
      </c>
      <c r="F808" s="19" t="s">
        <v>648</v>
      </c>
      <c r="G808" s="67" t="b">
        <f t="shared" si="31"/>
        <v>0</v>
      </c>
      <c r="O808" s="696"/>
    </row>
    <row r="809" spans="1:15" ht="13.5" hidden="1" thickBot="1" x14ac:dyDescent="0.25">
      <c r="A809" s="445" t="s">
        <v>93</v>
      </c>
      <c r="F809" s="19" t="s">
        <v>649</v>
      </c>
      <c r="G809" s="67" t="b">
        <f t="shared" si="31"/>
        <v>0</v>
      </c>
      <c r="O809" s="696"/>
    </row>
    <row r="810" spans="1:15" ht="13.5" hidden="1" thickBot="1" x14ac:dyDescent="0.25">
      <c r="A810" s="445" t="s">
        <v>93</v>
      </c>
      <c r="F810" s="64" t="s">
        <v>313</v>
      </c>
      <c r="G810" s="286" t="b">
        <f>OR(G800:G809)</f>
        <v>0</v>
      </c>
      <c r="O810" s="696"/>
    </row>
    <row r="811" spans="1:15" hidden="1" x14ac:dyDescent="0.2">
      <c r="A811" s="445" t="s">
        <v>93</v>
      </c>
      <c r="O811" s="696"/>
    </row>
    <row r="812" spans="1:15" hidden="1" x14ac:dyDescent="0.2">
      <c r="A812" s="445" t="s">
        <v>93</v>
      </c>
      <c r="C812" s="826">
        <v>11</v>
      </c>
      <c r="D812" s="583" t="s">
        <v>597</v>
      </c>
      <c r="E812" s="696"/>
      <c r="F812" s="696"/>
      <c r="G812" s="696"/>
      <c r="H812" s="696"/>
      <c r="I812" s="696"/>
      <c r="J812" s="696"/>
      <c r="K812" s="696"/>
      <c r="L812" s="696"/>
      <c r="M812" s="696"/>
      <c r="N812" s="696"/>
      <c r="O812" s="696"/>
    </row>
  </sheetData>
  <sheetCalcPr fullCalcOnLoad="1"/>
  <sheetProtection sheet="1" objects="1" scenarios="1" formatCells="0" formatColumns="0" formatRows="0"/>
  <mergeCells count="805">
    <mergeCell ref="E579:G579"/>
    <mergeCell ref="E580:G580"/>
    <mergeCell ref="E650:G650"/>
    <mergeCell ref="E651:G651"/>
    <mergeCell ref="E571:N571"/>
    <mergeCell ref="E572:G572"/>
    <mergeCell ref="E573:G573"/>
    <mergeCell ref="E574:G574"/>
    <mergeCell ref="E582:G582"/>
    <mergeCell ref="E599:N599"/>
    <mergeCell ref="E402:G402"/>
    <mergeCell ref="E403:G403"/>
    <mergeCell ref="E404:G404"/>
    <mergeCell ref="E405:G405"/>
    <mergeCell ref="E506:G506"/>
    <mergeCell ref="E307:G307"/>
    <mergeCell ref="E308:G308"/>
    <mergeCell ref="E309:G309"/>
    <mergeCell ref="E498:N498"/>
    <mergeCell ref="E396:G396"/>
    <mergeCell ref="E397:G397"/>
    <mergeCell ref="E398:G398"/>
    <mergeCell ref="E399:G399"/>
    <mergeCell ref="E400:G400"/>
    <mergeCell ref="E401:G401"/>
    <mergeCell ref="E210:G210"/>
    <mergeCell ref="E211:G211"/>
    <mergeCell ref="E212:G212"/>
    <mergeCell ref="E213:G213"/>
    <mergeCell ref="E300:G300"/>
    <mergeCell ref="E227:G227"/>
    <mergeCell ref="E241:G241"/>
    <mergeCell ref="E264:F264"/>
    <mergeCell ref="G264:H264"/>
    <mergeCell ref="E269:F269"/>
    <mergeCell ref="E103:G103"/>
    <mergeCell ref="E104:G104"/>
    <mergeCell ref="E105:G105"/>
    <mergeCell ref="E106:G106"/>
    <mergeCell ref="E107:G107"/>
    <mergeCell ref="E204:G204"/>
    <mergeCell ref="E177:N177"/>
    <mergeCell ref="E179:G179"/>
    <mergeCell ref="E190:G190"/>
    <mergeCell ref="D193:N193"/>
    <mergeCell ref="E39:N39"/>
    <mergeCell ref="E40:N40"/>
    <mergeCell ref="E113:G113"/>
    <mergeCell ref="E109:N109"/>
    <mergeCell ref="E110:N110"/>
    <mergeCell ref="E237:G237"/>
    <mergeCell ref="F119:N119"/>
    <mergeCell ref="E88:G88"/>
    <mergeCell ref="E77:M77"/>
    <mergeCell ref="F84:N84"/>
    <mergeCell ref="D563:H563"/>
    <mergeCell ref="I563:N563"/>
    <mergeCell ref="D195:H195"/>
    <mergeCell ref="I195:N195"/>
    <mergeCell ref="D387:H387"/>
    <mergeCell ref="E82:N82"/>
    <mergeCell ref="F83:N83"/>
    <mergeCell ref="F85:N85"/>
    <mergeCell ref="E92:N92"/>
    <mergeCell ref="E91:N91"/>
    <mergeCell ref="E95:N95"/>
    <mergeCell ref="F86:N86"/>
    <mergeCell ref="E96:N96"/>
    <mergeCell ref="E94:N94"/>
    <mergeCell ref="E111:N111"/>
    <mergeCell ref="E89:G89"/>
    <mergeCell ref="E78:M78"/>
    <mergeCell ref="E93:N93"/>
    <mergeCell ref="F87:N87"/>
    <mergeCell ref="E99:G99"/>
    <mergeCell ref="E101:G101"/>
    <mergeCell ref="E97:N97"/>
    <mergeCell ref="E65:G65"/>
    <mergeCell ref="E66:G66"/>
    <mergeCell ref="D72:H72"/>
    <mergeCell ref="I72:N72"/>
    <mergeCell ref="E50:F50"/>
    <mergeCell ref="G50:H50"/>
    <mergeCell ref="E67:G67"/>
    <mergeCell ref="E62:G62"/>
    <mergeCell ref="H725:L725"/>
    <mergeCell ref="E719:G719"/>
    <mergeCell ref="H719:L719"/>
    <mergeCell ref="E720:G720"/>
    <mergeCell ref="H720:L720"/>
    <mergeCell ref="E721:G721"/>
    <mergeCell ref="H721:L721"/>
    <mergeCell ref="H718:L718"/>
    <mergeCell ref="E727:N727"/>
    <mergeCell ref="E729:G729"/>
    <mergeCell ref="E740:G740"/>
    <mergeCell ref="E722:G722"/>
    <mergeCell ref="H722:L722"/>
    <mergeCell ref="E723:G723"/>
    <mergeCell ref="H723:L723"/>
    <mergeCell ref="E724:G724"/>
    <mergeCell ref="H724:L724"/>
    <mergeCell ref="D701:H701"/>
    <mergeCell ref="I701:L701"/>
    <mergeCell ref="M701:N701"/>
    <mergeCell ref="E716:G716"/>
    <mergeCell ref="H716:L716"/>
    <mergeCell ref="E717:G717"/>
    <mergeCell ref="H717:L717"/>
    <mergeCell ref="H715:L715"/>
    <mergeCell ref="E707:N707"/>
    <mergeCell ref="D711:N711"/>
    <mergeCell ref="E713:N713"/>
    <mergeCell ref="E706:N706"/>
    <mergeCell ref="E708:G708"/>
    <mergeCell ref="E709:G709"/>
    <mergeCell ref="I702:N702"/>
    <mergeCell ref="E704:N704"/>
    <mergeCell ref="E594:G594"/>
    <mergeCell ref="E595:G595"/>
    <mergeCell ref="D597:N597"/>
    <mergeCell ref="E600:N600"/>
    <mergeCell ref="F601:N601"/>
    <mergeCell ref="F602:N602"/>
    <mergeCell ref="E687:G687"/>
    <mergeCell ref="E558:G558"/>
    <mergeCell ref="D561:N561"/>
    <mergeCell ref="E565:N565"/>
    <mergeCell ref="E566:N566"/>
    <mergeCell ref="E567:G567"/>
    <mergeCell ref="E568:G568"/>
    <mergeCell ref="E685:N685"/>
    <mergeCell ref="E661:N661"/>
    <mergeCell ref="E683:G683"/>
    <mergeCell ref="E537:F537"/>
    <mergeCell ref="G537:L537"/>
    <mergeCell ref="E461:F461"/>
    <mergeCell ref="D526:N526"/>
    <mergeCell ref="E462:F462"/>
    <mergeCell ref="G463:L463"/>
    <mergeCell ref="D486:H486"/>
    <mergeCell ref="I486:N486"/>
    <mergeCell ref="E529:N529"/>
    <mergeCell ref="I517:N517"/>
    <mergeCell ref="E536:F536"/>
    <mergeCell ref="G536:L536"/>
    <mergeCell ref="E523:G523"/>
    <mergeCell ref="E389:N389"/>
    <mergeCell ref="E369:N369"/>
    <mergeCell ref="G456:L456"/>
    <mergeCell ref="E451:N451"/>
    <mergeCell ref="E391:G391"/>
    <mergeCell ref="G459:L459"/>
    <mergeCell ref="G462:L462"/>
    <mergeCell ref="G363:L363"/>
    <mergeCell ref="E421:G421"/>
    <mergeCell ref="E228:G228"/>
    <mergeCell ref="I263:L263"/>
    <mergeCell ref="E154:N154"/>
    <mergeCell ref="E231:G231"/>
    <mergeCell ref="G367:L367"/>
    <mergeCell ref="E243:G243"/>
    <mergeCell ref="E240:G240"/>
    <mergeCell ref="E209:G209"/>
    <mergeCell ref="E407:N407"/>
    <mergeCell ref="E229:G229"/>
    <mergeCell ref="E371:G371"/>
    <mergeCell ref="E233:G233"/>
    <mergeCell ref="E361:F361"/>
    <mergeCell ref="E358:F358"/>
    <mergeCell ref="G357:L357"/>
    <mergeCell ref="E262:F262"/>
    <mergeCell ref="G358:L358"/>
    <mergeCell ref="E236:G236"/>
    <mergeCell ref="I264:L264"/>
    <mergeCell ref="E349:N349"/>
    <mergeCell ref="G263:H263"/>
    <mergeCell ref="E217:G217"/>
    <mergeCell ref="E224:G224"/>
    <mergeCell ref="E235:G235"/>
    <mergeCell ref="E225:G225"/>
    <mergeCell ref="E221:N221"/>
    <mergeCell ref="G268:H268"/>
    <mergeCell ref="I268:L268"/>
    <mergeCell ref="E360:F360"/>
    <mergeCell ref="E359:F359"/>
    <mergeCell ref="E223:G223"/>
    <mergeCell ref="E259:N259"/>
    <mergeCell ref="E261:F261"/>
    <mergeCell ref="G261:H261"/>
    <mergeCell ref="E239:G239"/>
    <mergeCell ref="D257:N257"/>
    <mergeCell ref="I267:L267"/>
    <mergeCell ref="E268:F268"/>
    <mergeCell ref="E197:N197"/>
    <mergeCell ref="E199:G199"/>
    <mergeCell ref="E200:G200"/>
    <mergeCell ref="E232:G232"/>
    <mergeCell ref="E173:F173"/>
    <mergeCell ref="G173:H173"/>
    <mergeCell ref="I173:L173"/>
    <mergeCell ref="E174:F174"/>
    <mergeCell ref="G174:H174"/>
    <mergeCell ref="E202:N202"/>
    <mergeCell ref="I174:L174"/>
    <mergeCell ref="E175:F175"/>
    <mergeCell ref="G175:H175"/>
    <mergeCell ref="I175:L175"/>
    <mergeCell ref="E181:G181"/>
    <mergeCell ref="E182:G182"/>
    <mergeCell ref="E183:G183"/>
    <mergeCell ref="E184:G184"/>
    <mergeCell ref="E216:N216"/>
    <mergeCell ref="E188:G188"/>
    <mergeCell ref="E189:G189"/>
    <mergeCell ref="E198:N198"/>
    <mergeCell ref="E185:G185"/>
    <mergeCell ref="E203:N203"/>
    <mergeCell ref="E187:G187"/>
    <mergeCell ref="E186:G186"/>
    <mergeCell ref="E172:F172"/>
    <mergeCell ref="G172:H172"/>
    <mergeCell ref="I172:L172"/>
    <mergeCell ref="G171:H171"/>
    <mergeCell ref="E169:F169"/>
    <mergeCell ref="I169:L169"/>
    <mergeCell ref="E170:F170"/>
    <mergeCell ref="G170:H170"/>
    <mergeCell ref="I170:L170"/>
    <mergeCell ref="E171:F171"/>
    <mergeCell ref="G166:H166"/>
    <mergeCell ref="I166:L166"/>
    <mergeCell ref="E166:F166"/>
    <mergeCell ref="G168:H168"/>
    <mergeCell ref="G169:H169"/>
    <mergeCell ref="I168:L168"/>
    <mergeCell ref="G362:L362"/>
    <mergeCell ref="E362:F362"/>
    <mergeCell ref="E363:F363"/>
    <mergeCell ref="E215:N215"/>
    <mergeCell ref="I167:L167"/>
    <mergeCell ref="E390:N390"/>
    <mergeCell ref="E168:F168"/>
    <mergeCell ref="D353:N353"/>
    <mergeCell ref="E254:G254"/>
    <mergeCell ref="I171:L171"/>
    <mergeCell ref="I439:L439"/>
    <mergeCell ref="G465:L465"/>
    <mergeCell ref="E501:G501"/>
    <mergeCell ref="E491:N491"/>
    <mergeCell ref="E495:N495"/>
    <mergeCell ref="D449:N449"/>
    <mergeCell ref="E457:F457"/>
    <mergeCell ref="D439:H439"/>
    <mergeCell ref="E490:N490"/>
    <mergeCell ref="G461:L461"/>
    <mergeCell ref="E479:G479"/>
    <mergeCell ref="E510:G510"/>
    <mergeCell ref="E500:G500"/>
    <mergeCell ref="E496:N496"/>
    <mergeCell ref="E507:G507"/>
    <mergeCell ref="E132:G132"/>
    <mergeCell ref="E157:N157"/>
    <mergeCell ref="E163:N163"/>
    <mergeCell ref="E167:F167"/>
    <mergeCell ref="G167:H167"/>
    <mergeCell ref="E127:G127"/>
    <mergeCell ref="E129:G129"/>
    <mergeCell ref="E509:G509"/>
    <mergeCell ref="G457:L457"/>
    <mergeCell ref="E499:G499"/>
    <mergeCell ref="E497:N497"/>
    <mergeCell ref="E488:N488"/>
    <mergeCell ref="G460:L460"/>
    <mergeCell ref="E480:G480"/>
    <mergeCell ref="D161:N161"/>
    <mergeCell ref="E165:F165"/>
    <mergeCell ref="G165:H165"/>
    <mergeCell ref="I165:L165"/>
    <mergeCell ref="E158:G158"/>
    <mergeCell ref="E159:G159"/>
    <mergeCell ref="F18:N18"/>
    <mergeCell ref="E147:G147"/>
    <mergeCell ref="E144:G144"/>
    <mergeCell ref="E145:G145"/>
    <mergeCell ref="E139:G139"/>
    <mergeCell ref="E16:N16"/>
    <mergeCell ref="F17:N17"/>
    <mergeCell ref="E25:G25"/>
    <mergeCell ref="D27:N27"/>
    <mergeCell ref="E29:N29"/>
    <mergeCell ref="E54:N54"/>
    <mergeCell ref="E51:F51"/>
    <mergeCell ref="G48:H48"/>
    <mergeCell ref="I13:L13"/>
    <mergeCell ref="M13:N13"/>
    <mergeCell ref="K4:L4"/>
    <mergeCell ref="E9:M9"/>
    <mergeCell ref="M5:N5"/>
    <mergeCell ref="G2:H2"/>
    <mergeCell ref="K2:L2"/>
    <mergeCell ref="E4:F4"/>
    <mergeCell ref="G4:H4"/>
    <mergeCell ref="I4:J4"/>
    <mergeCell ref="I14:N14"/>
    <mergeCell ref="M4:N4"/>
    <mergeCell ref="D7:N7"/>
    <mergeCell ref="D11:N11"/>
    <mergeCell ref="D13:H13"/>
    <mergeCell ref="E24:G24"/>
    <mergeCell ref="E20:N20"/>
    <mergeCell ref="E21:N21"/>
    <mergeCell ref="E22:N22"/>
    <mergeCell ref="E23:N23"/>
    <mergeCell ref="D785:N785"/>
    <mergeCell ref="M2:N2"/>
    <mergeCell ref="E3:F3"/>
    <mergeCell ref="G3:H3"/>
    <mergeCell ref="I3:J3"/>
    <mergeCell ref="K3:L3"/>
    <mergeCell ref="M3:N3"/>
    <mergeCell ref="B2:D4"/>
    <mergeCell ref="I2:J2"/>
    <mergeCell ref="E15:N15"/>
    <mergeCell ref="E34:N34"/>
    <mergeCell ref="E30:N30"/>
    <mergeCell ref="F31:N31"/>
    <mergeCell ref="F32:N32"/>
    <mergeCell ref="E35:N35"/>
    <mergeCell ref="E38:N38"/>
    <mergeCell ref="E37:N37"/>
    <mergeCell ref="F33:N33"/>
    <mergeCell ref="E44:F44"/>
    <mergeCell ref="G44:H44"/>
    <mergeCell ref="E36:N36"/>
    <mergeCell ref="G42:H42"/>
    <mergeCell ref="I44:L44"/>
    <mergeCell ref="E43:F43"/>
    <mergeCell ref="G43:H43"/>
    <mergeCell ref="I43:L43"/>
    <mergeCell ref="I42:L42"/>
    <mergeCell ref="E42:F42"/>
    <mergeCell ref="E47:F47"/>
    <mergeCell ref="E45:F45"/>
    <mergeCell ref="I45:L45"/>
    <mergeCell ref="G45:H45"/>
    <mergeCell ref="E46:F46"/>
    <mergeCell ref="G47:H47"/>
    <mergeCell ref="I47:L47"/>
    <mergeCell ref="G46:H46"/>
    <mergeCell ref="I46:L46"/>
    <mergeCell ref="I49:L49"/>
    <mergeCell ref="I52:L52"/>
    <mergeCell ref="I51:L51"/>
    <mergeCell ref="E48:F48"/>
    <mergeCell ref="G52:H52"/>
    <mergeCell ref="G49:H49"/>
    <mergeCell ref="E52:F52"/>
    <mergeCell ref="G51:H51"/>
    <mergeCell ref="E49:F49"/>
    <mergeCell ref="I48:L48"/>
    <mergeCell ref="E76:M76"/>
    <mergeCell ref="D70:N70"/>
    <mergeCell ref="E56:G56"/>
    <mergeCell ref="I50:L50"/>
    <mergeCell ref="E57:G57"/>
    <mergeCell ref="E58:G58"/>
    <mergeCell ref="E59:G59"/>
    <mergeCell ref="E60:G60"/>
    <mergeCell ref="E61:G61"/>
    <mergeCell ref="E64:G64"/>
    <mergeCell ref="M439:N439"/>
    <mergeCell ref="E431:G431"/>
    <mergeCell ref="R3:S3"/>
    <mergeCell ref="T3:U3"/>
    <mergeCell ref="V3:W3"/>
    <mergeCell ref="P4:Q4"/>
    <mergeCell ref="R4:S4"/>
    <mergeCell ref="T4:U4"/>
    <mergeCell ref="V4:W4"/>
    <mergeCell ref="P3:Q3"/>
    <mergeCell ref="E442:N442"/>
    <mergeCell ref="E463:F463"/>
    <mergeCell ref="E464:F464"/>
    <mergeCell ref="E456:F456"/>
    <mergeCell ref="E452:N452"/>
    <mergeCell ref="E446:G446"/>
    <mergeCell ref="F453:N453"/>
    <mergeCell ref="E458:F458"/>
    <mergeCell ref="E460:F460"/>
    <mergeCell ref="E538:F538"/>
    <mergeCell ref="G538:L538"/>
    <mergeCell ref="F531:N531"/>
    <mergeCell ref="G361:L361"/>
    <mergeCell ref="E75:M75"/>
    <mergeCell ref="E466:F466"/>
    <mergeCell ref="E416:G416"/>
    <mergeCell ref="E512:N512"/>
    <mergeCell ref="E492:G492"/>
    <mergeCell ref="E465:F465"/>
    <mergeCell ref="E543:F543"/>
    <mergeCell ref="E545:N545"/>
    <mergeCell ref="E547:G547"/>
    <mergeCell ref="E549:G549"/>
    <mergeCell ref="G542:L542"/>
    <mergeCell ref="I516:L516"/>
    <mergeCell ref="G543:L543"/>
    <mergeCell ref="E542:F542"/>
    <mergeCell ref="E528:N528"/>
    <mergeCell ref="D516:H516"/>
    <mergeCell ref="F530:N530"/>
    <mergeCell ref="G534:L534"/>
    <mergeCell ref="E541:F541"/>
    <mergeCell ref="G541:L541"/>
    <mergeCell ref="E519:N519"/>
    <mergeCell ref="E534:F534"/>
    <mergeCell ref="E524:G524"/>
    <mergeCell ref="E533:F533"/>
    <mergeCell ref="E521:N521"/>
    <mergeCell ref="E540:F540"/>
    <mergeCell ref="R5:S5"/>
    <mergeCell ref="T5:U5"/>
    <mergeCell ref="V5:W5"/>
    <mergeCell ref="E414:N414"/>
    <mergeCell ref="E415:G415"/>
    <mergeCell ref="E409:G409"/>
    <mergeCell ref="E74:M74"/>
    <mergeCell ref="E80:N80"/>
    <mergeCell ref="E81:N81"/>
    <mergeCell ref="E63:G63"/>
    <mergeCell ref="E392:G392"/>
    <mergeCell ref="E427:G427"/>
    <mergeCell ref="E428:G428"/>
    <mergeCell ref="E425:G425"/>
    <mergeCell ref="E429:G429"/>
    <mergeCell ref="E222:N222"/>
    <mergeCell ref="G359:L359"/>
    <mergeCell ref="G360:L360"/>
    <mergeCell ref="E379:G379"/>
    <mergeCell ref="I261:L261"/>
    <mergeCell ref="E698:G698"/>
    <mergeCell ref="E468:N468"/>
    <mergeCell ref="E470:G470"/>
    <mergeCell ref="E481:G481"/>
    <mergeCell ref="H674:L674"/>
    <mergeCell ref="H675:L675"/>
    <mergeCell ref="H676:L676"/>
    <mergeCell ref="H677:L677"/>
    <mergeCell ref="H678:L678"/>
    <mergeCell ref="E476:G476"/>
    <mergeCell ref="E570:N570"/>
    <mergeCell ref="E682:G682"/>
    <mergeCell ref="E680:G680"/>
    <mergeCell ref="E677:G677"/>
    <mergeCell ref="E675:G675"/>
    <mergeCell ref="E671:N671"/>
    <mergeCell ref="H680:L680"/>
    <mergeCell ref="H681:L681"/>
    <mergeCell ref="E590:N590"/>
    <mergeCell ref="E592:N592"/>
    <mergeCell ref="E552:G552"/>
    <mergeCell ref="E475:G475"/>
    <mergeCell ref="H673:L673"/>
    <mergeCell ref="E665:G665"/>
    <mergeCell ref="E678:G678"/>
    <mergeCell ref="D668:N668"/>
    <mergeCell ref="E489:N489"/>
    <mergeCell ref="E553:G553"/>
    <mergeCell ref="G535:L535"/>
    <mergeCell ref="G533:L533"/>
    <mergeCell ref="E522:N522"/>
    <mergeCell ref="E423:G423"/>
    <mergeCell ref="D484:N484"/>
    <mergeCell ref="E459:F459"/>
    <mergeCell ref="G466:L466"/>
    <mergeCell ref="E445:N445"/>
    <mergeCell ref="E433:G433"/>
    <mergeCell ref="E424:G424"/>
    <mergeCell ref="E444:N444"/>
    <mergeCell ref="M516:N516"/>
    <mergeCell ref="E435:G435"/>
    <mergeCell ref="E472:G472"/>
    <mergeCell ref="E473:G473"/>
    <mergeCell ref="E474:G474"/>
    <mergeCell ref="G458:L458"/>
    <mergeCell ref="E447:G447"/>
    <mergeCell ref="G464:L464"/>
    <mergeCell ref="E471:G471"/>
    <mergeCell ref="F454:N454"/>
    <mergeCell ref="I440:N440"/>
    <mergeCell ref="E125:N125"/>
    <mergeCell ref="E102:G102"/>
    <mergeCell ref="E116:N116"/>
    <mergeCell ref="E100:G100"/>
    <mergeCell ref="E98:G98"/>
    <mergeCell ref="E112:G112"/>
    <mergeCell ref="E117:N117"/>
    <mergeCell ref="E114:G114"/>
    <mergeCell ref="F120:N120"/>
    <mergeCell ref="F121:N121"/>
    <mergeCell ref="E143:G143"/>
    <mergeCell ref="E118:N118"/>
    <mergeCell ref="E128:G128"/>
    <mergeCell ref="D151:H151"/>
    <mergeCell ref="I151:L151"/>
    <mergeCell ref="F122:N122"/>
    <mergeCell ref="F123:N123"/>
    <mergeCell ref="E131:G131"/>
    <mergeCell ref="E126:M126"/>
    <mergeCell ref="E124:N124"/>
    <mergeCell ref="E136:G136"/>
    <mergeCell ref="E137:G137"/>
    <mergeCell ref="E135:G135"/>
    <mergeCell ref="E133:G133"/>
    <mergeCell ref="E140:G140"/>
    <mergeCell ref="E141:G141"/>
    <mergeCell ref="E550:G550"/>
    <mergeCell ref="I248:N248"/>
    <mergeCell ref="E250:N250"/>
    <mergeCell ref="E252:N252"/>
    <mergeCell ref="E253:N253"/>
    <mergeCell ref="E280:G280"/>
    <mergeCell ref="E493:G493"/>
    <mergeCell ref="E255:G255"/>
    <mergeCell ref="G262:H262"/>
    <mergeCell ref="I262:L262"/>
    <mergeCell ref="G539:L539"/>
    <mergeCell ref="G540:L540"/>
    <mergeCell ref="D247:H247"/>
    <mergeCell ref="I247:L247"/>
    <mergeCell ref="M247:N247"/>
    <mergeCell ref="E263:F263"/>
    <mergeCell ref="E267:F267"/>
    <mergeCell ref="G267:H267"/>
    <mergeCell ref="E477:G477"/>
    <mergeCell ref="E478:G478"/>
    <mergeCell ref="H683:L683"/>
    <mergeCell ref="E551:G551"/>
    <mergeCell ref="E503:G503"/>
    <mergeCell ref="E504:G504"/>
    <mergeCell ref="E511:N511"/>
    <mergeCell ref="E535:F535"/>
    <mergeCell ref="E556:G556"/>
    <mergeCell ref="E548:G548"/>
    <mergeCell ref="E554:G554"/>
    <mergeCell ref="E539:F539"/>
    <mergeCell ref="E718:G718"/>
    <mergeCell ref="E725:G725"/>
    <mergeCell ref="E688:G688"/>
    <mergeCell ref="E689:G689"/>
    <mergeCell ref="D658:H658"/>
    <mergeCell ref="E576:G576"/>
    <mergeCell ref="E577:G577"/>
    <mergeCell ref="E681:G681"/>
    <mergeCell ref="E676:G676"/>
    <mergeCell ref="H682:L682"/>
    <mergeCell ref="E692:G692"/>
    <mergeCell ref="E693:G693"/>
    <mergeCell ref="E694:G694"/>
    <mergeCell ref="E695:G695"/>
    <mergeCell ref="E696:G696"/>
    <mergeCell ref="E697:G697"/>
    <mergeCell ref="E666:G666"/>
    <mergeCell ref="E664:N664"/>
    <mergeCell ref="E663:N663"/>
    <mergeCell ref="M658:N658"/>
    <mergeCell ref="D587:H587"/>
    <mergeCell ref="I587:L587"/>
    <mergeCell ref="I588:N588"/>
    <mergeCell ref="M587:N587"/>
    <mergeCell ref="I658:L658"/>
    <mergeCell ref="E593:N593"/>
    <mergeCell ref="E730:G730"/>
    <mergeCell ref="E731:G731"/>
    <mergeCell ref="E180:G180"/>
    <mergeCell ref="E679:G679"/>
    <mergeCell ref="I659:N659"/>
    <mergeCell ref="E555:G555"/>
    <mergeCell ref="E557:G557"/>
    <mergeCell ref="E273:N273"/>
    <mergeCell ref="E583:G583"/>
    <mergeCell ref="E670:N670"/>
    <mergeCell ref="E266:F266"/>
    <mergeCell ref="G266:H266"/>
    <mergeCell ref="I266:L266"/>
    <mergeCell ref="I269:L269"/>
    <mergeCell ref="G265:H265"/>
    <mergeCell ref="P5:Q5"/>
    <mergeCell ref="E156:N156"/>
    <mergeCell ref="E265:F265"/>
    <mergeCell ref="I152:N152"/>
    <mergeCell ref="M151:N151"/>
    <mergeCell ref="I270:L270"/>
    <mergeCell ref="E271:F271"/>
    <mergeCell ref="G271:H271"/>
    <mergeCell ref="I271:L271"/>
    <mergeCell ref="E275:G275"/>
    <mergeCell ref="E205:G205"/>
    <mergeCell ref="E206:G206"/>
    <mergeCell ref="E207:G207"/>
    <mergeCell ref="E208:G208"/>
    <mergeCell ref="I265:L265"/>
    <mergeCell ref="G269:H269"/>
    <mergeCell ref="E276:G276"/>
    <mergeCell ref="E277:G277"/>
    <mergeCell ref="E278:G278"/>
    <mergeCell ref="E279:G279"/>
    <mergeCell ref="E283:G283"/>
    <mergeCell ref="E270:F270"/>
    <mergeCell ref="G270:H270"/>
    <mergeCell ref="E284:G284"/>
    <mergeCell ref="E282:G282"/>
    <mergeCell ref="E281:G281"/>
    <mergeCell ref="E285:G285"/>
    <mergeCell ref="D289:N289"/>
    <mergeCell ref="D291:H291"/>
    <mergeCell ref="I291:N291"/>
    <mergeCell ref="E286:G286"/>
    <mergeCell ref="E293:N293"/>
    <mergeCell ref="E294:N294"/>
    <mergeCell ref="E299:N299"/>
    <mergeCell ref="E295:G295"/>
    <mergeCell ref="E296:G296"/>
    <mergeCell ref="E298:N298"/>
    <mergeCell ref="E301:G301"/>
    <mergeCell ref="E302:G302"/>
    <mergeCell ref="E317:N317"/>
    <mergeCell ref="E318:N318"/>
    <mergeCell ref="E319:G319"/>
    <mergeCell ref="E303:G303"/>
    <mergeCell ref="E304:G304"/>
    <mergeCell ref="E305:G305"/>
    <mergeCell ref="E306:G306"/>
    <mergeCell ref="E320:G320"/>
    <mergeCell ref="E321:G321"/>
    <mergeCell ref="E311:N311"/>
    <mergeCell ref="E312:N312"/>
    <mergeCell ref="E313:G313"/>
    <mergeCell ref="E323:G323"/>
    <mergeCell ref="E324:G324"/>
    <mergeCell ref="E325:G325"/>
    <mergeCell ref="E327:G327"/>
    <mergeCell ref="E328:G328"/>
    <mergeCell ref="E329:G329"/>
    <mergeCell ref="E331:G331"/>
    <mergeCell ref="E332:G332"/>
    <mergeCell ref="E333:G333"/>
    <mergeCell ref="E335:G335"/>
    <mergeCell ref="E336:G336"/>
    <mergeCell ref="E337:G337"/>
    <mergeCell ref="E339:G339"/>
    <mergeCell ref="E432:G432"/>
    <mergeCell ref="E420:G420"/>
    <mergeCell ref="E419:G419"/>
    <mergeCell ref="E413:N413"/>
    <mergeCell ref="E394:N394"/>
    <mergeCell ref="E377:G377"/>
    <mergeCell ref="E411:G411"/>
    <mergeCell ref="E417:G417"/>
    <mergeCell ref="E408:N408"/>
    <mergeCell ref="E395:N395"/>
    <mergeCell ref="I387:N387"/>
    <mergeCell ref="E373:G373"/>
    <mergeCell ref="E380:G380"/>
    <mergeCell ref="E381:G381"/>
    <mergeCell ref="E382:G382"/>
    <mergeCell ref="D385:N385"/>
    <mergeCell ref="E378:G378"/>
    <mergeCell ref="E364:F364"/>
    <mergeCell ref="G366:L366"/>
    <mergeCell ref="G364:L364"/>
    <mergeCell ref="G365:L365"/>
    <mergeCell ref="E376:G376"/>
    <mergeCell ref="E375:G375"/>
    <mergeCell ref="E374:G374"/>
    <mergeCell ref="I344:N344"/>
    <mergeCell ref="M343:N343"/>
    <mergeCell ref="I343:L343"/>
    <mergeCell ref="D343:H343"/>
    <mergeCell ref="E355:N355"/>
    <mergeCell ref="E346:N346"/>
    <mergeCell ref="E348:N348"/>
    <mergeCell ref="E350:G350"/>
    <mergeCell ref="E351:G351"/>
    <mergeCell ref="G604:L604"/>
    <mergeCell ref="E605:F605"/>
    <mergeCell ref="G605:L605"/>
    <mergeCell ref="E606:F606"/>
    <mergeCell ref="G606:L606"/>
    <mergeCell ref="E607:F607"/>
    <mergeCell ref="G607:L607"/>
    <mergeCell ref="E604:F604"/>
    <mergeCell ref="E608:F608"/>
    <mergeCell ref="G608:L608"/>
    <mergeCell ref="E609:F609"/>
    <mergeCell ref="G609:L609"/>
    <mergeCell ref="E610:F610"/>
    <mergeCell ref="G610:L610"/>
    <mergeCell ref="E611:F611"/>
    <mergeCell ref="G611:L611"/>
    <mergeCell ref="E612:F612"/>
    <mergeCell ref="G612:L612"/>
    <mergeCell ref="E613:F613"/>
    <mergeCell ref="G613:L613"/>
    <mergeCell ref="E614:F614"/>
    <mergeCell ref="G614:L614"/>
    <mergeCell ref="E616:N616"/>
    <mergeCell ref="E618:G618"/>
    <mergeCell ref="E619:G619"/>
    <mergeCell ref="E620:G620"/>
    <mergeCell ref="E621:G621"/>
    <mergeCell ref="E622:G622"/>
    <mergeCell ref="E623:G623"/>
    <mergeCell ref="E624:G624"/>
    <mergeCell ref="E625:G625"/>
    <mergeCell ref="E626:G626"/>
    <mergeCell ref="E627:G627"/>
    <mergeCell ref="E628:G628"/>
    <mergeCell ref="E629:G629"/>
    <mergeCell ref="D632:N632"/>
    <mergeCell ref="D634:H634"/>
    <mergeCell ref="I634:N634"/>
    <mergeCell ref="E636:N636"/>
    <mergeCell ref="E637:N637"/>
    <mergeCell ref="E638:G638"/>
    <mergeCell ref="E639:G639"/>
    <mergeCell ref="E641:N641"/>
    <mergeCell ref="E642:N642"/>
    <mergeCell ref="E643:G643"/>
    <mergeCell ref="E644:G644"/>
    <mergeCell ref="E645:G645"/>
    <mergeCell ref="E647:G647"/>
    <mergeCell ref="E648:G648"/>
    <mergeCell ref="E653:G653"/>
    <mergeCell ref="E654:G654"/>
    <mergeCell ref="D743:H743"/>
    <mergeCell ref="E732:G732"/>
    <mergeCell ref="E733:G733"/>
    <mergeCell ref="E690:G690"/>
    <mergeCell ref="E691:G691"/>
    <mergeCell ref="H679:L679"/>
    <mergeCell ref="E674:G674"/>
    <mergeCell ref="E734:G734"/>
    <mergeCell ref="E735:G735"/>
    <mergeCell ref="I743:L743"/>
    <mergeCell ref="M743:N743"/>
    <mergeCell ref="I744:N744"/>
    <mergeCell ref="E746:N746"/>
    <mergeCell ref="E736:G736"/>
    <mergeCell ref="E737:G737"/>
    <mergeCell ref="E738:G738"/>
    <mergeCell ref="E739:G739"/>
    <mergeCell ref="E748:N748"/>
    <mergeCell ref="E749:N749"/>
    <mergeCell ref="E750:G750"/>
    <mergeCell ref="E751:G751"/>
    <mergeCell ref="D753:N753"/>
    <mergeCell ref="E755:N755"/>
    <mergeCell ref="H757:L757"/>
    <mergeCell ref="E758:G758"/>
    <mergeCell ref="H758:L758"/>
    <mergeCell ref="E759:G759"/>
    <mergeCell ref="H759:L759"/>
    <mergeCell ref="E760:G760"/>
    <mergeCell ref="H760:L760"/>
    <mergeCell ref="E761:G761"/>
    <mergeCell ref="H761:L761"/>
    <mergeCell ref="E762:G762"/>
    <mergeCell ref="H762:L762"/>
    <mergeCell ref="E763:G763"/>
    <mergeCell ref="H763:L763"/>
    <mergeCell ref="E764:G764"/>
    <mergeCell ref="H764:L764"/>
    <mergeCell ref="E765:G765"/>
    <mergeCell ref="H765:L765"/>
    <mergeCell ref="E766:G766"/>
    <mergeCell ref="H766:L766"/>
    <mergeCell ref="E778:G778"/>
    <mergeCell ref="E779:G779"/>
    <mergeCell ref="E767:G767"/>
    <mergeCell ref="H767:L767"/>
    <mergeCell ref="E769:N769"/>
    <mergeCell ref="E771:G771"/>
    <mergeCell ref="E772:G772"/>
    <mergeCell ref="E773:G773"/>
    <mergeCell ref="E780:G780"/>
    <mergeCell ref="E781:G781"/>
    <mergeCell ref="E782:G782"/>
    <mergeCell ref="G5:H5"/>
    <mergeCell ref="I5:J5"/>
    <mergeCell ref="K5:L5"/>
    <mergeCell ref="E774:G774"/>
    <mergeCell ref="E775:G775"/>
    <mergeCell ref="E776:G776"/>
    <mergeCell ref="E777:G777"/>
    <mergeCell ref="E218:G218"/>
    <mergeCell ref="E219:G219"/>
    <mergeCell ref="E314:G314"/>
    <mergeCell ref="E315:G315"/>
    <mergeCell ref="E410:G410"/>
    <mergeCell ref="E357:F357"/>
    <mergeCell ref="E372:G372"/>
    <mergeCell ref="E367:F367"/>
    <mergeCell ref="E366:F366"/>
    <mergeCell ref="E365:F365"/>
  </mergeCells>
  <phoneticPr fontId="34" type="noConversion"/>
  <conditionalFormatting sqref="B2:D4">
    <cfRule type="expression" dxfId="217" priority="149" stopIfTrue="1">
      <formula>$G$810</formula>
    </cfRule>
  </conditionalFormatting>
  <conditionalFormatting sqref="I709:M709">
    <cfRule type="expression" dxfId="216" priority="60" stopIfTrue="1">
      <formula>$AC709</formula>
    </cfRule>
  </conditionalFormatting>
  <conditionalFormatting sqref="I666:M666">
    <cfRule type="expression" dxfId="215" priority="59" stopIfTrue="1">
      <formula>$AC666</formula>
    </cfRule>
  </conditionalFormatting>
  <conditionalFormatting sqref="N24:N25">
    <cfRule type="expression" dxfId="214" priority="57" stopIfTrue="1">
      <formula>$AA24</formula>
    </cfRule>
  </conditionalFormatting>
  <conditionalFormatting sqref="N158:N159">
    <cfRule type="expression" dxfId="213" priority="56" stopIfTrue="1">
      <formula>$AA158</formula>
    </cfRule>
  </conditionalFormatting>
  <conditionalFormatting sqref="N350:N351">
    <cfRule type="expression" dxfId="212" priority="55" stopIfTrue="1">
      <formula>$AA350</formula>
    </cfRule>
  </conditionalFormatting>
  <conditionalFormatting sqref="N446:N447">
    <cfRule type="expression" dxfId="211" priority="54" stopIfTrue="1">
      <formula>$AA446</formula>
    </cfRule>
  </conditionalFormatting>
  <conditionalFormatting sqref="N523:N524">
    <cfRule type="expression" dxfId="210" priority="53" stopIfTrue="1">
      <formula>$AA523</formula>
    </cfRule>
  </conditionalFormatting>
  <conditionalFormatting sqref="N665:N666">
    <cfRule type="expression" dxfId="209" priority="52" stopIfTrue="1">
      <formula>$AA665</formula>
    </cfRule>
  </conditionalFormatting>
  <conditionalFormatting sqref="N708:N709">
    <cfRule type="expression" dxfId="208" priority="51" stopIfTrue="1">
      <formula>$AA708</formula>
    </cfRule>
  </conditionalFormatting>
  <conditionalFormatting sqref="G3:N4">
    <cfRule type="expression" dxfId="207" priority="370" stopIfTrue="1">
      <formula>INDEX($G$389:$G$395,MATCH("BM"&amp;P3,$F$389:$F$395,0))</formula>
    </cfRule>
  </conditionalFormatting>
  <conditionalFormatting sqref="E43:N43">
    <cfRule type="expression" dxfId="206" priority="372" stopIfTrue="1">
      <formula>$AC14</formula>
    </cfRule>
  </conditionalFormatting>
  <conditionalFormatting sqref="C698:N698 C688:E697 H688:N697 C740:N740 C730:E739 H730:N739 C782:N782 C772:E781 H772:N781 C661:N687 C704:N729 C746:N771 C619:E628 H619:N628 C629:N648 C590:N618 C548:E557 H548:N557 C519:N547 C471:E480 H471:N480 C442:N470 C372:E381 H372:N381 C346:N371 C276:E285 H276:N285 C250:N275 C180:E189 H180:N189 C154:N179 C57:E66 H57:N66 C15:N56 C67:N148 C190:N244 C286:N340 C382:N436 C481:N513 C558:N584 C652:N655">
    <cfRule type="expression" dxfId="205" priority="28" stopIfTrue="1">
      <formula>INDEX($AC:$AC,MATCH(MAX(INDIRECT(ADDRESS(1,3)&amp;":"&amp;ADDRESS(ROW(C15),3))),$C:$C,0))</formula>
    </cfRule>
  </conditionalFormatting>
  <conditionalFormatting sqref="N254:N255">
    <cfRule type="expression" dxfId="204" priority="20" stopIfTrue="1">
      <formula>$AA254</formula>
    </cfRule>
  </conditionalFormatting>
  <conditionalFormatting sqref="N594:N595">
    <cfRule type="expression" dxfId="203" priority="18" stopIfTrue="1">
      <formula>$AA594</formula>
    </cfRule>
  </conditionalFormatting>
  <conditionalFormatting sqref="I751:M751">
    <cfRule type="expression" dxfId="202" priority="16" stopIfTrue="1">
      <formula>$AC751</formula>
    </cfRule>
  </conditionalFormatting>
  <conditionalFormatting sqref="N750:N751">
    <cfRule type="expression" dxfId="201" priority="15" stopIfTrue="1">
      <formula>$AA750</formula>
    </cfRule>
  </conditionalFormatting>
  <conditionalFormatting sqref="C649:N651">
    <cfRule type="expression" dxfId="200" priority="1" stopIfTrue="1">
      <formula>INDEX($AC:$AC,MATCH(MAX(INDIRECT(ADDRESS(1,3)&amp;":"&amp;ADDRESS(ROW(C649),3))),$C:$C,0))</formula>
    </cfRule>
  </conditionalFormatting>
  <dataValidations count="6">
    <dataValidation type="list" allowBlank="1" showInputMessage="1" showErrorMessage="1" sqref="G43:G52 G166:G175 G262:G271">
      <formula1>CNTR_ConnectionListAndWithinInst</formula1>
    </dataValidation>
    <dataValidation type="list" allowBlank="1" showInputMessage="1" showErrorMessage="1" sqref="E43:F52 E166:F175 E262:F271">
      <formula1>EUconst_HeatUseTypes</formula1>
    </dataValidation>
    <dataValidation type="list" allowBlank="1" showInputMessage="1" showErrorMessage="1" sqref="E457:F466 E534:F543 E605:F614">
      <formula1>EUconst_FuelUseTypes</formula1>
    </dataValidation>
    <dataValidation type="list" allowBlank="1" showInputMessage="1" showErrorMessage="1" sqref="E674:E683 E716:E725 E758:E767">
      <formula1>EUconst_ProcessEmissionTypes</formula1>
    </dataValidation>
    <dataValidation type="list" allowBlank="1" showInputMessage="1" showErrorMessage="1" sqref="G358:L367">
      <formula1>CNTR_ConnectionEntityList</formula1>
    </dataValidation>
    <dataValidation type="decimal" operator="greaterThanOrEqual" allowBlank="1" showInputMessage="1" showErrorMessage="1" errorTitle="Value &lt; 0" error="Values have to be &gt;= 0" sqref="I509:M509 I582:M582 I653:M653">
      <formula1>0</formula1>
    </dataValidation>
  </dataValidations>
  <hyperlinks>
    <hyperlink ref="G2:H2" location="JUMP_TOC_Home" display="Table of contents"/>
    <hyperlink ref="M2:N2" location="JUMP_K_I" display="Summary"/>
    <hyperlink ref="E3:F3" location="JUMP_G_Top" display="Top of sheet"/>
    <hyperlink ref="I2:J2" location="JUMP_F_Top" display="Previous sheet"/>
    <hyperlink ref="E4:F4" location="JUMP_G_Bottom" display="End of sheet"/>
    <hyperlink ref="D785:N785" location="JUMP_H_Top" display="&lt;&lt;&lt; Click here to proceed to next sheet &gt;&gt;&gt; "/>
    <hyperlink ref="K2:L2" location="JUMP_H_Top" display="Next sheet"/>
    <hyperlink ref="E36" r:id="rId1" display="https://eur-lex.europa.eu/eli/reg/2010/860/oj"/>
    <hyperlink ref="E346:N346" location="JUMP_G_Top" display="JUMP_G_Top"/>
    <hyperlink ref="E661:N661" location="JUMP_G_Top" display="JUMP_G_Top"/>
    <hyperlink ref="E154:N154" location="JUMP_G_Top" display="JUMP_G_Top"/>
    <hyperlink ref="E519:N519" location="JUMP_G_Top" display="JUMP_G_Top"/>
    <hyperlink ref="E704:N704" location="JUMP_G_Top" display="JUMP_G_Top"/>
    <hyperlink ref="E707:N707" location="JUMP_D_IV" display="Values entered here should include eligible emissions from any waste gases as determined in section D.IV."/>
    <hyperlink ref="E664:N664" location="JUMP_D_IV" display="Values entered here should include eligible emissions from any waste gases as determined in section D.IV."/>
    <hyperlink ref="E21:N21" location="JUMP_E_HeatFinal" display="Values entered here should include eligible emissions from any waste gases as determined in section D.IV."/>
    <hyperlink ref="E157:N157" location="JUMP_E_HeatFinal" display="Values entered here should include eligible emissions from any waste gases as determined in section D.IV."/>
    <hyperlink ref="E349:N349" location="JUMP_E_HeatFinal" display="Values entered here should include eligible emissions from any waste gases as determined in section D.IV."/>
    <hyperlink ref="E522:N522" location="JUMP_E_I" display="The following data is taken automatically from sheet &quot;E_EnergyFlows&quot;, section E.II.r. Thus, data input is mandatory there."/>
    <hyperlink ref="E126:M126" location="JUMP_D_III" display="For attributing emissions from cogeneration (CHP) to production of heat and electricity, the &quot;CHP tool&quot; in section D.III. has to be used."/>
    <hyperlink ref="E78:M78" location="JUMP_K_III2" display="Upon entries made below, the attributable emissions are calculated in section K.III.2 of the summary sheet."/>
    <hyperlink ref="E77:M77" r:id="rId2" location="tab-0-1" display="https://ec.europa.eu/clima/policies/ets/allowances_en - tab-0-1"/>
    <hyperlink ref="E250:N250" location="JUMP_G_Top" display="JUMP_G_Top"/>
    <hyperlink ref="E253:N253" location="JUMP_E_HeatFinal" display="Values entered here should include eligible emissions from any waste gases as determined in section D.IV."/>
    <hyperlink ref="E590:N590" location="JUMP_G_Top" display="JUMP_G_Top"/>
    <hyperlink ref="E593:N593" location="JUMP_E_I" display="The following data is taken automatically from sheet &quot;E_EnergyFlows&quot;, section E.II.r. Thus, data input is mandatory there."/>
    <hyperlink ref="E746:N746" location="JUMP_G_Top" display="JUMP_G_Top"/>
    <hyperlink ref="E749:N749" location="JUMP_D_IV" display="Values entered here should include eligible emissions from any waste gases as determined in section D.IV."/>
    <hyperlink ref="E40" r:id="rId3" display="https://eur-lex.europa.eu/eli/reg/1987/2658/2023-06-17"/>
  </hyperlinks>
  <pageMargins left="0.78740157480314965" right="0.78740157480314965" top="0.78740157480314965" bottom="0.78740157480314965" header="0.51181102362204722" footer="0.51181102362204722"/>
  <pageSetup paperSize="9" scale="61" fitToHeight="25" orientation="portrait" r:id="rId4"/>
  <headerFooter alignWithMargins="0">
    <oddHeader>&amp;L&amp;F; &amp;A&amp;R&amp;D; &amp;T</oddHeader>
    <oddFooter>&amp;C&amp;P / &amp;N</oddFooter>
  </headerFooter>
  <legacy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indexed="40"/>
    <pageSetUpPr fitToPage="1"/>
  </sheetPr>
  <dimension ref="A1:X412"/>
  <sheetViews>
    <sheetView topLeftCell="B1" zoomScaleNormal="100" workbookViewId="0">
      <pane ySplit="5" topLeftCell="A6" activePane="bottomLeft" state="frozen"/>
      <selection sqref="B2:D4"/>
      <selection pane="bottomLeft" sqref="B2:D4"/>
    </sheetView>
  </sheetViews>
  <sheetFormatPr defaultColWidth="11.42578125" defaultRowHeight="12.75" x14ac:dyDescent="0.2"/>
  <cols>
    <col min="1" max="1" width="2.7109375" style="20" hidden="1" customWidth="1"/>
    <col min="2" max="2" width="2.7109375" style="19" customWidth="1"/>
    <col min="3" max="4" width="4.7109375" style="19" customWidth="1"/>
    <col min="5" max="14" width="12.7109375" style="19" customWidth="1"/>
    <col min="15" max="15" width="4.7109375" style="19" customWidth="1"/>
    <col min="16" max="16" width="12.7109375" style="20" hidden="1" customWidth="1"/>
    <col min="17" max="24" width="11.42578125" style="20" hidden="1" customWidth="1"/>
    <col min="25" max="16384" width="11.42578125" style="696"/>
  </cols>
  <sheetData>
    <row r="1" spans="1:24" s="20" customFormat="1" ht="13.5" hidden="1" thickBot="1" x14ac:dyDescent="0.25">
      <c r="A1" s="20" t="s">
        <v>93</v>
      </c>
      <c r="P1" s="20" t="s">
        <v>93</v>
      </c>
      <c r="Q1" s="20" t="s">
        <v>93</v>
      </c>
      <c r="R1" s="20" t="s">
        <v>93</v>
      </c>
      <c r="S1" s="20" t="s">
        <v>93</v>
      </c>
      <c r="T1" s="20" t="s">
        <v>93</v>
      </c>
      <c r="U1" s="20" t="s">
        <v>93</v>
      </c>
      <c r="V1" s="20" t="s">
        <v>93</v>
      </c>
      <c r="W1" s="20" t="s">
        <v>93</v>
      </c>
      <c r="X1" s="20" t="s">
        <v>93</v>
      </c>
    </row>
    <row r="2" spans="1:24" ht="13.5" thickBot="1" x14ac:dyDescent="0.25">
      <c r="B2" s="1405" t="str">
        <f>Translations!$B$901</f>
        <v>H. Speciāli LA dati</v>
      </c>
      <c r="C2" s="1406"/>
      <c r="D2" s="1407"/>
      <c r="E2" s="786" t="str">
        <f>Translations!$B$2</f>
        <v>Navigācijas josla:</v>
      </c>
      <c r="F2" s="787"/>
      <c r="G2" s="1388" t="str">
        <f>Translations!$B$18</f>
        <v>Saturs</v>
      </c>
      <c r="H2" s="7"/>
      <c r="I2" s="7" t="str">
        <f>Translations!$B$19</f>
        <v>Iepriekšējā lapa</v>
      </c>
      <c r="J2" s="7"/>
      <c r="K2" s="7" t="str">
        <f>Translations!$B$3</f>
        <v>Nākamā lapa</v>
      </c>
      <c r="L2" s="7"/>
      <c r="M2" s="7" t="str">
        <f>Translations!$B$4</f>
        <v>Kopsavilkums</v>
      </c>
      <c r="N2" s="7"/>
      <c r="O2" s="25"/>
      <c r="P2" s="26"/>
      <c r="Q2" s="26"/>
      <c r="R2" s="26"/>
      <c r="S2" s="26"/>
      <c r="T2" s="26"/>
      <c r="U2" s="26"/>
      <c r="V2" s="26"/>
      <c r="W2" s="26"/>
      <c r="X2" s="26"/>
    </row>
    <row r="3" spans="1:24" ht="13.5" thickBot="1" x14ac:dyDescent="0.25">
      <c r="B3" s="1408"/>
      <c r="C3" s="1409"/>
      <c r="D3" s="1410"/>
      <c r="E3" s="7" t="str">
        <f>Translations!$B$5</f>
        <v>Lapas sākums</v>
      </c>
      <c r="F3" s="1392"/>
      <c r="G3" s="1856" t="str">
        <f>JUMP_H_I</f>
        <v>CWT (rafinētavu produkti)</v>
      </c>
      <c r="H3" s="1615"/>
      <c r="I3" s="1615" t="str">
        <f>JUMP_H_II</f>
        <v>Kaļķi</v>
      </c>
      <c r="J3" s="1615"/>
      <c r="K3" s="1615" t="str">
        <f>JUMP_H_III</f>
        <v>Dolomītkaļķi</v>
      </c>
      <c r="L3" s="1615"/>
      <c r="M3" s="1615" t="str">
        <f>JUMP_H_IV</f>
        <v>Tvaika krekings</v>
      </c>
      <c r="N3" s="1615"/>
      <c r="O3" s="25"/>
      <c r="P3" s="26"/>
      <c r="Q3" s="26"/>
      <c r="R3" s="26"/>
      <c r="S3" s="26"/>
      <c r="T3" s="26"/>
      <c r="U3" s="26"/>
      <c r="V3" s="26"/>
      <c r="W3" s="26"/>
      <c r="X3" s="26"/>
    </row>
    <row r="4" spans="1:24" ht="13.5" thickBot="1" x14ac:dyDescent="0.25">
      <c r="B4" s="1411"/>
      <c r="C4" s="1412"/>
      <c r="D4" s="1413"/>
      <c r="E4" s="7" t="str">
        <f>Translations!$B$6</f>
        <v>Lapas beigas</v>
      </c>
      <c r="F4" s="7"/>
      <c r="G4" s="1399" t="str">
        <f>JUMP_H_V</f>
        <v>CWT (aromātiskie savienojumi)</v>
      </c>
      <c r="H4" s="1395"/>
      <c r="I4" s="1395" t="str">
        <f>JUMP_H_VI</f>
        <v>Ūdeņradis</v>
      </c>
      <c r="J4" s="1395"/>
      <c r="K4" s="1395" t="str">
        <f>JUMP_H_VII</f>
        <v>Sintēzes gāze</v>
      </c>
      <c r="L4" s="1395"/>
      <c r="M4" s="1395" t="str">
        <f>JUMP_H_VIII</f>
        <v>Etilēnoksīds/etilēnglikoli</v>
      </c>
      <c r="N4" s="1395"/>
      <c r="O4" s="25"/>
      <c r="P4" s="26"/>
      <c r="Q4" s="26"/>
      <c r="R4" s="26"/>
      <c r="S4" s="26"/>
      <c r="T4" s="26"/>
      <c r="U4" s="26"/>
      <c r="V4" s="26"/>
      <c r="W4" s="26"/>
      <c r="X4" s="26"/>
    </row>
    <row r="5" spans="1:24" x14ac:dyDescent="0.2">
      <c r="B5" s="788"/>
      <c r="C5" s="788"/>
      <c r="D5" s="788"/>
      <c r="E5" s="1197"/>
      <c r="F5" s="1197"/>
      <c r="G5" s="1395" t="str">
        <f>JUMP_H_IX</f>
        <v>Vinilhlorīda monomērs (VCM)</v>
      </c>
      <c r="H5" s="1395"/>
      <c r="I5" s="1617"/>
      <c r="J5" s="1617"/>
      <c r="K5" s="1617"/>
      <c r="L5" s="1617"/>
      <c r="M5" s="1617"/>
      <c r="N5" s="1617"/>
      <c r="O5" s="25"/>
      <c r="P5" s="26"/>
      <c r="Q5" s="26"/>
      <c r="R5" s="26"/>
      <c r="S5" s="26"/>
      <c r="T5" s="26"/>
      <c r="U5" s="26"/>
      <c r="V5" s="26"/>
      <c r="W5" s="26"/>
      <c r="X5" s="26"/>
    </row>
    <row r="6" spans="1:24" x14ac:dyDescent="0.2">
      <c r="B6" s="21"/>
      <c r="C6" s="22"/>
      <c r="D6" s="23"/>
      <c r="E6" s="23"/>
      <c r="F6" s="24"/>
      <c r="G6" s="24"/>
      <c r="H6" s="24"/>
      <c r="I6" s="21"/>
      <c r="J6" s="21"/>
      <c r="K6" s="21"/>
      <c r="L6" s="21"/>
      <c r="M6" s="25"/>
      <c r="N6" s="25"/>
      <c r="O6" s="25"/>
      <c r="P6" s="26"/>
      <c r="Q6" s="26"/>
      <c r="R6" s="26"/>
      <c r="S6" s="26"/>
      <c r="T6" s="26"/>
      <c r="U6" s="26"/>
      <c r="V6" s="26"/>
      <c r="W6" s="26"/>
      <c r="X6" s="26"/>
    </row>
    <row r="7" spans="1:24" ht="23.25" customHeight="1" x14ac:dyDescent="0.2">
      <c r="B7" s="21"/>
      <c r="C7" s="27" t="s">
        <v>257</v>
      </c>
      <c r="D7" s="1281" t="str">
        <f>Translations!$B$902</f>
        <v>Lapa “SpecialBM” — SPECIĀLI DATI PAR DAŽĀM PRODUKTU LĪMEŅATZĪMĒM</v>
      </c>
      <c r="E7" s="1251"/>
      <c r="F7" s="1251"/>
      <c r="G7" s="1251"/>
      <c r="H7" s="1251"/>
      <c r="I7" s="1251"/>
      <c r="J7" s="1251"/>
      <c r="K7" s="1251"/>
      <c r="L7" s="1251"/>
      <c r="M7" s="1251"/>
      <c r="N7" s="1251"/>
      <c r="O7" s="25"/>
      <c r="P7" s="28" t="s">
        <v>73</v>
      </c>
      <c r="Q7" s="28" t="s">
        <v>73</v>
      </c>
      <c r="R7" s="28" t="s">
        <v>73</v>
      </c>
      <c r="S7" s="28" t="s">
        <v>73</v>
      </c>
      <c r="T7" s="28" t="s">
        <v>73</v>
      </c>
      <c r="U7" s="28" t="s">
        <v>73</v>
      </c>
      <c r="V7" s="28" t="s">
        <v>73</v>
      </c>
      <c r="W7" s="28" t="s">
        <v>73</v>
      </c>
      <c r="X7" s="28" t="s">
        <v>73</v>
      </c>
    </row>
    <row r="8" spans="1:24" x14ac:dyDescent="0.2">
      <c r="B8" s="21"/>
      <c r="C8" s="21"/>
      <c r="D8" s="21"/>
      <c r="E8" s="21"/>
      <c r="F8" s="21"/>
      <c r="G8" s="21"/>
      <c r="H8" s="21"/>
      <c r="I8" s="21"/>
      <c r="J8" s="21"/>
      <c r="K8" s="21"/>
      <c r="L8" s="21"/>
      <c r="M8" s="25"/>
      <c r="N8" s="25"/>
      <c r="O8" s="25"/>
      <c r="P8" s="29" t="s">
        <v>265</v>
      </c>
      <c r="Q8" s="29" t="s">
        <v>265</v>
      </c>
      <c r="R8" s="29" t="s">
        <v>265</v>
      </c>
      <c r="S8" s="29" t="s">
        <v>265</v>
      </c>
      <c r="T8" s="29" t="s">
        <v>265</v>
      </c>
      <c r="U8" s="29" t="s">
        <v>265</v>
      </c>
      <c r="V8" s="29" t="s">
        <v>265</v>
      </c>
      <c r="W8" s="29" t="s">
        <v>265</v>
      </c>
      <c r="X8" s="29" t="s">
        <v>265</v>
      </c>
    </row>
    <row r="9" spans="1:24" ht="15.75" x14ac:dyDescent="0.25">
      <c r="B9" s="21"/>
      <c r="C9" s="30" t="s">
        <v>391</v>
      </c>
      <c r="D9" s="1249" t="str">
        <f>Translations!$B$903</f>
        <v>CWT (rafinētavu produkti)</v>
      </c>
      <c r="E9" s="1249"/>
      <c r="F9" s="1249"/>
      <c r="G9" s="1249"/>
      <c r="H9" s="1249"/>
      <c r="I9" s="1249"/>
      <c r="J9" s="1249"/>
      <c r="K9" s="1249"/>
      <c r="L9" s="1249"/>
      <c r="M9" s="1249"/>
      <c r="N9" s="1249"/>
      <c r="O9" s="25"/>
      <c r="P9" s="26"/>
    </row>
    <row r="10" spans="1:24" ht="5.0999999999999996" customHeight="1" x14ac:dyDescent="0.2">
      <c r="B10" s="21"/>
      <c r="C10" s="21"/>
      <c r="D10" s="21"/>
      <c r="E10" s="21"/>
      <c r="F10" s="21"/>
      <c r="G10" s="21"/>
      <c r="H10" s="21"/>
      <c r="I10" s="21"/>
      <c r="J10" s="21"/>
      <c r="K10" s="21"/>
      <c r="L10" s="21"/>
      <c r="M10" s="25"/>
      <c r="N10" s="25"/>
      <c r="O10" s="25"/>
      <c r="P10" s="26"/>
    </row>
    <row r="11" spans="1:24" ht="15" x14ac:dyDescent="0.25">
      <c r="B11" s="21"/>
      <c r="C11" s="36"/>
      <c r="D11" s="1318" t="str">
        <f>Translations!$B$904</f>
        <v>Rīks rafinētavu apakšiekārtu vēsturisko darbības līmeņu aprēķināšanai</v>
      </c>
      <c r="E11" s="1251"/>
      <c r="F11" s="1251"/>
      <c r="G11" s="1251"/>
      <c r="H11" s="1251"/>
      <c r="I11" s="1251"/>
      <c r="J11" s="1251"/>
      <c r="K11" s="1251"/>
      <c r="L11" s="1251"/>
      <c r="M11" s="1251"/>
      <c r="N11" s="1251"/>
      <c r="O11" s="25"/>
      <c r="P11" s="26"/>
    </row>
    <row r="12" spans="1:24" ht="5.0999999999999996" customHeight="1" x14ac:dyDescent="0.2">
      <c r="B12" s="21"/>
      <c r="C12" s="21"/>
      <c r="D12" s="21"/>
      <c r="E12" s="21"/>
      <c r="F12" s="21"/>
      <c r="G12" s="21"/>
      <c r="H12" s="21"/>
      <c r="I12" s="21"/>
      <c r="J12" s="21"/>
      <c r="K12" s="21"/>
      <c r="L12" s="21"/>
      <c r="M12" s="25"/>
      <c r="N12" s="25"/>
      <c r="O12" s="25"/>
      <c r="P12" s="26"/>
    </row>
    <row r="13" spans="1:24" x14ac:dyDescent="0.2">
      <c r="B13" s="21"/>
      <c r="C13" s="21"/>
      <c r="D13" s="34"/>
      <c r="E13" s="1319" t="str">
        <f>Translations!$B$905</f>
        <v>Šis rīks palīdz noteikt HAL (vēsturiskos darbības līmeņus) rafinētavas līmeņatzīmei (FAR III pielikuma 1. punkts).</v>
      </c>
      <c r="F13" s="1251"/>
      <c r="G13" s="1251"/>
      <c r="H13" s="1251"/>
      <c r="I13" s="1251"/>
      <c r="J13" s="1251"/>
      <c r="K13" s="1251"/>
      <c r="L13" s="1251"/>
      <c r="M13" s="1251"/>
      <c r="N13" s="1251"/>
      <c r="O13" s="25"/>
      <c r="P13" s="26"/>
    </row>
    <row r="14" spans="1:24" x14ac:dyDescent="0.2">
      <c r="B14" s="21"/>
      <c r="C14" s="21"/>
      <c r="D14" s="34"/>
      <c r="E14" s="1319" t="str">
        <f>Translations!$B$906</f>
        <v>Attiecībā uz aromātiskajiem savienojumiem (jo arī to gadījumā izmanto CWT) izmantojiet specifisko CWT rīku aromātiskajiem savienojumiem (šīs lapas V sadaļa).</v>
      </c>
      <c r="F14" s="1251"/>
      <c r="G14" s="1251"/>
      <c r="H14" s="1251"/>
      <c r="I14" s="1251"/>
      <c r="J14" s="1251"/>
      <c r="K14" s="1251"/>
      <c r="L14" s="1251"/>
      <c r="M14" s="1251"/>
      <c r="N14" s="1251"/>
      <c r="O14" s="25"/>
      <c r="P14" s="26"/>
    </row>
    <row r="15" spans="1:24" x14ac:dyDescent="0.2">
      <c r="B15" s="21"/>
      <c r="C15" s="21"/>
      <c r="D15" s="34"/>
      <c r="E15" s="1319" t="str">
        <f>Translations!$B$907</f>
        <v>Ar šo rīku iegūtais rezultāts tiek automātiski iekopēts lapas “F_ProductBM” rindā a) punkta ii. apakšpunktā par attiecīgo apakšiekārtu.</v>
      </c>
      <c r="F15" s="1251"/>
      <c r="G15" s="1251"/>
      <c r="H15" s="1251"/>
      <c r="I15" s="1251"/>
      <c r="J15" s="1251"/>
      <c r="K15" s="1251"/>
      <c r="L15" s="1251"/>
      <c r="M15" s="1251"/>
      <c r="N15" s="1251"/>
      <c r="O15" s="25"/>
      <c r="P15" s="26"/>
    </row>
    <row r="16" spans="1:24" ht="5.0999999999999996" customHeight="1" x14ac:dyDescent="0.2">
      <c r="B16" s="21"/>
      <c r="C16" s="21"/>
      <c r="D16" s="21"/>
      <c r="E16" s="21"/>
      <c r="F16" s="21"/>
      <c r="G16" s="21"/>
      <c r="H16" s="21"/>
      <c r="I16" s="21"/>
      <c r="J16" s="21"/>
      <c r="K16" s="21"/>
      <c r="L16" s="21"/>
      <c r="M16" s="25"/>
      <c r="N16" s="25"/>
      <c r="O16" s="25"/>
      <c r="P16" s="26"/>
    </row>
    <row r="17" spans="2:20" ht="15" x14ac:dyDescent="0.25">
      <c r="B17" s="21"/>
      <c r="C17" s="21"/>
      <c r="D17" s="32" t="s">
        <v>165</v>
      </c>
      <c r="E17" s="1250" t="str">
        <f>Translations!$B$908</f>
        <v>Šā rīka relevantums jūsu iekārtai:</v>
      </c>
      <c r="F17" s="1250"/>
      <c r="G17" s="1250"/>
      <c r="H17" s="1250"/>
      <c r="I17" s="1250"/>
      <c r="J17" s="1250"/>
      <c r="K17" s="1524"/>
      <c r="L17" s="1849" t="str">
        <f>IF(CNTR_ExistSubInstEntries,IF(COUNTIF(CNTR_SubInstListNames,INDEX(EUconst_BMlistNames,MATCH(Q17,EUconst_BMlistMainNumberOfBM,0)))&gt;0,EUconst_Relevant,EUconst_NotRelevant),"")</f>
        <v/>
      </c>
      <c r="M17" s="1850"/>
      <c r="N17" s="1851"/>
      <c r="O17" s="25"/>
      <c r="P17" s="386" t="s">
        <v>33</v>
      </c>
      <c r="Q17" s="366">
        <v>1</v>
      </c>
    </row>
    <row r="18" spans="2:20" x14ac:dyDescent="0.2">
      <c r="B18" s="21"/>
      <c r="C18" s="21"/>
      <c r="D18" s="34"/>
      <c r="E18" s="1274" t="str">
        <f>Translations!$B$909</f>
        <v>Šis ziņojums tiek automātiski ģenerēts, balstoties uz datiem, ko ievadījāt lapas “A_InstallationData” III sadaļas 1. punktā.</v>
      </c>
      <c r="F18" s="1275"/>
      <c r="G18" s="1275"/>
      <c r="H18" s="1275"/>
      <c r="I18" s="1275"/>
      <c r="J18" s="1275"/>
      <c r="K18" s="1275"/>
      <c r="L18" s="1275"/>
      <c r="M18" s="1275"/>
      <c r="N18" s="1275"/>
      <c r="O18" s="25"/>
    </row>
    <row r="19" spans="2:20" x14ac:dyDescent="0.2">
      <c r="B19" s="21"/>
      <c r="C19" s="21"/>
      <c r="D19" s="21"/>
      <c r="E19" s="1846" t="str">
        <f>IF(L17=EUconst_Relevant,HYPERLINK(Q19,EUconst_MsgBackToSheetF),"")</f>
        <v/>
      </c>
      <c r="F19" s="1847"/>
      <c r="G19" s="1847"/>
      <c r="H19" s="1847"/>
      <c r="I19" s="1847"/>
      <c r="J19" s="1847"/>
      <c r="K19" s="1847"/>
      <c r="L19" s="1847"/>
      <c r="M19" s="1847"/>
      <c r="N19" s="1848"/>
      <c r="O19" s="25"/>
      <c r="P19" s="386" t="s">
        <v>32</v>
      </c>
      <c r="Q19" s="134" t="str">
        <f>IF(ISNUMBER(MATCH(Q17,CNTR_SubInstListBMnumbers,0)),"#JUMP_F"&amp;MATCH(Q17,CNTR_SubInstListBMnumbers,0),"")</f>
        <v/>
      </c>
      <c r="R19" s="437"/>
    </row>
    <row r="20" spans="2:20" ht="5.0999999999999996" customHeight="1" x14ac:dyDescent="0.2">
      <c r="B20" s="21"/>
      <c r="C20" s="21"/>
      <c r="D20" s="21"/>
      <c r="E20" s="21"/>
      <c r="F20" s="21"/>
      <c r="G20" s="21"/>
      <c r="H20" s="21"/>
      <c r="I20" s="21"/>
      <c r="J20" s="21"/>
      <c r="K20" s="21"/>
      <c r="L20" s="21"/>
      <c r="M20" s="25"/>
      <c r="N20" s="25"/>
      <c r="O20" s="25"/>
      <c r="P20" s="26"/>
    </row>
    <row r="21" spans="2:20" x14ac:dyDescent="0.2">
      <c r="B21" s="21"/>
      <c r="C21" s="21"/>
      <c r="D21" s="32" t="s">
        <v>339</v>
      </c>
      <c r="E21" s="1250" t="str">
        <f>Translations!$B$910</f>
        <v>CWT caurlaiduma dati</v>
      </c>
      <c r="F21" s="1251"/>
      <c r="G21" s="1251"/>
      <c r="H21" s="1251"/>
      <c r="I21" s="1251"/>
      <c r="J21" s="1251"/>
      <c r="K21" s="1251"/>
      <c r="L21" s="1251"/>
      <c r="M21" s="1251"/>
      <c r="N21" s="1251"/>
      <c r="O21" s="25"/>
      <c r="P21" s="26"/>
    </row>
    <row r="22" spans="2:20" x14ac:dyDescent="0.2">
      <c r="B22" s="21"/>
      <c r="C22" s="21"/>
      <c r="D22" s="34"/>
      <c r="E22" s="1319" t="str">
        <f>Translations!$B$911</f>
        <v>Šeit ievadiet katras CWT funkcijas ikgadējā caurlaiduma datus.</v>
      </c>
      <c r="F22" s="1251"/>
      <c r="G22" s="1251"/>
      <c r="H22" s="1251"/>
      <c r="I22" s="1251"/>
      <c r="J22" s="1251"/>
      <c r="K22" s="1251"/>
      <c r="L22" s="1251"/>
      <c r="M22" s="1251"/>
      <c r="N22" s="1251"/>
      <c r="O22" s="25"/>
      <c r="P22" s="26"/>
    </row>
    <row r="23" spans="2:20" x14ac:dyDescent="0.2">
      <c r="B23" s="21"/>
      <c r="C23" s="21"/>
      <c r="D23" s="34"/>
      <c r="E23" s="1319" t="str">
        <f>Translations!$B$912</f>
        <v>Katras CWT funkcijas definīcija un robežas ir atrodamas FAR II pielikuma 1. punktā.</v>
      </c>
      <c r="F23" s="1251"/>
      <c r="G23" s="1251"/>
      <c r="H23" s="1251"/>
      <c r="I23" s="1251"/>
      <c r="J23" s="1251"/>
      <c r="K23" s="1251"/>
      <c r="L23" s="1251"/>
      <c r="M23" s="1251"/>
      <c r="N23" s="1251"/>
      <c r="O23" s="25"/>
      <c r="P23" s="26"/>
    </row>
    <row r="24" spans="2:20" x14ac:dyDescent="0.2">
      <c r="B24" s="21"/>
      <c r="C24" s="21"/>
      <c r="D24" s="34"/>
      <c r="E24" s="1319" t="str">
        <f>Translations!$B$913</f>
        <v>Bāzei izmanto šādus saīsinājumus:</v>
      </c>
      <c r="F24" s="1251"/>
      <c r="G24" s="1251"/>
      <c r="H24" s="1251"/>
      <c r="I24" s="1251"/>
      <c r="J24" s="1251"/>
      <c r="K24" s="1251"/>
      <c r="L24" s="1251"/>
      <c r="M24" s="1251"/>
      <c r="N24" s="1251"/>
      <c r="O24" s="25"/>
      <c r="P24" s="26"/>
    </row>
    <row r="25" spans="2:20" x14ac:dyDescent="0.2">
      <c r="B25" s="21"/>
      <c r="C25" s="21"/>
      <c r="D25" s="34"/>
      <c r="E25" s="153" t="s">
        <v>90</v>
      </c>
      <c r="F25" s="1319" t="str">
        <f>Translations!$B$914</f>
        <v>neto svaigais ievadmateriāls</v>
      </c>
      <c r="G25" s="1251"/>
      <c r="H25" s="1251"/>
      <c r="I25" s="1251"/>
      <c r="J25" s="1251"/>
      <c r="K25" s="1251"/>
      <c r="L25" s="1251"/>
      <c r="M25" s="1251"/>
      <c r="N25" s="1251"/>
      <c r="O25" s="25"/>
      <c r="P25" s="26"/>
    </row>
    <row r="26" spans="2:20" x14ac:dyDescent="0.2">
      <c r="B26" s="21"/>
      <c r="C26" s="21"/>
      <c r="D26" s="34"/>
      <c r="E26" s="153" t="s">
        <v>394</v>
      </c>
      <c r="F26" s="1319" t="str">
        <f>Translations!$B$915</f>
        <v>reaktora ievadmateriāls (arī reciklēts)</v>
      </c>
      <c r="G26" s="1251"/>
      <c r="H26" s="1251"/>
      <c r="I26" s="1251"/>
      <c r="J26" s="1251"/>
      <c r="K26" s="1251"/>
      <c r="L26" s="1251"/>
      <c r="M26" s="1251"/>
      <c r="N26" s="1251"/>
      <c r="O26" s="25"/>
      <c r="P26" s="26"/>
    </row>
    <row r="27" spans="2:20" x14ac:dyDescent="0.2">
      <c r="B27" s="21"/>
      <c r="C27" s="21"/>
      <c r="D27" s="34"/>
      <c r="E27" s="153" t="s">
        <v>146</v>
      </c>
      <c r="F27" s="1319" t="str">
        <f>Translations!$B$916</f>
        <v>produkta ievadmateriāls</v>
      </c>
      <c r="G27" s="1251"/>
      <c r="H27" s="1251"/>
      <c r="I27" s="1251"/>
      <c r="J27" s="1251"/>
      <c r="K27" s="1251"/>
      <c r="L27" s="1251"/>
      <c r="M27" s="1251"/>
      <c r="N27" s="1251"/>
      <c r="O27" s="25"/>
      <c r="P27" s="26"/>
    </row>
    <row r="28" spans="2:20" x14ac:dyDescent="0.2">
      <c r="B28" s="21"/>
      <c r="C28" s="21"/>
      <c r="D28" s="34"/>
      <c r="E28" s="153" t="s">
        <v>217</v>
      </c>
      <c r="F28" s="1319" t="str">
        <f>Translations!$B$917</f>
        <v>sintēzes gāzes ražošana POX blokiem</v>
      </c>
      <c r="G28" s="1251"/>
      <c r="H28" s="1251"/>
      <c r="I28" s="1251"/>
      <c r="J28" s="1251"/>
      <c r="K28" s="1251"/>
      <c r="L28" s="1251"/>
      <c r="M28" s="1251"/>
      <c r="N28" s="1251"/>
      <c r="O28" s="25"/>
      <c r="P28" s="26"/>
    </row>
    <row r="29" spans="2:20" x14ac:dyDescent="0.2">
      <c r="B29" s="21"/>
      <c r="C29" s="21"/>
      <c r="D29" s="35"/>
      <c r="E29" s="1343" t="str">
        <f>Translations!$B$918</f>
        <v>Svarīga piezīme.  Saskaņā ar FAR II pielikumu caurlaidums jāizsaka kilotonnās.</v>
      </c>
      <c r="F29" s="1251"/>
      <c r="G29" s="1251"/>
      <c r="H29" s="1251"/>
      <c r="I29" s="1251"/>
      <c r="J29" s="1251"/>
      <c r="K29" s="1251"/>
      <c r="L29" s="1251"/>
      <c r="M29" s="1251"/>
      <c r="N29" s="1251"/>
      <c r="O29" s="25"/>
      <c r="P29" s="26"/>
    </row>
    <row r="30" spans="2:20" ht="5.0999999999999996" customHeight="1" x14ac:dyDescent="0.2">
      <c r="B30" s="21"/>
      <c r="C30" s="21"/>
      <c r="D30" s="21"/>
      <c r="E30" s="21"/>
      <c r="F30" s="21"/>
      <c r="G30" s="21"/>
      <c r="H30" s="21"/>
      <c r="I30" s="21"/>
      <c r="J30" s="21"/>
      <c r="K30" s="21"/>
      <c r="L30" s="21"/>
      <c r="M30" s="25"/>
      <c r="N30" s="25"/>
      <c r="O30" s="25"/>
      <c r="P30" s="26"/>
    </row>
    <row r="31" spans="2:20" x14ac:dyDescent="0.2">
      <c r="B31" s="38"/>
      <c r="C31" s="38"/>
      <c r="D31" s="38"/>
      <c r="E31" s="65" t="str">
        <f>Translations!$B$919</f>
        <v>CWT funkcija</v>
      </c>
      <c r="F31" s="65"/>
      <c r="G31" s="65" t="str">
        <f>Translations!$B$920</f>
        <v>Bāze (kt/a)</v>
      </c>
      <c r="H31" s="150" t="str">
        <f>Translations!$B$921</f>
        <v>CWT koeficients</v>
      </c>
      <c r="I31" s="447">
        <f>I$408</f>
        <v>2019</v>
      </c>
      <c r="J31" s="447">
        <f>J$408</f>
        <v>2020</v>
      </c>
      <c r="K31" s="447">
        <f>K$408</f>
        <v>2021</v>
      </c>
      <c r="L31" s="447">
        <f>L$408</f>
        <v>2022</v>
      </c>
      <c r="M31" s="447">
        <f>M$408</f>
        <v>2023</v>
      </c>
      <c r="N31" s="25"/>
      <c r="O31" s="25"/>
      <c r="S31" s="386" t="s">
        <v>574</v>
      </c>
      <c r="T31" s="453" t="str">
        <f>IF(L17&lt;&gt;EUconst_Relevant,"",INDEX(CNTR_SubInstLess1Year,MATCH(Q17,CNTR_SubInstListBMnumbers,0)))</f>
        <v/>
      </c>
    </row>
    <row r="32" spans="2:20" ht="25.5" customHeight="1" x14ac:dyDescent="0.2">
      <c r="B32" s="38"/>
      <c r="C32" s="38"/>
      <c r="D32" s="38"/>
      <c r="E32" s="1517" t="str">
        <f>Translations!$B$922</f>
        <v>Jēlnaftas atmosfēriskā destilācija (destilācija pie atmosfēras spiediena)</v>
      </c>
      <c r="F32" s="1517"/>
      <c r="G32" s="66" t="s">
        <v>90</v>
      </c>
      <c r="H32" s="155">
        <v>1</v>
      </c>
      <c r="I32" s="314"/>
      <c r="J32" s="314"/>
      <c r="K32" s="314"/>
      <c r="L32" s="314"/>
      <c r="M32" s="314"/>
      <c r="N32" s="25"/>
      <c r="O32" s="25"/>
    </row>
    <row r="33" spans="2:15" x14ac:dyDescent="0.2">
      <c r="B33" s="38"/>
      <c r="C33" s="38"/>
      <c r="D33" s="38"/>
      <c r="E33" s="1521" t="str">
        <f>Translations!$B$923</f>
        <v xml:space="preserve">Vakuumdestilācija </v>
      </c>
      <c r="F33" s="1521"/>
      <c r="G33" s="50" t="s">
        <v>90</v>
      </c>
      <c r="H33" s="154">
        <v>0.85</v>
      </c>
      <c r="I33" s="313"/>
      <c r="J33" s="313"/>
      <c r="K33" s="313"/>
      <c r="L33" s="313"/>
      <c r="M33" s="313"/>
      <c r="N33" s="25"/>
      <c r="O33" s="25"/>
    </row>
    <row r="34" spans="2:15" x14ac:dyDescent="0.2">
      <c r="B34" s="38"/>
      <c r="C34" s="38"/>
      <c r="D34" s="38"/>
      <c r="E34" s="1547" t="str">
        <f>Translations!$B$924</f>
        <v xml:space="preserve">Šķīdinātāja atasfaltēšana </v>
      </c>
      <c r="F34" s="1547"/>
      <c r="G34" s="46" t="s">
        <v>90</v>
      </c>
      <c r="H34" s="151">
        <v>2.4500000000000002</v>
      </c>
      <c r="I34" s="312"/>
      <c r="J34" s="312"/>
      <c r="K34" s="312"/>
      <c r="L34" s="312"/>
      <c r="M34" s="312"/>
      <c r="N34" s="25"/>
      <c r="O34" s="25"/>
    </row>
    <row r="35" spans="2:15" x14ac:dyDescent="0.2">
      <c r="B35" s="38"/>
      <c r="C35" s="38"/>
      <c r="D35" s="38"/>
      <c r="E35" s="1547" t="str">
        <f>Translations!$B$925</f>
        <v xml:space="preserve">Viskozitātes samazināšana </v>
      </c>
      <c r="F35" s="1547"/>
      <c r="G35" s="46" t="s">
        <v>90</v>
      </c>
      <c r="H35" s="151">
        <v>1.4</v>
      </c>
      <c r="I35" s="312"/>
      <c r="J35" s="312"/>
      <c r="K35" s="312"/>
      <c r="L35" s="312"/>
      <c r="M35" s="312"/>
      <c r="N35" s="25"/>
      <c r="O35" s="25"/>
    </row>
    <row r="36" spans="2:15" x14ac:dyDescent="0.2">
      <c r="B36" s="38"/>
      <c r="C36" s="38"/>
      <c r="D36" s="38"/>
      <c r="E36" s="1547" t="str">
        <f>Translations!$B$926</f>
        <v>Termiskais krekings</v>
      </c>
      <c r="F36" s="1547"/>
      <c r="G36" s="46" t="s">
        <v>90</v>
      </c>
      <c r="H36" s="151">
        <v>2.7</v>
      </c>
      <c r="I36" s="312"/>
      <c r="J36" s="312"/>
      <c r="K36" s="312"/>
      <c r="L36" s="312"/>
      <c r="M36" s="312"/>
      <c r="N36" s="25"/>
      <c r="O36" s="25"/>
    </row>
    <row r="37" spans="2:15" x14ac:dyDescent="0.2">
      <c r="B37" s="38"/>
      <c r="C37" s="38"/>
      <c r="D37" s="38"/>
      <c r="E37" s="1547" t="str">
        <f>Translations!$B$927</f>
        <v xml:space="preserve">Aizkavētā koksēšana </v>
      </c>
      <c r="F37" s="1547"/>
      <c r="G37" s="46" t="s">
        <v>90</v>
      </c>
      <c r="H37" s="151">
        <v>2.2000000000000002</v>
      </c>
      <c r="I37" s="312"/>
      <c r="J37" s="312"/>
      <c r="K37" s="312"/>
      <c r="L37" s="312"/>
      <c r="M37" s="312"/>
      <c r="N37" s="25"/>
      <c r="O37" s="25"/>
    </row>
    <row r="38" spans="2:15" x14ac:dyDescent="0.2">
      <c r="B38" s="38"/>
      <c r="C38" s="38"/>
      <c r="D38" s="38"/>
      <c r="E38" s="1547" t="str">
        <f>Translations!$B$928</f>
        <v xml:space="preserve">Fluīdkoksēšana (koksēšana plūstošā slānī) </v>
      </c>
      <c r="F38" s="1547"/>
      <c r="G38" s="46" t="s">
        <v>90</v>
      </c>
      <c r="H38" s="151">
        <v>7.6</v>
      </c>
      <c r="I38" s="312"/>
      <c r="J38" s="312"/>
      <c r="K38" s="312"/>
      <c r="L38" s="312"/>
      <c r="M38" s="312"/>
      <c r="N38" s="25"/>
      <c r="O38" s="25"/>
    </row>
    <row r="39" spans="2:15" x14ac:dyDescent="0.2">
      <c r="B39" s="38"/>
      <c r="C39" s="38"/>
      <c r="D39" s="38"/>
      <c r="E39" s="1547" t="str">
        <f>Translations!$B$929</f>
        <v xml:space="preserve">Fleksikoksēšana </v>
      </c>
      <c r="F39" s="1547"/>
      <c r="G39" s="46" t="s">
        <v>90</v>
      </c>
      <c r="H39" s="151">
        <v>16.600000000000001</v>
      </c>
      <c r="I39" s="312"/>
      <c r="J39" s="312"/>
      <c r="K39" s="312"/>
      <c r="L39" s="312"/>
      <c r="M39" s="312"/>
      <c r="N39" s="25"/>
      <c r="O39" s="25"/>
    </row>
    <row r="40" spans="2:15" x14ac:dyDescent="0.2">
      <c r="B40" s="38"/>
      <c r="C40" s="38"/>
      <c r="D40" s="38"/>
      <c r="E40" s="1547" t="str">
        <f>Translations!$B$930</f>
        <v xml:space="preserve">Koksa kalcinēšana </v>
      </c>
      <c r="F40" s="1547"/>
      <c r="G40" s="46" t="s">
        <v>146</v>
      </c>
      <c r="H40" s="151">
        <v>12.75</v>
      </c>
      <c r="I40" s="312"/>
      <c r="J40" s="312"/>
      <c r="K40" s="312"/>
      <c r="L40" s="312"/>
      <c r="M40" s="312"/>
      <c r="N40" s="25"/>
      <c r="O40" s="25"/>
    </row>
    <row r="41" spans="2:15" x14ac:dyDescent="0.2">
      <c r="B41" s="38"/>
      <c r="C41" s="38"/>
      <c r="D41" s="38"/>
      <c r="E41" s="1547" t="str">
        <f>Translations!$B$931</f>
        <v>Plūstošais katalītiskais krekings (katalītiskais krekings plūstošā slānī)</v>
      </c>
      <c r="F41" s="1547"/>
      <c r="G41" s="46" t="s">
        <v>90</v>
      </c>
      <c r="H41" s="151">
        <v>5.5</v>
      </c>
      <c r="I41" s="312"/>
      <c r="J41" s="312"/>
      <c r="K41" s="312"/>
      <c r="L41" s="312"/>
      <c r="M41" s="312"/>
      <c r="N41" s="25"/>
      <c r="O41" s="25"/>
    </row>
    <row r="42" spans="2:15" x14ac:dyDescent="0.2">
      <c r="B42" s="38"/>
      <c r="C42" s="38"/>
      <c r="D42" s="38"/>
      <c r="E42" s="1547" t="str">
        <f>Translations!$B$932</f>
        <v xml:space="preserve">Cits katalītiskais krekings </v>
      </c>
      <c r="F42" s="1547"/>
      <c r="G42" s="46" t="s">
        <v>90</v>
      </c>
      <c r="H42" s="151">
        <v>4.0999999999999996</v>
      </c>
      <c r="I42" s="312"/>
      <c r="J42" s="312"/>
      <c r="K42" s="312"/>
      <c r="L42" s="312"/>
      <c r="M42" s="312"/>
      <c r="N42" s="25"/>
      <c r="O42" s="25"/>
    </row>
    <row r="43" spans="2:15" ht="25.5" customHeight="1" x14ac:dyDescent="0.2">
      <c r="B43" s="38"/>
      <c r="C43" s="38"/>
      <c r="D43" s="38"/>
      <c r="E43" s="1547" t="str">
        <f>Translations!$B$933</f>
        <v xml:space="preserve">Destilāta/gāzeļļas hidrokrekings </v>
      </c>
      <c r="F43" s="1547"/>
      <c r="G43" s="46" t="s">
        <v>90</v>
      </c>
      <c r="H43" s="151">
        <v>2.85</v>
      </c>
      <c r="I43" s="312"/>
      <c r="J43" s="312"/>
      <c r="K43" s="312"/>
      <c r="L43" s="312"/>
      <c r="M43" s="312"/>
      <c r="N43" s="25"/>
      <c r="O43" s="25"/>
    </row>
    <row r="44" spans="2:15" x14ac:dyDescent="0.2">
      <c r="B44" s="38"/>
      <c r="C44" s="38"/>
      <c r="D44" s="38"/>
      <c r="E44" s="1547" t="str">
        <f>Translations!$B$934</f>
        <v xml:space="preserve">Atlieku hidrokrekings </v>
      </c>
      <c r="F44" s="1547"/>
      <c r="G44" s="46" t="s">
        <v>90</v>
      </c>
      <c r="H44" s="151">
        <v>3.75</v>
      </c>
      <c r="I44" s="312"/>
      <c r="J44" s="312"/>
      <c r="K44" s="312"/>
      <c r="L44" s="312"/>
      <c r="M44" s="312"/>
      <c r="N44" s="25"/>
      <c r="O44" s="25"/>
    </row>
    <row r="45" spans="2:15" ht="25.5" customHeight="1" x14ac:dyDescent="0.2">
      <c r="B45" s="38"/>
      <c r="C45" s="38"/>
      <c r="D45" s="38"/>
      <c r="E45" s="1547" t="str">
        <f>Translations!$B$935</f>
        <v>Jēlbenzīna/benzīna hidroattīrīšana</v>
      </c>
      <c r="F45" s="1547"/>
      <c r="G45" s="46" t="s">
        <v>90</v>
      </c>
      <c r="H45" s="151">
        <v>1.1000000000000001</v>
      </c>
      <c r="I45" s="312"/>
      <c r="J45" s="312"/>
      <c r="K45" s="312"/>
      <c r="L45" s="312"/>
      <c r="M45" s="312"/>
      <c r="N45" s="25"/>
      <c r="O45" s="25"/>
    </row>
    <row r="46" spans="2:15" ht="25.5" customHeight="1" x14ac:dyDescent="0.2">
      <c r="B46" s="38"/>
      <c r="C46" s="38"/>
      <c r="D46" s="38"/>
      <c r="E46" s="1547" t="str">
        <f>Translations!$B$936</f>
        <v xml:space="preserve">Petrolejas/dīzeļdegvielas hidroattīrīšana </v>
      </c>
      <c r="F46" s="1547"/>
      <c r="G46" s="46" t="s">
        <v>90</v>
      </c>
      <c r="H46" s="151">
        <v>0.9</v>
      </c>
      <c r="I46" s="312"/>
      <c r="J46" s="312"/>
      <c r="K46" s="312"/>
      <c r="L46" s="312"/>
      <c r="M46" s="312"/>
      <c r="N46" s="25"/>
      <c r="O46" s="25"/>
    </row>
    <row r="47" spans="2:15" x14ac:dyDescent="0.2">
      <c r="B47" s="38"/>
      <c r="C47" s="38"/>
      <c r="D47" s="38"/>
      <c r="E47" s="1547" t="str">
        <f>Translations!$B$937</f>
        <v xml:space="preserve">Atlieku hidroattīrīšana </v>
      </c>
      <c r="F47" s="1547"/>
      <c r="G47" s="46" t="s">
        <v>90</v>
      </c>
      <c r="H47" s="151">
        <v>1.55</v>
      </c>
      <c r="I47" s="312"/>
      <c r="J47" s="312"/>
      <c r="K47" s="312"/>
      <c r="L47" s="312"/>
      <c r="M47" s="312"/>
      <c r="N47" s="25"/>
      <c r="O47" s="25"/>
    </row>
    <row r="48" spans="2:15" x14ac:dyDescent="0.2">
      <c r="B48" s="38"/>
      <c r="C48" s="38"/>
      <c r="D48" s="38"/>
      <c r="E48" s="1547" t="str">
        <f>Translations!$B$938</f>
        <v>VGO hidroattīrīšana</v>
      </c>
      <c r="F48" s="1547"/>
      <c r="G48" s="46" t="s">
        <v>90</v>
      </c>
      <c r="H48" s="151">
        <v>0.9</v>
      </c>
      <c r="I48" s="312"/>
      <c r="J48" s="312"/>
      <c r="K48" s="312"/>
      <c r="L48" s="312"/>
      <c r="M48" s="312"/>
      <c r="N48" s="25"/>
      <c r="O48" s="25"/>
    </row>
    <row r="49" spans="2:15" x14ac:dyDescent="0.2">
      <c r="B49" s="38"/>
      <c r="C49" s="38"/>
      <c r="D49" s="38"/>
      <c r="E49" s="1547" t="str">
        <f>Translations!$B$939</f>
        <v xml:space="preserve">Ūdeņraža ražošana </v>
      </c>
      <c r="F49" s="1547"/>
      <c r="G49" s="46" t="s">
        <v>146</v>
      </c>
      <c r="H49" s="151">
        <v>300</v>
      </c>
      <c r="I49" s="312"/>
      <c r="J49" s="312"/>
      <c r="K49" s="312"/>
      <c r="L49" s="312"/>
      <c r="M49" s="312"/>
      <c r="N49" s="25"/>
      <c r="O49" s="25"/>
    </row>
    <row r="50" spans="2:15" x14ac:dyDescent="0.2">
      <c r="B50" s="38"/>
      <c r="C50" s="38"/>
      <c r="D50" s="38"/>
      <c r="E50" s="1547" t="str">
        <f>Translations!$B$940</f>
        <v>Katalītiskais riformings</v>
      </c>
      <c r="F50" s="1547"/>
      <c r="G50" s="46" t="s">
        <v>90</v>
      </c>
      <c r="H50" s="151">
        <v>4.95</v>
      </c>
      <c r="I50" s="312"/>
      <c r="J50" s="312"/>
      <c r="K50" s="312"/>
      <c r="L50" s="312"/>
      <c r="M50" s="312"/>
      <c r="N50" s="25"/>
      <c r="O50" s="25"/>
    </row>
    <row r="51" spans="2:15" x14ac:dyDescent="0.2">
      <c r="B51" s="38"/>
      <c r="C51" s="38"/>
      <c r="D51" s="38"/>
      <c r="E51" s="1547" t="str">
        <f>Translations!$B$941</f>
        <v xml:space="preserve">Alkilēšana </v>
      </c>
      <c r="F51" s="1547"/>
      <c r="G51" s="46" t="s">
        <v>146</v>
      </c>
      <c r="H51" s="151">
        <v>7.25</v>
      </c>
      <c r="I51" s="312"/>
      <c r="J51" s="312"/>
      <c r="K51" s="312"/>
      <c r="L51" s="312"/>
      <c r="M51" s="312"/>
      <c r="N51" s="25"/>
      <c r="O51" s="25"/>
    </row>
    <row r="52" spans="2:15" x14ac:dyDescent="0.2">
      <c r="B52" s="38"/>
      <c r="C52" s="38"/>
      <c r="D52" s="38"/>
      <c r="E52" s="1547" t="str">
        <f>Translations!$B$942</f>
        <v>C4 izomerizācija</v>
      </c>
      <c r="F52" s="1547"/>
      <c r="G52" s="46" t="s">
        <v>394</v>
      </c>
      <c r="H52" s="151">
        <v>3.25</v>
      </c>
      <c r="I52" s="312"/>
      <c r="J52" s="312"/>
      <c r="K52" s="312"/>
      <c r="L52" s="312"/>
      <c r="M52" s="312"/>
      <c r="N52" s="25"/>
      <c r="O52" s="25"/>
    </row>
    <row r="53" spans="2:15" x14ac:dyDescent="0.2">
      <c r="B53" s="38"/>
      <c r="C53" s="38"/>
      <c r="D53" s="38"/>
      <c r="E53" s="1547" t="str">
        <f>Translations!$B$943</f>
        <v>C5/C6 izomerizācija</v>
      </c>
      <c r="F53" s="1547"/>
      <c r="G53" s="46" t="s">
        <v>394</v>
      </c>
      <c r="H53" s="151">
        <v>2.85</v>
      </c>
      <c r="I53" s="312"/>
      <c r="J53" s="312"/>
      <c r="K53" s="312"/>
      <c r="L53" s="312"/>
      <c r="M53" s="312"/>
      <c r="N53" s="25"/>
      <c r="O53" s="25"/>
    </row>
    <row r="54" spans="2:15" x14ac:dyDescent="0.2">
      <c r="B54" s="38"/>
      <c r="C54" s="38"/>
      <c r="D54" s="38"/>
      <c r="E54" s="1547" t="str">
        <f>Translations!$B$944</f>
        <v xml:space="preserve">Oksigenātu ražošana </v>
      </c>
      <c r="F54" s="1547"/>
      <c r="G54" s="46" t="s">
        <v>146</v>
      </c>
      <c r="H54" s="151">
        <v>5.6</v>
      </c>
      <c r="I54" s="312"/>
      <c r="J54" s="312"/>
      <c r="K54" s="312"/>
      <c r="L54" s="312"/>
      <c r="M54" s="312"/>
      <c r="N54" s="25"/>
      <c r="O54" s="25"/>
    </row>
    <row r="55" spans="2:15" x14ac:dyDescent="0.2">
      <c r="B55" s="38"/>
      <c r="C55" s="38"/>
      <c r="D55" s="38"/>
      <c r="E55" s="1547" t="str">
        <f>Translations!$B$945</f>
        <v xml:space="preserve">Propilēna ražošana </v>
      </c>
      <c r="F55" s="1547"/>
      <c r="G55" s="46" t="s">
        <v>90</v>
      </c>
      <c r="H55" s="151">
        <v>3.45</v>
      </c>
      <c r="I55" s="312"/>
      <c r="J55" s="312"/>
      <c r="K55" s="312"/>
      <c r="L55" s="312"/>
      <c r="M55" s="312"/>
      <c r="N55" s="25"/>
      <c r="O55" s="25"/>
    </row>
    <row r="56" spans="2:15" x14ac:dyDescent="0.2">
      <c r="B56" s="38"/>
      <c r="C56" s="38"/>
      <c r="D56" s="38"/>
      <c r="E56" s="1547" t="str">
        <f>Translations!$B$946</f>
        <v>Asfalta ražošana</v>
      </c>
      <c r="F56" s="1547"/>
      <c r="G56" s="46" t="s">
        <v>146</v>
      </c>
      <c r="H56" s="151">
        <v>2.1</v>
      </c>
      <c r="I56" s="312"/>
      <c r="J56" s="312"/>
      <c r="K56" s="312"/>
      <c r="L56" s="312"/>
      <c r="M56" s="312"/>
      <c r="N56" s="25"/>
      <c r="O56" s="25"/>
    </row>
    <row r="57" spans="2:15" ht="25.5" customHeight="1" x14ac:dyDescent="0.2">
      <c r="B57" s="38"/>
      <c r="C57" s="38"/>
      <c r="D57" s="38"/>
      <c r="E57" s="1547" t="str">
        <f>Translations!$B$947</f>
        <v>Ar polimēriem modificēta asfalta maisīšana</v>
      </c>
      <c r="F57" s="1547"/>
      <c r="G57" s="46" t="s">
        <v>146</v>
      </c>
      <c r="H57" s="151">
        <v>0.55000000000000004</v>
      </c>
      <c r="I57" s="312"/>
      <c r="J57" s="312"/>
      <c r="K57" s="312"/>
      <c r="L57" s="312"/>
      <c r="M57" s="312"/>
      <c r="N57" s="25"/>
      <c r="O57" s="25"/>
    </row>
    <row r="58" spans="2:15" x14ac:dyDescent="0.2">
      <c r="B58" s="38"/>
      <c r="C58" s="38"/>
      <c r="D58" s="38"/>
      <c r="E58" s="1547" t="str">
        <f>Translations!$B$948</f>
        <v>Sēra atgūšana</v>
      </c>
      <c r="F58" s="1547"/>
      <c r="G58" s="46" t="s">
        <v>146</v>
      </c>
      <c r="H58" s="151">
        <v>18.600000000000001</v>
      </c>
      <c r="I58" s="312"/>
      <c r="J58" s="312"/>
      <c r="K58" s="312"/>
      <c r="L58" s="312"/>
      <c r="M58" s="312"/>
      <c r="N58" s="25"/>
      <c r="O58" s="25"/>
    </row>
    <row r="59" spans="2:15" x14ac:dyDescent="0.2">
      <c r="B59" s="38"/>
      <c r="C59" s="38"/>
      <c r="D59" s="38"/>
      <c r="E59" s="1547" t="str">
        <f>Translations!$B$949</f>
        <v>Aromātisko savienojumu ekstrahēšana ar šķīdinātājiem</v>
      </c>
      <c r="F59" s="1547"/>
      <c r="G59" s="46" t="s">
        <v>90</v>
      </c>
      <c r="H59" s="151">
        <v>5.25</v>
      </c>
      <c r="I59" s="312"/>
      <c r="J59" s="312"/>
      <c r="K59" s="312"/>
      <c r="L59" s="312"/>
      <c r="M59" s="312"/>
      <c r="N59" s="25"/>
      <c r="O59" s="25"/>
    </row>
    <row r="60" spans="2:15" x14ac:dyDescent="0.2">
      <c r="B60" s="38"/>
      <c r="C60" s="38"/>
      <c r="D60" s="38"/>
      <c r="E60" s="1547" t="str">
        <f>Translations!$B$950</f>
        <v>Hidrodealkilēšana</v>
      </c>
      <c r="F60" s="1547"/>
      <c r="G60" s="46" t="s">
        <v>90</v>
      </c>
      <c r="H60" s="151">
        <v>2.4500000000000002</v>
      </c>
      <c r="I60" s="312"/>
      <c r="J60" s="312"/>
      <c r="K60" s="312"/>
      <c r="L60" s="312"/>
      <c r="M60" s="312"/>
      <c r="N60" s="25"/>
      <c r="O60" s="25"/>
    </row>
    <row r="61" spans="2:15" x14ac:dyDescent="0.2">
      <c r="B61" s="38"/>
      <c r="C61" s="38"/>
      <c r="D61" s="38"/>
      <c r="E61" s="1547" t="str">
        <f>Translations!$B$951</f>
        <v>TDP/TDA</v>
      </c>
      <c r="F61" s="1547"/>
      <c r="G61" s="46" t="s">
        <v>90</v>
      </c>
      <c r="H61" s="151">
        <v>1.85</v>
      </c>
      <c r="I61" s="312"/>
      <c r="J61" s="312"/>
      <c r="K61" s="312"/>
      <c r="L61" s="312"/>
      <c r="M61" s="312"/>
      <c r="N61" s="25"/>
      <c r="O61" s="25"/>
    </row>
    <row r="62" spans="2:15" x14ac:dyDescent="0.2">
      <c r="B62" s="38"/>
      <c r="C62" s="38"/>
      <c r="D62" s="38"/>
      <c r="E62" s="1547" t="str">
        <f>Translations!$B$952</f>
        <v>Cikloheksāna ražošana</v>
      </c>
      <c r="F62" s="1547"/>
      <c r="G62" s="46" t="s">
        <v>146</v>
      </c>
      <c r="H62" s="151">
        <v>3</v>
      </c>
      <c r="I62" s="312"/>
      <c r="J62" s="312"/>
      <c r="K62" s="312"/>
      <c r="L62" s="312"/>
      <c r="M62" s="312"/>
      <c r="N62" s="25"/>
      <c r="O62" s="25"/>
    </row>
    <row r="63" spans="2:15" x14ac:dyDescent="0.2">
      <c r="B63" s="38"/>
      <c r="C63" s="38"/>
      <c r="D63" s="38"/>
      <c r="E63" s="1547" t="str">
        <f>Translations!$B$953</f>
        <v>Ksilola izomerizācija</v>
      </c>
      <c r="F63" s="1547"/>
      <c r="G63" s="46" t="s">
        <v>90</v>
      </c>
      <c r="H63" s="151">
        <v>1.85</v>
      </c>
      <c r="I63" s="312"/>
      <c r="J63" s="312"/>
      <c r="K63" s="312"/>
      <c r="L63" s="312"/>
      <c r="M63" s="312"/>
      <c r="N63" s="25"/>
      <c r="O63" s="25"/>
    </row>
    <row r="64" spans="2:15" x14ac:dyDescent="0.2">
      <c r="B64" s="38"/>
      <c r="C64" s="38"/>
      <c r="D64" s="38"/>
      <c r="E64" s="1547" t="str">
        <f>Translations!$B$954</f>
        <v>Paraksilola ražošana</v>
      </c>
      <c r="F64" s="1547"/>
      <c r="G64" s="46" t="s">
        <v>146</v>
      </c>
      <c r="H64" s="151">
        <v>6.4</v>
      </c>
      <c r="I64" s="312"/>
      <c r="J64" s="312"/>
      <c r="K64" s="312"/>
      <c r="L64" s="312"/>
      <c r="M64" s="312"/>
      <c r="N64" s="25"/>
      <c r="O64" s="25"/>
    </row>
    <row r="65" spans="2:15" x14ac:dyDescent="0.2">
      <c r="B65" s="38"/>
      <c r="C65" s="38"/>
      <c r="D65" s="38"/>
      <c r="E65" s="1547" t="str">
        <f>Translations!$B$955</f>
        <v>Metaksilola ražošana</v>
      </c>
      <c r="F65" s="1547"/>
      <c r="G65" s="46" t="s">
        <v>146</v>
      </c>
      <c r="H65" s="151">
        <v>11.1</v>
      </c>
      <c r="I65" s="312"/>
      <c r="J65" s="312"/>
      <c r="K65" s="312"/>
      <c r="L65" s="312"/>
      <c r="M65" s="312"/>
      <c r="N65" s="25"/>
      <c r="O65" s="25"/>
    </row>
    <row r="66" spans="2:15" x14ac:dyDescent="0.2">
      <c r="B66" s="38"/>
      <c r="C66" s="38"/>
      <c r="D66" s="38"/>
      <c r="E66" s="1547" t="str">
        <f>Translations!$B$956</f>
        <v>Ftalskābes anhidrīda ražošana</v>
      </c>
      <c r="F66" s="1547"/>
      <c r="G66" s="46" t="s">
        <v>146</v>
      </c>
      <c r="H66" s="151">
        <v>14.4</v>
      </c>
      <c r="I66" s="312"/>
      <c r="J66" s="312"/>
      <c r="K66" s="312"/>
      <c r="L66" s="312"/>
      <c r="M66" s="312"/>
      <c r="N66" s="25"/>
      <c r="O66" s="25"/>
    </row>
    <row r="67" spans="2:15" x14ac:dyDescent="0.2">
      <c r="B67" s="38"/>
      <c r="C67" s="38"/>
      <c r="D67" s="38"/>
      <c r="E67" s="1547" t="str">
        <f>Translations!$B$957</f>
        <v>Maleīnskābes anhidrīda ražošana</v>
      </c>
      <c r="F67" s="1547"/>
      <c r="G67" s="46" t="s">
        <v>146</v>
      </c>
      <c r="H67" s="151">
        <v>20.8</v>
      </c>
      <c r="I67" s="312"/>
      <c r="J67" s="312"/>
      <c r="K67" s="312"/>
      <c r="L67" s="312"/>
      <c r="M67" s="312"/>
      <c r="N67" s="25"/>
      <c r="O67" s="25"/>
    </row>
    <row r="68" spans="2:15" x14ac:dyDescent="0.2">
      <c r="B68" s="38"/>
      <c r="C68" s="38"/>
      <c r="D68" s="38"/>
      <c r="E68" s="1547" t="str">
        <f>Translations!$B$958</f>
        <v>Etilbenzola ražošana</v>
      </c>
      <c r="F68" s="1547"/>
      <c r="G68" s="46" t="s">
        <v>146</v>
      </c>
      <c r="H68" s="151">
        <v>1.55</v>
      </c>
      <c r="I68" s="312"/>
      <c r="J68" s="312"/>
      <c r="K68" s="312"/>
      <c r="L68" s="312"/>
      <c r="M68" s="312"/>
      <c r="N68" s="25"/>
      <c r="O68" s="25"/>
    </row>
    <row r="69" spans="2:15" x14ac:dyDescent="0.2">
      <c r="B69" s="38"/>
      <c r="C69" s="38"/>
      <c r="D69" s="38"/>
      <c r="E69" s="1547" t="str">
        <f>Translations!$B$959</f>
        <v>Kumola ražošana</v>
      </c>
      <c r="F69" s="1547"/>
      <c r="G69" s="46" t="s">
        <v>146</v>
      </c>
      <c r="H69" s="151">
        <v>5</v>
      </c>
      <c r="I69" s="312"/>
      <c r="J69" s="312"/>
      <c r="K69" s="312"/>
      <c r="L69" s="312"/>
      <c r="M69" s="312"/>
      <c r="N69" s="25"/>
      <c r="O69" s="25"/>
    </row>
    <row r="70" spans="2:15" x14ac:dyDescent="0.2">
      <c r="B70" s="38"/>
      <c r="C70" s="38"/>
      <c r="D70" s="38"/>
      <c r="E70" s="1547" t="str">
        <f>Translations!$B$960</f>
        <v>Fenola ražošana</v>
      </c>
      <c r="F70" s="1547"/>
      <c r="G70" s="46" t="s">
        <v>146</v>
      </c>
      <c r="H70" s="151">
        <v>1.1499999999999999</v>
      </c>
      <c r="I70" s="312"/>
      <c r="J70" s="312"/>
      <c r="K70" s="312"/>
      <c r="L70" s="312"/>
      <c r="M70" s="312"/>
      <c r="N70" s="25"/>
      <c r="O70" s="25"/>
    </row>
    <row r="71" spans="2:15" x14ac:dyDescent="0.2">
      <c r="B71" s="38"/>
      <c r="C71" s="38"/>
      <c r="D71" s="38"/>
      <c r="E71" s="1547" t="str">
        <f>Translations!$B$961</f>
        <v>Ziežvielu ekstrakcija ar šķīdinātājiem</v>
      </c>
      <c r="F71" s="1547"/>
      <c r="G71" s="46" t="s">
        <v>90</v>
      </c>
      <c r="H71" s="151">
        <v>2.1</v>
      </c>
      <c r="I71" s="312"/>
      <c r="J71" s="312"/>
      <c r="K71" s="312"/>
      <c r="L71" s="312"/>
      <c r="M71" s="312"/>
      <c r="N71" s="25"/>
      <c r="O71" s="25"/>
    </row>
    <row r="72" spans="2:15" x14ac:dyDescent="0.2">
      <c r="B72" s="38"/>
      <c r="C72" s="38"/>
      <c r="D72" s="38"/>
      <c r="E72" s="1547" t="str">
        <f>Translations!$B$962</f>
        <v>Ziežvielu atvaskošana ar šķīdinātājiem</v>
      </c>
      <c r="F72" s="1547"/>
      <c r="G72" s="46" t="s">
        <v>90</v>
      </c>
      <c r="H72" s="151">
        <v>4.55</v>
      </c>
      <c r="I72" s="312"/>
      <c r="J72" s="312"/>
      <c r="K72" s="312"/>
      <c r="L72" s="312"/>
      <c r="M72" s="312"/>
      <c r="N72" s="25"/>
      <c r="O72" s="25"/>
    </row>
    <row r="73" spans="2:15" x14ac:dyDescent="0.2">
      <c r="B73" s="38"/>
      <c r="C73" s="38"/>
      <c r="D73" s="38"/>
      <c r="E73" s="1547" t="str">
        <f>Translations!$B$963</f>
        <v>Katalītiskā vaska izomerizācija</v>
      </c>
      <c r="F73" s="1547"/>
      <c r="G73" s="46" t="s">
        <v>90</v>
      </c>
      <c r="H73" s="151">
        <v>1.6</v>
      </c>
      <c r="I73" s="312"/>
      <c r="J73" s="312"/>
      <c r="K73" s="312"/>
      <c r="L73" s="312"/>
      <c r="M73" s="312"/>
      <c r="N73" s="25"/>
      <c r="O73" s="25"/>
    </row>
    <row r="74" spans="2:15" x14ac:dyDescent="0.2">
      <c r="B74" s="38"/>
      <c r="C74" s="38"/>
      <c r="D74" s="38"/>
      <c r="E74" s="1547" t="str">
        <f>Translations!$B$964</f>
        <v xml:space="preserve">Ziežvielu hidrokrekings </v>
      </c>
      <c r="F74" s="1547"/>
      <c r="G74" s="46" t="s">
        <v>90</v>
      </c>
      <c r="H74" s="151">
        <v>2.5</v>
      </c>
      <c r="I74" s="312"/>
      <c r="J74" s="312"/>
      <c r="K74" s="312"/>
      <c r="L74" s="312"/>
      <c r="M74" s="312"/>
      <c r="N74" s="25"/>
      <c r="O74" s="25"/>
    </row>
    <row r="75" spans="2:15" x14ac:dyDescent="0.2">
      <c r="B75" s="38"/>
      <c r="C75" s="38"/>
      <c r="D75" s="38"/>
      <c r="E75" s="1547" t="str">
        <f>Translations!$B$965</f>
        <v xml:space="preserve">Vaska ateļļošana </v>
      </c>
      <c r="F75" s="1547"/>
      <c r="G75" s="46" t="s">
        <v>146</v>
      </c>
      <c r="H75" s="151">
        <v>12</v>
      </c>
      <c r="I75" s="312"/>
      <c r="J75" s="312"/>
      <c r="K75" s="312"/>
      <c r="L75" s="312"/>
      <c r="M75" s="312"/>
      <c r="N75" s="25"/>
      <c r="O75" s="25"/>
    </row>
    <row r="76" spans="2:15" x14ac:dyDescent="0.2">
      <c r="B76" s="38"/>
      <c r="C76" s="38"/>
      <c r="D76" s="38"/>
      <c r="E76" s="1547" t="str">
        <f>Translations!$B$966</f>
        <v xml:space="preserve">Ziežvielu/vaska hidroattīrīšana </v>
      </c>
      <c r="F76" s="1547"/>
      <c r="G76" s="46" t="s">
        <v>90</v>
      </c>
      <c r="H76" s="151">
        <v>1.1499999999999999</v>
      </c>
      <c r="I76" s="312"/>
      <c r="J76" s="312"/>
      <c r="K76" s="312"/>
      <c r="L76" s="312"/>
      <c r="M76" s="312"/>
      <c r="N76" s="25"/>
      <c r="O76" s="25"/>
    </row>
    <row r="77" spans="2:15" x14ac:dyDescent="0.2">
      <c r="B77" s="38"/>
      <c r="C77" s="38"/>
      <c r="D77" s="38"/>
      <c r="E77" s="1547" t="str">
        <f>Translations!$B$967</f>
        <v>Šķīdinātāju hidroattīrīšana</v>
      </c>
      <c r="F77" s="1547"/>
      <c r="G77" s="46" t="s">
        <v>90</v>
      </c>
      <c r="H77" s="151">
        <v>1.25</v>
      </c>
      <c r="I77" s="312"/>
      <c r="J77" s="312"/>
      <c r="K77" s="312"/>
      <c r="L77" s="312"/>
      <c r="M77" s="312"/>
      <c r="N77" s="25"/>
      <c r="O77" s="25"/>
    </row>
    <row r="78" spans="2:15" x14ac:dyDescent="0.2">
      <c r="B78" s="38"/>
      <c r="C78" s="38"/>
      <c r="D78" s="38"/>
      <c r="E78" s="1547" t="str">
        <f>Translations!$B$968</f>
        <v>Šķīdinātāju frakcionēšana</v>
      </c>
      <c r="F78" s="1547"/>
      <c r="G78" s="46" t="s">
        <v>90</v>
      </c>
      <c r="H78" s="151">
        <v>0.9</v>
      </c>
      <c r="I78" s="312"/>
      <c r="J78" s="312"/>
      <c r="K78" s="312"/>
      <c r="L78" s="312"/>
      <c r="M78" s="312"/>
      <c r="N78" s="25"/>
      <c r="O78" s="25"/>
    </row>
    <row r="79" spans="2:15" x14ac:dyDescent="0.2">
      <c r="B79" s="38"/>
      <c r="C79" s="38"/>
      <c r="D79" s="38"/>
      <c r="E79" s="1547" t="str">
        <f>Translations!$B$969</f>
        <v>Molekulārais siets C10+ parafīniem</v>
      </c>
      <c r="F79" s="1547"/>
      <c r="G79" s="46" t="s">
        <v>146</v>
      </c>
      <c r="H79" s="151">
        <v>1.85</v>
      </c>
      <c r="I79" s="312"/>
      <c r="J79" s="312"/>
      <c r="K79" s="312"/>
      <c r="L79" s="312"/>
      <c r="M79" s="312"/>
      <c r="N79" s="25"/>
      <c r="O79" s="25"/>
    </row>
    <row r="80" spans="2:15" ht="25.5" customHeight="1" x14ac:dyDescent="0.2">
      <c r="B80" s="38"/>
      <c r="C80" s="38"/>
      <c r="D80" s="38"/>
      <c r="E80" s="1547" t="str">
        <f>Translations!$B$970</f>
        <v>Atlikušo ievadmateriālu daļēja oksidācija (POX) kurināmā ieguvei</v>
      </c>
      <c r="F80" s="1547"/>
      <c r="G80" s="46" t="s">
        <v>217</v>
      </c>
      <c r="H80" s="151">
        <v>8.1999999999999993</v>
      </c>
      <c r="I80" s="312"/>
      <c r="J80" s="312"/>
      <c r="K80" s="312"/>
      <c r="L80" s="312"/>
      <c r="M80" s="312"/>
      <c r="N80" s="25"/>
      <c r="O80" s="25"/>
    </row>
    <row r="81" spans="2:16" ht="39.950000000000003" customHeight="1" x14ac:dyDescent="0.2">
      <c r="B81" s="38"/>
      <c r="C81" s="38"/>
      <c r="D81" s="38"/>
      <c r="E81" s="1547" t="str">
        <f>Translations!$B$971</f>
        <v>Atlikušo ievadmateriālu daļēja oksidācija (POX) ūdeņraža vai metanola ieguvei</v>
      </c>
      <c r="F81" s="1547"/>
      <c r="G81" s="46" t="s">
        <v>217</v>
      </c>
      <c r="H81" s="151">
        <v>44</v>
      </c>
      <c r="I81" s="312"/>
      <c r="J81" s="312"/>
      <c r="K81" s="312"/>
      <c r="L81" s="312"/>
      <c r="M81" s="312"/>
      <c r="N81" s="25"/>
      <c r="O81" s="25"/>
    </row>
    <row r="82" spans="2:16" x14ac:dyDescent="0.2">
      <c r="B82" s="38"/>
      <c r="C82" s="38"/>
      <c r="D82" s="38"/>
      <c r="E82" s="1547" t="str">
        <f>Translations!$B$972</f>
        <v>Metanols no singāzes</v>
      </c>
      <c r="F82" s="1547"/>
      <c r="G82" s="46" t="s">
        <v>146</v>
      </c>
      <c r="H82" s="151">
        <v>-36.200000000000003</v>
      </c>
      <c r="I82" s="312"/>
      <c r="J82" s="312"/>
      <c r="K82" s="312"/>
      <c r="L82" s="312"/>
      <c r="M82" s="312"/>
      <c r="N82" s="25"/>
      <c r="O82" s="25"/>
    </row>
    <row r="83" spans="2:16" x14ac:dyDescent="0.2">
      <c r="B83" s="38"/>
      <c r="C83" s="38"/>
      <c r="D83" s="38"/>
      <c r="E83" s="1547" t="str">
        <f>Translations!$B$973</f>
        <v>Gaisa separēšana</v>
      </c>
      <c r="F83" s="1547"/>
      <c r="G83" s="46" t="s">
        <v>218</v>
      </c>
      <c r="H83" s="151">
        <v>8.8000000000000007</v>
      </c>
      <c r="I83" s="312"/>
      <c r="J83" s="312"/>
      <c r="K83" s="312"/>
      <c r="L83" s="312"/>
      <c r="M83" s="312"/>
      <c r="N83" s="25"/>
      <c r="O83" s="25"/>
    </row>
    <row r="84" spans="2:16" ht="25.5" customHeight="1" x14ac:dyDescent="0.2">
      <c r="B84" s="38"/>
      <c r="C84" s="38"/>
      <c r="D84" s="38"/>
      <c r="E84" s="1547" t="str">
        <f>Translations!$B$974</f>
        <v>Iegādātā dabasgāzes kondensāta frakcionēšana</v>
      </c>
      <c r="F84" s="1547"/>
      <c r="G84" s="46" t="s">
        <v>90</v>
      </c>
      <c r="H84" s="151">
        <v>1</v>
      </c>
      <c r="I84" s="312"/>
      <c r="J84" s="312"/>
      <c r="K84" s="312"/>
      <c r="L84" s="312"/>
      <c r="M84" s="312"/>
      <c r="N84" s="25"/>
      <c r="O84" s="25"/>
    </row>
    <row r="85" spans="2:16" x14ac:dyDescent="0.2">
      <c r="B85" s="38"/>
      <c r="C85" s="38"/>
      <c r="D85" s="38"/>
      <c r="E85" s="1547" t="str">
        <f>Translations!$B$975</f>
        <v>Dūmgāzu attīrīšana</v>
      </c>
      <c r="F85" s="1547"/>
      <c r="G85" s="46" t="s">
        <v>219</v>
      </c>
      <c r="H85" s="151">
        <v>0.1</v>
      </c>
      <c r="I85" s="312"/>
      <c r="J85" s="312"/>
      <c r="K85" s="312"/>
      <c r="L85" s="312"/>
      <c r="M85" s="312"/>
      <c r="N85" s="25"/>
      <c r="O85" s="25"/>
    </row>
    <row r="86" spans="2:16" ht="25.5" customHeight="1" x14ac:dyDescent="0.2">
      <c r="B86" s="38"/>
      <c r="C86" s="38"/>
      <c r="D86" s="38"/>
      <c r="E86" s="1547" t="str">
        <f>Translations!$B$976</f>
        <v>Gāzveida kurināmā apstrāde un kompresija tirdzniecībai</v>
      </c>
      <c r="F86" s="1547"/>
      <c r="G86" s="46" t="s">
        <v>220</v>
      </c>
      <c r="H86" s="151">
        <v>0.15</v>
      </c>
      <c r="I86" s="312"/>
      <c r="J86" s="312"/>
      <c r="K86" s="312"/>
      <c r="L86" s="312"/>
      <c r="M86" s="312"/>
      <c r="N86" s="25"/>
      <c r="O86" s="25"/>
    </row>
    <row r="87" spans="2:16" x14ac:dyDescent="0.2">
      <c r="B87" s="38"/>
      <c r="C87" s="38"/>
      <c r="D87" s="38"/>
      <c r="E87" s="1550" t="str">
        <f>Translations!$B$977</f>
        <v>Jūras ūdens atsāļošana</v>
      </c>
      <c r="F87" s="1550"/>
      <c r="G87" s="48" t="s">
        <v>146</v>
      </c>
      <c r="H87" s="152">
        <v>1.1499999999999999</v>
      </c>
      <c r="I87" s="311"/>
      <c r="J87" s="311"/>
      <c r="K87" s="311"/>
      <c r="L87" s="311"/>
      <c r="M87" s="311"/>
      <c r="N87" s="25"/>
      <c r="O87" s="25"/>
    </row>
    <row r="88" spans="2:16" ht="5.0999999999999996" customHeight="1" x14ac:dyDescent="0.2">
      <c r="B88" s="21"/>
      <c r="C88" s="21"/>
      <c r="D88" s="21"/>
      <c r="E88" s="21"/>
      <c r="F88" s="21"/>
      <c r="G88" s="21"/>
      <c r="H88" s="21"/>
      <c r="I88" s="21"/>
      <c r="J88" s="21"/>
      <c r="K88" s="21"/>
      <c r="L88" s="21"/>
      <c r="M88" s="25"/>
      <c r="N88" s="25"/>
      <c r="O88" s="25"/>
      <c r="P88" s="26"/>
    </row>
    <row r="89" spans="2:16" x14ac:dyDescent="0.2">
      <c r="B89" s="21"/>
      <c r="C89" s="21"/>
      <c r="D89" s="32" t="s">
        <v>11</v>
      </c>
      <c r="E89" s="1250" t="str">
        <f>Translations!$B$978</f>
        <v>Rezultāts: rafinētavas līmeņatzīmes darbības līmeņi, izteikti CWT</v>
      </c>
      <c r="F89" s="1251"/>
      <c r="G89" s="1251"/>
      <c r="H89" s="1251"/>
      <c r="I89" s="1251"/>
      <c r="J89" s="1251"/>
      <c r="K89" s="1251"/>
      <c r="L89" s="1251"/>
      <c r="M89" s="1251"/>
      <c r="N89" s="1251"/>
      <c r="O89" s="25"/>
      <c r="P89" s="26"/>
    </row>
    <row r="90" spans="2:16" x14ac:dyDescent="0.2">
      <c r="B90" s="21"/>
      <c r="C90" s="21"/>
      <c r="D90" s="34"/>
      <c r="E90" s="1319" t="str">
        <f>Translations!$B$1684</f>
        <v>Šeit tiek aprēķināts rafinētavas darbības līmenis, izmantojot formulu, kas dota FAR III pielikuma 1. punktā (pirms mediānas noteikšanas).</v>
      </c>
      <c r="F90" s="1251"/>
      <c r="G90" s="1251"/>
      <c r="H90" s="1251"/>
      <c r="I90" s="1251"/>
      <c r="J90" s="1251"/>
      <c r="K90" s="1251"/>
      <c r="L90" s="1251"/>
      <c r="M90" s="1251"/>
      <c r="N90" s="1251"/>
      <c r="O90" s="25"/>
      <c r="P90" s="26"/>
    </row>
    <row r="91" spans="2:16" x14ac:dyDescent="0.2">
      <c r="B91" s="21"/>
      <c r="C91" s="21"/>
      <c r="D91" s="34"/>
      <c r="E91" s="1343" t="str">
        <f>Translations!$B$980</f>
        <v>Svarīga piezīme. Šos datus paziņo, izteiktus kilotonnās, bet līmeņatzīmi izsaka t CO2/CWT, kur CWT ir izteikta tonnās.</v>
      </c>
      <c r="F91" s="1251"/>
      <c r="G91" s="1251"/>
      <c r="H91" s="1251"/>
      <c r="I91" s="1251"/>
      <c r="J91" s="1251"/>
      <c r="K91" s="1251"/>
      <c r="L91" s="1251"/>
      <c r="M91" s="1251"/>
      <c r="N91" s="1251"/>
      <c r="O91" s="25"/>
      <c r="P91" s="26"/>
    </row>
    <row r="92" spans="2:16" x14ac:dyDescent="0.2">
      <c r="B92" s="21"/>
      <c r="C92" s="21"/>
      <c r="D92" s="34"/>
      <c r="E92" s="1343" t="str">
        <f>Translations!$B$981</f>
        <v>Tāpēc zemāk redzamais rezultāts ir reizināts ar koeficientu 1000, kas nav skaidri minēts FAR III pielikuma 1. punktā.</v>
      </c>
      <c r="F92" s="1251"/>
      <c r="G92" s="1251"/>
      <c r="H92" s="1251"/>
      <c r="I92" s="1251"/>
      <c r="J92" s="1251"/>
      <c r="K92" s="1251"/>
      <c r="L92" s="1251"/>
      <c r="M92" s="1251"/>
      <c r="N92" s="1251"/>
      <c r="O92" s="25"/>
      <c r="P92" s="26"/>
    </row>
    <row r="93" spans="2:16" x14ac:dyDescent="0.2">
      <c r="B93" s="21"/>
      <c r="C93" s="21"/>
      <c r="D93" s="34"/>
      <c r="E93" s="1319" t="str">
        <f>Translations!$B$1685</f>
        <v>Šā rīka rezultāts tiek izmantots lapas “F_ProductBM” rindā a) punkta ii. apakšpunktā par attiecīgo apakšiekārtu, un no tā aprēķina mediānu.</v>
      </c>
      <c r="F93" s="1251"/>
      <c r="G93" s="1251"/>
      <c r="H93" s="1251"/>
      <c r="I93" s="1251"/>
      <c r="J93" s="1251"/>
      <c r="K93" s="1251"/>
      <c r="L93" s="1251"/>
      <c r="M93" s="1251"/>
      <c r="N93" s="1251"/>
      <c r="O93" s="25"/>
      <c r="P93" s="26"/>
    </row>
    <row r="94" spans="2:16" x14ac:dyDescent="0.2">
      <c r="B94" s="38"/>
      <c r="C94" s="38"/>
      <c r="D94" s="32"/>
      <c r="E94" s="40"/>
      <c r="F94" s="40"/>
      <c r="G94" s="40"/>
      <c r="H94" s="52" t="str">
        <f>EUconst_Unit</f>
        <v>Vienība</v>
      </c>
      <c r="I94" s="447">
        <f>I$408</f>
        <v>2019</v>
      </c>
      <c r="J94" s="447">
        <f>J$408</f>
        <v>2020</v>
      </c>
      <c r="K94" s="447">
        <f>K$408</f>
        <v>2021</v>
      </c>
      <c r="L94" s="447">
        <f>L$408</f>
        <v>2022</v>
      </c>
      <c r="M94" s="447">
        <f>M$408</f>
        <v>2023</v>
      </c>
      <c r="N94" s="25"/>
      <c r="O94" s="25"/>
    </row>
    <row r="95" spans="2:16" x14ac:dyDescent="0.2">
      <c r="B95" s="38"/>
      <c r="C95" s="38"/>
      <c r="D95" s="38"/>
      <c r="E95" s="1516" t="str">
        <f>Translations!$B$983</f>
        <v>Rafinētavas darbības līmenis</v>
      </c>
      <c r="F95" s="1516"/>
      <c r="G95" s="1516"/>
      <c r="H95" s="156" t="str">
        <f>EUconst_CWTpa</f>
        <v>CWT / gads</v>
      </c>
      <c r="I95" s="336" t="str">
        <f>IF(COUNT(I32:I87)&gt;0,1000*(1.0183*SUMPRODUCT($H$32:$H$87,I32:I87)+298+0.315*I32),"")</f>
        <v/>
      </c>
      <c r="J95" s="336" t="str">
        <f>IF(COUNT(J32:J87)&gt;0,1000*(1.0183*SUMPRODUCT($H$32:$H$87,J32:J87)+298+0.315*J32),"")</f>
        <v/>
      </c>
      <c r="K95" s="336" t="str">
        <f>IF(COUNT(K32:K87)&gt;0,1000*(1.0183*SUMPRODUCT($H$32:$H$87,K32:K87)+298+0.315*K32),"")</f>
        <v/>
      </c>
      <c r="L95" s="336" t="str">
        <f>IF(COUNT(L32:L87)&gt;0,1000*(1.0183*SUMPRODUCT($H$32:$H$87,L32:L87)+298+0.315*L32),"")</f>
        <v/>
      </c>
      <c r="M95" s="336" t="str">
        <f>IF(COUNT(M32:M87)&gt;0,1000*(1.0183*SUMPRODUCT($H$32:$H$87,M32:M87)+298+0.315*M32),"")</f>
        <v/>
      </c>
      <c r="N95" s="25"/>
      <c r="O95" s="25"/>
      <c r="P95" s="134" t="str">
        <f>IF(L17=EUconst_Relevant,EUconst_CNTR_HALspecial &amp; INDEX(EUconst_BMlistNames,MATCH(Q17,EUconst_BMlistMainNumberOfBM,0)),"")</f>
        <v/>
      </c>
    </row>
    <row r="96" spans="2:16" ht="5.0999999999999996" customHeight="1" x14ac:dyDescent="0.2">
      <c r="B96" s="21"/>
      <c r="C96" s="21"/>
      <c r="D96" s="21"/>
      <c r="E96" s="21"/>
      <c r="F96" s="21"/>
      <c r="G96" s="21"/>
      <c r="H96" s="21"/>
      <c r="I96" s="21"/>
      <c r="J96" s="21"/>
      <c r="K96" s="21"/>
      <c r="L96" s="21"/>
      <c r="M96" s="25"/>
      <c r="N96" s="25"/>
      <c r="O96" s="25"/>
      <c r="P96" s="26"/>
    </row>
    <row r="97" spans="2:20" x14ac:dyDescent="0.2">
      <c r="B97" s="21"/>
      <c r="C97" s="21"/>
      <c r="D97" s="21"/>
      <c r="E97" s="1846" t="str">
        <f>IF(L17=EUconst_Relevant,HYPERLINK(Q97,EUconst_MsgBackToSheetF),"")</f>
        <v/>
      </c>
      <c r="F97" s="1847"/>
      <c r="G97" s="1847"/>
      <c r="H97" s="1847"/>
      <c r="I97" s="1847"/>
      <c r="J97" s="1847"/>
      <c r="K97" s="1847"/>
      <c r="L97" s="1847"/>
      <c r="M97" s="1847"/>
      <c r="N97" s="1848"/>
      <c r="O97" s="25"/>
      <c r="P97" s="386" t="s">
        <v>32</v>
      </c>
      <c r="Q97" s="134" t="str">
        <f>Q19</f>
        <v/>
      </c>
    </row>
    <row r="98" spans="2:20" x14ac:dyDescent="0.2">
      <c r="B98" s="38"/>
      <c r="C98" s="38"/>
      <c r="D98" s="38"/>
      <c r="E98" s="38"/>
      <c r="F98" s="38"/>
      <c r="G98" s="38"/>
      <c r="H98" s="38"/>
      <c r="I98" s="38"/>
      <c r="J98" s="38"/>
      <c r="K98" s="38"/>
      <c r="L98" s="38"/>
      <c r="M98" s="38"/>
      <c r="N98" s="38"/>
      <c r="O98" s="25"/>
    </row>
    <row r="99" spans="2:20" ht="15.75" x14ac:dyDescent="0.25">
      <c r="B99" s="21"/>
      <c r="C99" s="30" t="s">
        <v>338</v>
      </c>
      <c r="D99" s="1249" t="str">
        <f>Translations!$B$984</f>
        <v>Kaļķi</v>
      </c>
      <c r="E99" s="1249"/>
      <c r="F99" s="1249"/>
      <c r="G99" s="1249"/>
      <c r="H99" s="1249"/>
      <c r="I99" s="1249"/>
      <c r="J99" s="1249"/>
      <c r="K99" s="1249"/>
      <c r="L99" s="1249"/>
      <c r="M99" s="1249"/>
      <c r="N99" s="1249"/>
      <c r="O99" s="25"/>
      <c r="P99" s="26"/>
    </row>
    <row r="100" spans="2:20" ht="5.0999999999999996" customHeight="1" x14ac:dyDescent="0.2">
      <c r="B100" s="21"/>
      <c r="C100" s="21"/>
      <c r="D100" s="21"/>
      <c r="E100" s="21"/>
      <c r="F100" s="21"/>
      <c r="G100" s="21"/>
      <c r="H100" s="21"/>
      <c r="I100" s="21"/>
      <c r="J100" s="21"/>
      <c r="K100" s="21"/>
      <c r="L100" s="21"/>
      <c r="M100" s="25"/>
      <c r="N100" s="25"/>
      <c r="O100" s="25"/>
      <c r="P100" s="26"/>
    </row>
    <row r="101" spans="2:20" ht="15" x14ac:dyDescent="0.25">
      <c r="B101" s="21"/>
      <c r="C101" s="36"/>
      <c r="D101" s="1318" t="str">
        <f>Translations!$B$985</f>
        <v>Rīks kaļķu apakšiekārtu vēsturisko darbības līmeņu aprēķināšanai</v>
      </c>
      <c r="E101" s="1251"/>
      <c r="F101" s="1251"/>
      <c r="G101" s="1251"/>
      <c r="H101" s="1251"/>
      <c r="I101" s="1251"/>
      <c r="J101" s="1251"/>
      <c r="K101" s="1251"/>
      <c r="L101" s="1251"/>
      <c r="M101" s="1251"/>
      <c r="N101" s="1251"/>
      <c r="O101" s="25"/>
      <c r="P101" s="26"/>
    </row>
    <row r="102" spans="2:20" ht="5.0999999999999996" customHeight="1" x14ac:dyDescent="0.2">
      <c r="B102" s="21"/>
      <c r="C102" s="21"/>
      <c r="D102" s="21"/>
      <c r="E102" s="21"/>
      <c r="F102" s="21"/>
      <c r="G102" s="21"/>
      <c r="H102" s="21"/>
      <c r="I102" s="21"/>
      <c r="J102" s="21"/>
      <c r="K102" s="21"/>
      <c r="L102" s="21"/>
      <c r="M102" s="25"/>
      <c r="N102" s="25"/>
      <c r="O102" s="25"/>
      <c r="P102" s="26"/>
    </row>
    <row r="103" spans="2:20" x14ac:dyDescent="0.2">
      <c r="B103" s="21"/>
      <c r="C103" s="21"/>
      <c r="D103" s="34"/>
      <c r="E103" s="1319" t="str">
        <f>Translations!$B$986</f>
        <v>Šis rīks palīdz noteikt HAL (vēsturiskos darbības līmeņus) kaļķu līmeņatzīmei (FAR III pielikuma 2. punkts).</v>
      </c>
      <c r="F103" s="1251"/>
      <c r="G103" s="1251"/>
      <c r="H103" s="1251"/>
      <c r="I103" s="1251"/>
      <c r="J103" s="1251"/>
      <c r="K103" s="1251"/>
      <c r="L103" s="1251"/>
      <c r="M103" s="1251"/>
      <c r="N103" s="1251"/>
      <c r="O103" s="25"/>
      <c r="P103" s="26"/>
    </row>
    <row r="104" spans="2:20" x14ac:dyDescent="0.2">
      <c r="B104" s="21"/>
      <c r="C104" s="21"/>
      <c r="D104" s="34"/>
      <c r="E104" s="1319" t="str">
        <f>Translations!$B$907</f>
        <v>Ar šo rīku iegūtais rezultāts tiek automātiski iekopēts lapas “F_ProductBM” rindā a) punkta ii. apakšpunktā par attiecīgo apakšiekārtu.</v>
      </c>
      <c r="F104" s="1251"/>
      <c r="G104" s="1251"/>
      <c r="H104" s="1251"/>
      <c r="I104" s="1251"/>
      <c r="J104" s="1251"/>
      <c r="K104" s="1251"/>
      <c r="L104" s="1251"/>
      <c r="M104" s="1251"/>
      <c r="N104" s="1251"/>
      <c r="O104" s="25"/>
      <c r="P104" s="26"/>
    </row>
    <row r="105" spans="2:20" ht="5.0999999999999996" customHeight="1" x14ac:dyDescent="0.2">
      <c r="B105" s="21"/>
      <c r="C105" s="21"/>
      <c r="D105" s="21"/>
      <c r="E105" s="21"/>
      <c r="F105" s="21"/>
      <c r="G105" s="21"/>
      <c r="H105" s="21"/>
      <c r="I105" s="21"/>
      <c r="J105" s="21"/>
      <c r="K105" s="21"/>
      <c r="L105" s="21"/>
      <c r="M105" s="25"/>
      <c r="N105" s="25"/>
      <c r="O105" s="25"/>
      <c r="P105" s="26"/>
    </row>
    <row r="106" spans="2:20" ht="15" x14ac:dyDescent="0.25">
      <c r="B106" s="21"/>
      <c r="C106" s="21"/>
      <c r="D106" s="32" t="s">
        <v>165</v>
      </c>
      <c r="E106" s="1250" t="str">
        <f>Translations!$B$908</f>
        <v>Šā rīka relevantums jūsu iekārtai:</v>
      </c>
      <c r="F106" s="1250"/>
      <c r="G106" s="1250"/>
      <c r="H106" s="1250"/>
      <c r="I106" s="1250"/>
      <c r="J106" s="1250"/>
      <c r="K106" s="1524"/>
      <c r="L106" s="1849" t="str">
        <f>IF(CNTR_ExistSubInstEntries,IF(COUNTIF(CNTR_SubInstListNames,INDEX(EUconst_BMlistNames,MATCH(Q106,EUconst_BMlistMainNumberOfBM,0)))&gt;0,EUconst_Relevant,EUconst_NotRelevant),"")</f>
        <v/>
      </c>
      <c r="M106" s="1850"/>
      <c r="N106" s="1851"/>
      <c r="O106" s="25"/>
      <c r="P106" s="386" t="s">
        <v>33</v>
      </c>
      <c r="Q106" s="366">
        <v>12</v>
      </c>
    </row>
    <row r="107" spans="2:20" x14ac:dyDescent="0.2">
      <c r="B107" s="21"/>
      <c r="C107" s="21"/>
      <c r="D107" s="34"/>
      <c r="E107" s="1274" t="str">
        <f>Translations!$B$909</f>
        <v>Šis ziņojums tiek automātiski ģenerēts, balstoties uz datiem, ko ievadījāt lapas “A_InstallationData” III sadaļas 1. punktā.</v>
      </c>
      <c r="F107" s="1275"/>
      <c r="G107" s="1275"/>
      <c r="H107" s="1275"/>
      <c r="I107" s="1275"/>
      <c r="J107" s="1275"/>
      <c r="K107" s="1275"/>
      <c r="L107" s="1275"/>
      <c r="M107" s="1275"/>
      <c r="N107" s="1275"/>
      <c r="O107" s="25"/>
      <c r="P107" s="26"/>
    </row>
    <row r="108" spans="2:20" x14ac:dyDescent="0.2">
      <c r="B108" s="21"/>
      <c r="C108" s="21"/>
      <c r="D108" s="21"/>
      <c r="E108" s="1846" t="str">
        <f>IF(L106=EUconst_Relevant,HYPERLINK(Q108,EUconst_MsgBackToSheetF),"")</f>
        <v/>
      </c>
      <c r="F108" s="1847"/>
      <c r="G108" s="1847"/>
      <c r="H108" s="1847"/>
      <c r="I108" s="1847"/>
      <c r="J108" s="1847"/>
      <c r="K108" s="1847"/>
      <c r="L108" s="1847"/>
      <c r="M108" s="1847"/>
      <c r="N108" s="1848"/>
      <c r="O108" s="25"/>
      <c r="P108" s="386" t="s">
        <v>32</v>
      </c>
      <c r="Q108" s="134" t="str">
        <f>IF(ISNUMBER(MATCH(Q106,CNTR_SubInstListBMnumbers,0)),"#JUMP_F"&amp;MATCH(Q106,CNTR_SubInstListBMnumbers,0),"")</f>
        <v/>
      </c>
    </row>
    <row r="109" spans="2:20" ht="5.0999999999999996" customHeight="1" x14ac:dyDescent="0.2">
      <c r="B109" s="21"/>
      <c r="C109" s="21"/>
      <c r="D109" s="21"/>
      <c r="E109" s="21"/>
      <c r="F109" s="21"/>
      <c r="G109" s="21"/>
      <c r="H109" s="21"/>
      <c r="I109" s="21"/>
      <c r="J109" s="21"/>
      <c r="K109" s="21"/>
      <c r="L109" s="21"/>
      <c r="M109" s="25"/>
      <c r="N109" s="25"/>
      <c r="O109" s="25"/>
      <c r="P109" s="26"/>
    </row>
    <row r="110" spans="2:20" x14ac:dyDescent="0.2">
      <c r="B110" s="21"/>
      <c r="C110" s="21"/>
      <c r="D110" s="32" t="s">
        <v>339</v>
      </c>
      <c r="E110" s="1250" t="str">
        <f>Translations!$B$987</f>
        <v>Nekoriģēti dati par kaļķu ražošanu:</v>
      </c>
      <c r="F110" s="1251"/>
      <c r="G110" s="1251"/>
      <c r="H110" s="1251"/>
      <c r="I110" s="1251"/>
      <c r="J110" s="1251"/>
      <c r="K110" s="1251"/>
      <c r="L110" s="1251"/>
      <c r="M110" s="1251"/>
      <c r="N110" s="1251"/>
      <c r="O110" s="25"/>
      <c r="P110" s="26"/>
    </row>
    <row r="111" spans="2:20" x14ac:dyDescent="0.2">
      <c r="B111" s="21"/>
      <c r="C111" s="21"/>
      <c r="D111" s="34"/>
      <c r="E111" s="1319" t="str">
        <f>Translations!$B$988</f>
        <v>Šeit ievadiet ikgadējos ražošanas datus, kas izteikti kaļķu tonnās, bez datu korekcijas pēc sastāva:</v>
      </c>
      <c r="F111" s="1251"/>
      <c r="G111" s="1251"/>
      <c r="H111" s="1251"/>
      <c r="I111" s="1251"/>
      <c r="J111" s="1251"/>
      <c r="K111" s="1251"/>
      <c r="L111" s="1251"/>
      <c r="M111" s="1251"/>
      <c r="N111" s="1251"/>
      <c r="O111" s="25"/>
      <c r="P111" s="26"/>
    </row>
    <row r="112" spans="2:20" x14ac:dyDescent="0.2">
      <c r="B112" s="38"/>
      <c r="C112" s="38"/>
      <c r="D112" s="32"/>
      <c r="E112" s="43"/>
      <c r="F112" s="40"/>
      <c r="G112" s="40"/>
      <c r="H112" s="52" t="str">
        <f>EUconst_Unit</f>
        <v>Vienība</v>
      </c>
      <c r="I112" s="447">
        <f>I$408</f>
        <v>2019</v>
      </c>
      <c r="J112" s="447">
        <f>J$408</f>
        <v>2020</v>
      </c>
      <c r="K112" s="447">
        <f>K$408</f>
        <v>2021</v>
      </c>
      <c r="L112" s="447">
        <f>L$408</f>
        <v>2022</v>
      </c>
      <c r="M112" s="447">
        <f>M$408</f>
        <v>2023</v>
      </c>
      <c r="N112" s="25"/>
      <c r="O112" s="25"/>
      <c r="S112" s="386" t="s">
        <v>574</v>
      </c>
      <c r="T112" s="453" t="str">
        <f>IF(L106&lt;&gt;EUconst_Relevant,"",INDEX(CNTR_SubInstLess1Year,MATCH(Q106,CNTR_SubInstListBMnumbers,0)))</f>
        <v/>
      </c>
    </row>
    <row r="113" spans="2:16" x14ac:dyDescent="0.2">
      <c r="B113" s="38"/>
      <c r="C113" s="38"/>
      <c r="D113" s="38"/>
      <c r="E113" s="1517" t="str">
        <f>Translations!$B$989</f>
        <v>nekoriģēti dati par kaļķu ražošanu</v>
      </c>
      <c r="F113" s="1517"/>
      <c r="G113" s="1517"/>
      <c r="H113" s="66" t="str">
        <f>EUconst_tpa</f>
        <v>t / gads</v>
      </c>
      <c r="I113" s="310"/>
      <c r="J113" s="310"/>
      <c r="K113" s="310"/>
      <c r="L113" s="310"/>
      <c r="M113" s="310"/>
      <c r="N113" s="25"/>
      <c r="O113" s="25"/>
    </row>
    <row r="114" spans="2:16" ht="5.0999999999999996" customHeight="1" x14ac:dyDescent="0.2">
      <c r="B114" s="21"/>
      <c r="C114" s="21"/>
      <c r="D114" s="21"/>
      <c r="E114" s="21"/>
      <c r="F114" s="21"/>
      <c r="G114" s="21"/>
      <c r="H114" s="21"/>
      <c r="I114" s="21"/>
      <c r="J114" s="21"/>
      <c r="K114" s="21"/>
      <c r="L114" s="21"/>
      <c r="M114" s="25"/>
      <c r="N114" s="25"/>
      <c r="O114" s="25"/>
      <c r="P114" s="26"/>
    </row>
    <row r="115" spans="2:16" x14ac:dyDescent="0.2">
      <c r="B115" s="21"/>
      <c r="C115" s="21"/>
      <c r="D115" s="32" t="s">
        <v>11</v>
      </c>
      <c r="E115" s="1250" t="str">
        <f>Translations!$B$990</f>
        <v>Dati par sastāvu:</v>
      </c>
      <c r="F115" s="1251"/>
      <c r="G115" s="1251"/>
      <c r="H115" s="1251"/>
      <c r="I115" s="1251"/>
      <c r="J115" s="1251"/>
      <c r="K115" s="1251"/>
      <c r="L115" s="1251"/>
      <c r="M115" s="1251"/>
      <c r="N115" s="1251"/>
      <c r="O115" s="25"/>
      <c r="P115" s="26"/>
    </row>
    <row r="116" spans="2:16" x14ac:dyDescent="0.2">
      <c r="B116" s="21"/>
      <c r="C116" s="21"/>
      <c r="D116" s="34"/>
      <c r="E116" s="1319" t="str">
        <f>Translations!$B$991</f>
        <v>Saskaņā ar FAR III pielikuma 2. punktu ir vajadzīgi šādi dati:</v>
      </c>
      <c r="F116" s="1251"/>
      <c r="G116" s="1251"/>
      <c r="H116" s="1251"/>
      <c r="I116" s="1251"/>
      <c r="J116" s="1251"/>
      <c r="K116" s="1251"/>
      <c r="L116" s="1251"/>
      <c r="M116" s="1251"/>
      <c r="N116" s="1251"/>
      <c r="O116" s="25"/>
      <c r="P116" s="26"/>
    </row>
    <row r="117" spans="2:16" x14ac:dyDescent="0.2">
      <c r="B117" s="21"/>
      <c r="C117" s="21"/>
      <c r="D117" s="34"/>
      <c r="E117" s="35" t="s">
        <v>25</v>
      </c>
      <c r="F117" s="1319" t="str">
        <f>Translations!$B$992</f>
        <v>brīvā CaO saturs saražotajos kaļķos katrā bāzlīnijas perioda gadā, izteikts masas %</v>
      </c>
      <c r="G117" s="1251"/>
      <c r="H117" s="1251"/>
      <c r="I117" s="1251"/>
      <c r="J117" s="1251"/>
      <c r="K117" s="1251"/>
      <c r="L117" s="1251"/>
      <c r="M117" s="1251"/>
      <c r="N117" s="1251"/>
      <c r="O117" s="25"/>
      <c r="P117" s="26"/>
    </row>
    <row r="118" spans="2:16" x14ac:dyDescent="0.2">
      <c r="B118" s="21"/>
      <c r="C118" s="21"/>
      <c r="D118" s="34"/>
      <c r="E118" s="35" t="s">
        <v>26</v>
      </c>
      <c r="F118" s="1319" t="str">
        <f>Translations!$B$994</f>
        <v>brīvā MgO saturs saražotajos kaļķos katrā bāzlīnijas perioda gadā, izteikts masas %</v>
      </c>
      <c r="G118" s="1251"/>
      <c r="H118" s="1251"/>
      <c r="I118" s="1251"/>
      <c r="J118" s="1251"/>
      <c r="K118" s="1251"/>
      <c r="L118" s="1251"/>
      <c r="M118" s="1251"/>
      <c r="N118" s="1251"/>
      <c r="O118" s="25"/>
      <c r="P118" s="26"/>
    </row>
    <row r="119" spans="2:16" x14ac:dyDescent="0.2">
      <c r="B119" s="38"/>
      <c r="C119" s="38"/>
      <c r="D119" s="32"/>
      <c r="E119" s="43"/>
      <c r="F119" s="40"/>
      <c r="G119" s="40"/>
      <c r="H119" s="52" t="str">
        <f>EUconst_Unit</f>
        <v>Vienība</v>
      </c>
      <c r="I119" s="447">
        <f>I$408</f>
        <v>2019</v>
      </c>
      <c r="J119" s="447">
        <f>J$408</f>
        <v>2020</v>
      </c>
      <c r="K119" s="447">
        <f>K$408</f>
        <v>2021</v>
      </c>
      <c r="L119" s="447">
        <f>L$408</f>
        <v>2022</v>
      </c>
      <c r="M119" s="447">
        <f>M$408</f>
        <v>2023</v>
      </c>
      <c r="N119" s="25"/>
      <c r="O119" s="25"/>
    </row>
    <row r="120" spans="2:16" x14ac:dyDescent="0.2">
      <c r="B120" s="38"/>
      <c r="C120" s="38"/>
      <c r="D120" s="38"/>
      <c r="E120" s="1541" t="str">
        <f>Translations!$B$996</f>
        <v>CaO saturs</v>
      </c>
      <c r="F120" s="1541"/>
      <c r="G120" s="1541"/>
      <c r="H120" s="45" t="s">
        <v>393</v>
      </c>
      <c r="I120" s="348"/>
      <c r="J120" s="348"/>
      <c r="K120" s="348"/>
      <c r="L120" s="348"/>
      <c r="M120" s="348"/>
      <c r="N120" s="25"/>
      <c r="O120" s="25"/>
    </row>
    <row r="121" spans="2:16" x14ac:dyDescent="0.2">
      <c r="B121" s="38"/>
      <c r="C121" s="38"/>
      <c r="D121" s="38"/>
      <c r="E121" s="1550" t="str">
        <f>Translations!$B$997</f>
        <v>MgO saturs</v>
      </c>
      <c r="F121" s="1550"/>
      <c r="G121" s="1550"/>
      <c r="H121" s="48" t="s">
        <v>393</v>
      </c>
      <c r="I121" s="345"/>
      <c r="J121" s="345"/>
      <c r="K121" s="345"/>
      <c r="L121" s="345"/>
      <c r="M121" s="345"/>
      <c r="N121" s="25"/>
      <c r="O121" s="25"/>
    </row>
    <row r="122" spans="2:16" ht="5.0999999999999996" customHeight="1" x14ac:dyDescent="0.2">
      <c r="B122" s="21"/>
      <c r="C122" s="21"/>
      <c r="D122" s="21"/>
      <c r="E122" s="21"/>
      <c r="F122" s="21"/>
      <c r="G122" s="21"/>
      <c r="H122" s="21"/>
      <c r="I122" s="21"/>
      <c r="J122" s="21"/>
      <c r="K122" s="21"/>
      <c r="L122" s="21"/>
      <c r="M122" s="25"/>
      <c r="N122" s="25"/>
      <c r="O122" s="25"/>
      <c r="P122" s="26"/>
    </row>
    <row r="123" spans="2:16" x14ac:dyDescent="0.2">
      <c r="B123" s="21"/>
      <c r="C123" s="21"/>
      <c r="D123" s="32" t="s">
        <v>342</v>
      </c>
      <c r="E123" s="1250" t="str">
        <f>Translations!$B$998</f>
        <v>Rezultāts: kaļķu apakšiekārtu darbības līmeņi, izteikti kā standarta tīrības kaļķi</v>
      </c>
      <c r="F123" s="1251"/>
      <c r="G123" s="1251"/>
      <c r="H123" s="1251"/>
      <c r="I123" s="1251"/>
      <c r="J123" s="1251"/>
      <c r="K123" s="1251"/>
      <c r="L123" s="1251"/>
      <c r="M123" s="1251"/>
      <c r="N123" s="1251"/>
      <c r="O123" s="25"/>
      <c r="P123" s="26"/>
    </row>
    <row r="124" spans="2:16" x14ac:dyDescent="0.2">
      <c r="B124" s="21"/>
      <c r="C124" s="21"/>
      <c r="D124" s="34"/>
      <c r="E124" s="1319" t="str">
        <f>Translations!$B$1686</f>
        <v>Šeit tiek aprēķināts koriģētais darbības līmenis attiecībā uz kaļķiem, izmantojot formulu, kas dota FAR III pielikuma 2. punktā (pirms mediānas noteikšanas).</v>
      </c>
      <c r="F124" s="1251"/>
      <c r="G124" s="1251"/>
      <c r="H124" s="1251"/>
      <c r="I124" s="1251"/>
      <c r="J124" s="1251"/>
      <c r="K124" s="1251"/>
      <c r="L124" s="1251"/>
      <c r="M124" s="1251"/>
      <c r="N124" s="1251"/>
      <c r="O124" s="25"/>
      <c r="P124" s="26"/>
    </row>
    <row r="125" spans="2:16" x14ac:dyDescent="0.2">
      <c r="B125" s="21"/>
      <c r="C125" s="21"/>
      <c r="D125" s="34"/>
      <c r="E125" s="1319" t="str">
        <f>Translations!$B$1685</f>
        <v>Šā rīka rezultāts tiek izmantots lapas “F_ProductBM” rindā a) punkta ii. apakšpunktā par attiecīgo apakšiekārtu, un no tā aprēķina mediānu.</v>
      </c>
      <c r="F125" s="1251"/>
      <c r="G125" s="1251"/>
      <c r="H125" s="1251"/>
      <c r="I125" s="1251"/>
      <c r="J125" s="1251"/>
      <c r="K125" s="1251"/>
      <c r="L125" s="1251"/>
      <c r="M125" s="1251"/>
      <c r="N125" s="1251"/>
      <c r="O125" s="25"/>
      <c r="P125" s="26"/>
    </row>
    <row r="126" spans="2:16" x14ac:dyDescent="0.2">
      <c r="B126" s="38"/>
      <c r="C126" s="38"/>
      <c r="D126" s="32"/>
      <c r="E126" s="40"/>
      <c r="F126" s="40"/>
      <c r="G126" s="40"/>
      <c r="H126" s="52" t="str">
        <f>EUconst_Unit</f>
        <v>Vienība</v>
      </c>
      <c r="I126" s="447">
        <f>I$408</f>
        <v>2019</v>
      </c>
      <c r="J126" s="447">
        <f>J$408</f>
        <v>2020</v>
      </c>
      <c r="K126" s="447">
        <f>K$408</f>
        <v>2021</v>
      </c>
      <c r="L126" s="447">
        <f>L$408</f>
        <v>2022</v>
      </c>
      <c r="M126" s="447">
        <f>M$408</f>
        <v>2023</v>
      </c>
      <c r="N126" s="25"/>
      <c r="O126" s="25"/>
    </row>
    <row r="127" spans="2:16" x14ac:dyDescent="0.2">
      <c r="B127" s="38"/>
      <c r="C127" s="38"/>
      <c r="D127" s="38"/>
      <c r="E127" s="1517" t="str">
        <f>Translations!$B$1000</f>
        <v>standarta tīrības kaļķu ražošana</v>
      </c>
      <c r="F127" s="1517"/>
      <c r="G127" s="1517"/>
      <c r="H127" s="66" t="str">
        <f>EUconst_tpa</f>
        <v>t / gads</v>
      </c>
      <c r="I127" s="336" t="str">
        <f>IF(ISNUMBER(I113),I113*(785*I120/100+1092*I121/100)/751.7,"")</f>
        <v/>
      </c>
      <c r="J127" s="336" t="str">
        <f>IF(ISNUMBER(J113),J113*(785*J120/100+1092*J121/100)/751.7,"")</f>
        <v/>
      </c>
      <c r="K127" s="336" t="str">
        <f>IF(ISNUMBER(K113),K113*(785*K120/100+1092*K121/100)/751.7,"")</f>
        <v/>
      </c>
      <c r="L127" s="336" t="str">
        <f>IF(ISNUMBER(L113),L113*(785*L120/100+1092*L121/100)/751.7,"")</f>
        <v/>
      </c>
      <c r="M127" s="336" t="str">
        <f>IF(ISNUMBER(M113),M113*(785*M120/100+1092*M121/100)/751.7,"")</f>
        <v/>
      </c>
      <c r="N127" s="25"/>
      <c r="O127" s="25"/>
      <c r="P127" s="134" t="str">
        <f>IF(L106=EUconst_Relevant,EUconst_CNTR_HALspecial &amp; INDEX(EUconst_BMlistNames,MATCH(Q106,EUconst_BMlistMainNumberOfBM,0)),"")</f>
        <v/>
      </c>
    </row>
    <row r="128" spans="2:16" ht="5.0999999999999996" customHeight="1" x14ac:dyDescent="0.2">
      <c r="B128" s="21"/>
      <c r="C128" s="21"/>
      <c r="D128" s="21"/>
      <c r="E128" s="21"/>
      <c r="F128" s="21"/>
      <c r="G128" s="21"/>
      <c r="H128" s="21"/>
      <c r="I128" s="21"/>
      <c r="J128" s="21"/>
      <c r="K128" s="21"/>
      <c r="L128" s="21"/>
      <c r="M128" s="25"/>
      <c r="N128" s="25"/>
      <c r="O128" s="25"/>
      <c r="P128" s="26"/>
    </row>
    <row r="129" spans="2:20" x14ac:dyDescent="0.2">
      <c r="B129" s="21"/>
      <c r="C129" s="21"/>
      <c r="D129" s="21"/>
      <c r="E129" s="1846" t="str">
        <f>IF(L106=EUconst_Relevant,HYPERLINK(Q129,EUconst_MsgBackToSheetF),"")</f>
        <v/>
      </c>
      <c r="F129" s="1847"/>
      <c r="G129" s="1847"/>
      <c r="H129" s="1847"/>
      <c r="I129" s="1847"/>
      <c r="J129" s="1847"/>
      <c r="K129" s="1847"/>
      <c r="L129" s="1847"/>
      <c r="M129" s="1847"/>
      <c r="N129" s="1848"/>
      <c r="O129" s="25"/>
      <c r="P129" s="386" t="s">
        <v>32</v>
      </c>
      <c r="Q129" s="134" t="str">
        <f>Q108</f>
        <v/>
      </c>
    </row>
    <row r="130" spans="2:20" x14ac:dyDescent="0.2">
      <c r="B130" s="38"/>
      <c r="C130" s="38"/>
      <c r="D130" s="38"/>
      <c r="E130" s="38"/>
      <c r="F130" s="38"/>
      <c r="G130" s="38"/>
      <c r="H130" s="38"/>
      <c r="I130" s="38"/>
      <c r="J130" s="38"/>
      <c r="K130" s="38"/>
      <c r="L130" s="38"/>
      <c r="M130" s="38"/>
      <c r="N130" s="38"/>
      <c r="O130" s="25"/>
    </row>
    <row r="131" spans="2:20" ht="15.75" x14ac:dyDescent="0.25">
      <c r="B131" s="21"/>
      <c r="C131" s="30" t="s">
        <v>343</v>
      </c>
      <c r="D131" s="1249" t="str">
        <f>Translations!$B$1001</f>
        <v>Dolomītkaļķi</v>
      </c>
      <c r="E131" s="1249"/>
      <c r="F131" s="1249"/>
      <c r="G131" s="1249"/>
      <c r="H131" s="1249"/>
      <c r="I131" s="1249"/>
      <c r="J131" s="1249"/>
      <c r="K131" s="1249"/>
      <c r="L131" s="1249"/>
      <c r="M131" s="1249"/>
      <c r="N131" s="1249"/>
      <c r="O131" s="25"/>
      <c r="P131" s="26"/>
    </row>
    <row r="132" spans="2:20" ht="5.0999999999999996" customHeight="1" x14ac:dyDescent="0.2">
      <c r="B132" s="21"/>
      <c r="C132" s="21"/>
      <c r="D132" s="21"/>
      <c r="E132" s="21"/>
      <c r="F132" s="21"/>
      <c r="G132" s="21"/>
      <c r="H132" s="21"/>
      <c r="I132" s="21"/>
      <c r="J132" s="21"/>
      <c r="K132" s="21"/>
      <c r="L132" s="21"/>
      <c r="M132" s="25"/>
      <c r="N132" s="25"/>
      <c r="O132" s="25"/>
      <c r="P132" s="26"/>
    </row>
    <row r="133" spans="2:20" ht="15" x14ac:dyDescent="0.25">
      <c r="B133" s="21"/>
      <c r="C133" s="36"/>
      <c r="D133" s="1318" t="str">
        <f>Translations!$B$1002</f>
        <v>Rīks dolomītkaļķu apakšiekārtu vēsturisko darbības līmeņu aprēķināšanai</v>
      </c>
      <c r="E133" s="1251"/>
      <c r="F133" s="1251"/>
      <c r="G133" s="1251"/>
      <c r="H133" s="1251"/>
      <c r="I133" s="1251"/>
      <c r="J133" s="1251"/>
      <c r="K133" s="1251"/>
      <c r="L133" s="1251"/>
      <c r="M133" s="1251"/>
      <c r="N133" s="1251"/>
      <c r="O133" s="25"/>
      <c r="P133" s="26"/>
    </row>
    <row r="134" spans="2:20" ht="5.0999999999999996" customHeight="1" x14ac:dyDescent="0.2">
      <c r="B134" s="21"/>
      <c r="C134" s="21"/>
      <c r="D134" s="21"/>
      <c r="E134" s="21"/>
      <c r="F134" s="21"/>
      <c r="G134" s="21"/>
      <c r="H134" s="21"/>
      <c r="I134" s="21"/>
      <c r="J134" s="21"/>
      <c r="K134" s="21"/>
      <c r="L134" s="21"/>
      <c r="M134" s="25"/>
      <c r="N134" s="25"/>
      <c r="O134" s="25"/>
      <c r="P134" s="26"/>
    </row>
    <row r="135" spans="2:20" x14ac:dyDescent="0.2">
      <c r="B135" s="21"/>
      <c r="C135" s="21"/>
      <c r="D135" s="34"/>
      <c r="E135" s="1319" t="str">
        <f>Translations!$B$1003</f>
        <v>Šis rīks palīdz noteikt HAL (vēsturiskos darbības līmeņus) dolomītkaļķu līmeņatzīmei (FAR III pielikuma 3. punkts). To neizmanto attiecībā uz pārdedzinātiem dolomītkaļķiem.</v>
      </c>
      <c r="F135" s="1251"/>
      <c r="G135" s="1251"/>
      <c r="H135" s="1251"/>
      <c r="I135" s="1251"/>
      <c r="J135" s="1251"/>
      <c r="K135" s="1251"/>
      <c r="L135" s="1251"/>
      <c r="M135" s="1251"/>
      <c r="N135" s="1251"/>
      <c r="O135" s="25"/>
      <c r="P135" s="26"/>
    </row>
    <row r="136" spans="2:20" x14ac:dyDescent="0.2">
      <c r="B136" s="21"/>
      <c r="C136" s="21"/>
      <c r="D136" s="34"/>
      <c r="E136" s="1319" t="str">
        <f>Translations!$B$907</f>
        <v>Ar šo rīku iegūtais rezultāts tiek automātiski iekopēts lapas “F_ProductBM” rindā a) punkta ii. apakšpunktā par attiecīgo apakšiekārtu.</v>
      </c>
      <c r="F136" s="1251"/>
      <c r="G136" s="1251"/>
      <c r="H136" s="1251"/>
      <c r="I136" s="1251"/>
      <c r="J136" s="1251"/>
      <c r="K136" s="1251"/>
      <c r="L136" s="1251"/>
      <c r="M136" s="1251"/>
      <c r="N136" s="1251"/>
      <c r="O136" s="25"/>
      <c r="P136" s="26"/>
    </row>
    <row r="137" spans="2:20" ht="5.0999999999999996" customHeight="1" x14ac:dyDescent="0.2">
      <c r="B137" s="21"/>
      <c r="C137" s="21"/>
      <c r="D137" s="21"/>
      <c r="E137" s="21"/>
      <c r="F137" s="21"/>
      <c r="G137" s="21"/>
      <c r="H137" s="21"/>
      <c r="I137" s="21"/>
      <c r="J137" s="21"/>
      <c r="K137" s="21"/>
      <c r="L137" s="21"/>
      <c r="M137" s="25"/>
      <c r="N137" s="25"/>
      <c r="O137" s="25"/>
      <c r="P137" s="26"/>
    </row>
    <row r="138" spans="2:20" ht="15" x14ac:dyDescent="0.25">
      <c r="B138" s="21"/>
      <c r="C138" s="21"/>
      <c r="D138" s="32" t="s">
        <v>165</v>
      </c>
      <c r="E138" s="1250" t="str">
        <f>Translations!$B$908</f>
        <v>Šā rīka relevantums jūsu iekārtai:</v>
      </c>
      <c r="F138" s="1250"/>
      <c r="G138" s="1250"/>
      <c r="H138" s="1250"/>
      <c r="I138" s="1250"/>
      <c r="J138" s="1250"/>
      <c r="K138" s="1524"/>
      <c r="L138" s="1849" t="str">
        <f>IF(CNTR_ExistSubInstEntries,IF(COUNTIF(CNTR_SubInstListNames,INDEX(EUconst_BMlistNames,MATCH(Q138,EUconst_BMlistMainNumberOfBM,0)))&gt;0,EUconst_Relevant,EUconst_NotRelevant),"")</f>
        <v/>
      </c>
      <c r="M138" s="1850"/>
      <c r="N138" s="1851"/>
      <c r="O138" s="25"/>
      <c r="P138" s="386" t="s">
        <v>33</v>
      </c>
      <c r="Q138" s="366">
        <v>13</v>
      </c>
    </row>
    <row r="139" spans="2:20" x14ac:dyDescent="0.2">
      <c r="B139" s="21"/>
      <c r="C139" s="21"/>
      <c r="D139" s="34"/>
      <c r="E139" s="1274" t="str">
        <f>Translations!$B$909</f>
        <v>Šis ziņojums tiek automātiski ģenerēts, balstoties uz datiem, ko ievadījāt lapas “A_InstallationData” III sadaļas 1. punktā.</v>
      </c>
      <c r="F139" s="1275"/>
      <c r="G139" s="1275"/>
      <c r="H139" s="1275"/>
      <c r="I139" s="1275"/>
      <c r="J139" s="1275"/>
      <c r="K139" s="1275"/>
      <c r="L139" s="1275"/>
      <c r="M139" s="1275"/>
      <c r="N139" s="1275"/>
      <c r="O139" s="25"/>
      <c r="P139" s="26"/>
    </row>
    <row r="140" spans="2:20" x14ac:dyDescent="0.2">
      <c r="B140" s="21"/>
      <c r="C140" s="21"/>
      <c r="D140" s="21"/>
      <c r="E140" s="1846" t="str">
        <f>IF(L138=EUconst_Relevant,HYPERLINK(Q140,EUconst_MsgBackToSheetF),"")</f>
        <v/>
      </c>
      <c r="F140" s="1847"/>
      <c r="G140" s="1847"/>
      <c r="H140" s="1847"/>
      <c r="I140" s="1847"/>
      <c r="J140" s="1847"/>
      <c r="K140" s="1847"/>
      <c r="L140" s="1847"/>
      <c r="M140" s="1847"/>
      <c r="N140" s="1848"/>
      <c r="O140" s="25"/>
      <c r="P140" s="386" t="s">
        <v>32</v>
      </c>
      <c r="Q140" s="134" t="str">
        <f>IF(ISNUMBER(MATCH(Q138,CNTR_SubInstListBMnumbers,0)),"#JUMP_F"&amp;MATCH(Q138,CNTR_SubInstListBMnumbers,0),"")</f>
        <v/>
      </c>
    </row>
    <row r="141" spans="2:20" ht="5.0999999999999996" customHeight="1" x14ac:dyDescent="0.2">
      <c r="B141" s="21"/>
      <c r="C141" s="21"/>
      <c r="D141" s="21"/>
      <c r="E141" s="21"/>
      <c r="F141" s="21"/>
      <c r="G141" s="21"/>
      <c r="H141" s="21"/>
      <c r="I141" s="21"/>
      <c r="J141" s="21"/>
      <c r="K141" s="21"/>
      <c r="L141" s="21"/>
      <c r="M141" s="25"/>
      <c r="N141" s="25"/>
      <c r="O141" s="25"/>
      <c r="P141" s="26"/>
    </row>
    <row r="142" spans="2:20" x14ac:dyDescent="0.2">
      <c r="B142" s="21"/>
      <c r="C142" s="21"/>
      <c r="D142" s="32" t="s">
        <v>339</v>
      </c>
      <c r="E142" s="1250" t="str">
        <f>Translations!$B$1004</f>
        <v>Nekoriģēti dati par dolomītkaļķu ražošanu:</v>
      </c>
      <c r="F142" s="1251"/>
      <c r="G142" s="1251"/>
      <c r="H142" s="1251"/>
      <c r="I142" s="1251"/>
      <c r="J142" s="1251"/>
      <c r="K142" s="1251"/>
      <c r="L142" s="1251"/>
      <c r="M142" s="1251"/>
      <c r="N142" s="1251"/>
      <c r="O142" s="25"/>
      <c r="P142" s="26"/>
    </row>
    <row r="143" spans="2:20" x14ac:dyDescent="0.2">
      <c r="B143" s="21"/>
      <c r="C143" s="21"/>
      <c r="D143" s="34"/>
      <c r="E143" s="1319" t="str">
        <f>Translations!$B$1005</f>
        <v>Šeit ievadiet ikgadējos ražošanas datus, kas izteikti dolomītkaļķu tonnās, bez datu korekcijas pēc sastāva:</v>
      </c>
      <c r="F143" s="1251"/>
      <c r="G143" s="1251"/>
      <c r="H143" s="1251"/>
      <c r="I143" s="1251"/>
      <c r="J143" s="1251"/>
      <c r="K143" s="1251"/>
      <c r="L143" s="1251"/>
      <c r="M143" s="1251"/>
      <c r="N143" s="1251"/>
      <c r="O143" s="25"/>
      <c r="P143" s="26"/>
    </row>
    <row r="144" spans="2:20" x14ac:dyDescent="0.2">
      <c r="B144" s="38"/>
      <c r="C144" s="38"/>
      <c r="D144" s="32"/>
      <c r="E144" s="43"/>
      <c r="F144" s="40"/>
      <c r="G144" s="40"/>
      <c r="H144" s="52" t="str">
        <f>EUconst_Unit</f>
        <v>Vienība</v>
      </c>
      <c r="I144" s="447">
        <f>I$408</f>
        <v>2019</v>
      </c>
      <c r="J144" s="447">
        <f>J$408</f>
        <v>2020</v>
      </c>
      <c r="K144" s="447">
        <f>K$408</f>
        <v>2021</v>
      </c>
      <c r="L144" s="447">
        <f>L$408</f>
        <v>2022</v>
      </c>
      <c r="M144" s="447">
        <f>M$408</f>
        <v>2023</v>
      </c>
      <c r="N144" s="25"/>
      <c r="O144" s="25"/>
      <c r="S144" s="386" t="s">
        <v>574</v>
      </c>
      <c r="T144" s="453" t="str">
        <f>IF(L138&lt;&gt;EUconst_Relevant,"",INDEX(CNTR_SubInstLess1Year,MATCH(Q138,CNTR_SubInstListBMnumbers,0)))</f>
        <v/>
      </c>
    </row>
    <row r="145" spans="1:16" x14ac:dyDescent="0.2">
      <c r="B145" s="38"/>
      <c r="C145" s="38"/>
      <c r="D145" s="38"/>
      <c r="E145" s="1517" t="str">
        <f>Translations!$B$1006</f>
        <v>nekoriģēti dati par dolomītkaļķu ražošanu</v>
      </c>
      <c r="F145" s="1517"/>
      <c r="G145" s="1517"/>
      <c r="H145" s="66" t="str">
        <f>EUconst_tpa</f>
        <v>t / gads</v>
      </c>
      <c r="I145" s="337"/>
      <c r="J145" s="337"/>
      <c r="K145" s="337"/>
      <c r="L145" s="337"/>
      <c r="M145" s="337"/>
      <c r="N145" s="25"/>
      <c r="O145" s="25"/>
    </row>
    <row r="146" spans="1:16" ht="5.0999999999999996" customHeight="1" x14ac:dyDescent="0.2">
      <c r="B146" s="21"/>
      <c r="C146" s="21"/>
      <c r="D146" s="21"/>
      <c r="E146" s="21"/>
      <c r="F146" s="21"/>
      <c r="G146" s="21"/>
      <c r="H146" s="21"/>
      <c r="I146" s="21"/>
      <c r="J146" s="21"/>
      <c r="K146" s="21"/>
      <c r="L146" s="21"/>
      <c r="M146" s="25"/>
      <c r="N146" s="25"/>
      <c r="O146" s="25"/>
      <c r="P146" s="26"/>
    </row>
    <row r="147" spans="1:16" x14ac:dyDescent="0.2">
      <c r="B147" s="21"/>
      <c r="C147" s="21"/>
      <c r="D147" s="32" t="s">
        <v>11</v>
      </c>
      <c r="E147" s="1250" t="str">
        <f>Translations!$B$990</f>
        <v>Dati par sastāvu:</v>
      </c>
      <c r="F147" s="1251"/>
      <c r="G147" s="1251"/>
      <c r="H147" s="1251"/>
      <c r="I147" s="1251"/>
      <c r="J147" s="1251"/>
      <c r="K147" s="1251"/>
      <c r="L147" s="1251"/>
      <c r="M147" s="1251"/>
      <c r="N147" s="1251"/>
      <c r="O147" s="25"/>
      <c r="P147" s="26"/>
    </row>
    <row r="148" spans="1:16" x14ac:dyDescent="0.2">
      <c r="B148" s="21"/>
      <c r="C148" s="21"/>
      <c r="D148" s="34"/>
      <c r="E148" s="1319" t="str">
        <f>Translations!$B$1007</f>
        <v>Saskaņā ar FAR III pielikuma 3. punktu ir vajadzīgi šādi dati:</v>
      </c>
      <c r="F148" s="1251"/>
      <c r="G148" s="1251"/>
      <c r="H148" s="1251"/>
      <c r="I148" s="1251"/>
      <c r="J148" s="1251"/>
      <c r="K148" s="1251"/>
      <c r="L148" s="1251"/>
      <c r="M148" s="1251"/>
      <c r="N148" s="1251"/>
      <c r="O148" s="25"/>
      <c r="P148" s="26"/>
    </row>
    <row r="149" spans="1:16" x14ac:dyDescent="0.2">
      <c r="B149" s="21"/>
      <c r="C149" s="21"/>
      <c r="D149" s="34"/>
      <c r="E149" s="35" t="s">
        <v>25</v>
      </c>
      <c r="F149" s="1319" t="str">
        <f>Translations!$B$1008</f>
        <v>brīvā CaO saturs saražotajos dolomītkaļķos katrā bāzlīnijas perioda gadā, izteikts masas %</v>
      </c>
      <c r="G149" s="1251"/>
      <c r="H149" s="1251"/>
      <c r="I149" s="1251"/>
      <c r="J149" s="1251"/>
      <c r="K149" s="1251"/>
      <c r="L149" s="1251"/>
      <c r="M149" s="1251"/>
      <c r="N149" s="1251"/>
      <c r="O149" s="25"/>
      <c r="P149" s="26"/>
    </row>
    <row r="150" spans="1:16" hidden="1" x14ac:dyDescent="0.2">
      <c r="A150" s="437" t="s">
        <v>93</v>
      </c>
      <c r="B150" s="21"/>
      <c r="C150" s="21"/>
      <c r="D150" s="34"/>
      <c r="E150" s="35"/>
      <c r="F150" s="1319"/>
      <c r="G150" s="1251"/>
      <c r="H150" s="1251"/>
      <c r="I150" s="1251"/>
      <c r="J150" s="1251"/>
      <c r="K150" s="1251"/>
      <c r="L150" s="1251"/>
      <c r="M150" s="1251"/>
      <c r="N150" s="1251"/>
      <c r="O150" s="25"/>
      <c r="P150" s="26"/>
    </row>
    <row r="151" spans="1:16" x14ac:dyDescent="0.2">
      <c r="B151" s="21"/>
      <c r="C151" s="21"/>
      <c r="D151" s="34"/>
      <c r="E151" s="35" t="s">
        <v>26</v>
      </c>
      <c r="F151" s="1319" t="str">
        <f>Translations!$B$1010</f>
        <v>brīvā MgO saturs saražotajos dolomītkaļķos katrā bāzlīnijas perioda gadā, izteikts masas %</v>
      </c>
      <c r="G151" s="1251"/>
      <c r="H151" s="1251"/>
      <c r="I151" s="1251"/>
      <c r="J151" s="1251"/>
      <c r="K151" s="1251"/>
      <c r="L151" s="1251"/>
      <c r="M151" s="1251"/>
      <c r="N151" s="1251"/>
      <c r="O151" s="25"/>
      <c r="P151" s="26"/>
    </row>
    <row r="152" spans="1:16" hidden="1" x14ac:dyDescent="0.2">
      <c r="A152" s="437" t="s">
        <v>93</v>
      </c>
      <c r="B152" s="21"/>
      <c r="C152" s="21"/>
      <c r="D152" s="34"/>
      <c r="E152" s="35"/>
      <c r="F152" s="1319"/>
      <c r="G152" s="1251"/>
      <c r="H152" s="1251"/>
      <c r="I152" s="1251"/>
      <c r="J152" s="1251"/>
      <c r="K152" s="1251"/>
      <c r="L152" s="1251"/>
      <c r="M152" s="1251"/>
      <c r="N152" s="1251"/>
      <c r="O152" s="25"/>
      <c r="P152" s="26"/>
    </row>
    <row r="153" spans="1:16" x14ac:dyDescent="0.2">
      <c r="B153" s="38"/>
      <c r="C153" s="38"/>
      <c r="D153" s="32"/>
      <c r="E153" s="43"/>
      <c r="F153" s="40"/>
      <c r="G153" s="40"/>
      <c r="H153" s="52" t="str">
        <f>EUconst_Unit</f>
        <v>Vienība</v>
      </c>
      <c r="I153" s="447">
        <f>I$408</f>
        <v>2019</v>
      </c>
      <c r="J153" s="447">
        <f>J$408</f>
        <v>2020</v>
      </c>
      <c r="K153" s="447">
        <f>K$408</f>
        <v>2021</v>
      </c>
      <c r="L153" s="447">
        <f>L$408</f>
        <v>2022</v>
      </c>
      <c r="M153" s="447">
        <f>M$408</f>
        <v>2023</v>
      </c>
      <c r="N153" s="25"/>
      <c r="O153" s="25"/>
    </row>
    <row r="154" spans="1:16" x14ac:dyDescent="0.2">
      <c r="B154" s="38"/>
      <c r="C154" s="38"/>
      <c r="D154" s="38"/>
      <c r="E154" s="1541" t="str">
        <f>Translations!$B$996</f>
        <v>CaO saturs</v>
      </c>
      <c r="F154" s="1541"/>
      <c r="G154" s="1541"/>
      <c r="H154" s="45" t="s">
        <v>393</v>
      </c>
      <c r="I154" s="348"/>
      <c r="J154" s="348"/>
      <c r="K154" s="348"/>
      <c r="L154" s="348"/>
      <c r="M154" s="484"/>
      <c r="N154" s="25"/>
      <c r="O154" s="25"/>
    </row>
    <row r="155" spans="1:16" x14ac:dyDescent="0.2">
      <c r="B155" s="38"/>
      <c r="C155" s="38"/>
      <c r="D155" s="38"/>
      <c r="E155" s="1550" t="str">
        <f>Translations!$B$997</f>
        <v>MgO saturs</v>
      </c>
      <c r="F155" s="1550"/>
      <c r="G155" s="1550"/>
      <c r="H155" s="48" t="s">
        <v>393</v>
      </c>
      <c r="I155" s="345"/>
      <c r="J155" s="345"/>
      <c r="K155" s="345"/>
      <c r="L155" s="345"/>
      <c r="M155" s="458"/>
      <c r="N155" s="25"/>
      <c r="O155" s="25"/>
    </row>
    <row r="156" spans="1:16" ht="5.0999999999999996" customHeight="1" x14ac:dyDescent="0.2">
      <c r="B156" s="21"/>
      <c r="C156" s="21"/>
      <c r="D156" s="21"/>
      <c r="E156" s="21"/>
      <c r="F156" s="21"/>
      <c r="G156" s="21"/>
      <c r="H156" s="21"/>
      <c r="I156" s="21"/>
      <c r="J156" s="21"/>
      <c r="K156" s="21"/>
      <c r="L156" s="21"/>
      <c r="M156" s="25"/>
      <c r="N156" s="25"/>
      <c r="O156" s="25"/>
      <c r="P156" s="26"/>
    </row>
    <row r="157" spans="1:16" x14ac:dyDescent="0.2">
      <c r="B157" s="21"/>
      <c r="C157" s="21"/>
      <c r="D157" s="32" t="s">
        <v>342</v>
      </c>
      <c r="E157" s="1250" t="str">
        <f>Translations!$B$1012</f>
        <v>Rezultāts: dolomītkaļķu apakšiekārtu darbības līmeņi, izteikti kā standarta tīrības dolomītkaļķi</v>
      </c>
      <c r="F157" s="1251"/>
      <c r="G157" s="1251"/>
      <c r="H157" s="1251"/>
      <c r="I157" s="1251"/>
      <c r="J157" s="1251"/>
      <c r="K157" s="1251"/>
      <c r="L157" s="1251"/>
      <c r="M157" s="1251"/>
      <c r="N157" s="1251"/>
      <c r="O157" s="25"/>
      <c r="P157" s="26"/>
    </row>
    <row r="158" spans="1:16" x14ac:dyDescent="0.2">
      <c r="B158" s="21"/>
      <c r="C158" s="21"/>
      <c r="D158" s="34"/>
      <c r="E158" s="1319" t="str">
        <f>Translations!$B$1687</f>
        <v>Šeit tiek aprēķināts koriģētais darbības līmenis attiecībā uz dolomītkaļķiem, izmantojot formulu, kas dota FAR III pielikuma 3. punktā (pirms mediānas noteikšanas).</v>
      </c>
      <c r="F158" s="1251"/>
      <c r="G158" s="1251"/>
      <c r="H158" s="1251"/>
      <c r="I158" s="1251"/>
      <c r="J158" s="1251"/>
      <c r="K158" s="1251"/>
      <c r="L158" s="1251"/>
      <c r="M158" s="1251"/>
      <c r="N158" s="1251"/>
      <c r="O158" s="25"/>
      <c r="P158" s="26"/>
    </row>
    <row r="159" spans="1:16" x14ac:dyDescent="0.2">
      <c r="B159" s="21"/>
      <c r="C159" s="21"/>
      <c r="D159" s="34"/>
      <c r="E159" s="1319" t="str">
        <f>Translations!$B$1685</f>
        <v>Šā rīka rezultāts tiek izmantots lapas “F_ProductBM” rindā a) punkta ii. apakšpunktā par attiecīgo apakšiekārtu, un no tā aprēķina mediānu.</v>
      </c>
      <c r="F159" s="1251"/>
      <c r="G159" s="1251"/>
      <c r="H159" s="1251"/>
      <c r="I159" s="1251"/>
      <c r="J159" s="1251"/>
      <c r="K159" s="1251"/>
      <c r="L159" s="1251"/>
      <c r="M159" s="1251"/>
      <c r="N159" s="1251"/>
      <c r="O159" s="25"/>
      <c r="P159" s="26"/>
    </row>
    <row r="160" spans="1:16" x14ac:dyDescent="0.2">
      <c r="B160" s="38"/>
      <c r="C160" s="38"/>
      <c r="D160" s="32"/>
      <c r="E160" s="40"/>
      <c r="F160" s="40"/>
      <c r="G160" s="40"/>
      <c r="H160" s="52" t="str">
        <f>EUconst_Unit</f>
        <v>Vienība</v>
      </c>
      <c r="I160" s="447">
        <f>I$408</f>
        <v>2019</v>
      </c>
      <c r="J160" s="447">
        <f>J$408</f>
        <v>2020</v>
      </c>
      <c r="K160" s="447">
        <f>K$408</f>
        <v>2021</v>
      </c>
      <c r="L160" s="447">
        <f>L$408</f>
        <v>2022</v>
      </c>
      <c r="M160" s="447">
        <f>M$408</f>
        <v>2023</v>
      </c>
      <c r="N160" s="25"/>
      <c r="O160" s="25"/>
    </row>
    <row r="161" spans="2:17" x14ac:dyDescent="0.2">
      <c r="B161" s="38"/>
      <c r="C161" s="38"/>
      <c r="D161" s="38"/>
      <c r="E161" s="1517" t="str">
        <f>Translations!$B$1014</f>
        <v>standarta tīrības dolomītkaļķu ražošana</v>
      </c>
      <c r="F161" s="1517"/>
      <c r="G161" s="1517"/>
      <c r="H161" s="66" t="str">
        <f>EUconst_tpa</f>
        <v>t / gads</v>
      </c>
      <c r="I161" s="336" t="str">
        <f>IF(ISNUMBER(I145),I145*(785*I154/100+1092*I155/100)/865.6,"")</f>
        <v/>
      </c>
      <c r="J161" s="336" t="str">
        <f>IF(ISNUMBER(J145),J145*(785*J154/100+1092*J155/100)/865.6,"")</f>
        <v/>
      </c>
      <c r="K161" s="336" t="str">
        <f>IF(ISNUMBER(K145),K145*(785*K154/100+1092*K155/100)/865.6,"")</f>
        <v/>
      </c>
      <c r="L161" s="336" t="str">
        <f>IF(ISNUMBER(L145),L145*(785*L154/100+1092*L155/100)/865.6,"")</f>
        <v/>
      </c>
      <c r="M161" s="336" t="str">
        <f>IF(ISNUMBER(M145),M145*(785*M154/100+1092*M155/100)/865.6,"")</f>
        <v/>
      </c>
      <c r="N161" s="25"/>
      <c r="O161" s="25"/>
      <c r="P161" s="134" t="str">
        <f>IF(L138=EUconst_Relevant,EUconst_CNTR_HALspecial &amp; INDEX(EUconst_BMlistNames,MATCH(Q138,EUconst_BMlistMainNumberOfBM,0)),"")</f>
        <v/>
      </c>
    </row>
    <row r="162" spans="2:17" ht="5.0999999999999996" customHeight="1" x14ac:dyDescent="0.2">
      <c r="B162" s="21"/>
      <c r="C162" s="21"/>
      <c r="D162" s="21"/>
      <c r="E162" s="21"/>
      <c r="F162" s="21"/>
      <c r="G162" s="21"/>
      <c r="H162" s="21"/>
      <c r="I162" s="21"/>
      <c r="J162" s="21"/>
      <c r="K162" s="21"/>
      <c r="L162" s="21"/>
      <c r="M162" s="25"/>
      <c r="N162" s="25"/>
      <c r="O162" s="25"/>
      <c r="P162" s="26"/>
    </row>
    <row r="163" spans="2:17" x14ac:dyDescent="0.2">
      <c r="B163" s="21"/>
      <c r="C163" s="21"/>
      <c r="D163" s="21"/>
      <c r="E163" s="1846" t="str">
        <f>IF(L138=EUconst_Relevant,HYPERLINK(Q163,EUconst_MsgBackToSheetF),"")</f>
        <v/>
      </c>
      <c r="F163" s="1847"/>
      <c r="G163" s="1847"/>
      <c r="H163" s="1847"/>
      <c r="I163" s="1847"/>
      <c r="J163" s="1847"/>
      <c r="K163" s="1847"/>
      <c r="L163" s="1847"/>
      <c r="M163" s="1847"/>
      <c r="N163" s="1848"/>
      <c r="O163" s="25"/>
      <c r="P163" s="386" t="s">
        <v>32</v>
      </c>
      <c r="Q163" s="134" t="str">
        <f>Q140</f>
        <v/>
      </c>
    </row>
    <row r="164" spans="2:17" x14ac:dyDescent="0.2">
      <c r="B164" s="38"/>
      <c r="C164" s="38"/>
      <c r="D164" s="38"/>
      <c r="E164" s="38"/>
      <c r="F164" s="38"/>
      <c r="G164" s="38"/>
      <c r="H164" s="38"/>
      <c r="I164" s="38"/>
      <c r="J164" s="38"/>
      <c r="K164" s="38"/>
      <c r="L164" s="38"/>
      <c r="M164" s="38"/>
      <c r="N164" s="38"/>
      <c r="O164" s="25"/>
    </row>
    <row r="165" spans="2:17" ht="15.75" x14ac:dyDescent="0.25">
      <c r="B165" s="21"/>
      <c r="C165" s="30" t="s">
        <v>5</v>
      </c>
      <c r="D165" s="1249" t="str">
        <f>Translations!$B$1015</f>
        <v>Tvaika krekings</v>
      </c>
      <c r="E165" s="1249"/>
      <c r="F165" s="1249"/>
      <c r="G165" s="1249"/>
      <c r="H165" s="1249"/>
      <c r="I165" s="1249"/>
      <c r="J165" s="1249"/>
      <c r="K165" s="1249"/>
      <c r="L165" s="1249"/>
      <c r="M165" s="1249"/>
      <c r="N165" s="1249"/>
      <c r="O165" s="25"/>
      <c r="P165" s="26"/>
    </row>
    <row r="166" spans="2:17" ht="5.0999999999999996" customHeight="1" x14ac:dyDescent="0.2">
      <c r="B166" s="21"/>
      <c r="C166" s="21"/>
      <c r="D166" s="21"/>
      <c r="E166" s="21"/>
      <c r="F166" s="21"/>
      <c r="G166" s="21"/>
      <c r="H166" s="21"/>
      <c r="I166" s="21"/>
      <c r="J166" s="21"/>
      <c r="K166" s="21"/>
      <c r="L166" s="21"/>
      <c r="M166" s="25"/>
      <c r="N166" s="25"/>
      <c r="O166" s="25"/>
      <c r="P166" s="26"/>
    </row>
    <row r="167" spans="2:17" ht="15" x14ac:dyDescent="0.25">
      <c r="B167" s="21"/>
      <c r="C167" s="36">
        <v>1</v>
      </c>
      <c r="D167" s="1318" t="str">
        <f>Translations!$B$1016</f>
        <v>Rīks tvaika krekinga apakšiekārtu vēsturisko darbības līmeņu aprēķināšanai</v>
      </c>
      <c r="E167" s="1251"/>
      <c r="F167" s="1251"/>
      <c r="G167" s="1251"/>
      <c r="H167" s="1251"/>
      <c r="I167" s="1251"/>
      <c r="J167" s="1251"/>
      <c r="K167" s="1251"/>
      <c r="L167" s="1251"/>
      <c r="M167" s="1251"/>
      <c r="N167" s="1251"/>
      <c r="O167" s="25"/>
      <c r="P167" s="26"/>
    </row>
    <row r="168" spans="2:17" ht="5.0999999999999996" customHeight="1" x14ac:dyDescent="0.2">
      <c r="B168" s="21"/>
      <c r="C168" s="21"/>
      <c r="D168" s="21"/>
      <c r="E168" s="21"/>
      <c r="F168" s="21"/>
      <c r="G168" s="21"/>
      <c r="H168" s="21"/>
      <c r="I168" s="21"/>
      <c r="J168" s="21"/>
      <c r="K168" s="21"/>
      <c r="L168" s="21"/>
      <c r="M168" s="25"/>
      <c r="N168" s="25"/>
      <c r="O168" s="25"/>
      <c r="P168" s="26"/>
    </row>
    <row r="169" spans="2:17" x14ac:dyDescent="0.2">
      <c r="B169" s="21"/>
      <c r="C169" s="21"/>
      <c r="D169" s="34"/>
      <c r="E169" s="1319" t="str">
        <f>Translations!$B$1017</f>
        <v>Šis rīks palīdz noteikt HAL (vēsturiskos darbības līmeņus) tvaika krekinga līmeņatzīmei (FAR III pielikuma 4. punkts).</v>
      </c>
      <c r="F169" s="1251"/>
      <c r="G169" s="1251"/>
      <c r="H169" s="1251"/>
      <c r="I169" s="1251"/>
      <c r="J169" s="1251"/>
      <c r="K169" s="1251"/>
      <c r="L169" s="1251"/>
      <c r="M169" s="1251"/>
      <c r="N169" s="1251"/>
      <c r="O169" s="25"/>
      <c r="P169" s="26"/>
    </row>
    <row r="170" spans="2:17" x14ac:dyDescent="0.2">
      <c r="B170" s="21"/>
      <c r="C170" s="21"/>
      <c r="D170" s="34"/>
      <c r="E170" s="1319" t="str">
        <f>Translations!$B$907</f>
        <v>Ar šo rīku iegūtais rezultāts tiek automātiski iekopēts lapas “F_ProductBM” rindā a) punkta ii. apakšpunktā par attiecīgo apakšiekārtu.</v>
      </c>
      <c r="F170" s="1251"/>
      <c r="G170" s="1251"/>
      <c r="H170" s="1251"/>
      <c r="I170" s="1251"/>
      <c r="J170" s="1251"/>
      <c r="K170" s="1251"/>
      <c r="L170" s="1251"/>
      <c r="M170" s="1251"/>
      <c r="N170" s="1251"/>
      <c r="O170" s="25"/>
      <c r="P170" s="26"/>
    </row>
    <row r="171" spans="2:17" ht="5.0999999999999996" customHeight="1" x14ac:dyDescent="0.2">
      <c r="B171" s="21"/>
      <c r="C171" s="21"/>
      <c r="D171" s="21"/>
      <c r="E171" s="21"/>
      <c r="F171" s="21"/>
      <c r="G171" s="21"/>
      <c r="H171" s="21"/>
      <c r="I171" s="21"/>
      <c r="J171" s="21"/>
      <c r="K171" s="21"/>
      <c r="L171" s="21"/>
      <c r="M171" s="25"/>
      <c r="N171" s="25"/>
      <c r="O171" s="25"/>
      <c r="P171" s="26"/>
    </row>
    <row r="172" spans="2:17" ht="15" x14ac:dyDescent="0.25">
      <c r="B172" s="21"/>
      <c r="C172" s="21"/>
      <c r="D172" s="32" t="s">
        <v>165</v>
      </c>
      <c r="E172" s="1250" t="str">
        <f>Translations!$B$908</f>
        <v>Šā rīka relevantums jūsu iekārtai:</v>
      </c>
      <c r="F172" s="1250"/>
      <c r="G172" s="1250"/>
      <c r="H172" s="1250"/>
      <c r="I172" s="1250"/>
      <c r="J172" s="1250"/>
      <c r="K172" s="1524"/>
      <c r="L172" s="1849" t="str">
        <f>IF(CNTR_ExistSubInstEntries,IF(COUNTIF(CNTR_SubInstListNames,INDEX(EUconst_BMlistNames,MATCH(Q172,EUconst_BMlistMainNumberOfBM,0)))&gt;0,EUconst_Relevant,EUconst_NotRelevant),"")</f>
        <v/>
      </c>
      <c r="M172" s="1850"/>
      <c r="N172" s="1851"/>
      <c r="O172" s="25"/>
      <c r="P172" s="386" t="s">
        <v>33</v>
      </c>
      <c r="Q172" s="366">
        <v>42</v>
      </c>
    </row>
    <row r="173" spans="2:17" x14ac:dyDescent="0.2">
      <c r="B173" s="21"/>
      <c r="C173" s="21"/>
      <c r="D173" s="34"/>
      <c r="E173" s="1274" t="str">
        <f>Translations!$B$909</f>
        <v>Šis ziņojums tiek automātiski ģenerēts, balstoties uz datiem, ko ievadījāt lapas “A_InstallationData” III sadaļas 1. punktā.</v>
      </c>
      <c r="F173" s="1275"/>
      <c r="G173" s="1275"/>
      <c r="H173" s="1275"/>
      <c r="I173" s="1275"/>
      <c r="J173" s="1275"/>
      <c r="K173" s="1275"/>
      <c r="L173" s="1275"/>
      <c r="M173" s="1275"/>
      <c r="N173" s="1275"/>
      <c r="O173" s="25"/>
      <c r="P173" s="26"/>
    </row>
    <row r="174" spans="2:17" x14ac:dyDescent="0.2">
      <c r="B174" s="21"/>
      <c r="C174" s="21"/>
      <c r="D174" s="21"/>
      <c r="E174" s="1846" t="str">
        <f>IF(L172=EUconst_Relevant,HYPERLINK(Q174,EUconst_MsgBackToSheetF),"")</f>
        <v/>
      </c>
      <c r="F174" s="1847"/>
      <c r="G174" s="1847"/>
      <c r="H174" s="1847"/>
      <c r="I174" s="1847"/>
      <c r="J174" s="1847"/>
      <c r="K174" s="1847"/>
      <c r="L174" s="1847"/>
      <c r="M174" s="1847"/>
      <c r="N174" s="1848"/>
      <c r="O174" s="25"/>
      <c r="P174" s="386" t="s">
        <v>32</v>
      </c>
      <c r="Q174" s="134" t="str">
        <f>IF(ISNUMBER(MATCH(Q172,CNTR_SubInstListBMnumbers,0)),"#JUMP_F"&amp;MATCH(Q172,CNTR_SubInstListBMnumbers,0),"")</f>
        <v/>
      </c>
    </row>
    <row r="175" spans="2:17" ht="5.0999999999999996" customHeight="1" x14ac:dyDescent="0.2">
      <c r="B175" s="21"/>
      <c r="C175" s="21"/>
      <c r="D175" s="21"/>
      <c r="E175" s="21"/>
      <c r="F175" s="21"/>
      <c r="G175" s="21"/>
      <c r="H175" s="21"/>
      <c r="I175" s="21"/>
      <c r="J175" s="21"/>
      <c r="K175" s="21"/>
      <c r="L175" s="21"/>
      <c r="M175" s="25"/>
      <c r="N175" s="25"/>
      <c r="O175" s="25"/>
      <c r="P175" s="26"/>
    </row>
    <row r="176" spans="2:17" x14ac:dyDescent="0.2">
      <c r="B176" s="21"/>
      <c r="C176" s="21"/>
      <c r="D176" s="32" t="s">
        <v>339</v>
      </c>
      <c r="E176" s="1250" t="str">
        <f>Translations!$B$1018</f>
        <v>Kopējais vērtīgu ķimikāliju ražošanas apjoms (HVC kopā)</v>
      </c>
      <c r="F176" s="1251"/>
      <c r="G176" s="1251"/>
      <c r="H176" s="1251"/>
      <c r="I176" s="1251"/>
      <c r="J176" s="1251"/>
      <c r="K176" s="1251"/>
      <c r="L176" s="1251"/>
      <c r="M176" s="1251"/>
      <c r="N176" s="1251"/>
      <c r="O176" s="25"/>
      <c r="P176" s="26"/>
    </row>
    <row r="177" spans="2:20" x14ac:dyDescent="0.2">
      <c r="B177" s="21"/>
      <c r="C177" s="21"/>
      <c r="D177" s="34"/>
      <c r="E177" s="1319" t="str">
        <f>Translations!$B$1019</f>
        <v>Šeit ievadiet ikgadējos ražošanas datus, kas izteikti HVC tonnās (bez korekcijām)</v>
      </c>
      <c r="F177" s="1251"/>
      <c r="G177" s="1251"/>
      <c r="H177" s="1251"/>
      <c r="I177" s="1251"/>
      <c r="J177" s="1251"/>
      <c r="K177" s="1251"/>
      <c r="L177" s="1251"/>
      <c r="M177" s="1251"/>
      <c r="N177" s="1251"/>
      <c r="O177" s="25"/>
      <c r="P177" s="26"/>
    </row>
    <row r="178" spans="2:20" x14ac:dyDescent="0.2">
      <c r="B178" s="38"/>
      <c r="C178" s="38"/>
      <c r="D178" s="32"/>
      <c r="E178" s="43"/>
      <c r="F178" s="40"/>
      <c r="G178" s="40"/>
      <c r="H178" s="52" t="str">
        <f>EUconst_Unit</f>
        <v>Vienība</v>
      </c>
      <c r="I178" s="447">
        <f>I$408</f>
        <v>2019</v>
      </c>
      <c r="J178" s="447">
        <f>J$408</f>
        <v>2020</v>
      </c>
      <c r="K178" s="447">
        <f>K$408</f>
        <v>2021</v>
      </c>
      <c r="L178" s="447">
        <f>L$408</f>
        <v>2022</v>
      </c>
      <c r="M178" s="447">
        <f>M$408</f>
        <v>2023</v>
      </c>
      <c r="N178" s="25"/>
      <c r="O178" s="25"/>
      <c r="S178" s="386" t="s">
        <v>574</v>
      </c>
      <c r="T178" s="453" t="str">
        <f>IF(L172&lt;&gt;EUconst_Relevant,"",INDEX(CNTR_SubInstLess1Year,MATCH(Q172,CNTR_SubInstListBMnumbers,0)))</f>
        <v/>
      </c>
    </row>
    <row r="179" spans="2:20" x14ac:dyDescent="0.2">
      <c r="B179" s="38"/>
      <c r="C179" s="38"/>
      <c r="D179" s="38"/>
      <c r="E179" s="1517" t="str">
        <f>Translations!$B$1020</f>
        <v>HVC kopā</v>
      </c>
      <c r="F179" s="1517"/>
      <c r="G179" s="1517"/>
      <c r="H179" s="66" t="str">
        <f>EUconst_tpa</f>
        <v>t / gads</v>
      </c>
      <c r="I179" s="337"/>
      <c r="J179" s="337"/>
      <c r="K179" s="337"/>
      <c r="L179" s="337"/>
      <c r="M179" s="337"/>
      <c r="N179" s="25"/>
      <c r="O179" s="25"/>
    </row>
    <row r="180" spans="2:20" ht="5.0999999999999996" customHeight="1" x14ac:dyDescent="0.2">
      <c r="B180" s="21"/>
      <c r="C180" s="21"/>
      <c r="D180" s="21"/>
      <c r="E180" s="21"/>
      <c r="F180" s="21"/>
      <c r="G180" s="21"/>
      <c r="H180" s="21"/>
      <c r="I180" s="21"/>
      <c r="J180" s="21"/>
      <c r="K180" s="21"/>
      <c r="L180" s="21"/>
      <c r="M180" s="25"/>
      <c r="N180" s="25"/>
      <c r="O180" s="25"/>
      <c r="P180" s="26"/>
    </row>
    <row r="181" spans="2:20" x14ac:dyDescent="0.2">
      <c r="B181" s="21"/>
      <c r="C181" s="21"/>
      <c r="D181" s="32" t="s">
        <v>11</v>
      </c>
      <c r="E181" s="1250" t="str">
        <f>Translations!$B$1021</f>
        <v>Dati par papildu ievadmateriāliem:</v>
      </c>
      <c r="F181" s="1251"/>
      <c r="G181" s="1251"/>
      <c r="H181" s="1251"/>
      <c r="I181" s="1251"/>
      <c r="J181" s="1251"/>
      <c r="K181" s="1251"/>
      <c r="L181" s="1251"/>
      <c r="M181" s="1251"/>
      <c r="N181" s="1251"/>
      <c r="O181" s="25"/>
      <c r="P181" s="26"/>
    </row>
    <row r="182" spans="2:20" x14ac:dyDescent="0.2">
      <c r="B182" s="21"/>
      <c r="C182" s="21"/>
      <c r="D182" s="34"/>
      <c r="E182" s="1319" t="str">
        <f>Translations!$B$1022</f>
        <v>Saskaņā ar FAR III pielikuma 4. punktu ir vajadzīgi šādi dati:</v>
      </c>
      <c r="F182" s="1251"/>
      <c r="G182" s="1251"/>
      <c r="H182" s="1251"/>
      <c r="I182" s="1251"/>
      <c r="J182" s="1251"/>
      <c r="K182" s="1251"/>
      <c r="L182" s="1251"/>
      <c r="M182" s="1251"/>
      <c r="N182" s="1251"/>
      <c r="O182" s="25"/>
      <c r="P182" s="26"/>
    </row>
    <row r="183" spans="2:20" x14ac:dyDescent="0.2">
      <c r="B183" s="21"/>
      <c r="C183" s="21"/>
      <c r="D183" s="34"/>
      <c r="E183" s="141" t="s">
        <v>392</v>
      </c>
      <c r="F183" s="1319" t="str">
        <f>Translations!$B$1023</f>
        <v>vēsturiskais papildus ievadītais ūdeņradis katrā bāzlīnijas perioda gadā, izteikts ūdeņraža tonnās</v>
      </c>
      <c r="G183" s="1251"/>
      <c r="H183" s="1251"/>
      <c r="I183" s="1251"/>
      <c r="J183" s="1251"/>
      <c r="K183" s="1251"/>
      <c r="L183" s="1251"/>
      <c r="M183" s="1251"/>
      <c r="N183" s="1251"/>
      <c r="O183" s="25"/>
      <c r="P183" s="26"/>
    </row>
    <row r="184" spans="2:20" x14ac:dyDescent="0.2">
      <c r="B184" s="21"/>
      <c r="C184" s="21"/>
      <c r="D184" s="34"/>
      <c r="E184" s="141" t="s">
        <v>392</v>
      </c>
      <c r="F184" s="1319" t="str">
        <f>Translations!$B$1024</f>
        <v>vēsturiskais papildus ievadītais etilēns katrā bāzlīnijas perioda gadā, izteikts etilēna tonnās</v>
      </c>
      <c r="G184" s="1251"/>
      <c r="H184" s="1251"/>
      <c r="I184" s="1251"/>
      <c r="J184" s="1251"/>
      <c r="K184" s="1251"/>
      <c r="L184" s="1251"/>
      <c r="M184" s="1251"/>
      <c r="N184" s="1251"/>
      <c r="O184" s="25"/>
      <c r="P184" s="26"/>
    </row>
    <row r="185" spans="2:20" x14ac:dyDescent="0.2">
      <c r="B185" s="21"/>
      <c r="C185" s="21"/>
      <c r="D185" s="34"/>
      <c r="E185" s="141" t="s">
        <v>392</v>
      </c>
      <c r="F185" s="1319" t="str">
        <f>Translations!$B$1025</f>
        <v>citas vēsturiski ievadītās vērtīgās ķimikālijas, izņemot ūdeņradi un etilēnu, katrā bāzlīnijas perioda gadā, izteiktas HVC tonnās</v>
      </c>
      <c r="G185" s="1251"/>
      <c r="H185" s="1251"/>
      <c r="I185" s="1251"/>
      <c r="J185" s="1251"/>
      <c r="K185" s="1251"/>
      <c r="L185" s="1251"/>
      <c r="M185" s="1251"/>
      <c r="N185" s="1251"/>
      <c r="O185" s="25"/>
      <c r="P185" s="26"/>
    </row>
    <row r="186" spans="2:20" x14ac:dyDescent="0.2">
      <c r="B186" s="38"/>
      <c r="C186" s="38"/>
      <c r="D186" s="32"/>
      <c r="E186" s="1320" t="str">
        <f>Translations!$B$1026</f>
        <v>Papildu ievadmateriāli</v>
      </c>
      <c r="F186" s="1275"/>
      <c r="G186" s="1275"/>
      <c r="H186" s="52" t="str">
        <f>EUconst_Unit</f>
        <v>Vienība</v>
      </c>
      <c r="I186" s="447">
        <f>I$408</f>
        <v>2019</v>
      </c>
      <c r="J186" s="447">
        <f>J$408</f>
        <v>2020</v>
      </c>
      <c r="K186" s="447">
        <f>K$408</f>
        <v>2021</v>
      </c>
      <c r="L186" s="447">
        <f>L$408</f>
        <v>2022</v>
      </c>
      <c r="M186" s="447">
        <f>M$408</f>
        <v>2023</v>
      </c>
      <c r="N186" s="25"/>
      <c r="O186" s="25"/>
    </row>
    <row r="187" spans="2:20" x14ac:dyDescent="0.2">
      <c r="B187" s="38"/>
      <c r="C187" s="38"/>
      <c r="D187" s="38"/>
      <c r="E187" s="1541" t="str">
        <f>Translations!$B$1027</f>
        <v>Ūdeņradis</v>
      </c>
      <c r="F187" s="1541"/>
      <c r="G187" s="1541"/>
      <c r="H187" s="45" t="str">
        <f>EUconst_tpa</f>
        <v>t / gads</v>
      </c>
      <c r="I187" s="334"/>
      <c r="J187" s="334"/>
      <c r="K187" s="334"/>
      <c r="L187" s="334"/>
      <c r="M187" s="334"/>
      <c r="N187" s="25"/>
      <c r="O187" s="25"/>
    </row>
    <row r="188" spans="2:20" x14ac:dyDescent="0.2">
      <c r="B188" s="38"/>
      <c r="C188" s="38"/>
      <c r="D188" s="38"/>
      <c r="E188" s="1547" t="str">
        <f>Translations!$B$1028</f>
        <v>Etilēns</v>
      </c>
      <c r="F188" s="1547"/>
      <c r="G188" s="1547"/>
      <c r="H188" s="68" t="str">
        <f>EUconst_tpa</f>
        <v>t / gads</v>
      </c>
      <c r="I188" s="309"/>
      <c r="J188" s="309"/>
      <c r="K188" s="309"/>
      <c r="L188" s="309"/>
      <c r="M188" s="309"/>
      <c r="N188" s="25"/>
      <c r="O188" s="25"/>
    </row>
    <row r="189" spans="2:20" x14ac:dyDescent="0.2">
      <c r="B189" s="38"/>
      <c r="C189" s="38"/>
      <c r="D189" s="38"/>
      <c r="E189" s="1550" t="str">
        <f>Translations!$B$1029</f>
        <v>Citas HVC</v>
      </c>
      <c r="F189" s="1550"/>
      <c r="G189" s="1550"/>
      <c r="H189" s="48" t="str">
        <f>EUconst_tpa</f>
        <v>t / gads</v>
      </c>
      <c r="I189" s="333"/>
      <c r="J189" s="333"/>
      <c r="K189" s="333"/>
      <c r="L189" s="333"/>
      <c r="M189" s="333"/>
      <c r="N189" s="25"/>
      <c r="O189" s="25"/>
    </row>
    <row r="190" spans="2:20" ht="5.0999999999999996" customHeight="1" x14ac:dyDescent="0.2">
      <c r="B190" s="21"/>
      <c r="C190" s="21"/>
      <c r="D190" s="21"/>
      <c r="E190" s="21"/>
      <c r="F190" s="21"/>
      <c r="G190" s="21"/>
      <c r="H190" s="21"/>
      <c r="I190" s="21"/>
      <c r="J190" s="21"/>
      <c r="K190" s="21"/>
      <c r="L190" s="21"/>
      <c r="M190" s="25"/>
      <c r="N190" s="25"/>
      <c r="O190" s="25"/>
      <c r="P190" s="26"/>
    </row>
    <row r="191" spans="2:20" x14ac:dyDescent="0.2">
      <c r="B191" s="21"/>
      <c r="C191" s="21"/>
      <c r="D191" s="32" t="s">
        <v>342</v>
      </c>
      <c r="E191" s="1250" t="str">
        <f>Translations!$B$1030</f>
        <v>Rezultāts: neto HVC apakšiekārtu darbības līmeņi</v>
      </c>
      <c r="F191" s="1251"/>
      <c r="G191" s="1251"/>
      <c r="H191" s="1251"/>
      <c r="I191" s="1251"/>
      <c r="J191" s="1251"/>
      <c r="K191" s="1251"/>
      <c r="L191" s="1251"/>
      <c r="M191" s="1251"/>
      <c r="N191" s="1251"/>
      <c r="O191" s="25"/>
      <c r="P191" s="26"/>
    </row>
    <row r="192" spans="2:20" x14ac:dyDescent="0.2">
      <c r="B192" s="21"/>
      <c r="C192" s="21"/>
      <c r="D192" s="34"/>
      <c r="E192" s="1319" t="str">
        <f>Translations!$B$1688</f>
        <v>Šeit tiek aprēķināts koriģētais darbības līmenis (HVC neto daudzums), izmantojot formulu, kas dota FAR III pielikuma 4. punktā (pirms mediānas noteikšanas).</v>
      </c>
      <c r="F192" s="1251"/>
      <c r="G192" s="1251"/>
      <c r="H192" s="1251"/>
      <c r="I192" s="1251"/>
      <c r="J192" s="1251"/>
      <c r="K192" s="1251"/>
      <c r="L192" s="1251"/>
      <c r="M192" s="1251"/>
      <c r="N192" s="1251"/>
      <c r="O192" s="25"/>
      <c r="P192" s="26"/>
    </row>
    <row r="193" spans="2:24" x14ac:dyDescent="0.2">
      <c r="B193" s="21"/>
      <c r="C193" s="21"/>
      <c r="D193" s="34"/>
      <c r="E193" s="1319" t="str">
        <f>Translations!$B$1685</f>
        <v>Šā rīka rezultāts tiek izmantots lapas “F_ProductBM” rindā a) punkta ii. apakšpunktā par attiecīgo apakšiekārtu, un no tā aprēķina mediānu.</v>
      </c>
      <c r="F193" s="1251"/>
      <c r="G193" s="1251"/>
      <c r="H193" s="1251"/>
      <c r="I193" s="1251"/>
      <c r="J193" s="1251"/>
      <c r="K193" s="1251"/>
      <c r="L193" s="1251"/>
      <c r="M193" s="1251"/>
      <c r="N193" s="1251"/>
      <c r="O193" s="25"/>
      <c r="P193" s="26"/>
    </row>
    <row r="194" spans="2:24" x14ac:dyDescent="0.2">
      <c r="B194" s="38"/>
      <c r="C194" s="38"/>
      <c r="D194" s="32"/>
      <c r="E194" s="40"/>
      <c r="F194" s="40"/>
      <c r="G194" s="40"/>
      <c r="H194" s="52" t="str">
        <f>EUconst_Unit</f>
        <v>Vienība</v>
      </c>
      <c r="I194" s="447">
        <f>I$408</f>
        <v>2019</v>
      </c>
      <c r="J194" s="447">
        <f>J$408</f>
        <v>2020</v>
      </c>
      <c r="K194" s="447">
        <f>K$408</f>
        <v>2021</v>
      </c>
      <c r="L194" s="447">
        <f>L$408</f>
        <v>2022</v>
      </c>
      <c r="M194" s="447">
        <f>M$408</f>
        <v>2023</v>
      </c>
      <c r="N194" s="25"/>
      <c r="O194" s="25"/>
    </row>
    <row r="195" spans="2:24" x14ac:dyDescent="0.2">
      <c r="B195" s="38"/>
      <c r="C195" s="38"/>
      <c r="D195" s="38"/>
      <c r="E195" s="1517" t="str">
        <f>Translations!$B$1032</f>
        <v>Neto HVC ražošanas līmenis</v>
      </c>
      <c r="F195" s="1517"/>
      <c r="G195" s="1517"/>
      <c r="H195" s="66" t="str">
        <f>EUconst_tpa</f>
        <v>t / gads</v>
      </c>
      <c r="I195" s="336" t="str">
        <f>IF(ISNUMBER(I179),I179-SUM(I187:I189),"")</f>
        <v/>
      </c>
      <c r="J195" s="336" t="str">
        <f>IF(ISNUMBER(J179),J179-SUM(J187:J189),"")</f>
        <v/>
      </c>
      <c r="K195" s="336" t="str">
        <f>IF(ISNUMBER(K179),K179-SUM(K187:K189),"")</f>
        <v/>
      </c>
      <c r="L195" s="336" t="str">
        <f>IF(ISNUMBER(L179),L179-SUM(L187:L189),"")</f>
        <v/>
      </c>
      <c r="M195" s="336" t="str">
        <f>IF(ISNUMBER(M179),M179-SUM(M187:M189),"")</f>
        <v/>
      </c>
      <c r="N195" s="25"/>
      <c r="O195" s="25"/>
      <c r="P195" s="134" t="str">
        <f>IF(L172=EUconst_Relevant,EUconst_CNTR_HALspecial &amp; INDEX(EUconst_BMlistNames,MATCH(Q172,EUconst_BMlistMainNumberOfBM,0)),"")</f>
        <v/>
      </c>
    </row>
    <row r="196" spans="2:24" x14ac:dyDescent="0.2">
      <c r="B196" s="38"/>
      <c r="C196" s="38"/>
      <c r="D196" s="38"/>
      <c r="E196" s="38"/>
      <c r="F196" s="38"/>
      <c r="G196" s="38"/>
      <c r="H196" s="38"/>
      <c r="I196" s="38"/>
      <c r="J196" s="38"/>
      <c r="K196" s="38"/>
      <c r="L196" s="38"/>
      <c r="M196" s="38"/>
      <c r="N196" s="38"/>
      <c r="O196" s="25"/>
    </row>
    <row r="197" spans="2:24" ht="15" x14ac:dyDescent="0.25">
      <c r="B197" s="21"/>
      <c r="C197" s="36">
        <v>2</v>
      </c>
      <c r="D197" s="1318" t="str">
        <f>Translations!$B$1033</f>
        <v>Tvaika krekinga rīks, 2. daļa: provizoriskais iedales apjoms (FAR 19. pants)</v>
      </c>
      <c r="E197" s="1251"/>
      <c r="F197" s="1251"/>
      <c r="G197" s="1251"/>
      <c r="H197" s="1251"/>
      <c r="I197" s="1251"/>
      <c r="J197" s="1251"/>
      <c r="K197" s="1251"/>
      <c r="L197" s="1251"/>
      <c r="M197" s="1251"/>
      <c r="N197" s="1251"/>
      <c r="O197" s="25"/>
      <c r="P197" s="26"/>
    </row>
    <row r="198" spans="2:24" ht="5.0999999999999996" customHeight="1" x14ac:dyDescent="0.2">
      <c r="B198" s="21"/>
      <c r="C198" s="21"/>
      <c r="D198" s="21"/>
      <c r="E198" s="21"/>
      <c r="F198" s="21"/>
      <c r="G198" s="21"/>
      <c r="H198" s="21"/>
      <c r="I198" s="21"/>
      <c r="J198" s="21"/>
      <c r="K198" s="21"/>
      <c r="L198" s="21"/>
      <c r="M198" s="25"/>
      <c r="N198" s="25"/>
      <c r="O198" s="25"/>
      <c r="P198" s="26"/>
    </row>
    <row r="199" spans="2:24" x14ac:dyDescent="0.2">
      <c r="B199" s="21"/>
      <c r="C199" s="21"/>
      <c r="D199" s="34"/>
      <c r="E199" s="1319" t="str">
        <f>Translations!$B$1034</f>
        <v>Šis rīks palīdz noteikt provizorisko iedales apjomu tvaika krekinga apakšiekārtām (FAR 19. pants).</v>
      </c>
      <c r="F199" s="1251"/>
      <c r="G199" s="1251"/>
      <c r="H199" s="1251"/>
      <c r="I199" s="1251"/>
      <c r="J199" s="1251"/>
      <c r="K199" s="1251"/>
      <c r="L199" s="1251"/>
      <c r="M199" s="1251"/>
      <c r="N199" s="1251"/>
      <c r="O199" s="25"/>
      <c r="P199" s="26"/>
    </row>
    <row r="200" spans="2:24" x14ac:dyDescent="0.2">
      <c r="B200" s="21"/>
      <c r="C200" s="21"/>
      <c r="D200" s="34"/>
      <c r="E200" s="1319" t="str">
        <f>Translations!$B$1035</f>
        <v>Ar to nosaka, kāds daudzums ir jāpieskaita ikgadējam provizoriskajam iedales apjomam, kad ir izdarītas korekcijas, lai ņemtu vērā elektroenerģijas apmaināmību.</v>
      </c>
      <c r="F200" s="1251"/>
      <c r="G200" s="1251"/>
      <c r="H200" s="1251"/>
      <c r="I200" s="1251"/>
      <c r="J200" s="1251"/>
      <c r="K200" s="1251"/>
      <c r="L200" s="1251"/>
      <c r="M200" s="1251"/>
      <c r="N200" s="1251"/>
      <c r="O200" s="25"/>
      <c r="P200" s="26"/>
    </row>
    <row r="201" spans="2:24" x14ac:dyDescent="0.2">
      <c r="B201" s="21"/>
      <c r="C201" s="21"/>
      <c r="D201" s="34"/>
      <c r="E201" s="1319" t="str">
        <f>Translations!$B$1036</f>
        <v>Nepieciešamie dati par ūdeņraža, etilēna un citu HVC vēsturisko ražošanu no papildu ievadmateriāliem, izteikti tonnās, ņemti no IV sadaļas 1. punkta c) apakšpunkta.</v>
      </c>
      <c r="F201" s="1251"/>
      <c r="G201" s="1251"/>
      <c r="H201" s="1251"/>
      <c r="I201" s="1251"/>
      <c r="J201" s="1251"/>
      <c r="K201" s="1251"/>
      <c r="L201" s="1251"/>
      <c r="M201" s="1251"/>
      <c r="N201" s="1251"/>
      <c r="O201" s="25"/>
      <c r="P201" s="26"/>
    </row>
    <row r="202" spans="2:24" ht="5.0999999999999996" customHeight="1" x14ac:dyDescent="0.2">
      <c r="B202" s="21"/>
      <c r="C202" s="21"/>
      <c r="D202" s="21"/>
      <c r="E202" s="21"/>
      <c r="F202" s="21"/>
      <c r="G202" s="21"/>
      <c r="H202" s="21"/>
      <c r="I202" s="21"/>
      <c r="J202" s="21"/>
      <c r="K202" s="21"/>
      <c r="L202" s="21"/>
      <c r="M202" s="25"/>
      <c r="N202" s="25"/>
      <c r="O202" s="25"/>
      <c r="P202" s="26"/>
    </row>
    <row r="203" spans="2:24" ht="13.5" thickBot="1" x14ac:dyDescent="0.25">
      <c r="B203" s="21"/>
      <c r="C203" s="21"/>
      <c r="D203" s="32" t="s">
        <v>165</v>
      </c>
      <c r="E203" s="1250" t="str">
        <f>Translations!$B$1037</f>
        <v>Ražošana no papildu ievadmateriāliem:</v>
      </c>
      <c r="F203" s="1251"/>
      <c r="G203" s="1251"/>
      <c r="H203" s="1251"/>
      <c r="I203" s="1251"/>
      <c r="J203" s="1251"/>
      <c r="K203" s="1251"/>
      <c r="L203" s="1251"/>
      <c r="M203" s="1251"/>
      <c r="N203" s="1251"/>
      <c r="O203" s="25"/>
      <c r="P203" s="26"/>
    </row>
    <row r="204" spans="2:24" ht="13.5" thickBot="1" x14ac:dyDescent="0.25">
      <c r="B204" s="21"/>
      <c r="C204" s="21"/>
      <c r="D204" s="34"/>
      <c r="E204" s="1319" t="str">
        <f>Translations!$B$1038</f>
        <v>Dati ir automātiski ņemti no IV sadaļas 1. punkta c) apakšpunkta. Reizinātāji ņemti no FAR 19. panta.</v>
      </c>
      <c r="F204" s="1251"/>
      <c r="G204" s="1251"/>
      <c r="H204" s="1251"/>
      <c r="I204" s="1251"/>
      <c r="J204" s="1251"/>
      <c r="K204" s="1251"/>
      <c r="L204" s="1251"/>
      <c r="M204" s="1251"/>
      <c r="N204" s="1251"/>
      <c r="O204" s="25"/>
      <c r="P204" s="199"/>
      <c r="Q204" s="288"/>
      <c r="R204" s="187" t="s">
        <v>387</v>
      </c>
      <c r="S204" s="289"/>
      <c r="T204" s="289"/>
      <c r="U204" s="289"/>
      <c r="V204" s="289"/>
      <c r="W204" s="289"/>
      <c r="X204" s="290"/>
    </row>
    <row r="205" spans="2:24" ht="25.5" customHeight="1" x14ac:dyDescent="0.2">
      <c r="B205" s="38"/>
      <c r="C205" s="38"/>
      <c r="D205" s="32"/>
      <c r="E205" s="1320" t="str">
        <f>Translations!$B$1039</f>
        <v>Ražošana no papildu ievadmateriāliem</v>
      </c>
      <c r="F205" s="1275"/>
      <c r="G205" s="158" t="str">
        <f>Translations!$B$1040</f>
        <v>Reizinātājs
(t CO2/t)</v>
      </c>
      <c r="H205" s="52" t="str">
        <f>EUconst_Unit</f>
        <v>Vienība</v>
      </c>
      <c r="I205" s="447">
        <f>I$408</f>
        <v>2019</v>
      </c>
      <c r="J205" s="447">
        <f>J$408</f>
        <v>2020</v>
      </c>
      <c r="K205" s="447">
        <f>K$408</f>
        <v>2021</v>
      </c>
      <c r="L205" s="447">
        <f>L$408</f>
        <v>2022</v>
      </c>
      <c r="M205" s="447">
        <f>M$408</f>
        <v>2023</v>
      </c>
      <c r="N205" s="25"/>
      <c r="O205" s="25"/>
      <c r="P205" s="26"/>
      <c r="Q205" s="200"/>
      <c r="R205" s="190" t="s">
        <v>629</v>
      </c>
      <c r="S205" s="183">
        <f>I205</f>
        <v>2019</v>
      </c>
      <c r="T205" s="134">
        <f>J205</f>
        <v>2020</v>
      </c>
      <c r="U205" s="134">
        <f>K205</f>
        <v>2021</v>
      </c>
      <c r="V205" s="134">
        <f>L205</f>
        <v>2022</v>
      </c>
      <c r="W205" s="134">
        <f>M205</f>
        <v>2023</v>
      </c>
      <c r="X205" s="135"/>
    </row>
    <row r="206" spans="2:24" x14ac:dyDescent="0.2">
      <c r="B206" s="38"/>
      <c r="C206" s="38"/>
      <c r="D206" s="38"/>
      <c r="E206" s="1541" t="str">
        <f>Translations!$B$1027</f>
        <v>Ūdeņradis</v>
      </c>
      <c r="F206" s="1541"/>
      <c r="G206" s="45">
        <v>1.78</v>
      </c>
      <c r="H206" s="45" t="str">
        <f>EUconst_tpa</f>
        <v>t / gads</v>
      </c>
      <c r="I206" s="349" t="str">
        <f t="shared" ref="I206:M208" si="0">IF(ISNUMBER(I187),I187,"")</f>
        <v/>
      </c>
      <c r="J206" s="349" t="str">
        <f t="shared" si="0"/>
        <v/>
      </c>
      <c r="K206" s="349" t="str">
        <f t="shared" si="0"/>
        <v/>
      </c>
      <c r="L206" s="349" t="str">
        <f t="shared" si="0"/>
        <v/>
      </c>
      <c r="M206" s="349" t="str">
        <f t="shared" si="0"/>
        <v/>
      </c>
      <c r="N206" s="25"/>
      <c r="O206" s="25"/>
      <c r="P206" s="26"/>
      <c r="R206" s="291" t="str">
        <f>IF(COUNT(S206:X206)&gt;0,MEDIAN(S206:X206),"")</f>
        <v/>
      </c>
      <c r="S206" s="183" t="str">
        <f>IF(I$411,IF(ISNUMBER(I206),I206,""),"")</f>
        <v/>
      </c>
      <c r="T206" s="134" t="str">
        <f t="shared" ref="T206:W208" si="1">IF(J$411,IF(ISNUMBER(J206),J206,""),"")</f>
        <v/>
      </c>
      <c r="U206" s="134" t="str">
        <f t="shared" si="1"/>
        <v/>
      </c>
      <c r="V206" s="134" t="str">
        <f t="shared" si="1"/>
        <v/>
      </c>
      <c r="W206" s="134" t="str">
        <f t="shared" si="1"/>
        <v/>
      </c>
      <c r="X206" s="135"/>
    </row>
    <row r="207" spans="2:24" x14ac:dyDescent="0.2">
      <c r="B207" s="38"/>
      <c r="C207" s="38"/>
      <c r="D207" s="38"/>
      <c r="E207" s="1547" t="str">
        <f>Translations!$B$1028</f>
        <v>Etilēns</v>
      </c>
      <c r="F207" s="1547"/>
      <c r="G207" s="68">
        <v>0.24</v>
      </c>
      <c r="H207" s="68" t="str">
        <f>EUconst_tpa</f>
        <v>t / gads</v>
      </c>
      <c r="I207" s="308" t="str">
        <f t="shared" si="0"/>
        <v/>
      </c>
      <c r="J207" s="308" t="str">
        <f t="shared" si="0"/>
        <v/>
      </c>
      <c r="K207" s="308" t="str">
        <f t="shared" si="0"/>
        <v/>
      </c>
      <c r="L207" s="308" t="str">
        <f t="shared" si="0"/>
        <v/>
      </c>
      <c r="M207" s="308" t="str">
        <f t="shared" si="0"/>
        <v/>
      </c>
      <c r="N207" s="25"/>
      <c r="O207" s="25"/>
      <c r="P207" s="26"/>
      <c r="R207" s="291" t="str">
        <f>IF(COUNT(S207:X207)&gt;0,MEDIAN(S207:X207),"")</f>
        <v/>
      </c>
      <c r="S207" s="183" t="str">
        <f>IF(I$411,IF(ISNUMBER(I207),I207,""),"")</f>
        <v/>
      </c>
      <c r="T207" s="134" t="str">
        <f t="shared" si="1"/>
        <v/>
      </c>
      <c r="U207" s="134" t="str">
        <f t="shared" si="1"/>
        <v/>
      </c>
      <c r="V207" s="134" t="str">
        <f t="shared" si="1"/>
        <v/>
      </c>
      <c r="W207" s="134" t="str">
        <f t="shared" si="1"/>
        <v/>
      </c>
      <c r="X207" s="135"/>
    </row>
    <row r="208" spans="2:24" ht="13.5" thickBot="1" x14ac:dyDescent="0.25">
      <c r="B208" s="38"/>
      <c r="C208" s="38"/>
      <c r="D208" s="38"/>
      <c r="E208" s="1550" t="str">
        <f>Translations!$B$1029</f>
        <v>Citas HVC</v>
      </c>
      <c r="F208" s="1550"/>
      <c r="G208" s="48">
        <v>0.16</v>
      </c>
      <c r="H208" s="48" t="str">
        <f>EUconst_tpa</f>
        <v>t / gads</v>
      </c>
      <c r="I208" s="335" t="str">
        <f t="shared" si="0"/>
        <v/>
      </c>
      <c r="J208" s="335" t="str">
        <f t="shared" si="0"/>
        <v/>
      </c>
      <c r="K208" s="335" t="str">
        <f t="shared" si="0"/>
        <v/>
      </c>
      <c r="L208" s="335" t="str">
        <f t="shared" si="0"/>
        <v/>
      </c>
      <c r="M208" s="335" t="str">
        <f t="shared" si="0"/>
        <v/>
      </c>
      <c r="N208" s="25"/>
      <c r="O208" s="25"/>
      <c r="P208" s="26"/>
      <c r="R208" s="184" t="str">
        <f>IF(COUNT(S208:X208)&gt;0,MEDIAN(S208:X208),"")</f>
        <v/>
      </c>
      <c r="S208" s="189" t="str">
        <f>IF(I$411,IF(ISNUMBER(I208),I208,""),"")</f>
        <v/>
      </c>
      <c r="T208" s="137" t="str">
        <f t="shared" si="1"/>
        <v/>
      </c>
      <c r="U208" s="137" t="str">
        <f t="shared" si="1"/>
        <v/>
      </c>
      <c r="V208" s="137" t="str">
        <f t="shared" si="1"/>
        <v/>
      </c>
      <c r="W208" s="137" t="str">
        <f t="shared" si="1"/>
        <v/>
      </c>
      <c r="X208" s="138"/>
    </row>
    <row r="209" spans="2:23" ht="5.0999999999999996" customHeight="1" x14ac:dyDescent="0.2">
      <c r="B209" s="21"/>
      <c r="C209" s="21"/>
      <c r="D209" s="21"/>
      <c r="E209" s="21"/>
      <c r="F209" s="21"/>
      <c r="G209" s="21"/>
      <c r="H209" s="21"/>
      <c r="I209" s="21"/>
      <c r="J209" s="21"/>
      <c r="K209" s="21"/>
      <c r="L209" s="21"/>
      <c r="M209" s="25"/>
      <c r="N209" s="25"/>
      <c r="O209" s="25"/>
      <c r="P209" s="26"/>
    </row>
    <row r="210" spans="2:23" x14ac:dyDescent="0.2">
      <c r="B210" s="21"/>
      <c r="C210" s="21"/>
      <c r="D210" s="32" t="s">
        <v>339</v>
      </c>
      <c r="E210" s="1250" t="str">
        <f>Translations!$B$1041</f>
        <v>Rezultāts: daudzums, kas jāpieskaita tvaika krekinga apakšiekārtas provizoriskajam kopējam iedales apjomam</v>
      </c>
      <c r="F210" s="1251"/>
      <c r="G210" s="1251"/>
      <c r="H210" s="1251"/>
      <c r="I210" s="1251"/>
      <c r="J210" s="1251"/>
      <c r="K210" s="1251"/>
      <c r="L210" s="1251"/>
      <c r="M210" s="1251"/>
      <c r="N210" s="1251"/>
      <c r="O210" s="25"/>
      <c r="P210" s="26"/>
    </row>
    <row r="211" spans="2:23" x14ac:dyDescent="0.2">
      <c r="B211" s="21"/>
      <c r="C211" s="21"/>
      <c r="D211" s="34"/>
      <c r="E211" s="1319" t="str">
        <f>Translations!$B$1042</f>
        <v>Aprēķina pamatā ir FAR 19. pantā dotā formula.</v>
      </c>
      <c r="F211" s="1251"/>
      <c r="G211" s="1251"/>
      <c r="H211" s="1251"/>
      <c r="I211" s="1251"/>
      <c r="J211" s="1251"/>
      <c r="K211" s="1251"/>
      <c r="L211" s="1251"/>
      <c r="M211" s="1251"/>
      <c r="N211" s="1251"/>
      <c r="O211" s="25"/>
      <c r="P211" s="26"/>
    </row>
    <row r="212" spans="2:23" ht="13.5" thickBot="1" x14ac:dyDescent="0.25">
      <c r="B212" s="38"/>
      <c r="C212" s="38"/>
      <c r="D212" s="32"/>
      <c r="E212" s="65"/>
      <c r="F212" s="40"/>
      <c r="G212" s="40"/>
      <c r="H212" s="52" t="str">
        <f>EUconst_Unit</f>
        <v>Vienība</v>
      </c>
      <c r="I212" s="54"/>
      <c r="J212" s="62"/>
      <c r="K212" s="62"/>
      <c r="L212" s="62"/>
      <c r="M212" s="62"/>
      <c r="N212" s="62"/>
      <c r="O212" s="25"/>
      <c r="P212" s="20" t="s">
        <v>228</v>
      </c>
      <c r="S212" s="134">
        <f>S205</f>
        <v>2019</v>
      </c>
      <c r="T212" s="134">
        <f>T205</f>
        <v>2020</v>
      </c>
      <c r="U212" s="134">
        <f>U205</f>
        <v>2021</v>
      </c>
      <c r="V212" s="134">
        <f>V205</f>
        <v>2022</v>
      </c>
      <c r="W212" s="134">
        <f>W205</f>
        <v>2023</v>
      </c>
    </row>
    <row r="213" spans="2:23" ht="13.5" thickBot="1" x14ac:dyDescent="0.25">
      <c r="B213" s="38"/>
      <c r="C213" s="38"/>
      <c r="D213" s="38"/>
      <c r="E213" s="1517" t="str">
        <f>Translations!$B$1043</f>
        <v>Iedales apjoma korekcijas daudzums:</v>
      </c>
      <c r="F213" s="1517"/>
      <c r="G213" s="1517"/>
      <c r="H213" s="66" t="str">
        <f>EUconst_Allowances</f>
        <v>kvotas</v>
      </c>
      <c r="I213" s="307" t="str">
        <f>IF(COUNT(I206:M208)&gt;0,SUMPRODUCT(R206:R208,G206:G208),EUconst_NA)</f>
        <v>NA</v>
      </c>
      <c r="J213" s="38"/>
      <c r="K213" s="38"/>
      <c r="L213" s="38"/>
      <c r="M213" s="38"/>
      <c r="N213" s="38"/>
      <c r="O213" s="25"/>
      <c r="P213" s="169" t="str">
        <f>EUconst_CNTR_HVC</f>
        <v>HVC_</v>
      </c>
      <c r="S213" s="134" t="str">
        <f>IF(COUNT(I206:I208)&gt;0,SUMPRODUCT($G$206:$G$208,I206:I208),"")</f>
        <v/>
      </c>
      <c r="T213" s="134" t="str">
        <f>IF(COUNT(J206:J208)&gt;0,SUMPRODUCT($G$206:$G$208,J206:J208),"")</f>
        <v/>
      </c>
      <c r="U213" s="134" t="str">
        <f>IF(COUNT(K206:K208)&gt;0,SUMPRODUCT($G$206:$G$208,K206:K208),"")</f>
        <v/>
      </c>
      <c r="V213" s="134" t="str">
        <f>IF(COUNT(L206:L208)&gt;0,SUMPRODUCT($G$206:$G$208,L206:L208),"")</f>
        <v/>
      </c>
      <c r="W213" s="134" t="str">
        <f>IF(COUNT(M206:M208)&gt;0,SUMPRODUCT($G$206:$G$208,M206:M208),"")</f>
        <v/>
      </c>
    </row>
    <row r="214" spans="2:23" ht="5.0999999999999996" customHeight="1" x14ac:dyDescent="0.2">
      <c r="B214" s="21"/>
      <c r="C214" s="21"/>
      <c r="D214" s="21"/>
      <c r="E214" s="21"/>
      <c r="F214" s="21"/>
      <c r="G214" s="21"/>
      <c r="H214" s="21"/>
      <c r="I214" s="21"/>
      <c r="J214" s="21"/>
      <c r="K214" s="21"/>
      <c r="L214" s="21"/>
      <c r="M214" s="25"/>
      <c r="N214" s="25"/>
      <c r="O214" s="25"/>
      <c r="P214" s="26"/>
    </row>
    <row r="215" spans="2:23" x14ac:dyDescent="0.2">
      <c r="B215" s="21"/>
      <c r="C215" s="21"/>
      <c r="D215" s="21"/>
      <c r="E215" s="1846" t="str">
        <f>IF(L172=EUconst_Relevant,HYPERLINK(Q215,EUconst_MsgBackToSheetF),"")</f>
        <v/>
      </c>
      <c r="F215" s="1847"/>
      <c r="G215" s="1847"/>
      <c r="H215" s="1847"/>
      <c r="I215" s="1847"/>
      <c r="J215" s="1847"/>
      <c r="K215" s="1847"/>
      <c r="L215" s="1847"/>
      <c r="M215" s="1847"/>
      <c r="N215" s="1848"/>
      <c r="O215" s="25"/>
      <c r="P215" s="386" t="s">
        <v>32</v>
      </c>
      <c r="Q215" s="134" t="str">
        <f>Q174</f>
        <v/>
      </c>
    </row>
    <row r="216" spans="2:23" x14ac:dyDescent="0.2">
      <c r="B216" s="38"/>
      <c r="C216" s="38"/>
      <c r="D216" s="38"/>
      <c r="E216" s="38"/>
      <c r="F216" s="38"/>
      <c r="G216" s="38"/>
      <c r="H216" s="38"/>
      <c r="I216" s="38"/>
      <c r="J216" s="38"/>
      <c r="K216" s="38"/>
      <c r="L216" s="38"/>
      <c r="M216" s="38"/>
      <c r="N216" s="38"/>
      <c r="O216" s="25"/>
    </row>
    <row r="217" spans="2:23" ht="15.75" x14ac:dyDescent="0.25">
      <c r="B217" s="21"/>
      <c r="C217" s="30" t="s">
        <v>244</v>
      </c>
      <c r="D217" s="1249" t="str">
        <f>Translations!$B$1044</f>
        <v>CWT (aromātiskie savienojumi)</v>
      </c>
      <c r="E217" s="1249"/>
      <c r="F217" s="1249"/>
      <c r="G217" s="1249"/>
      <c r="H217" s="1249"/>
      <c r="I217" s="1249"/>
      <c r="J217" s="1249"/>
      <c r="K217" s="1249"/>
      <c r="L217" s="1249"/>
      <c r="M217" s="1249"/>
      <c r="N217" s="1249"/>
      <c r="O217" s="25"/>
      <c r="P217" s="26"/>
    </row>
    <row r="218" spans="2:23" ht="5.0999999999999996" customHeight="1" x14ac:dyDescent="0.2">
      <c r="B218" s="21"/>
      <c r="C218" s="21"/>
      <c r="D218" s="21"/>
      <c r="E218" s="21"/>
      <c r="F218" s="21"/>
      <c r="G218" s="21"/>
      <c r="H218" s="21"/>
      <c r="I218" s="21"/>
      <c r="J218" s="21"/>
      <c r="K218" s="21"/>
      <c r="L218" s="21"/>
      <c r="M218" s="25"/>
      <c r="N218" s="25"/>
      <c r="O218" s="25"/>
      <c r="P218" s="26"/>
    </row>
    <row r="219" spans="2:23" ht="15" x14ac:dyDescent="0.25">
      <c r="B219" s="21"/>
      <c r="C219" s="36"/>
      <c r="D219" s="1318" t="str">
        <f>Translations!$B$1045</f>
        <v>Rīks aromātisko savienojumu apakšiekārtu vēsturisko darbības līmeņu aprēķināšanai</v>
      </c>
      <c r="E219" s="1251"/>
      <c r="F219" s="1251"/>
      <c r="G219" s="1251"/>
      <c r="H219" s="1251"/>
      <c r="I219" s="1251"/>
      <c r="J219" s="1251"/>
      <c r="K219" s="1251"/>
      <c r="L219" s="1251"/>
      <c r="M219" s="1251"/>
      <c r="N219" s="1251"/>
      <c r="O219" s="25"/>
      <c r="P219" s="26"/>
    </row>
    <row r="220" spans="2:23" ht="5.0999999999999996" customHeight="1" x14ac:dyDescent="0.2">
      <c r="B220" s="21"/>
      <c r="C220" s="21"/>
      <c r="D220" s="21"/>
      <c r="E220" s="21"/>
      <c r="F220" s="21"/>
      <c r="G220" s="21"/>
      <c r="H220" s="21"/>
      <c r="I220" s="21"/>
      <c r="J220" s="21"/>
      <c r="K220" s="21"/>
      <c r="L220" s="21"/>
      <c r="M220" s="25"/>
      <c r="N220" s="25"/>
      <c r="O220" s="25"/>
      <c r="P220" s="26"/>
    </row>
    <row r="221" spans="2:23" x14ac:dyDescent="0.2">
      <c r="B221" s="21"/>
      <c r="C221" s="21"/>
      <c r="D221" s="34"/>
      <c r="E221" s="1319" t="str">
        <f>Translations!$B$1046</f>
        <v>Šis rīks palīdz noteikt HAL (vēsturiskos darbības līmeņus) aromātisko savienojumu līmeņatzīmei (FAR III pielikuma 5. punkts).</v>
      </c>
      <c r="F221" s="1251"/>
      <c r="G221" s="1251"/>
      <c r="H221" s="1251"/>
      <c r="I221" s="1251"/>
      <c r="J221" s="1251"/>
      <c r="K221" s="1251"/>
      <c r="L221" s="1251"/>
      <c r="M221" s="1251"/>
      <c r="N221" s="1251"/>
      <c r="O221" s="25"/>
      <c r="P221" s="26"/>
    </row>
    <row r="222" spans="2:23" x14ac:dyDescent="0.2">
      <c r="B222" s="21"/>
      <c r="C222" s="21"/>
      <c r="D222" s="34"/>
      <c r="E222" s="1319" t="str">
        <f>Translations!$B$1047</f>
        <v>Attiecībā uz rafinētavas līmeņatzīmi (arī tās gadījumā izmanto CWT) izmantojiet specifisko CWT rīku rafinētavām (šīs lapas I sadaļa).</v>
      </c>
      <c r="F222" s="1251"/>
      <c r="G222" s="1251"/>
      <c r="H222" s="1251"/>
      <c r="I222" s="1251"/>
      <c r="J222" s="1251"/>
      <c r="K222" s="1251"/>
      <c r="L222" s="1251"/>
      <c r="M222" s="1251"/>
      <c r="N222" s="1251"/>
      <c r="O222" s="25"/>
      <c r="P222" s="26"/>
    </row>
    <row r="223" spans="2:23" x14ac:dyDescent="0.2">
      <c r="B223" s="21"/>
      <c r="C223" s="21"/>
      <c r="D223" s="34"/>
      <c r="E223" s="1319" t="str">
        <f>Translations!$B$907</f>
        <v>Ar šo rīku iegūtais rezultāts tiek automātiski iekopēts lapas “F_ProductBM” rindā a) punkta ii. apakšpunktā par attiecīgo apakšiekārtu.</v>
      </c>
      <c r="F223" s="1251"/>
      <c r="G223" s="1251"/>
      <c r="H223" s="1251"/>
      <c r="I223" s="1251"/>
      <c r="J223" s="1251"/>
      <c r="K223" s="1251"/>
      <c r="L223" s="1251"/>
      <c r="M223" s="1251"/>
      <c r="N223" s="1251"/>
      <c r="O223" s="25"/>
      <c r="P223" s="26"/>
    </row>
    <row r="224" spans="2:23" ht="5.0999999999999996" customHeight="1" x14ac:dyDescent="0.2">
      <c r="B224" s="21"/>
      <c r="C224" s="21"/>
      <c r="D224" s="21"/>
      <c r="E224" s="21"/>
      <c r="F224" s="21"/>
      <c r="G224" s="21"/>
      <c r="H224" s="21"/>
      <c r="I224" s="21"/>
      <c r="J224" s="21"/>
      <c r="K224" s="21"/>
      <c r="L224" s="21"/>
      <c r="M224" s="25"/>
      <c r="N224" s="25"/>
      <c r="O224" s="25"/>
      <c r="P224" s="26"/>
    </row>
    <row r="225" spans="2:20" ht="15" x14ac:dyDescent="0.25">
      <c r="B225" s="21"/>
      <c r="C225" s="21"/>
      <c r="D225" s="32" t="s">
        <v>165</v>
      </c>
      <c r="E225" s="1250" t="str">
        <f>Translations!$B$908</f>
        <v>Šā rīka relevantums jūsu iekārtai:</v>
      </c>
      <c r="F225" s="1250"/>
      <c r="G225" s="1250"/>
      <c r="H225" s="1250"/>
      <c r="I225" s="1250"/>
      <c r="J225" s="1250"/>
      <c r="K225" s="1524"/>
      <c r="L225" s="1849" t="str">
        <f>IF(CNTR_ExistSubInstEntries,IF(COUNTIF(CNTR_SubInstListNames,INDEX(EUconst_BMlistNames,MATCH(Q225,EUconst_BMlistMainNumberOfBM,0)))&gt;0,EUconst_Relevant,EUconst_NotRelevant),"")</f>
        <v/>
      </c>
      <c r="M225" s="1850"/>
      <c r="N225" s="1851"/>
      <c r="O225" s="25"/>
      <c r="P225" s="386" t="s">
        <v>33</v>
      </c>
      <c r="Q225" s="366">
        <v>43</v>
      </c>
    </row>
    <row r="226" spans="2:20" x14ac:dyDescent="0.2">
      <c r="B226" s="21"/>
      <c r="C226" s="21"/>
      <c r="D226" s="34"/>
      <c r="E226" s="1274" t="str">
        <f>Translations!$B$909</f>
        <v>Šis ziņojums tiek automātiski ģenerēts, balstoties uz datiem, ko ievadījāt lapas “A_InstallationData” III sadaļas 1. punktā.</v>
      </c>
      <c r="F226" s="1275"/>
      <c r="G226" s="1275"/>
      <c r="H226" s="1275"/>
      <c r="I226" s="1275"/>
      <c r="J226" s="1275"/>
      <c r="K226" s="1275"/>
      <c r="L226" s="1275"/>
      <c r="M226" s="1275"/>
      <c r="N226" s="1275"/>
      <c r="O226" s="25"/>
      <c r="P226" s="26"/>
    </row>
    <row r="227" spans="2:20" x14ac:dyDescent="0.2">
      <c r="B227" s="21"/>
      <c r="C227" s="21"/>
      <c r="D227" s="21"/>
      <c r="E227" s="1846" t="str">
        <f>IF(L225=EUconst_Relevant,HYPERLINK(Q227,EUconst_MsgBackToSheetF),"")</f>
        <v/>
      </c>
      <c r="F227" s="1847"/>
      <c r="G227" s="1847"/>
      <c r="H227" s="1847"/>
      <c r="I227" s="1847"/>
      <c r="J227" s="1847"/>
      <c r="K227" s="1847"/>
      <c r="L227" s="1847"/>
      <c r="M227" s="1847"/>
      <c r="N227" s="1848"/>
      <c r="O227" s="25"/>
      <c r="P227" s="386" t="s">
        <v>32</v>
      </c>
      <c r="Q227" s="134" t="str">
        <f>IF(ISNUMBER(MATCH(Q225,CNTR_SubInstListBMnumbers,0)),"#JUMP_F"&amp;MATCH(Q225,CNTR_SubInstListBMnumbers,0),"")</f>
        <v/>
      </c>
    </row>
    <row r="228" spans="2:20" ht="5.0999999999999996" customHeight="1" x14ac:dyDescent="0.2">
      <c r="B228" s="21"/>
      <c r="C228" s="21"/>
      <c r="D228" s="21"/>
      <c r="E228" s="21"/>
      <c r="F228" s="21"/>
      <c r="G228" s="21"/>
      <c r="H228" s="21"/>
      <c r="I228" s="21"/>
      <c r="J228" s="21"/>
      <c r="K228" s="21"/>
      <c r="L228" s="21"/>
      <c r="M228" s="25"/>
      <c r="N228" s="25"/>
      <c r="O228" s="25"/>
      <c r="P228" s="26"/>
    </row>
    <row r="229" spans="2:20" x14ac:dyDescent="0.2">
      <c r="B229" s="21"/>
      <c r="C229" s="21"/>
      <c r="D229" s="32" t="s">
        <v>339</v>
      </c>
      <c r="E229" s="1250" t="str">
        <f>Translations!$B$910</f>
        <v>CWT caurlaiduma dati</v>
      </c>
      <c r="F229" s="1251"/>
      <c r="G229" s="1251"/>
      <c r="H229" s="1251"/>
      <c r="I229" s="1251"/>
      <c r="J229" s="1251"/>
      <c r="K229" s="1251"/>
      <c r="L229" s="1251"/>
      <c r="M229" s="1251"/>
      <c r="N229" s="1251"/>
      <c r="O229" s="25"/>
      <c r="P229" s="26"/>
    </row>
    <row r="230" spans="2:20" x14ac:dyDescent="0.2">
      <c r="B230" s="21"/>
      <c r="C230" s="21"/>
      <c r="D230" s="34"/>
      <c r="E230" s="1319" t="str">
        <f>Translations!$B$911</f>
        <v>Šeit ievadiet katras CWT funkcijas ikgadējā caurlaiduma datus.</v>
      </c>
      <c r="F230" s="1251"/>
      <c r="G230" s="1251"/>
      <c r="H230" s="1251"/>
      <c r="I230" s="1251"/>
      <c r="J230" s="1251"/>
      <c r="K230" s="1251"/>
      <c r="L230" s="1251"/>
      <c r="M230" s="1251"/>
      <c r="N230" s="1251"/>
      <c r="O230" s="25"/>
      <c r="P230" s="26"/>
    </row>
    <row r="231" spans="2:20" x14ac:dyDescent="0.2">
      <c r="B231" s="21"/>
      <c r="C231" s="21"/>
      <c r="D231" s="34"/>
      <c r="E231" s="1319" t="str">
        <f>Translations!$B$1048</f>
        <v>Katras CWT funkcijas definīcija un robežas ir atrodamas FAR II pielikuma 2. punktā.</v>
      </c>
      <c r="F231" s="1251"/>
      <c r="G231" s="1251"/>
      <c r="H231" s="1251"/>
      <c r="I231" s="1251"/>
      <c r="J231" s="1251"/>
      <c r="K231" s="1251"/>
      <c r="L231" s="1251"/>
      <c r="M231" s="1251"/>
      <c r="N231" s="1251"/>
      <c r="O231" s="25"/>
      <c r="P231" s="26"/>
    </row>
    <row r="232" spans="2:20" x14ac:dyDescent="0.2">
      <c r="B232" s="21"/>
      <c r="C232" s="21"/>
      <c r="D232" s="34"/>
      <c r="E232" s="1319" t="str">
        <f>Translations!$B$913</f>
        <v>Bāzei izmanto šādus saīsinājumus:</v>
      </c>
      <c r="F232" s="1251"/>
      <c r="G232" s="1251"/>
      <c r="H232" s="1251"/>
      <c r="I232" s="1251"/>
      <c r="J232" s="1251"/>
      <c r="K232" s="1251"/>
      <c r="L232" s="1251"/>
      <c r="M232" s="1251"/>
      <c r="N232" s="1251"/>
      <c r="O232" s="25"/>
      <c r="P232" s="26"/>
    </row>
    <row r="233" spans="2:20" x14ac:dyDescent="0.2">
      <c r="B233" s="21"/>
      <c r="C233" s="21"/>
      <c r="D233" s="34"/>
      <c r="E233" s="153" t="s">
        <v>90</v>
      </c>
      <c r="F233" s="1319" t="str">
        <f>Translations!$B$914</f>
        <v>neto svaigais ievadmateriāls</v>
      </c>
      <c r="G233" s="1251"/>
      <c r="H233" s="1251"/>
      <c r="I233" s="1251"/>
      <c r="J233" s="1251"/>
      <c r="K233" s="1251"/>
      <c r="L233" s="1251"/>
      <c r="M233" s="1251"/>
      <c r="N233" s="1251"/>
      <c r="O233" s="25"/>
      <c r="P233" s="26"/>
    </row>
    <row r="234" spans="2:20" x14ac:dyDescent="0.2">
      <c r="B234" s="21"/>
      <c r="C234" s="21"/>
      <c r="D234" s="34"/>
      <c r="E234" s="153" t="s">
        <v>146</v>
      </c>
      <c r="F234" s="1319" t="str">
        <f>Translations!$B$916</f>
        <v>produkta ievadmateriāls</v>
      </c>
      <c r="G234" s="1251"/>
      <c r="H234" s="1251"/>
      <c r="I234" s="1251"/>
      <c r="J234" s="1251"/>
      <c r="K234" s="1251"/>
      <c r="L234" s="1251"/>
      <c r="M234" s="1251"/>
      <c r="N234" s="1251"/>
      <c r="O234" s="25"/>
      <c r="P234" s="26"/>
    </row>
    <row r="235" spans="2:20" x14ac:dyDescent="0.2">
      <c r="B235" s="21"/>
      <c r="C235" s="21"/>
      <c r="D235" s="35"/>
      <c r="E235" s="1343" t="str">
        <f>Translations!$B$918</f>
        <v>Svarīga piezīme.  Saskaņā ar FAR II pielikumu caurlaidums jāizsaka kilotonnās.</v>
      </c>
      <c r="F235" s="1251"/>
      <c r="G235" s="1251"/>
      <c r="H235" s="1251"/>
      <c r="I235" s="1251"/>
      <c r="J235" s="1251"/>
      <c r="K235" s="1251"/>
      <c r="L235" s="1251"/>
      <c r="M235" s="1251"/>
      <c r="N235" s="1251"/>
      <c r="O235" s="25"/>
      <c r="P235" s="26"/>
    </row>
    <row r="236" spans="2:20" ht="5.0999999999999996" customHeight="1" x14ac:dyDescent="0.2">
      <c r="B236" s="21"/>
      <c r="C236" s="21"/>
      <c r="D236" s="21"/>
      <c r="E236" s="21"/>
      <c r="F236" s="21"/>
      <c r="G236" s="21"/>
      <c r="H236" s="21"/>
      <c r="I236" s="21"/>
      <c r="J236" s="21"/>
      <c r="K236" s="21"/>
      <c r="L236" s="21"/>
      <c r="M236" s="25"/>
      <c r="N236" s="25"/>
      <c r="O236" s="25"/>
      <c r="P236" s="26"/>
    </row>
    <row r="237" spans="2:20" x14ac:dyDescent="0.2">
      <c r="B237" s="38"/>
      <c r="C237" s="38"/>
      <c r="D237" s="38"/>
      <c r="E237" s="1515" t="str">
        <f>Translations!$B$919</f>
        <v>CWT funkcija</v>
      </c>
      <c r="F237" s="1515"/>
      <c r="G237" s="65" t="str">
        <f>Translations!$B$920</f>
        <v>Bāze (kt/a)</v>
      </c>
      <c r="H237" s="150" t="str">
        <f>Translations!$B$921</f>
        <v>CWT koeficients</v>
      </c>
      <c r="I237" s="447">
        <f>I$408</f>
        <v>2019</v>
      </c>
      <c r="J237" s="447">
        <f>J$408</f>
        <v>2020</v>
      </c>
      <c r="K237" s="447">
        <f>K$408</f>
        <v>2021</v>
      </c>
      <c r="L237" s="447">
        <f>L$408</f>
        <v>2022</v>
      </c>
      <c r="M237" s="447">
        <f>M$408</f>
        <v>2023</v>
      </c>
      <c r="N237" s="25"/>
      <c r="O237" s="25"/>
      <c r="S237" s="386" t="s">
        <v>574</v>
      </c>
      <c r="T237" s="453" t="str">
        <f>IF(L225&lt;&gt;EUconst_Relevant,"",INDEX(CNTR_SubInstLess1Year,MATCH(Q225,CNTR_SubInstListBMnumbers,0)))</f>
        <v/>
      </c>
    </row>
    <row r="238" spans="2:20" ht="25.5" customHeight="1" x14ac:dyDescent="0.2">
      <c r="B238" s="38"/>
      <c r="C238" s="38"/>
      <c r="D238" s="38"/>
      <c r="E238" s="1547" t="str">
        <f>Translations!$B$1049</f>
        <v>Jēlbenzīna/benzīna hidrotīrītājs</v>
      </c>
      <c r="F238" s="1547"/>
      <c r="G238" s="46" t="s">
        <v>90</v>
      </c>
      <c r="H238" s="151">
        <v>1.1000000000000001</v>
      </c>
      <c r="I238" s="306"/>
      <c r="J238" s="306"/>
      <c r="K238" s="306"/>
      <c r="L238" s="306"/>
      <c r="M238" s="306"/>
      <c r="N238" s="25"/>
      <c r="O238" s="25"/>
    </row>
    <row r="239" spans="2:20" x14ac:dyDescent="0.2">
      <c r="B239" s="38"/>
      <c r="C239" s="38"/>
      <c r="D239" s="38"/>
      <c r="E239" s="1547" t="str">
        <f>Translations!$B$949</f>
        <v>Aromātisko savienojumu ekstrahēšana ar šķīdinātājiem</v>
      </c>
      <c r="F239" s="1547"/>
      <c r="G239" s="46" t="s">
        <v>90</v>
      </c>
      <c r="H239" s="151">
        <v>5.25</v>
      </c>
      <c r="I239" s="306"/>
      <c r="J239" s="306"/>
      <c r="K239" s="306"/>
      <c r="L239" s="306"/>
      <c r="M239" s="306"/>
      <c r="N239" s="25"/>
      <c r="O239" s="25"/>
    </row>
    <row r="240" spans="2:20" x14ac:dyDescent="0.2">
      <c r="B240" s="38"/>
      <c r="C240" s="38"/>
      <c r="D240" s="38"/>
      <c r="E240" s="1547" t="str">
        <f>Translations!$B$951</f>
        <v>TDP/TDA</v>
      </c>
      <c r="F240" s="1547"/>
      <c r="G240" s="46" t="s">
        <v>90</v>
      </c>
      <c r="H240" s="151">
        <v>1.85</v>
      </c>
      <c r="I240" s="306"/>
      <c r="J240" s="306"/>
      <c r="K240" s="306"/>
      <c r="L240" s="306"/>
      <c r="M240" s="306"/>
      <c r="N240" s="25"/>
      <c r="O240" s="25"/>
    </row>
    <row r="241" spans="2:17" x14ac:dyDescent="0.2">
      <c r="B241" s="38"/>
      <c r="C241" s="38"/>
      <c r="D241" s="38"/>
      <c r="E241" s="1547" t="str">
        <f>Translations!$B$950</f>
        <v>Hidrodealkilēšana</v>
      </c>
      <c r="F241" s="1547"/>
      <c r="G241" s="46" t="s">
        <v>90</v>
      </c>
      <c r="H241" s="151">
        <v>2.4500000000000002</v>
      </c>
      <c r="I241" s="306"/>
      <c r="J241" s="306"/>
      <c r="K241" s="306"/>
      <c r="L241" s="306"/>
      <c r="M241" s="306"/>
      <c r="N241" s="25"/>
      <c r="O241" s="25"/>
    </row>
    <row r="242" spans="2:17" x14ac:dyDescent="0.2">
      <c r="B242" s="38"/>
      <c r="C242" s="38"/>
      <c r="D242" s="38"/>
      <c r="E242" s="1547" t="str">
        <f>Translations!$B$953</f>
        <v>Ksilola izomerizācija</v>
      </c>
      <c r="F242" s="1547"/>
      <c r="G242" s="46" t="s">
        <v>90</v>
      </c>
      <c r="H242" s="151">
        <v>1.85</v>
      </c>
      <c r="I242" s="306"/>
      <c r="J242" s="306"/>
      <c r="K242" s="306"/>
      <c r="L242" s="306"/>
      <c r="M242" s="306"/>
      <c r="N242" s="25"/>
      <c r="O242" s="25"/>
    </row>
    <row r="243" spans="2:17" x14ac:dyDescent="0.2">
      <c r="B243" s="38"/>
      <c r="C243" s="38"/>
      <c r="D243" s="38"/>
      <c r="E243" s="1547" t="str">
        <f>Translations!$B$954</f>
        <v>Paraksilola ražošana</v>
      </c>
      <c r="F243" s="1547"/>
      <c r="G243" s="46" t="s">
        <v>146</v>
      </c>
      <c r="H243" s="151">
        <v>6.4</v>
      </c>
      <c r="I243" s="306"/>
      <c r="J243" s="306"/>
      <c r="K243" s="306"/>
      <c r="L243" s="306"/>
      <c r="M243" s="306"/>
      <c r="N243" s="25"/>
      <c r="O243" s="25"/>
    </row>
    <row r="244" spans="2:17" x14ac:dyDescent="0.2">
      <c r="B244" s="38"/>
      <c r="C244" s="38"/>
      <c r="D244" s="38"/>
      <c r="E244" s="1547" t="str">
        <f>Translations!$B$952</f>
        <v>Cikloheksāna ražošana</v>
      </c>
      <c r="F244" s="1547"/>
      <c r="G244" s="46" t="s">
        <v>146</v>
      </c>
      <c r="H244" s="151">
        <v>3</v>
      </c>
      <c r="I244" s="306"/>
      <c r="J244" s="306"/>
      <c r="K244" s="306"/>
      <c r="L244" s="306"/>
      <c r="M244" s="306"/>
      <c r="N244" s="25"/>
      <c r="O244" s="25"/>
    </row>
    <row r="245" spans="2:17" x14ac:dyDescent="0.2">
      <c r="B245" s="38"/>
      <c r="C245" s="38"/>
      <c r="D245" s="38"/>
      <c r="E245" s="1550" t="str">
        <f>Translations!$B$959</f>
        <v>Kumola ražošana</v>
      </c>
      <c r="F245" s="1550"/>
      <c r="G245" s="48" t="s">
        <v>146</v>
      </c>
      <c r="H245" s="152">
        <v>5</v>
      </c>
      <c r="I245" s="305"/>
      <c r="J245" s="305"/>
      <c r="K245" s="305"/>
      <c r="L245" s="305"/>
      <c r="M245" s="305"/>
      <c r="N245" s="25"/>
      <c r="O245" s="25"/>
    </row>
    <row r="246" spans="2:17" ht="5.0999999999999996" customHeight="1" x14ac:dyDescent="0.2">
      <c r="B246" s="21"/>
      <c r="C246" s="21"/>
      <c r="D246" s="21"/>
      <c r="E246" s="21"/>
      <c r="F246" s="21"/>
      <c r="G246" s="21"/>
      <c r="H246" s="21"/>
      <c r="I246" s="21"/>
      <c r="J246" s="21"/>
      <c r="K246" s="21"/>
      <c r="L246" s="21"/>
      <c r="M246" s="25"/>
      <c r="N246" s="38"/>
      <c r="O246" s="25"/>
      <c r="P246" s="26"/>
    </row>
    <row r="247" spans="2:17" x14ac:dyDescent="0.2">
      <c r="B247" s="21"/>
      <c r="C247" s="21"/>
      <c r="D247" s="32" t="s">
        <v>11</v>
      </c>
      <c r="E247" s="1250" t="str">
        <f>Translations!$B$1050</f>
        <v>Rezultāts: aromātisko savienojumu līmeņatzīmes darbības līmeņi, izteikti CWT</v>
      </c>
      <c r="F247" s="1251"/>
      <c r="G247" s="1251"/>
      <c r="H247" s="1251"/>
      <c r="I247" s="1251"/>
      <c r="J247" s="1251"/>
      <c r="K247" s="1251"/>
      <c r="L247" s="1251"/>
      <c r="M247" s="1251"/>
      <c r="N247" s="1251"/>
      <c r="O247" s="25"/>
      <c r="P247" s="26"/>
    </row>
    <row r="248" spans="2:17" x14ac:dyDescent="0.2">
      <c r="B248" s="21"/>
      <c r="C248" s="21"/>
      <c r="D248" s="34"/>
      <c r="E248" s="1319" t="str">
        <f>Translations!$B$1689</f>
        <v>Šeit tiek aprēķināts aromātisko savienojumu līmeņatzīmes darbības līmenis, izmantojot formulu, kas dota FAR III pielikuma 5. punktā (pirms mediānas noteikšanas).</v>
      </c>
      <c r="F248" s="1251"/>
      <c r="G248" s="1251"/>
      <c r="H248" s="1251"/>
      <c r="I248" s="1251"/>
      <c r="J248" s="1251"/>
      <c r="K248" s="1251"/>
      <c r="L248" s="1251"/>
      <c r="M248" s="1251"/>
      <c r="N248" s="1251"/>
      <c r="O248" s="25"/>
      <c r="P248" s="26"/>
    </row>
    <row r="249" spans="2:17" x14ac:dyDescent="0.2">
      <c r="B249" s="21"/>
      <c r="C249" s="21"/>
      <c r="D249" s="34"/>
      <c r="E249" s="1343" t="str">
        <f>Translations!$B$1052</f>
        <v>Svarīga piezīme. Šos datus paziņo, izteiktus kilotonnās, bet līmeņatzīmi izsaka t CO2/CWT, kur CWT ir izteikta tonnās.</v>
      </c>
      <c r="F249" s="1251"/>
      <c r="G249" s="1251"/>
      <c r="H249" s="1251"/>
      <c r="I249" s="1251"/>
      <c r="J249" s="1251"/>
      <c r="K249" s="1251"/>
      <c r="L249" s="1251"/>
      <c r="M249" s="1251"/>
      <c r="N249" s="1251"/>
      <c r="O249" s="25"/>
      <c r="P249" s="26"/>
    </row>
    <row r="250" spans="2:17" x14ac:dyDescent="0.2">
      <c r="B250" s="21"/>
      <c r="C250" s="21"/>
      <c r="D250" s="34"/>
      <c r="E250" s="1343" t="str">
        <f>Translations!$B$1053</f>
        <v>Tāpēc zemāk redzamais rezultāts ir reizināts ar koeficientu 1000, kas nav skaidri minēts FAR III pielikuma 5. punktā.</v>
      </c>
      <c r="F250" s="1251"/>
      <c r="G250" s="1251"/>
      <c r="H250" s="1251"/>
      <c r="I250" s="1251"/>
      <c r="J250" s="1251"/>
      <c r="K250" s="1251"/>
      <c r="L250" s="1251"/>
      <c r="M250" s="1251"/>
      <c r="N250" s="1251"/>
      <c r="O250" s="25"/>
      <c r="P250" s="26"/>
    </row>
    <row r="251" spans="2:17" x14ac:dyDescent="0.2">
      <c r="B251" s="21"/>
      <c r="C251" s="21"/>
      <c r="D251" s="34"/>
      <c r="E251" s="1319" t="str">
        <f>Translations!$B$1685</f>
        <v>Šā rīka rezultāts tiek izmantots lapas “F_ProductBM” rindā a) punkta ii. apakšpunktā par attiecīgo apakšiekārtu, un no tā aprēķina mediānu.</v>
      </c>
      <c r="F251" s="1251"/>
      <c r="G251" s="1251"/>
      <c r="H251" s="1251"/>
      <c r="I251" s="1251"/>
      <c r="J251" s="1251"/>
      <c r="K251" s="1251"/>
      <c r="L251" s="1251"/>
      <c r="M251" s="1251"/>
      <c r="N251" s="1251"/>
      <c r="O251" s="25"/>
      <c r="P251" s="26"/>
    </row>
    <row r="252" spans="2:17" x14ac:dyDescent="0.2">
      <c r="B252" s="38"/>
      <c r="C252" s="38"/>
      <c r="D252" s="32"/>
      <c r="E252" s="40"/>
      <c r="F252" s="40"/>
      <c r="G252" s="40"/>
      <c r="H252" s="52" t="str">
        <f>EUconst_Unit</f>
        <v>Vienība</v>
      </c>
      <c r="I252" s="447">
        <f>I$408</f>
        <v>2019</v>
      </c>
      <c r="J252" s="447">
        <f>J$408</f>
        <v>2020</v>
      </c>
      <c r="K252" s="447">
        <f>K$408</f>
        <v>2021</v>
      </c>
      <c r="L252" s="447">
        <f>L$408</f>
        <v>2022</v>
      </c>
      <c r="M252" s="447">
        <f>M$408</f>
        <v>2023</v>
      </c>
      <c r="N252" s="25"/>
      <c r="O252" s="25"/>
    </row>
    <row r="253" spans="2:17" x14ac:dyDescent="0.2">
      <c r="B253" s="38"/>
      <c r="C253" s="38"/>
      <c r="D253" s="38"/>
      <c r="E253" s="1516" t="str">
        <f>Translations!$B$1054</f>
        <v>Aromātisko savienojumu līmeņatzīmes darbības līmenis</v>
      </c>
      <c r="F253" s="1516"/>
      <c r="G253" s="1516"/>
      <c r="H253" s="156" t="str">
        <f>EUconst_CWTpa</f>
        <v>CWT / gads</v>
      </c>
      <c r="I253" s="336" t="str">
        <f>IF(COUNT(I238:I245)&gt;0,1000*SUMPRODUCT($H238:$H245,I238:I245),"")</f>
        <v/>
      </c>
      <c r="J253" s="336" t="str">
        <f>IF(COUNT(J238:J245)&gt;0,1000*SUMPRODUCT($H238:$H245,J238:J245),"")</f>
        <v/>
      </c>
      <c r="K253" s="336" t="str">
        <f>IF(COUNT(K238:K245)&gt;0,1000*SUMPRODUCT($H238:$H245,K238:K245),"")</f>
        <v/>
      </c>
      <c r="L253" s="336" t="str">
        <f>IF(COUNT(L238:L245)&gt;0,1000*SUMPRODUCT($H238:$H245,L238:L245),"")</f>
        <v/>
      </c>
      <c r="M253" s="336" t="str">
        <f>IF(COUNT(M238:M245)&gt;0,1000*SUMPRODUCT($H238:$H245,M238:M245),"")</f>
        <v/>
      </c>
      <c r="N253" s="25"/>
      <c r="O253" s="25"/>
      <c r="P253" s="134" t="str">
        <f>IF(L225=EUconst_Relevant,EUconst_CNTR_HALspecial &amp; INDEX(EUconst_BMlistNames,MATCH(Q225,EUconst_BMlistMainNumberOfBM,0)),"")</f>
        <v/>
      </c>
    </row>
    <row r="254" spans="2:17" ht="5.0999999999999996" customHeight="1" x14ac:dyDescent="0.2">
      <c r="B254" s="21"/>
      <c r="C254" s="21"/>
      <c r="D254" s="21"/>
      <c r="E254" s="21"/>
      <c r="F254" s="21"/>
      <c r="G254" s="21"/>
      <c r="H254" s="21"/>
      <c r="I254" s="21"/>
      <c r="J254" s="21"/>
      <c r="K254" s="21"/>
      <c r="L254" s="21"/>
      <c r="M254" s="25"/>
      <c r="N254" s="25"/>
      <c r="O254" s="25"/>
      <c r="P254" s="26"/>
    </row>
    <row r="255" spans="2:17" x14ac:dyDescent="0.2">
      <c r="B255" s="21"/>
      <c r="C255" s="21"/>
      <c r="D255" s="21"/>
      <c r="E255" s="1846" t="str">
        <f>IF(L225=EUconst_Relevant,HYPERLINK(Q255,EUconst_MsgBackToSheetF),"")</f>
        <v/>
      </c>
      <c r="F255" s="1847"/>
      <c r="G255" s="1847"/>
      <c r="H255" s="1847"/>
      <c r="I255" s="1847"/>
      <c r="J255" s="1847"/>
      <c r="K255" s="1847"/>
      <c r="L255" s="1847"/>
      <c r="M255" s="1847"/>
      <c r="N255" s="1848"/>
      <c r="O255" s="25"/>
      <c r="P255" s="386" t="s">
        <v>32</v>
      </c>
      <c r="Q255" s="134" t="str">
        <f>Q227</f>
        <v/>
      </c>
    </row>
    <row r="256" spans="2:17" x14ac:dyDescent="0.2">
      <c r="B256" s="38"/>
      <c r="C256" s="38"/>
      <c r="D256" s="38"/>
      <c r="E256" s="38"/>
      <c r="F256" s="38"/>
      <c r="G256" s="38"/>
      <c r="H256" s="38"/>
      <c r="I256" s="38"/>
      <c r="J256" s="38"/>
      <c r="K256" s="38"/>
      <c r="L256" s="38"/>
      <c r="M256" s="38"/>
      <c r="N256" s="38"/>
      <c r="O256" s="25"/>
    </row>
    <row r="257" spans="2:20" ht="15.75" x14ac:dyDescent="0.25">
      <c r="B257" s="21"/>
      <c r="C257" s="30" t="s">
        <v>14</v>
      </c>
      <c r="D257" s="1249" t="str">
        <f>Translations!$B$1027</f>
        <v>Ūdeņradis</v>
      </c>
      <c r="E257" s="1249"/>
      <c r="F257" s="1249"/>
      <c r="G257" s="1249"/>
      <c r="H257" s="1249"/>
      <c r="I257" s="1249"/>
      <c r="J257" s="1249"/>
      <c r="K257" s="1249"/>
      <c r="L257" s="1249"/>
      <c r="M257" s="1249"/>
      <c r="N257" s="1249"/>
      <c r="O257" s="25"/>
      <c r="P257" s="26"/>
    </row>
    <row r="258" spans="2:20" ht="5.0999999999999996" customHeight="1" x14ac:dyDescent="0.2">
      <c r="B258" s="21"/>
      <c r="C258" s="21"/>
      <c r="D258" s="21"/>
      <c r="E258" s="21"/>
      <c r="F258" s="21"/>
      <c r="G258" s="21"/>
      <c r="H258" s="21"/>
      <c r="I258" s="21"/>
      <c r="J258" s="21"/>
      <c r="K258" s="21"/>
      <c r="L258" s="21"/>
      <c r="M258" s="25"/>
      <c r="N258" s="25"/>
      <c r="O258" s="25"/>
      <c r="P258" s="26"/>
    </row>
    <row r="259" spans="2:20" ht="15" x14ac:dyDescent="0.25">
      <c r="B259" s="21"/>
      <c r="C259" s="36"/>
      <c r="D259" s="1318" t="str">
        <f>Translations!$B$1055</f>
        <v>Rīks ūdeņraža apakšiekārtu vēsturisko darbības līmeņu aprēķināšanai</v>
      </c>
      <c r="E259" s="1251"/>
      <c r="F259" s="1251"/>
      <c r="G259" s="1251"/>
      <c r="H259" s="1251"/>
      <c r="I259" s="1251"/>
      <c r="J259" s="1251"/>
      <c r="K259" s="1251"/>
      <c r="L259" s="1251"/>
      <c r="M259" s="1251"/>
      <c r="N259" s="1251"/>
      <c r="O259" s="25"/>
      <c r="P259" s="26"/>
    </row>
    <row r="260" spans="2:20" ht="5.0999999999999996" customHeight="1" x14ac:dyDescent="0.2">
      <c r="B260" s="21"/>
      <c r="C260" s="21"/>
      <c r="D260" s="21"/>
      <c r="E260" s="21"/>
      <c r="F260" s="21"/>
      <c r="G260" s="21"/>
      <c r="H260" s="21"/>
      <c r="I260" s="21"/>
      <c r="J260" s="21"/>
      <c r="K260" s="21"/>
      <c r="L260" s="21"/>
      <c r="M260" s="25"/>
      <c r="N260" s="25"/>
      <c r="O260" s="25"/>
      <c r="P260" s="26"/>
    </row>
    <row r="261" spans="2:20" x14ac:dyDescent="0.2">
      <c r="B261" s="21"/>
      <c r="C261" s="21"/>
      <c r="D261" s="34"/>
      <c r="E261" s="1319" t="str">
        <f>Translations!$B$1056</f>
        <v>Šis rīks palīdz noteikt HAL (vēsturiskos darbības līmeņus) ūdeņraža līmeņatzīmei (FAR III pielikuma 6. punkts).</v>
      </c>
      <c r="F261" s="1251"/>
      <c r="G261" s="1251"/>
      <c r="H261" s="1251"/>
      <c r="I261" s="1251"/>
      <c r="J261" s="1251"/>
      <c r="K261" s="1251"/>
      <c r="L261" s="1251"/>
      <c r="M261" s="1251"/>
      <c r="N261" s="1251"/>
      <c r="O261" s="25"/>
      <c r="P261" s="26"/>
    </row>
    <row r="262" spans="2:20" x14ac:dyDescent="0.2">
      <c r="B262" s="21"/>
      <c r="C262" s="21"/>
      <c r="D262" s="34"/>
      <c r="E262" s="1319" t="str">
        <f>Translations!$B$907</f>
        <v>Ar šo rīku iegūtais rezultāts tiek automātiski iekopēts lapas “F_ProductBM” rindā a) punkta ii. apakšpunktā par attiecīgo apakšiekārtu.</v>
      </c>
      <c r="F262" s="1251"/>
      <c r="G262" s="1251"/>
      <c r="H262" s="1251"/>
      <c r="I262" s="1251"/>
      <c r="J262" s="1251"/>
      <c r="K262" s="1251"/>
      <c r="L262" s="1251"/>
      <c r="M262" s="1251"/>
      <c r="N262" s="1251"/>
      <c r="O262" s="25"/>
      <c r="P262" s="26"/>
    </row>
    <row r="263" spans="2:20" x14ac:dyDescent="0.2">
      <c r="B263" s="21"/>
      <c r="C263" s="21"/>
      <c r="D263" s="34"/>
      <c r="E263" s="1343" t="str">
        <f>Translations!$B$1690</f>
        <v>Ievērojiet, ka ūdeņraža un oglekļa monoksīda procentuālais saturs ir jāizsaka tilpuma %.</v>
      </c>
      <c r="F263" s="1251"/>
      <c r="G263" s="1251"/>
      <c r="H263" s="1251"/>
      <c r="I263" s="1251"/>
      <c r="J263" s="1251"/>
      <c r="K263" s="1251"/>
      <c r="L263" s="1251"/>
      <c r="M263" s="1251"/>
      <c r="N263" s="1251"/>
      <c r="O263" s="25"/>
      <c r="P263" s="26"/>
    </row>
    <row r="264" spans="2:20" ht="5.0999999999999996" customHeight="1" x14ac:dyDescent="0.2">
      <c r="B264" s="21"/>
      <c r="C264" s="21"/>
      <c r="D264" s="21"/>
      <c r="E264" s="21"/>
      <c r="F264" s="21"/>
      <c r="G264" s="21"/>
      <c r="H264" s="21"/>
      <c r="I264" s="21"/>
      <c r="J264" s="21"/>
      <c r="K264" s="21"/>
      <c r="L264" s="21"/>
      <c r="M264" s="25"/>
      <c r="N264" s="25"/>
      <c r="O264" s="25"/>
      <c r="P264" s="26"/>
    </row>
    <row r="265" spans="2:20" ht="15" x14ac:dyDescent="0.25">
      <c r="B265" s="21"/>
      <c r="C265" s="21"/>
      <c r="D265" s="32" t="s">
        <v>165</v>
      </c>
      <c r="E265" s="1250" t="str">
        <f>Translations!$B$908</f>
        <v>Šā rīka relevantums jūsu iekārtai:</v>
      </c>
      <c r="F265" s="1250"/>
      <c r="G265" s="1250"/>
      <c r="H265" s="1250"/>
      <c r="I265" s="1250"/>
      <c r="J265" s="1250"/>
      <c r="K265" s="1524"/>
      <c r="L265" s="1849" t="str">
        <f>IF(CNTR_ExistSubInstEntries,IF(COUNTIF(CNTR_SubInstListNames,INDEX(EUconst_BMlistNames,MATCH(Q265,EUconst_BMlistMainNumberOfBM,0)))&gt;0,EUconst_Relevant,EUconst_NotRelevant),"")</f>
        <v/>
      </c>
      <c r="M265" s="1850"/>
      <c r="N265" s="1851"/>
      <c r="O265" s="25"/>
      <c r="P265" s="386" t="s">
        <v>33</v>
      </c>
      <c r="Q265" s="366">
        <v>50</v>
      </c>
    </row>
    <row r="266" spans="2:20" x14ac:dyDescent="0.2">
      <c r="B266" s="21"/>
      <c r="C266" s="21"/>
      <c r="D266" s="34"/>
      <c r="E266" s="1274" t="str">
        <f>Translations!$B$909</f>
        <v>Šis ziņojums tiek automātiski ģenerēts, balstoties uz datiem, ko ievadījāt lapas “A_InstallationData” III sadaļas 1. punktā.</v>
      </c>
      <c r="F266" s="1275"/>
      <c r="G266" s="1275"/>
      <c r="H266" s="1275"/>
      <c r="I266" s="1275"/>
      <c r="J266" s="1275"/>
      <c r="K266" s="1275"/>
      <c r="L266" s="1275"/>
      <c r="M266" s="1275"/>
      <c r="N266" s="1275"/>
      <c r="O266" s="25"/>
      <c r="P266" s="26"/>
    </row>
    <row r="267" spans="2:20" x14ac:dyDescent="0.2">
      <c r="B267" s="21"/>
      <c r="C267" s="21"/>
      <c r="D267" s="21"/>
      <c r="E267" s="1846" t="str">
        <f>IF(L265=EUconst_Relevant,HYPERLINK(Q267,EUconst_MsgBackToSheetF),"")</f>
        <v/>
      </c>
      <c r="F267" s="1847"/>
      <c r="G267" s="1847"/>
      <c r="H267" s="1847"/>
      <c r="I267" s="1847"/>
      <c r="J267" s="1847"/>
      <c r="K267" s="1847"/>
      <c r="L267" s="1847"/>
      <c r="M267" s="1847"/>
      <c r="N267" s="1848"/>
      <c r="O267" s="25"/>
      <c r="P267" s="386" t="s">
        <v>32</v>
      </c>
      <c r="Q267" s="134" t="str">
        <f>IF(ISNUMBER(MATCH(Q265,CNTR_SubInstListBMnumbers,0)),"#JUMP_F"&amp;MATCH(Q265,CNTR_SubInstListBMnumbers,0),"")</f>
        <v/>
      </c>
    </row>
    <row r="268" spans="2:20" ht="5.0999999999999996" customHeight="1" x14ac:dyDescent="0.2">
      <c r="B268" s="21"/>
      <c r="C268" s="21"/>
      <c r="D268" s="21"/>
      <c r="E268" s="21"/>
      <c r="F268" s="21"/>
      <c r="G268" s="21"/>
      <c r="H268" s="21"/>
      <c r="I268" s="21"/>
      <c r="J268" s="21"/>
      <c r="K268" s="21"/>
      <c r="L268" s="21"/>
      <c r="M268" s="25"/>
      <c r="N268" s="25"/>
      <c r="O268" s="25"/>
      <c r="P268" s="26"/>
    </row>
    <row r="269" spans="2:20" x14ac:dyDescent="0.2">
      <c r="B269" s="21"/>
      <c r="C269" s="21"/>
      <c r="D269" s="32" t="s">
        <v>339</v>
      </c>
      <c r="E269" s="1250" t="str">
        <f>Translations!$B$1058</f>
        <v>Saražotā ūdeņraža kopapjoms (nekoriģēts)</v>
      </c>
      <c r="F269" s="1251"/>
      <c r="G269" s="1251"/>
      <c r="H269" s="1251"/>
      <c r="I269" s="1251"/>
      <c r="J269" s="1251"/>
      <c r="K269" s="1251"/>
      <c r="L269" s="1251"/>
      <c r="M269" s="1251"/>
      <c r="N269" s="1251"/>
      <c r="O269" s="25"/>
      <c r="P269" s="26"/>
    </row>
    <row r="270" spans="2:20" x14ac:dyDescent="0.2">
      <c r="B270" s="21"/>
      <c r="C270" s="21"/>
      <c r="D270" s="34"/>
      <c r="E270" s="1319" t="str">
        <f>Translations!$B$1059</f>
        <v>Šeit ievadiet ūdeņraža ikgadējos ražošanas datus, pārrēķinātus uz vēsturisko ūdeņraža saturu, katrā bāzlīnijas perioda gadā.</v>
      </c>
      <c r="F270" s="1251"/>
      <c r="G270" s="1251"/>
      <c r="H270" s="1251"/>
      <c r="I270" s="1251"/>
      <c r="J270" s="1251"/>
      <c r="K270" s="1251"/>
      <c r="L270" s="1251"/>
      <c r="M270" s="1251"/>
      <c r="N270" s="1251"/>
      <c r="O270" s="25"/>
      <c r="P270" s="26"/>
    </row>
    <row r="271" spans="2:20" x14ac:dyDescent="0.2">
      <c r="B271" s="21"/>
      <c r="C271" s="21"/>
      <c r="D271" s="34"/>
      <c r="E271" s="1343" t="str">
        <f>Translations!$B$1060</f>
        <v>Tā kā, apjomu izsakot m3, skaitļi ir ļoti lieli, apjomi ir jānorāda 1000 Nm3 (normālkubikmetri, kas nozīmē 0 °C un 101,325 kPa).</v>
      </c>
      <c r="F271" s="1251"/>
      <c r="G271" s="1251"/>
      <c r="H271" s="1251"/>
      <c r="I271" s="1251"/>
      <c r="J271" s="1251"/>
      <c r="K271" s="1251"/>
      <c r="L271" s="1251"/>
      <c r="M271" s="1251"/>
      <c r="N271" s="1251"/>
      <c r="O271" s="25"/>
      <c r="P271" s="26"/>
    </row>
    <row r="272" spans="2:20" x14ac:dyDescent="0.2">
      <c r="B272" s="38"/>
      <c r="C272" s="38"/>
      <c r="D272" s="32"/>
      <c r="E272" s="43"/>
      <c r="F272" s="40"/>
      <c r="G272" s="40"/>
      <c r="H272" s="52" t="str">
        <f>EUconst_Unit</f>
        <v>Vienība</v>
      </c>
      <c r="I272" s="447">
        <f>I$408</f>
        <v>2019</v>
      </c>
      <c r="J272" s="447">
        <f>J$408</f>
        <v>2020</v>
      </c>
      <c r="K272" s="447">
        <f>K$408</f>
        <v>2021</v>
      </c>
      <c r="L272" s="447">
        <f>L$408</f>
        <v>2022</v>
      </c>
      <c r="M272" s="447">
        <f>M$408</f>
        <v>2023</v>
      </c>
      <c r="N272" s="25"/>
      <c r="O272" s="25"/>
      <c r="S272" s="386" t="s">
        <v>574</v>
      </c>
      <c r="T272" s="453" t="str">
        <f>IF(L265&lt;&gt;EUconst_Relevant,"",INDEX(CNTR_SubInstLess1Year,MATCH(Q265,CNTR_SubInstListBMnumbers,0)))</f>
        <v/>
      </c>
    </row>
    <row r="273" spans="2:16" x14ac:dyDescent="0.2">
      <c r="B273" s="38"/>
      <c r="C273" s="38"/>
      <c r="D273" s="38"/>
      <c r="E273" s="1517" t="str">
        <f>Translations!$B$1061</f>
        <v>Saražotā ūdeņraža kopapjoms</v>
      </c>
      <c r="F273" s="1517"/>
      <c r="G273" s="1517"/>
      <c r="H273" s="66" t="str">
        <f>EUconst_kNm3pa</f>
        <v>1000Nm3/gads</v>
      </c>
      <c r="I273" s="330"/>
      <c r="J273" s="330"/>
      <c r="K273" s="330"/>
      <c r="L273" s="330"/>
      <c r="M273" s="330"/>
      <c r="N273" s="25"/>
      <c r="O273" s="25"/>
    </row>
    <row r="274" spans="2:16" ht="5.0999999999999996" customHeight="1" x14ac:dyDescent="0.2">
      <c r="B274" s="21"/>
      <c r="C274" s="21"/>
      <c r="D274" s="21"/>
      <c r="E274" s="21"/>
      <c r="F274" s="21"/>
      <c r="G274" s="21"/>
      <c r="H274" s="21"/>
      <c r="I274" s="21"/>
      <c r="J274" s="21"/>
      <c r="K274" s="21"/>
      <c r="L274" s="21"/>
      <c r="M274" s="25"/>
      <c r="N274" s="25"/>
      <c r="O274" s="25"/>
      <c r="P274" s="26"/>
    </row>
    <row r="275" spans="2:16" x14ac:dyDescent="0.2">
      <c r="B275" s="21"/>
      <c r="C275" s="21"/>
      <c r="D275" s="32" t="s">
        <v>11</v>
      </c>
      <c r="E275" s="1250" t="str">
        <f>Translations!$B$1062</f>
        <v>Ūdeņraža tilpumfrakcija VF(H2)</v>
      </c>
      <c r="F275" s="1251"/>
      <c r="G275" s="1251"/>
      <c r="H275" s="1251"/>
      <c r="I275" s="1251"/>
      <c r="J275" s="1251"/>
      <c r="K275" s="1251"/>
      <c r="L275" s="1251"/>
      <c r="M275" s="1251"/>
      <c r="N275" s="1251"/>
      <c r="O275" s="25"/>
      <c r="P275" s="26"/>
    </row>
    <row r="276" spans="2:16" x14ac:dyDescent="0.2">
      <c r="B276" s="21"/>
      <c r="C276" s="21"/>
      <c r="D276" s="34"/>
      <c r="E276" s="1319" t="str">
        <f>Translations!$B$1691</f>
        <v>Šeit norādiet vēsturisko tīra ūdeņraža un oglekļa monoksīda (CO) tilpumfrakciju ražošanas apjomā katrā bāzlīnijas perioda gadā. Tas ir bezdimensionāls lielums.</v>
      </c>
      <c r="F276" s="1251"/>
      <c r="G276" s="1251"/>
      <c r="H276" s="1251"/>
      <c r="I276" s="1251"/>
      <c r="J276" s="1251"/>
      <c r="K276" s="1251"/>
      <c r="L276" s="1251"/>
      <c r="M276" s="1251"/>
      <c r="N276" s="1251"/>
      <c r="O276" s="25"/>
      <c r="P276" s="26"/>
    </row>
    <row r="277" spans="2:16" x14ac:dyDescent="0.2">
      <c r="B277" s="21"/>
      <c r="C277" s="21"/>
      <c r="D277" s="34"/>
      <c r="E277" s="1319" t="str">
        <f>Translations!$B$1064</f>
        <v xml:space="preserve">Rādītāju 95 % var ievadīt vai nu kā "0,95", vai kā "95 %". </v>
      </c>
      <c r="F277" s="1251"/>
      <c r="G277" s="1251"/>
      <c r="H277" s="1251"/>
      <c r="I277" s="1251"/>
      <c r="J277" s="1251"/>
      <c r="K277" s="1251"/>
      <c r="L277" s="1251"/>
      <c r="M277" s="1251"/>
      <c r="N277" s="1251"/>
      <c r="O277" s="25"/>
      <c r="P277" s="26"/>
    </row>
    <row r="278" spans="2:16" x14ac:dyDescent="0.2">
      <c r="B278" s="21"/>
      <c r="C278" s="21"/>
      <c r="D278" s="34"/>
      <c r="E278" s="1319" t="str">
        <f>Translations!$B$1692</f>
        <v>Ūdeņraža un CO gada kopējie daudzumi tiks aprēķināti automātiski pēc šiem un b) punkta ierakstiem.</v>
      </c>
      <c r="F278" s="1251"/>
      <c r="G278" s="1251"/>
      <c r="H278" s="1251"/>
      <c r="I278" s="1251"/>
      <c r="J278" s="1251"/>
      <c r="K278" s="1251"/>
      <c r="L278" s="1251"/>
      <c r="M278" s="1251"/>
      <c r="N278" s="1251"/>
      <c r="O278" s="25"/>
      <c r="P278" s="26"/>
    </row>
    <row r="279" spans="2:16" x14ac:dyDescent="0.2">
      <c r="B279" s="38"/>
      <c r="C279" s="38"/>
      <c r="D279" s="32"/>
      <c r="E279" s="43"/>
      <c r="F279" s="40"/>
      <c r="G279" s="40"/>
      <c r="H279" s="52" t="str">
        <f>EUconst_Unit</f>
        <v>Vienība</v>
      </c>
      <c r="I279" s="447">
        <f>I$408</f>
        <v>2019</v>
      </c>
      <c r="J279" s="447">
        <f>J$408</f>
        <v>2020</v>
      </c>
      <c r="K279" s="447">
        <f>K$408</f>
        <v>2021</v>
      </c>
      <c r="L279" s="447">
        <f>L$408</f>
        <v>2022</v>
      </c>
      <c r="M279" s="447">
        <f>M$408</f>
        <v>2023</v>
      </c>
      <c r="N279" s="25"/>
      <c r="O279" s="25"/>
    </row>
    <row r="280" spans="2:16" x14ac:dyDescent="0.2">
      <c r="B280" s="38"/>
      <c r="C280" s="38"/>
      <c r="D280" s="440" t="s">
        <v>2</v>
      </c>
      <c r="E280" s="1517" t="str">
        <f>Translations!$B$1065</f>
        <v>Ūdeņraža tilpumfrakcija</v>
      </c>
      <c r="F280" s="1517"/>
      <c r="G280" s="1517"/>
      <c r="H280" s="144" t="s">
        <v>392</v>
      </c>
      <c r="I280" s="304"/>
      <c r="J280" s="304"/>
      <c r="K280" s="304"/>
      <c r="L280" s="304"/>
      <c r="M280" s="304"/>
      <c r="N280" s="25"/>
      <c r="O280" s="25"/>
    </row>
    <row r="281" spans="2:16" x14ac:dyDescent="0.2">
      <c r="B281" s="38"/>
      <c r="C281" s="38"/>
      <c r="D281" s="440" t="s">
        <v>3</v>
      </c>
      <c r="E281" s="1516" t="str">
        <f>Translations!$B$1693</f>
        <v>CO tilpumfrakcija</v>
      </c>
      <c r="F281" s="1517"/>
      <c r="G281" s="1517"/>
      <c r="H281" s="144" t="s">
        <v>392</v>
      </c>
      <c r="I281" s="304"/>
      <c r="J281" s="304"/>
      <c r="K281" s="304"/>
      <c r="L281" s="304"/>
      <c r="M281" s="304"/>
      <c r="N281" s="25"/>
      <c r="O281" s="25"/>
    </row>
    <row r="282" spans="2:16" ht="5.0999999999999996" customHeight="1" x14ac:dyDescent="0.2">
      <c r="B282" s="21"/>
      <c r="C282" s="21"/>
      <c r="D282" s="21"/>
      <c r="E282" s="21"/>
      <c r="F282" s="21"/>
      <c r="G282" s="21"/>
      <c r="H282" s="21"/>
      <c r="I282" s="21"/>
      <c r="J282" s="21"/>
      <c r="K282" s="21"/>
      <c r="L282" s="21"/>
      <c r="M282" s="25"/>
      <c r="N282" s="25"/>
      <c r="O282" s="25"/>
      <c r="P282" s="26"/>
    </row>
    <row r="283" spans="2:16" x14ac:dyDescent="0.2">
      <c r="B283" s="38"/>
      <c r="C283" s="38"/>
      <c r="D283" s="440" t="s">
        <v>4</v>
      </c>
      <c r="E283" s="1517" t="str">
        <f>Translations!$B$1069</f>
        <v>Ūdeņradis (kā 100 % tīrs H2)</v>
      </c>
      <c r="F283" s="1517"/>
      <c r="G283" s="1517"/>
      <c r="H283" s="66" t="str">
        <f>EUconst_tpa</f>
        <v>t / gads</v>
      </c>
      <c r="I283" s="328" t="str">
        <f>IF(AND(ISNUMBER(I$273),ISNUMBER(I280)),I$273*0.08987*I280,"")</f>
        <v/>
      </c>
      <c r="J283" s="328" t="str">
        <f>IF(AND(ISNUMBER(J$273),ISNUMBER(J280)),J$273*0.08987*J280,"")</f>
        <v/>
      </c>
      <c r="K283" s="328" t="str">
        <f>IF(AND(ISNUMBER(K$273),ISNUMBER(K280)),K$273*0.08987*K280,"")</f>
        <v/>
      </c>
      <c r="L283" s="328" t="str">
        <f>IF(AND(ISNUMBER(L$273),ISNUMBER(L280)),L$273*0.08987*L280,"")</f>
        <v/>
      </c>
      <c r="M283" s="328" t="str">
        <f>IF(AND(ISNUMBER(M$273),ISNUMBER(M280)),M$273*0.08987*M280,"")</f>
        <v/>
      </c>
      <c r="N283" s="25"/>
      <c r="O283" s="25"/>
    </row>
    <row r="284" spans="2:16" x14ac:dyDescent="0.2">
      <c r="B284" s="38"/>
      <c r="C284" s="38"/>
      <c r="D284" s="440" t="s">
        <v>6</v>
      </c>
      <c r="E284" s="1516" t="str">
        <f>Translations!$B$1694</f>
        <v>Oglekļa monoksīds (izteikts kā 100 % tīrs CO)</v>
      </c>
      <c r="F284" s="1517"/>
      <c r="G284" s="1517"/>
      <c r="H284" s="66" t="str">
        <f>EUconst_tpa</f>
        <v>t / gads</v>
      </c>
      <c r="I284" s="328" t="str">
        <f>IF(AND(ISNUMBER(I$273),ISNUMBER(I281)),I$273*1.2506*I281,"")</f>
        <v/>
      </c>
      <c r="J284" s="328" t="str">
        <f>IF(AND(ISNUMBER(J$273),ISNUMBER(J281)),J$273*1.2506*J281,"")</f>
        <v/>
      </c>
      <c r="K284" s="328" t="str">
        <f>IF(AND(ISNUMBER(K$273),ISNUMBER(K281)),K$273*1.2506*K281,"")</f>
        <v/>
      </c>
      <c r="L284" s="328" t="str">
        <f>IF(AND(ISNUMBER(L$273),ISNUMBER(L281)),L$273*1.2506*L281,"")</f>
        <v/>
      </c>
      <c r="M284" s="328" t="str">
        <f>IF(AND(ISNUMBER(M$273),ISNUMBER(M281)),M$273*1.2506*M281,"")</f>
        <v/>
      </c>
      <c r="N284" s="25"/>
      <c r="O284" s="25"/>
    </row>
    <row r="285" spans="2:16" ht="5.0999999999999996" customHeight="1" x14ac:dyDescent="0.2">
      <c r="B285" s="21"/>
      <c r="C285" s="21"/>
      <c r="D285" s="21"/>
      <c r="E285" s="21"/>
      <c r="F285" s="21"/>
      <c r="G285" s="21"/>
      <c r="H285" s="21"/>
      <c r="I285" s="21"/>
      <c r="J285" s="21"/>
      <c r="K285" s="21"/>
      <c r="L285" s="21"/>
      <c r="M285" s="25"/>
      <c r="N285" s="25"/>
      <c r="O285" s="25"/>
      <c r="P285" s="26"/>
    </row>
    <row r="286" spans="2:16" x14ac:dyDescent="0.2">
      <c r="B286" s="38"/>
      <c r="C286" s="38"/>
      <c r="D286" s="32" t="s">
        <v>342</v>
      </c>
      <c r="E286" s="1250" t="str">
        <f>Translations!$B$1695</f>
        <v>Attiecināmās emisijas</v>
      </c>
      <c r="F286" s="1251"/>
      <c r="G286" s="1251"/>
      <c r="H286" s="1251"/>
      <c r="I286" s="1251"/>
      <c r="J286" s="1251"/>
      <c r="K286" s="1251"/>
      <c r="L286" s="1251"/>
      <c r="M286" s="1251"/>
      <c r="N286" s="1251"/>
      <c r="O286" s="25"/>
    </row>
    <row r="287" spans="2:16" ht="38.85" customHeight="1" x14ac:dyDescent="0.2">
      <c r="B287" s="38"/>
      <c r="C287" s="38"/>
      <c r="D287" s="34"/>
      <c r="E287" s="1319" t="str">
        <f>Translations!$B$1696</f>
        <v>Šeit ievadiet ūdeņraža ražošanas faktiskās tiešās emisijas (t. i., neskaitot ar siltumu saistītās emisijas un attiecīgā gadījumā pirms jebkādas oglekļa uztveršanas izmantošanai vai ģeoloģiskai uzglabāšanai). Emisijām, kas rodas no biomasas, nevis izmanto faktiskās emisijas, bet tās aprēķina, biomasas enerģijas saturu reizinot ar dabasgāzes emisijas faktoru. Tāpēc visos gadījumos, izņemot attiecībā uz biomasu, i ailē ierakstāmajiem skaitļiem jābūt tādiem pašiem kā F.g. sadaļā.</v>
      </c>
      <c r="F287" s="1251"/>
      <c r="G287" s="1251"/>
      <c r="H287" s="1251"/>
      <c r="I287" s="1251"/>
      <c r="J287" s="1251"/>
      <c r="K287" s="1251"/>
      <c r="L287" s="1251"/>
      <c r="M287" s="1251"/>
      <c r="N287" s="1251"/>
      <c r="O287" s="25"/>
    </row>
    <row r="288" spans="2:16" ht="25.5" customHeight="1" x14ac:dyDescent="0.2">
      <c r="B288" s="38"/>
      <c r="C288" s="38"/>
      <c r="D288" s="34"/>
      <c r="E288" s="1319" t="str">
        <f>Translations!$B$1697</f>
        <v>Balstoties uz šeit un iepriekš minētajiem ierakstiem, teorētiskās papildu emisijas pabeigtai ūdensgāzes konversijas (WGS) reakcijai un ar to saistītajai siltuma atgūšanai aprēķina automātiski pēc stehiometriskajām vērtībām, kas norādītas FAR III pielikumā.</v>
      </c>
      <c r="F288" s="1251"/>
      <c r="G288" s="1251"/>
      <c r="H288" s="1251"/>
      <c r="I288" s="1251"/>
      <c r="J288" s="1251"/>
      <c r="K288" s="1251"/>
      <c r="L288" s="1251"/>
      <c r="M288" s="1251"/>
      <c r="N288" s="1251"/>
      <c r="O288" s="25"/>
    </row>
    <row r="289" spans="2:16" x14ac:dyDescent="0.2">
      <c r="B289" s="38"/>
      <c r="C289" s="38"/>
      <c r="D289" s="38"/>
      <c r="E289" s="43"/>
      <c r="F289" s="40"/>
      <c r="G289" s="40"/>
      <c r="H289" s="52" t="str">
        <f>EUconst_Unit</f>
        <v>Vienība</v>
      </c>
      <c r="I289" s="447">
        <f>I$408</f>
        <v>2019</v>
      </c>
      <c r="J289" s="447">
        <f>J$408</f>
        <v>2020</v>
      </c>
      <c r="K289" s="447">
        <f>K$408</f>
        <v>2021</v>
      </c>
      <c r="L289" s="447">
        <f>L$408</f>
        <v>2022</v>
      </c>
      <c r="M289" s="447">
        <f>M$408</f>
        <v>2023</v>
      </c>
      <c r="N289" s="25"/>
      <c r="O289" s="25"/>
    </row>
    <row r="290" spans="2:16" x14ac:dyDescent="0.2">
      <c r="B290" s="38"/>
      <c r="C290" s="38"/>
      <c r="D290" s="440" t="s">
        <v>2</v>
      </c>
      <c r="E290" s="1516" t="str">
        <f>Translations!$B$1698</f>
        <v>Faktiskās tiešās emisijas (izņemot ar siltumu saistītās)</v>
      </c>
      <c r="F290" s="1517"/>
      <c r="G290" s="1517"/>
      <c r="H290" s="144" t="str">
        <f>EUconst_tCO2e</f>
        <v>t CO2e</v>
      </c>
      <c r="I290" s="330"/>
      <c r="J290" s="330"/>
      <c r="K290" s="330"/>
      <c r="L290" s="330"/>
      <c r="M290" s="330"/>
      <c r="N290" s="25"/>
      <c r="O290" s="25"/>
      <c r="P290" s="134" t="str">
        <f>IF(L265=EUconst_Relevant,EUconst_CNTR_Emissions&amp;INDEX(EUconst_BMlistNames,MATCH(Q265,EUconst_BMlistMainNumberOfBM,0)),"")</f>
        <v/>
      </c>
    </row>
    <row r="291" spans="2:16" x14ac:dyDescent="0.2">
      <c r="B291" s="38"/>
      <c r="C291" s="38"/>
      <c r="D291" s="440" t="s">
        <v>3</v>
      </c>
      <c r="E291" s="1516" t="str">
        <f>Translations!$B$1699</f>
        <v>Faktiskais neto siltuma eksports</v>
      </c>
      <c r="F291" s="1517"/>
      <c r="G291" s="1517"/>
      <c r="H291" s="144" t="str">
        <f>EUconst_TJpa</f>
        <v>TJ / gads</v>
      </c>
      <c r="I291" s="448" t="str">
        <f>IF(AND($L$265=EUconst_Relevant,I$273&lt;&gt;""),SUMIFS(F_ProductBM!I:I,F_ProductBM!$P:$P,$P291),"")</f>
        <v/>
      </c>
      <c r="J291" s="448" t="str">
        <f>IF(AND($L$265=EUconst_Relevant,J$273&lt;&gt;""),SUMIFS(F_ProductBM!J:J,F_ProductBM!$P:$P,$P291),"")</f>
        <v/>
      </c>
      <c r="K291" s="448" t="str">
        <f>IF(AND($L$265=EUconst_Relevant,K$273&lt;&gt;""),SUMIFS(F_ProductBM!K:K,F_ProductBM!$P:$P,$P291),"")</f>
        <v/>
      </c>
      <c r="L291" s="448" t="str">
        <f>IF(AND($L$265=EUconst_Relevant,L$273&lt;&gt;""),SUMIFS(F_ProductBM!L:L,F_ProductBM!$P:$P,$P291),"")</f>
        <v/>
      </c>
      <c r="M291" s="448" t="str">
        <f>IF(AND($L$265=EUconst_Relevant,M$273&lt;&gt;""),SUMIFS(F_ProductBM!M:M,F_ProductBM!$P:$P,$P291),"")</f>
        <v/>
      </c>
      <c r="N291" s="25"/>
      <c r="O291" s="25"/>
      <c r="P291" s="979" t="str">
        <f>IF(L265=EUconst_Relevant,EUconst_CNTR_HeatExport&amp;INDEX(EUconst_BMlistNames,MATCH(Q265,EUconst_BMlistMainNumberOfBM,0)),"")</f>
        <v/>
      </c>
    </row>
    <row r="292" spans="2:16" x14ac:dyDescent="0.2">
      <c r="B292" s="38"/>
      <c r="C292" s="38"/>
      <c r="D292" s="440" t="s">
        <v>4</v>
      </c>
      <c r="E292" s="1516" t="str">
        <f>Translations!$B$1700</f>
        <v>Emisijas no faktiskā siltuma eksporta</v>
      </c>
      <c r="F292" s="1517"/>
      <c r="G292" s="1517"/>
      <c r="H292" s="144" t="str">
        <f>EUconst_tCO2e</f>
        <v>t CO2e</v>
      </c>
      <c r="I292" s="328" t="str">
        <f>IF(I291="","",-I291*EUconst_HeatBMvalueForBM)</f>
        <v/>
      </c>
      <c r="J292" s="328" t="str">
        <f>IF(J291="","",-J291*EUconst_HeatBMvalueForBM)</f>
        <v/>
      </c>
      <c r="K292" s="328" t="str">
        <f>IF(K291="","",-K291*EUconst_HeatBMvalueForBM)</f>
        <v/>
      </c>
      <c r="L292" s="328" t="str">
        <f>IF(L291="","",-L291*EUconst_HeatBMvalueForBM)</f>
        <v/>
      </c>
      <c r="M292" s="328" t="str">
        <f>IF(M291="","",-M291*EUconst_HeatBMvalueForBM)</f>
        <v/>
      </c>
      <c r="N292" s="25"/>
      <c r="O292" s="25"/>
    </row>
    <row r="293" spans="2:16" x14ac:dyDescent="0.2">
      <c r="B293" s="38"/>
      <c r="C293" s="38"/>
      <c r="D293" s="440" t="s">
        <v>6</v>
      </c>
      <c r="E293" s="1516" t="str">
        <f>Translations!$B$1701</f>
        <v>Kopējās attiecināmās emisijas (= i.+iii.)</v>
      </c>
      <c r="F293" s="1517"/>
      <c r="G293" s="1517"/>
      <c r="H293" s="144" t="str">
        <f>EUconst_tCO2e</f>
        <v>t CO2e</v>
      </c>
      <c r="I293" s="328" t="str">
        <f>IF(COUNT(I290:I291)&gt;0,SUM(I290,I292),"")</f>
        <v/>
      </c>
      <c r="J293" s="328" t="str">
        <f>IF(COUNT(J290:J291)&gt;0,SUM(J290,J292),"")</f>
        <v/>
      </c>
      <c r="K293" s="328" t="str">
        <f>IF(COUNT(K290:K291)&gt;0,SUM(K290,K292),"")</f>
        <v/>
      </c>
      <c r="L293" s="328" t="str">
        <f>IF(COUNT(L290:L291)&gt;0,SUM(L290,L292),"")</f>
        <v/>
      </c>
      <c r="M293" s="328" t="str">
        <f>IF(COUNT(M290:M291)&gt;0,SUM(M290,M292),"")</f>
        <v/>
      </c>
      <c r="N293" s="25"/>
      <c r="O293" s="25"/>
    </row>
    <row r="294" spans="2:16" x14ac:dyDescent="0.2">
      <c r="B294" s="38"/>
      <c r="C294" s="38"/>
      <c r="D294" s="440" t="s">
        <v>303</v>
      </c>
      <c r="E294" s="1516" t="str">
        <f>Translations!$B$1702</f>
        <v>WGS siltuma eksportam teorētiskās emisijas</v>
      </c>
      <c r="F294" s="1517"/>
      <c r="G294" s="1517"/>
      <c r="H294" s="144" t="str">
        <f>EUconst_tCO2e</f>
        <v>t CO2e</v>
      </c>
      <c r="I294" s="328" t="str">
        <f>IF(I284="","",-I284*0.071967*0.020439*EUconst_HeatBMvalueForBM*99.5%)</f>
        <v/>
      </c>
      <c r="J294" s="328" t="str">
        <f>IF(J284="","",-J284*0.071967*0.020439*EUconst_HeatBMvalueForBM*99.5%)</f>
        <v/>
      </c>
      <c r="K294" s="328" t="str">
        <f>IF(K284="","",-K284*0.071967*0.020439*EUconst_HeatBMvalueForBM*99.5%)</f>
        <v/>
      </c>
      <c r="L294" s="328" t="str">
        <f>IF(L284="","",-L284*0.071967*0.020439*EUconst_HeatBMvalueForBM*99.5%)</f>
        <v/>
      </c>
      <c r="M294" s="328" t="str">
        <f>IF(M284="","",-M284*0.071967*0.020439*EUconst_HeatBMvalueForBM*99.5%)</f>
        <v/>
      </c>
      <c r="N294" s="25"/>
      <c r="O294" s="25"/>
    </row>
    <row r="295" spans="2:16" x14ac:dyDescent="0.2">
      <c r="B295" s="38"/>
      <c r="C295" s="38"/>
      <c r="D295" s="440" t="s">
        <v>304</v>
      </c>
      <c r="E295" s="1516" t="str">
        <f>Translations!$B$1703</f>
        <v>WGS teorētiskās papildu emisijas</v>
      </c>
      <c r="F295" s="1517"/>
      <c r="G295" s="1517"/>
      <c r="H295" s="144" t="str">
        <f>EUconst_tCO2e</f>
        <v>t CO2e</v>
      </c>
      <c r="I295" s="328" t="str">
        <f>IF(I273="","",SUM(I284)*44.01/28.01)</f>
        <v/>
      </c>
      <c r="J295" s="328" t="str">
        <f>IF(J273="","",SUM(J284)*44.01/28.01)</f>
        <v/>
      </c>
      <c r="K295" s="328" t="str">
        <f>IF(K273="","",SUM(K284)*44.01/28.01)</f>
        <v/>
      </c>
      <c r="L295" s="328" t="str">
        <f>IF(L273="","",SUM(L284)*44.01/28.01)</f>
        <v/>
      </c>
      <c r="M295" s="328" t="str">
        <f>IF(M273="","",SUM(M284)*44.01/28.01)</f>
        <v/>
      </c>
      <c r="N295" s="25"/>
      <c r="O295" s="25"/>
    </row>
    <row r="296" spans="2:16" x14ac:dyDescent="0.2">
      <c r="B296" s="38"/>
      <c r="C296" s="38"/>
      <c r="D296" s="440" t="s">
        <v>305</v>
      </c>
      <c r="E296" s="1516" t="str">
        <f>Translations!$B$1704</f>
        <v>Teorētiskās papildu emisijas (= v.+vi.)</v>
      </c>
      <c r="F296" s="1517"/>
      <c r="G296" s="1517"/>
      <c r="H296" s="144" t="str">
        <f>EUconst_tCO2e</f>
        <v>t CO2e</v>
      </c>
      <c r="I296" s="328" t="str">
        <f>IF(I273="","",SUM(I294:I295))</f>
        <v/>
      </c>
      <c r="J296" s="328" t="str">
        <f>IF(J273="","",SUM(J294:J295))</f>
        <v/>
      </c>
      <c r="K296" s="328" t="str">
        <f>IF(K273="","",SUM(K294:K295))</f>
        <v/>
      </c>
      <c r="L296" s="328" t="str">
        <f>IF(L273="","",SUM(L294:L295))</f>
        <v/>
      </c>
      <c r="M296" s="328" t="str">
        <f>IF(M273="","",SUM(M294:M295))</f>
        <v/>
      </c>
      <c r="N296" s="25"/>
      <c r="O296" s="25"/>
      <c r="P296" s="134" t="str">
        <f>IF(L265=EUconst_Relevant,EUconst_CNTR_H2AdditionalEmissions,"")</f>
        <v/>
      </c>
    </row>
    <row r="297" spans="2:16" ht="5.0999999999999996" customHeight="1" x14ac:dyDescent="0.2">
      <c r="B297" s="38"/>
      <c r="C297" s="38"/>
      <c r="D297" s="38"/>
      <c r="E297" s="38"/>
      <c r="F297" s="38"/>
      <c r="G297" s="38"/>
      <c r="H297" s="38"/>
      <c r="I297" s="38"/>
      <c r="J297" s="38"/>
      <c r="K297" s="38"/>
      <c r="L297" s="38"/>
      <c r="M297" s="38"/>
      <c r="N297" s="38"/>
      <c r="O297" s="25"/>
    </row>
    <row r="298" spans="2:16" ht="12.75" customHeight="1" x14ac:dyDescent="0.2">
      <c r="B298" s="38"/>
      <c r="C298" s="38"/>
      <c r="D298" s="32" t="s">
        <v>12</v>
      </c>
      <c r="E298" s="1250" t="str">
        <f>Translations!$B$1705</f>
        <v>Rezultāts: ūdeņraža darbības līmeņi, kas koriģēti, lai ņemtu vērā pilnīgu ūdensgāzes konversiju (attiecīgā gadījumā)</v>
      </c>
      <c r="F298" s="1251"/>
      <c r="G298" s="1251"/>
      <c r="H298" s="1251"/>
      <c r="I298" s="1251"/>
      <c r="J298" s="1251"/>
      <c r="K298" s="1251"/>
      <c r="L298" s="1251"/>
      <c r="M298" s="1251"/>
      <c r="N298" s="1251"/>
      <c r="O298" s="25"/>
    </row>
    <row r="299" spans="2:16" ht="12.75" customHeight="1" x14ac:dyDescent="0.2">
      <c r="B299" s="38"/>
      <c r="C299" s="38"/>
      <c r="D299" s="34"/>
      <c r="E299" s="1319" t="str">
        <f>Translations!$B$1706</f>
        <v>Šā rīka rezultāts, kas attēlots iv punktā tālāk, tiek izmantots lapas “F_ProductBM” rindā a) punkta ii. apakšpunktā par attiecīgo apakšiekārtu, un no tā aprēķina HAL.</v>
      </c>
      <c r="F299" s="1251"/>
      <c r="G299" s="1251"/>
      <c r="H299" s="1251"/>
      <c r="I299" s="1251"/>
      <c r="J299" s="1251"/>
      <c r="K299" s="1251"/>
      <c r="L299" s="1251"/>
      <c r="M299" s="1251"/>
      <c r="N299" s="1251"/>
      <c r="O299" s="25"/>
    </row>
    <row r="300" spans="2:16" x14ac:dyDescent="0.2">
      <c r="B300" s="38"/>
      <c r="C300" s="38"/>
      <c r="D300" s="38"/>
      <c r="E300" s="43"/>
      <c r="F300" s="40"/>
      <c r="G300" s="40"/>
      <c r="H300" s="52" t="str">
        <f>EUconst_Unit</f>
        <v>Vienība</v>
      </c>
      <c r="I300" s="447">
        <f>I$408</f>
        <v>2019</v>
      </c>
      <c r="J300" s="447">
        <f>J$408</f>
        <v>2020</v>
      </c>
      <c r="K300" s="447">
        <f>K$408</f>
        <v>2021</v>
      </c>
      <c r="L300" s="447">
        <f>L$408</f>
        <v>2022</v>
      </c>
      <c r="M300" s="447">
        <f>M$408</f>
        <v>2023</v>
      </c>
      <c r="N300" s="25"/>
      <c r="O300" s="25"/>
    </row>
    <row r="301" spans="2:16" x14ac:dyDescent="0.2">
      <c r="B301" s="38"/>
      <c r="C301" s="38"/>
      <c r="D301" s="440" t="s">
        <v>2</v>
      </c>
      <c r="E301" s="1516" t="str">
        <f>Translations!$B$1707</f>
        <v>HAL H2, faktiskais</v>
      </c>
      <c r="F301" s="1517"/>
      <c r="G301" s="1517"/>
      <c r="H301" s="66" t="str">
        <f>EUconst_tpa</f>
        <v>t / gads</v>
      </c>
      <c r="I301" s="328" t="str">
        <f>I283</f>
        <v/>
      </c>
      <c r="J301" s="328" t="str">
        <f>J283</f>
        <v/>
      </c>
      <c r="K301" s="328" t="str">
        <f>K283</f>
        <v/>
      </c>
      <c r="L301" s="328" t="str">
        <f>L283</f>
        <v/>
      </c>
      <c r="M301" s="328" t="str">
        <f>M283</f>
        <v/>
      </c>
      <c r="N301" s="25"/>
      <c r="O301" s="25"/>
    </row>
    <row r="302" spans="2:16" x14ac:dyDescent="0.2">
      <c r="B302" s="38"/>
      <c r="C302" s="38"/>
      <c r="D302" s="440" t="s">
        <v>3</v>
      </c>
      <c r="E302" s="1516" t="str">
        <f>Translations!$B$1708</f>
        <v>HAL H2, WGS</v>
      </c>
      <c r="F302" s="1517"/>
      <c r="G302" s="1517"/>
      <c r="H302" s="66" t="str">
        <f>EUconst_tpa</f>
        <v>t / gads</v>
      </c>
      <c r="I302" s="328" t="str">
        <f>IF(I284="","",I284*0.071967)</f>
        <v/>
      </c>
      <c r="J302" s="328" t="str">
        <f>IF(J284="","",J284*0.071967)</f>
        <v/>
      </c>
      <c r="K302" s="328" t="str">
        <f>IF(K284="","",K284*0.071967)</f>
        <v/>
      </c>
      <c r="L302" s="328" t="str">
        <f>IF(L284="","",L284*0.071967)</f>
        <v/>
      </c>
      <c r="M302" s="328" t="str">
        <f>IF(M284="","",M284*0.071967)</f>
        <v/>
      </c>
      <c r="N302" s="25"/>
      <c r="O302" s="25"/>
    </row>
    <row r="303" spans="2:16" ht="13.5" customHeight="1" x14ac:dyDescent="0.2">
      <c r="B303" s="38"/>
      <c r="C303" s="38"/>
      <c r="D303" s="440" t="s">
        <v>4</v>
      </c>
      <c r="E303" s="1516" t="str">
        <f>Translations!$B$1709</f>
        <v>H2 kopā (= i.+ii.)</v>
      </c>
      <c r="F303" s="1516"/>
      <c r="G303" s="1516"/>
      <c r="H303" s="66" t="str">
        <f>EUconst_tpa</f>
        <v>t / gads</v>
      </c>
      <c r="I303" s="328" t="str">
        <f>IF(COUNT(I301:I302)&gt;0,SUM(I301:I302),"")</f>
        <v/>
      </c>
      <c r="J303" s="328" t="str">
        <f>IF(COUNT(J301:J302)&gt;0,SUM(J301:J302),"")</f>
        <v/>
      </c>
      <c r="K303" s="328" t="str">
        <f>IF(COUNT(K301:K302)&gt;0,SUM(K301:K302),"")</f>
        <v/>
      </c>
      <c r="L303" s="328" t="str">
        <f>IF(COUNT(L301:L302)&gt;0,SUM(L301:L302),"")</f>
        <v/>
      </c>
      <c r="M303" s="328" t="str">
        <f>IF(COUNT(M301:M302)&gt;0,SUM(M301:M302),"")</f>
        <v/>
      </c>
      <c r="N303" s="25"/>
      <c r="O303" s="25"/>
      <c r="P303" s="134" t="str">
        <f>IF(L265=EUconst_Relevant,EUconst_CNTR_H2ActualPlusTheoretical,"")</f>
        <v/>
      </c>
    </row>
    <row r="304" spans="2:16" ht="5.0999999999999996" customHeight="1" x14ac:dyDescent="0.2">
      <c r="B304" s="38"/>
      <c r="C304" s="38"/>
      <c r="D304" s="38"/>
      <c r="E304" s="414"/>
      <c r="F304" s="38"/>
      <c r="G304" s="38"/>
      <c r="H304" s="38"/>
      <c r="I304" s="1080"/>
      <c r="J304" s="1080"/>
      <c r="K304" s="1080"/>
      <c r="L304" s="1080"/>
      <c r="M304" s="1080"/>
      <c r="N304" s="25"/>
      <c r="O304" s="25"/>
    </row>
    <row r="305" spans="2:17" x14ac:dyDescent="0.2">
      <c r="B305" s="38"/>
      <c r="C305" s="38"/>
      <c r="D305" s="440" t="s">
        <v>6</v>
      </c>
      <c r="E305" s="1516" t="str">
        <f>Translations!$B$1710</f>
        <v>HAL H2 (koriģēts)</v>
      </c>
      <c r="F305" s="1517"/>
      <c r="G305" s="1517"/>
      <c r="H305" s="66" t="str">
        <f>EUconst_tpa</f>
        <v>t / gads</v>
      </c>
      <c r="I305" s="328" t="str">
        <f>IF(I303&lt;&gt;"",SUM(I303)*IF(SUM(I296)=0,1,SUM(I293)/SUM(I293,I296)),"")</f>
        <v/>
      </c>
      <c r="J305" s="328" t="str">
        <f>IF(J303&lt;&gt;"",SUM(J303)*IF(SUM(J296)=0,1,SUM(J293)/SUM(J293,J296)),"")</f>
        <v/>
      </c>
      <c r="K305" s="328" t="str">
        <f>IF(K303&lt;&gt;"",SUM(K303)*IF(SUM(K296)=0,1,SUM(K293)/SUM(K293,K296)),"")</f>
        <v/>
      </c>
      <c r="L305" s="328" t="str">
        <f>IF(L303&lt;&gt;"",SUM(L303)*IF(SUM(L296)=0,1,SUM(L293)/SUM(L293,L296)),"")</f>
        <v/>
      </c>
      <c r="M305" s="328" t="str">
        <f>IF(M303&lt;&gt;"",SUM(M303)*IF(SUM(M296)=0,1,SUM(M293)/SUM(M293,M296)),"")</f>
        <v/>
      </c>
      <c r="N305" s="25"/>
      <c r="O305" s="25"/>
      <c r="P305" s="134" t="str">
        <f>IF(L265=EUconst_Relevant,EUconst_CNTR_HALspecial &amp; INDEX(EUconst_BMlistNames,MATCH(Q265,EUconst_BMlistMainNumberOfBM,0)),"")</f>
        <v/>
      </c>
    </row>
    <row r="306" spans="2:17" ht="5.0999999999999996" customHeight="1" x14ac:dyDescent="0.2">
      <c r="B306" s="38"/>
      <c r="C306" s="38"/>
      <c r="D306" s="38"/>
      <c r="E306" s="38"/>
      <c r="F306" s="38"/>
      <c r="G306" s="38"/>
      <c r="H306" s="38"/>
      <c r="I306" s="38"/>
      <c r="J306" s="38"/>
      <c r="K306" s="38"/>
      <c r="L306" s="38"/>
      <c r="M306" s="38"/>
      <c r="N306" s="38"/>
      <c r="O306" s="25"/>
    </row>
    <row r="307" spans="2:17" x14ac:dyDescent="0.2">
      <c r="B307" s="21"/>
      <c r="C307" s="21"/>
      <c r="D307" s="21"/>
      <c r="E307" s="1846" t="str">
        <f>IF(L265=EUconst_Relevant,HYPERLINK(Q307,EUconst_MsgBackToSheetF),"")</f>
        <v/>
      </c>
      <c r="F307" s="1847"/>
      <c r="G307" s="1847"/>
      <c r="H307" s="1847"/>
      <c r="I307" s="1847"/>
      <c r="J307" s="1847"/>
      <c r="K307" s="1847"/>
      <c r="L307" s="1847"/>
      <c r="M307" s="1847"/>
      <c r="N307" s="1848"/>
      <c r="O307" s="25"/>
      <c r="P307" s="386" t="s">
        <v>32</v>
      </c>
      <c r="Q307" s="134" t="str">
        <f>Q267</f>
        <v/>
      </c>
    </row>
    <row r="308" spans="2:17" x14ac:dyDescent="0.2">
      <c r="B308" s="38"/>
      <c r="C308" s="38"/>
      <c r="D308" s="38"/>
      <c r="E308" s="38"/>
      <c r="F308" s="38"/>
      <c r="G308" s="38"/>
      <c r="H308" s="38"/>
      <c r="I308" s="1124"/>
      <c r="J308" s="1124"/>
      <c r="K308" s="1124"/>
      <c r="L308" s="1124"/>
      <c r="M308" s="1124"/>
      <c r="N308" s="1105"/>
      <c r="O308" s="25"/>
    </row>
    <row r="309" spans="2:17" ht="15.75" x14ac:dyDescent="0.25">
      <c r="B309" s="21"/>
      <c r="C309" s="30" t="s">
        <v>367</v>
      </c>
      <c r="D309" s="1249" t="str">
        <f>Translations!$B$1070</f>
        <v>Sintēzes gāze</v>
      </c>
      <c r="E309" s="1249"/>
      <c r="F309" s="1249"/>
      <c r="G309" s="1249"/>
      <c r="H309" s="1249"/>
      <c r="I309" s="1249"/>
      <c r="J309" s="1249"/>
      <c r="K309" s="1249"/>
      <c r="L309" s="1249"/>
      <c r="M309" s="1249"/>
      <c r="N309" s="1249"/>
      <c r="O309" s="25"/>
      <c r="P309" s="26"/>
    </row>
    <row r="310" spans="2:17" ht="5.0999999999999996" customHeight="1" x14ac:dyDescent="0.2">
      <c r="B310" s="21"/>
      <c r="C310" s="21"/>
      <c r="D310" s="21"/>
      <c r="E310" s="21"/>
      <c r="F310" s="21"/>
      <c r="G310" s="21"/>
      <c r="H310" s="21"/>
      <c r="I310" s="21"/>
      <c r="J310" s="21"/>
      <c r="K310" s="21"/>
      <c r="L310" s="21"/>
      <c r="M310" s="25"/>
      <c r="N310" s="25"/>
      <c r="O310" s="25"/>
      <c r="P310" s="26"/>
    </row>
    <row r="311" spans="2:17" ht="15" x14ac:dyDescent="0.25">
      <c r="B311" s="21"/>
      <c r="C311" s="36"/>
      <c r="D311" s="1318" t="str">
        <f>Translations!$B$1071</f>
        <v>Rīks sintēzes gāzes apakšiekārtu vēsturisko darbības līmeņu aprēķināšanai</v>
      </c>
      <c r="E311" s="1251"/>
      <c r="F311" s="1251"/>
      <c r="G311" s="1251"/>
      <c r="H311" s="1251"/>
      <c r="I311" s="1251"/>
      <c r="J311" s="1251"/>
      <c r="K311" s="1251"/>
      <c r="L311" s="1251"/>
      <c r="M311" s="1251"/>
      <c r="N311" s="1251"/>
      <c r="O311" s="25"/>
      <c r="P311" s="26"/>
    </row>
    <row r="312" spans="2:17" ht="5.0999999999999996" customHeight="1" x14ac:dyDescent="0.2">
      <c r="B312" s="21"/>
      <c r="C312" s="21"/>
      <c r="D312" s="21"/>
      <c r="E312" s="21"/>
      <c r="F312" s="21"/>
      <c r="G312" s="21"/>
      <c r="H312" s="21"/>
      <c r="I312" s="21"/>
      <c r="J312" s="21"/>
      <c r="K312" s="21"/>
      <c r="L312" s="21"/>
      <c r="M312" s="25"/>
      <c r="N312" s="25"/>
      <c r="O312" s="25"/>
      <c r="P312" s="26"/>
    </row>
    <row r="313" spans="2:17" x14ac:dyDescent="0.2">
      <c r="B313" s="21"/>
      <c r="C313" s="21"/>
      <c r="D313" s="34"/>
      <c r="E313" s="1319" t="str">
        <f>Translations!$B$1072</f>
        <v>Šis rīks palīdz noteikt HAL (vēsturiskos darbības līmeņus) sintēzes gāzes līmeņatzīmei (FAR III pielikuma 7. punkts).</v>
      </c>
      <c r="F313" s="1251"/>
      <c r="G313" s="1251"/>
      <c r="H313" s="1251"/>
      <c r="I313" s="1251"/>
      <c r="J313" s="1251"/>
      <c r="K313" s="1251"/>
      <c r="L313" s="1251"/>
      <c r="M313" s="1251"/>
      <c r="N313" s="1251"/>
      <c r="O313" s="25"/>
      <c r="P313" s="26"/>
    </row>
    <row r="314" spans="2:17" x14ac:dyDescent="0.2">
      <c r="B314" s="21"/>
      <c r="C314" s="21"/>
      <c r="D314" s="34"/>
      <c r="E314" s="1319" t="str">
        <f>Translations!$B$907</f>
        <v>Ar šo rīku iegūtais rezultāts tiek automātiski iekopēts lapas “F_ProductBM” rindā a) punkta ii. apakšpunktā par attiecīgo apakšiekārtu.</v>
      </c>
      <c r="F314" s="1251"/>
      <c r="G314" s="1251"/>
      <c r="H314" s="1251"/>
      <c r="I314" s="1251"/>
      <c r="J314" s="1251"/>
      <c r="K314" s="1251"/>
      <c r="L314" s="1251"/>
      <c r="M314" s="1251"/>
      <c r="N314" s="1251"/>
      <c r="O314" s="25"/>
      <c r="P314" s="26"/>
    </row>
    <row r="315" spans="2:17" x14ac:dyDescent="0.2">
      <c r="B315" s="21"/>
      <c r="C315" s="21"/>
      <c r="D315" s="34"/>
      <c r="E315" s="1343" t="str">
        <f>Translations!$B$1073</f>
        <v>Ievērojiet, ka ūdeņraža procentuālais saturs ir jāizsaka tilpuma %.</v>
      </c>
      <c r="F315" s="1251"/>
      <c r="G315" s="1251"/>
      <c r="H315" s="1251"/>
      <c r="I315" s="1251"/>
      <c r="J315" s="1251"/>
      <c r="K315" s="1251"/>
      <c r="L315" s="1251"/>
      <c r="M315" s="1251"/>
      <c r="N315" s="1251"/>
      <c r="O315" s="25"/>
      <c r="P315" s="26"/>
    </row>
    <row r="316" spans="2:17" ht="5.0999999999999996" customHeight="1" x14ac:dyDescent="0.2">
      <c r="B316" s="21"/>
      <c r="C316" s="21"/>
      <c r="D316" s="21"/>
      <c r="E316" s="21"/>
      <c r="F316" s="21"/>
      <c r="G316" s="21"/>
      <c r="H316" s="21"/>
      <c r="I316" s="21"/>
      <c r="J316" s="21"/>
      <c r="K316" s="21"/>
      <c r="L316" s="21"/>
      <c r="M316" s="25"/>
      <c r="N316" s="25"/>
      <c r="O316" s="25"/>
      <c r="P316" s="26"/>
    </row>
    <row r="317" spans="2:17" ht="15" x14ac:dyDescent="0.25">
      <c r="B317" s="21"/>
      <c r="C317" s="21"/>
      <c r="D317" s="32" t="s">
        <v>165</v>
      </c>
      <c r="E317" s="1250" t="str">
        <f>Translations!$B$908</f>
        <v>Šā rīka relevantums jūsu iekārtai:</v>
      </c>
      <c r="F317" s="1250"/>
      <c r="G317" s="1250"/>
      <c r="H317" s="1250"/>
      <c r="I317" s="1250"/>
      <c r="J317" s="1250"/>
      <c r="K317" s="1524"/>
      <c r="L317" s="1849" t="str">
        <f>IF(CNTR_ExistSubInstEntries,IF(COUNTIF(CNTR_SubInstListNames,INDEX(EUconst_BMlistNames,MATCH(Q317,EUconst_BMlistMainNumberOfBM,0)))&gt;0,EUconst_Relevant,EUconst_NotRelevant),"")</f>
        <v/>
      </c>
      <c r="M317" s="1850"/>
      <c r="N317" s="1851"/>
      <c r="O317" s="25"/>
      <c r="P317" s="386" t="s">
        <v>33</v>
      </c>
      <c r="Q317" s="366">
        <v>51</v>
      </c>
    </row>
    <row r="318" spans="2:17" x14ac:dyDescent="0.2">
      <c r="B318" s="21"/>
      <c r="C318" s="21"/>
      <c r="D318" s="34"/>
      <c r="E318" s="1274" t="str">
        <f>Translations!$B$909</f>
        <v>Šis ziņojums tiek automātiski ģenerēts, balstoties uz datiem, ko ievadījāt lapas “A_InstallationData” III sadaļas 1. punktā.</v>
      </c>
      <c r="F318" s="1275"/>
      <c r="G318" s="1275"/>
      <c r="H318" s="1275"/>
      <c r="I318" s="1275"/>
      <c r="J318" s="1275"/>
      <c r="K318" s="1275"/>
      <c r="L318" s="1275"/>
      <c r="M318" s="1275"/>
      <c r="N318" s="1275"/>
      <c r="O318" s="25"/>
      <c r="P318" s="26"/>
    </row>
    <row r="319" spans="2:17" x14ac:dyDescent="0.2">
      <c r="B319" s="21"/>
      <c r="C319" s="21"/>
      <c r="D319" s="21"/>
      <c r="E319" s="1846" t="str">
        <f>IF(L317=EUconst_Relevant,HYPERLINK(Q319,EUconst_MsgBackToSheetF),"")</f>
        <v/>
      </c>
      <c r="F319" s="1847"/>
      <c r="G319" s="1847"/>
      <c r="H319" s="1847"/>
      <c r="I319" s="1847"/>
      <c r="J319" s="1847"/>
      <c r="K319" s="1847"/>
      <c r="L319" s="1847"/>
      <c r="M319" s="1847"/>
      <c r="N319" s="1848"/>
      <c r="O319" s="25"/>
      <c r="P319" s="386" t="s">
        <v>32</v>
      </c>
      <c r="Q319" s="134" t="str">
        <f>IF(ISNUMBER(MATCH(Q317,CNTR_SubInstListBMnumbers,0)),"#JUMP_F"&amp;MATCH(Q317,CNTR_SubInstListBMnumbers,0),"")</f>
        <v/>
      </c>
    </row>
    <row r="320" spans="2:17" ht="5.0999999999999996" customHeight="1" x14ac:dyDescent="0.2">
      <c r="B320" s="21"/>
      <c r="C320" s="21"/>
      <c r="D320" s="21"/>
      <c r="E320" s="21"/>
      <c r="F320" s="21"/>
      <c r="G320" s="21"/>
      <c r="H320" s="21"/>
      <c r="I320" s="21"/>
      <c r="J320" s="21"/>
      <c r="K320" s="21"/>
      <c r="L320" s="21"/>
      <c r="M320" s="25"/>
      <c r="N320" s="25"/>
      <c r="O320" s="25"/>
      <c r="P320" s="26"/>
    </row>
    <row r="321" spans="2:20" x14ac:dyDescent="0.2">
      <c r="B321" s="21"/>
      <c r="C321" s="21"/>
      <c r="D321" s="32" t="s">
        <v>339</v>
      </c>
      <c r="E321" s="1250" t="str">
        <f>Translations!$B$1074</f>
        <v>Saražotās sintēzes gāzes kopapjoms (nekoriģēts)</v>
      </c>
      <c r="F321" s="1251"/>
      <c r="G321" s="1251"/>
      <c r="H321" s="1251"/>
      <c r="I321" s="1251"/>
      <c r="J321" s="1251"/>
      <c r="K321" s="1251"/>
      <c r="L321" s="1251"/>
      <c r="M321" s="1251"/>
      <c r="N321" s="1251"/>
      <c r="O321" s="25"/>
      <c r="P321" s="26"/>
    </row>
    <row r="322" spans="2:20" x14ac:dyDescent="0.2">
      <c r="B322" s="21"/>
      <c r="C322" s="21"/>
      <c r="D322" s="34"/>
      <c r="E322" s="1319" t="str">
        <f>Translations!$B$1075</f>
        <v>Šeit ievadiet sintēzes gāzes ikgadējos ražošanas datus, pārrēķinātus uz vēsturisko ūdeņraža saturu, katrā bāzlīnijas perioda gadā.</v>
      </c>
      <c r="F322" s="1251"/>
      <c r="G322" s="1251"/>
      <c r="H322" s="1251"/>
      <c r="I322" s="1251"/>
      <c r="J322" s="1251"/>
      <c r="K322" s="1251"/>
      <c r="L322" s="1251"/>
      <c r="M322" s="1251"/>
      <c r="N322" s="1251"/>
      <c r="O322" s="25"/>
      <c r="P322" s="26"/>
    </row>
    <row r="323" spans="2:20" x14ac:dyDescent="0.2">
      <c r="B323" s="21"/>
      <c r="C323" s="21"/>
      <c r="D323" s="34"/>
      <c r="E323" s="1343" t="str">
        <f>Translations!$B$1060</f>
        <v>Tā kā, apjomu izsakot m3, skaitļi ir ļoti lieli, apjomi ir jānorāda 1000 Nm3 (normālkubikmetri, kas nozīmē 0 °C un 101,325 kPa).</v>
      </c>
      <c r="F323" s="1251"/>
      <c r="G323" s="1251"/>
      <c r="H323" s="1251"/>
      <c r="I323" s="1251"/>
      <c r="J323" s="1251"/>
      <c r="K323" s="1251"/>
      <c r="L323" s="1251"/>
      <c r="M323" s="1251"/>
      <c r="N323" s="1251"/>
      <c r="O323" s="25"/>
      <c r="P323" s="26"/>
    </row>
    <row r="324" spans="2:20" x14ac:dyDescent="0.2">
      <c r="B324" s="38"/>
      <c r="C324" s="38"/>
      <c r="D324" s="32"/>
      <c r="E324" s="43"/>
      <c r="F324" s="40"/>
      <c r="G324" s="40"/>
      <c r="H324" s="52" t="str">
        <f>EUconst_Unit</f>
        <v>Vienība</v>
      </c>
      <c r="I324" s="447">
        <f>I$408</f>
        <v>2019</v>
      </c>
      <c r="J324" s="447">
        <f>J$408</f>
        <v>2020</v>
      </c>
      <c r="K324" s="447">
        <f>K$408</f>
        <v>2021</v>
      </c>
      <c r="L324" s="447">
        <f>L$408</f>
        <v>2022</v>
      </c>
      <c r="M324" s="447">
        <f>M$408</f>
        <v>2023</v>
      </c>
      <c r="N324" s="25"/>
      <c r="O324" s="25"/>
      <c r="S324" s="386" t="s">
        <v>574</v>
      </c>
      <c r="T324" s="453" t="str">
        <f>IF(L317&lt;&gt;EUconst_Relevant,"",INDEX(CNTR_SubInstLess1Year,MATCH(Q317,CNTR_SubInstListBMnumbers,0)))</f>
        <v/>
      </c>
    </row>
    <row r="325" spans="2:20" x14ac:dyDescent="0.2">
      <c r="B325" s="38"/>
      <c r="C325" s="38"/>
      <c r="D325" s="38"/>
      <c r="E325" s="1517" t="str">
        <f>Translations!$B$1076</f>
        <v>Saražotās sintēzes gāzes kopapjoms</v>
      </c>
      <c r="F325" s="1517"/>
      <c r="G325" s="1517"/>
      <c r="H325" s="66" t="str">
        <f>EUconst_kNm3pa</f>
        <v>1000Nm3/gads</v>
      </c>
      <c r="I325" s="330"/>
      <c r="J325" s="330"/>
      <c r="K325" s="330"/>
      <c r="L325" s="330"/>
      <c r="M325" s="330"/>
      <c r="N325" s="25"/>
      <c r="O325" s="25"/>
    </row>
    <row r="326" spans="2:20" ht="5.0999999999999996" customHeight="1" x14ac:dyDescent="0.2">
      <c r="B326" s="21"/>
      <c r="C326" s="21"/>
      <c r="D326" s="21"/>
      <c r="E326" s="21"/>
      <c r="F326" s="21"/>
      <c r="G326" s="21"/>
      <c r="H326" s="21"/>
      <c r="I326" s="21"/>
      <c r="J326" s="21"/>
      <c r="K326" s="21"/>
      <c r="L326" s="21"/>
      <c r="M326" s="25"/>
      <c r="N326" s="25"/>
      <c r="O326" s="25"/>
      <c r="P326" s="26"/>
    </row>
    <row r="327" spans="2:20" x14ac:dyDescent="0.2">
      <c r="B327" s="21"/>
      <c r="C327" s="21"/>
      <c r="D327" s="32" t="s">
        <v>11</v>
      </c>
      <c r="E327" s="1250" t="str">
        <f>Translations!$B$1062</f>
        <v>Ūdeņraža tilpumfrakcija VF(H2)</v>
      </c>
      <c r="F327" s="1251"/>
      <c r="G327" s="1251"/>
      <c r="H327" s="1251"/>
      <c r="I327" s="1251"/>
      <c r="J327" s="1251"/>
      <c r="K327" s="1251"/>
      <c r="L327" s="1251"/>
      <c r="M327" s="1251"/>
      <c r="N327" s="1251"/>
      <c r="O327" s="25"/>
      <c r="P327" s="26"/>
    </row>
    <row r="328" spans="2:20" x14ac:dyDescent="0.2">
      <c r="B328" s="21"/>
      <c r="C328" s="21"/>
      <c r="D328" s="34"/>
      <c r="E328" s="1319" t="str">
        <f>Translations!$B$1063</f>
        <v>Šeit norādiet vēsturisko tīra ūdeņraža tilpumfrakciju ražošanas apjomā katrā bāzlīnijas perioda gadā. Tas ir bezdimensionāls lielums.</v>
      </c>
      <c r="F328" s="1251"/>
      <c r="G328" s="1251"/>
      <c r="H328" s="1251"/>
      <c r="I328" s="1251"/>
      <c r="J328" s="1251"/>
      <c r="K328" s="1251"/>
      <c r="L328" s="1251"/>
      <c r="M328" s="1251"/>
      <c r="N328" s="1251"/>
      <c r="O328" s="25"/>
      <c r="P328" s="26"/>
    </row>
    <row r="329" spans="2:20" x14ac:dyDescent="0.2">
      <c r="B329" s="21"/>
      <c r="C329" s="21"/>
      <c r="D329" s="34"/>
      <c r="E329" s="1319" t="str">
        <f>Translations!$B$1077</f>
        <v xml:space="preserve">Rādītāju 50 % var ievadīt vai nu kā "0,50", vai kā "50 %". </v>
      </c>
      <c r="F329" s="1251"/>
      <c r="G329" s="1251"/>
      <c r="H329" s="1251"/>
      <c r="I329" s="1251"/>
      <c r="J329" s="1251"/>
      <c r="K329" s="1251"/>
      <c r="L329" s="1251"/>
      <c r="M329" s="1251"/>
      <c r="N329" s="1251"/>
      <c r="O329" s="25"/>
      <c r="P329" s="26"/>
    </row>
    <row r="330" spans="2:20" x14ac:dyDescent="0.2">
      <c r="B330" s="38"/>
      <c r="C330" s="38"/>
      <c r="D330" s="32"/>
      <c r="E330" s="43"/>
      <c r="F330" s="40"/>
      <c r="G330" s="40"/>
      <c r="H330" s="52" t="str">
        <f>EUconst_Unit</f>
        <v>Vienība</v>
      </c>
      <c r="I330" s="447">
        <f>I$408</f>
        <v>2019</v>
      </c>
      <c r="J330" s="447">
        <f>J$408</f>
        <v>2020</v>
      </c>
      <c r="K330" s="447">
        <f>K$408</f>
        <v>2021</v>
      </c>
      <c r="L330" s="447">
        <f>L$408</f>
        <v>2022</v>
      </c>
      <c r="M330" s="447">
        <f>M$408</f>
        <v>2023</v>
      </c>
      <c r="N330" s="25"/>
      <c r="O330" s="25"/>
    </row>
    <row r="331" spans="2:20" x14ac:dyDescent="0.2">
      <c r="B331" s="38"/>
      <c r="C331" s="38"/>
      <c r="D331" s="38"/>
      <c r="E331" s="1517" t="str">
        <f>Translations!$B$1065</f>
        <v>Ūdeņraža tilpumfrakcija</v>
      </c>
      <c r="F331" s="1517"/>
      <c r="G331" s="1517"/>
      <c r="H331" s="144" t="s">
        <v>392</v>
      </c>
      <c r="I331" s="304"/>
      <c r="J331" s="304"/>
      <c r="K331" s="304"/>
      <c r="L331" s="304"/>
      <c r="M331" s="304"/>
      <c r="N331" s="25"/>
      <c r="O331" s="25"/>
    </row>
    <row r="332" spans="2:20" ht="5.0999999999999996" customHeight="1" x14ac:dyDescent="0.2">
      <c r="B332" s="21"/>
      <c r="C332" s="21"/>
      <c r="D332" s="21"/>
      <c r="E332" s="21"/>
      <c r="F332" s="21"/>
      <c r="G332" s="21"/>
      <c r="H332" s="21"/>
      <c r="I332" s="21"/>
      <c r="J332" s="21"/>
      <c r="K332" s="21"/>
      <c r="L332" s="21"/>
      <c r="M332" s="25"/>
      <c r="N332" s="25"/>
      <c r="O332" s="25"/>
      <c r="P332" s="26"/>
    </row>
    <row r="333" spans="2:20" x14ac:dyDescent="0.2">
      <c r="B333" s="21"/>
      <c r="C333" s="21"/>
      <c r="D333" s="32" t="s">
        <v>342</v>
      </c>
      <c r="E333" s="1250" t="str">
        <f>Translations!$B$1078</f>
        <v>Rezultāts: sintēzes gāzes apakšiekārtu darbības līmeņi, izteikti kā tonnas ar 47 % ūdeņraža saturu</v>
      </c>
      <c r="F333" s="1251"/>
      <c r="G333" s="1251"/>
      <c r="H333" s="1251"/>
      <c r="I333" s="1251"/>
      <c r="J333" s="1251"/>
      <c r="K333" s="1251"/>
      <c r="L333" s="1251"/>
      <c r="M333" s="1251"/>
      <c r="N333" s="1251"/>
      <c r="O333" s="25"/>
      <c r="P333" s="26"/>
    </row>
    <row r="334" spans="2:20" x14ac:dyDescent="0.2">
      <c r="B334" s="21"/>
      <c r="C334" s="21"/>
      <c r="D334" s="34"/>
      <c r="E334" s="1319" t="str">
        <f>Translations!$B$1711</f>
        <v>Šeit tiek aprēķināts koriģētais darbības līmenis (pārrēķināts uz 47 % H2), izmantojot formulu, kas dota FAR III pielikuma 7. punktā (pirms mediānas noteikšanas).</v>
      </c>
      <c r="F334" s="1251"/>
      <c r="G334" s="1251"/>
      <c r="H334" s="1251"/>
      <c r="I334" s="1251"/>
      <c r="J334" s="1251"/>
      <c r="K334" s="1251"/>
      <c r="L334" s="1251"/>
      <c r="M334" s="1251"/>
      <c r="N334" s="1251"/>
      <c r="O334" s="25"/>
      <c r="P334" s="26"/>
    </row>
    <row r="335" spans="2:20" x14ac:dyDescent="0.2">
      <c r="B335" s="21"/>
      <c r="C335" s="21"/>
      <c r="D335" s="34"/>
      <c r="E335" s="1319" t="str">
        <f>Translations!$B$1068</f>
        <v>Ja rezultāts ir negatīva vērtība, to aizstāj ar nulli.</v>
      </c>
      <c r="F335" s="1251"/>
      <c r="G335" s="1251"/>
      <c r="H335" s="1251"/>
      <c r="I335" s="1251"/>
      <c r="J335" s="1251"/>
      <c r="K335" s="1251"/>
      <c r="L335" s="1251"/>
      <c r="M335" s="1251"/>
      <c r="N335" s="1251"/>
      <c r="O335" s="25"/>
      <c r="P335" s="26"/>
    </row>
    <row r="336" spans="2:20" x14ac:dyDescent="0.2">
      <c r="B336" s="21"/>
      <c r="C336" s="21"/>
      <c r="D336" s="34"/>
      <c r="E336" s="1319" t="str">
        <f>Translations!$B$1685</f>
        <v>Šā rīka rezultāts tiek izmantots lapas “F_ProductBM” rindā a) punkta ii. apakšpunktā par attiecīgo apakšiekārtu, un no tā aprēķina mediānu.</v>
      </c>
      <c r="F336" s="1251"/>
      <c r="G336" s="1251"/>
      <c r="H336" s="1251"/>
      <c r="I336" s="1251"/>
      <c r="J336" s="1251"/>
      <c r="K336" s="1251"/>
      <c r="L336" s="1251"/>
      <c r="M336" s="1251"/>
      <c r="N336" s="1251"/>
      <c r="O336" s="25"/>
      <c r="P336" s="26"/>
    </row>
    <row r="337" spans="2:17" x14ac:dyDescent="0.2">
      <c r="B337" s="38"/>
      <c r="C337" s="38"/>
      <c r="D337" s="32"/>
      <c r="E337" s="40"/>
      <c r="F337" s="40"/>
      <c r="G337" s="40"/>
      <c r="H337" s="52" t="str">
        <f>EUconst_Unit</f>
        <v>Vienība</v>
      </c>
      <c r="I337" s="447">
        <f>I$408</f>
        <v>2019</v>
      </c>
      <c r="J337" s="447">
        <f>J$408</f>
        <v>2020</v>
      </c>
      <c r="K337" s="447">
        <f>K$408</f>
        <v>2021</v>
      </c>
      <c r="L337" s="447">
        <f>L$408</f>
        <v>2022</v>
      </c>
      <c r="M337" s="447">
        <f>M$408</f>
        <v>2023</v>
      </c>
      <c r="N337" s="25"/>
      <c r="O337" s="25"/>
    </row>
    <row r="338" spans="2:17" x14ac:dyDescent="0.2">
      <c r="B338" s="38"/>
      <c r="C338" s="38"/>
      <c r="D338" s="38"/>
      <c r="E338" s="1517" t="str">
        <f>Translations!$B$1080</f>
        <v>Sintēzes gāze (47 % H2 saturs)</v>
      </c>
      <c r="F338" s="1517"/>
      <c r="G338" s="1517"/>
      <c r="H338" s="66" t="str">
        <f>EUconst_tpa</f>
        <v>t / gads</v>
      </c>
      <c r="I338" s="328" t="str">
        <f>IF(AND(ISNUMBER(I325),ISNUMBER(I331)),IF((I325*0.7047*(1-(0.47-I331)/0.0863))&gt;0,I325*0.7047*(1-(0.47-I331)/0.0863),0),"")</f>
        <v/>
      </c>
      <c r="J338" s="328" t="str">
        <f>IF(AND(ISNUMBER(J325),ISNUMBER(J331)),IF((J325*0.7047*(1-(0.47-J331)/0.0863))&gt;0,J325*0.7047*(1-(0.47-J331)/0.0863),0),"")</f>
        <v/>
      </c>
      <c r="K338" s="328" t="str">
        <f>IF(AND(ISNUMBER(K325),ISNUMBER(K331)),IF((K325*0.7047*(1-(0.47-K331)/0.0863))&gt;0,K325*0.7047*(1-(0.47-K331)/0.0863),0),"")</f>
        <v/>
      </c>
      <c r="L338" s="328" t="str">
        <f>IF(AND(ISNUMBER(L325),ISNUMBER(L331)),IF((L325*0.7047*(1-(0.47-L331)/0.0863))&gt;0,L325*0.7047*(1-(0.47-L331)/0.0863),0),"")</f>
        <v/>
      </c>
      <c r="M338" s="328" t="str">
        <f>IF(AND(ISNUMBER(M325),ISNUMBER(M331)),IF((M325*0.7047*(1-(0.47-M331)/0.0863))&gt;0,M325*0.7047*(1-(0.47-M331)/0.0863),0),"")</f>
        <v/>
      </c>
      <c r="N338" s="25"/>
      <c r="O338" s="25"/>
      <c r="P338" s="134" t="str">
        <f>IF(L317=EUconst_Relevant,EUconst_CNTR_HALspecial &amp; INDEX(EUconst_BMlistNames,MATCH(Q317,EUconst_BMlistMainNumberOfBM,0)),"")</f>
        <v/>
      </c>
    </row>
    <row r="339" spans="2:17" ht="5.0999999999999996" customHeight="1" x14ac:dyDescent="0.2">
      <c r="B339" s="21"/>
      <c r="C339" s="21"/>
      <c r="D339" s="21"/>
      <c r="E339" s="21"/>
      <c r="F339" s="21"/>
      <c r="G339" s="21"/>
      <c r="H339" s="21"/>
      <c r="I339" s="21"/>
      <c r="J339" s="21"/>
      <c r="K339" s="21"/>
      <c r="L339" s="21"/>
      <c r="M339" s="25"/>
      <c r="N339" s="25"/>
      <c r="O339" s="25"/>
      <c r="P339" s="26"/>
    </row>
    <row r="340" spans="2:17" x14ac:dyDescent="0.2">
      <c r="B340" s="21"/>
      <c r="C340" s="21"/>
      <c r="D340" s="21"/>
      <c r="E340" s="1846" t="str">
        <f>IF(L317=EUconst_Relevant,HYPERLINK(Q340,EUconst_MsgBackToSheetF),"")</f>
        <v/>
      </c>
      <c r="F340" s="1847"/>
      <c r="G340" s="1847"/>
      <c r="H340" s="1847"/>
      <c r="I340" s="1847"/>
      <c r="J340" s="1847"/>
      <c r="K340" s="1847"/>
      <c r="L340" s="1847"/>
      <c r="M340" s="1847"/>
      <c r="N340" s="1848"/>
      <c r="O340" s="25"/>
      <c r="P340" s="386" t="s">
        <v>32</v>
      </c>
      <c r="Q340" s="134" t="str">
        <f>Q319</f>
        <v/>
      </c>
    </row>
    <row r="341" spans="2:17" x14ac:dyDescent="0.2">
      <c r="B341" s="38"/>
      <c r="C341" s="38"/>
      <c r="D341" s="38"/>
      <c r="E341" s="38"/>
      <c r="F341" s="38"/>
      <c r="G341" s="38"/>
      <c r="H341" s="38"/>
      <c r="I341" s="38"/>
      <c r="J341" s="38"/>
      <c r="K341" s="38"/>
      <c r="L341" s="38"/>
      <c r="M341" s="38"/>
      <c r="N341" s="38"/>
      <c r="O341" s="25"/>
    </row>
    <row r="342" spans="2:17" ht="15.75" x14ac:dyDescent="0.25">
      <c r="B342" s="21"/>
      <c r="C342" s="30" t="s">
        <v>368</v>
      </c>
      <c r="D342" s="1249" t="str">
        <f>Translations!$B$1081</f>
        <v>Etilēnoksīds/etilēnglikoli</v>
      </c>
      <c r="E342" s="1249"/>
      <c r="F342" s="1249"/>
      <c r="G342" s="1249"/>
      <c r="H342" s="1249"/>
      <c r="I342" s="1249"/>
      <c r="J342" s="1249"/>
      <c r="K342" s="1249"/>
      <c r="L342" s="1249"/>
      <c r="M342" s="1249"/>
      <c r="N342" s="1249"/>
      <c r="O342" s="25"/>
      <c r="P342" s="26"/>
    </row>
    <row r="343" spans="2:17" ht="5.0999999999999996" customHeight="1" x14ac:dyDescent="0.2">
      <c r="B343" s="21"/>
      <c r="C343" s="21"/>
      <c r="D343" s="21"/>
      <c r="E343" s="21"/>
      <c r="F343" s="21"/>
      <c r="G343" s="21"/>
      <c r="H343" s="21"/>
      <c r="I343" s="21"/>
      <c r="J343" s="21"/>
      <c r="K343" s="21"/>
      <c r="L343" s="21"/>
      <c r="M343" s="25"/>
      <c r="N343" s="25"/>
      <c r="O343" s="25"/>
      <c r="P343" s="26"/>
    </row>
    <row r="344" spans="2:17" ht="15" x14ac:dyDescent="0.25">
      <c r="B344" s="21"/>
      <c r="C344" s="36"/>
      <c r="D344" s="1318" t="str">
        <f>Translations!$B$1082</f>
        <v>Rīks etilēnoksīda/etilēnglikolu apakšiekārtu vēsturisko darbības līmeņu aprēķināšanai</v>
      </c>
      <c r="E344" s="1251"/>
      <c r="F344" s="1251"/>
      <c r="G344" s="1251"/>
      <c r="H344" s="1251"/>
      <c r="I344" s="1251"/>
      <c r="J344" s="1251"/>
      <c r="K344" s="1251"/>
      <c r="L344" s="1251"/>
      <c r="M344" s="1251"/>
      <c r="N344" s="1251"/>
      <c r="O344" s="25"/>
      <c r="P344" s="26"/>
    </row>
    <row r="345" spans="2:17" ht="5.0999999999999996" customHeight="1" x14ac:dyDescent="0.2">
      <c r="B345" s="21"/>
      <c r="C345" s="21"/>
      <c r="D345" s="21"/>
      <c r="E345" s="21"/>
      <c r="F345" s="21"/>
      <c r="G345" s="21"/>
      <c r="H345" s="21"/>
      <c r="I345" s="21"/>
      <c r="J345" s="21"/>
      <c r="K345" s="21"/>
      <c r="L345" s="21"/>
      <c r="M345" s="25"/>
      <c r="N345" s="25"/>
      <c r="O345" s="25"/>
      <c r="P345" s="26"/>
    </row>
    <row r="346" spans="2:17" x14ac:dyDescent="0.2">
      <c r="B346" s="21"/>
      <c r="C346" s="21"/>
      <c r="D346" s="34"/>
      <c r="E346" s="1319" t="str">
        <f>Translations!$B$1083</f>
        <v>Šis rīks palīdz noteikt HAL (vēsturiskos darbības līmeņus) etilēnoksīda/etilēnglikolu līmeņatzīmei (FAR III pielikuma 8. punkts).</v>
      </c>
      <c r="F346" s="1251"/>
      <c r="G346" s="1251"/>
      <c r="H346" s="1251"/>
      <c r="I346" s="1251"/>
      <c r="J346" s="1251"/>
      <c r="K346" s="1251"/>
      <c r="L346" s="1251"/>
      <c r="M346" s="1251"/>
      <c r="N346" s="1251"/>
      <c r="O346" s="25"/>
      <c r="P346" s="26"/>
    </row>
    <row r="347" spans="2:17" x14ac:dyDescent="0.2">
      <c r="B347" s="21"/>
      <c r="C347" s="21"/>
      <c r="D347" s="34"/>
      <c r="E347" s="1319" t="str">
        <f>Translations!$B$907</f>
        <v>Ar šo rīku iegūtais rezultāts tiek automātiski iekopēts lapas “F_ProductBM” rindā a) punkta ii. apakšpunktā par attiecīgo apakšiekārtu.</v>
      </c>
      <c r="F347" s="1251"/>
      <c r="G347" s="1251"/>
      <c r="H347" s="1251"/>
      <c r="I347" s="1251"/>
      <c r="J347" s="1251"/>
      <c r="K347" s="1251"/>
      <c r="L347" s="1251"/>
      <c r="M347" s="1251"/>
      <c r="N347" s="1251"/>
      <c r="O347" s="25"/>
      <c r="P347" s="26"/>
    </row>
    <row r="348" spans="2:17" ht="5.0999999999999996" customHeight="1" x14ac:dyDescent="0.2">
      <c r="B348" s="21"/>
      <c r="C348" s="21"/>
      <c r="D348" s="21"/>
      <c r="E348" s="21"/>
      <c r="F348" s="21"/>
      <c r="G348" s="21"/>
      <c r="H348" s="21"/>
      <c r="I348" s="21"/>
      <c r="J348" s="21"/>
      <c r="K348" s="21"/>
      <c r="L348" s="21"/>
      <c r="M348" s="25"/>
      <c r="N348" s="25"/>
      <c r="O348" s="25"/>
      <c r="P348" s="26"/>
    </row>
    <row r="349" spans="2:17" ht="15" x14ac:dyDescent="0.25">
      <c r="B349" s="21"/>
      <c r="C349" s="21"/>
      <c r="D349" s="32" t="s">
        <v>165</v>
      </c>
      <c r="E349" s="1250" t="str">
        <f>Translations!$B$908</f>
        <v>Šā rīka relevantums jūsu iekārtai:</v>
      </c>
      <c r="F349" s="1250"/>
      <c r="G349" s="1250"/>
      <c r="H349" s="1250"/>
      <c r="I349" s="1250"/>
      <c r="J349" s="1250"/>
      <c r="K349" s="1524"/>
      <c r="L349" s="1849" t="str">
        <f>IF(CNTR_ExistSubInstEntries,IF(COUNTIF(CNTR_SubInstListNames,INDEX(EUconst_BMlistNames,MATCH(Q349,EUconst_BMlistMainNumberOfBM,0)))&gt;0,EUconst_Relevant,EUconst_NotRelevant),"")</f>
        <v/>
      </c>
      <c r="M349" s="1850"/>
      <c r="N349" s="1851"/>
      <c r="O349" s="25"/>
      <c r="P349" s="386" t="s">
        <v>33</v>
      </c>
      <c r="Q349" s="366">
        <v>46</v>
      </c>
    </row>
    <row r="350" spans="2:17" x14ac:dyDescent="0.2">
      <c r="B350" s="21"/>
      <c r="C350" s="21"/>
      <c r="D350" s="34"/>
      <c r="E350" s="1274" t="str">
        <f>Translations!$B$909</f>
        <v>Šis ziņojums tiek automātiski ģenerēts, balstoties uz datiem, ko ievadījāt lapas “A_InstallationData” III sadaļas 1. punktā.</v>
      </c>
      <c r="F350" s="1275"/>
      <c r="G350" s="1275"/>
      <c r="H350" s="1275"/>
      <c r="I350" s="1275"/>
      <c r="J350" s="1275"/>
      <c r="K350" s="1275"/>
      <c r="L350" s="1275"/>
      <c r="M350" s="1275"/>
      <c r="N350" s="1275"/>
      <c r="O350" s="25"/>
      <c r="P350" s="26"/>
    </row>
    <row r="351" spans="2:17" x14ac:dyDescent="0.2">
      <c r="B351" s="21"/>
      <c r="C351" s="21"/>
      <c r="D351" s="21"/>
      <c r="E351" s="1846" t="str">
        <f>IF(L349=EUconst_Relevant,HYPERLINK(Q351,EUconst_MsgBackToSheetF),"")</f>
        <v/>
      </c>
      <c r="F351" s="1847"/>
      <c r="G351" s="1847"/>
      <c r="H351" s="1847"/>
      <c r="I351" s="1847"/>
      <c r="J351" s="1847"/>
      <c r="K351" s="1847"/>
      <c r="L351" s="1847"/>
      <c r="M351" s="1847"/>
      <c r="N351" s="1848"/>
      <c r="O351" s="25"/>
      <c r="P351" s="386" t="s">
        <v>32</v>
      </c>
      <c r="Q351" s="134" t="str">
        <f>IF(ISNUMBER(MATCH(Q349,CNTR_SubInstListBMnumbers,0)),"#JUMP_F"&amp;MATCH(Q349,CNTR_SubInstListBMnumbers,0),"")</f>
        <v/>
      </c>
    </row>
    <row r="352" spans="2:17" ht="5.0999999999999996" customHeight="1" x14ac:dyDescent="0.2">
      <c r="B352" s="21"/>
      <c r="C352" s="21"/>
      <c r="D352" s="21"/>
      <c r="E352" s="21"/>
      <c r="F352" s="21"/>
      <c r="G352" s="21"/>
      <c r="H352" s="21"/>
      <c r="I352" s="21"/>
      <c r="J352" s="21"/>
      <c r="K352" s="21"/>
      <c r="L352" s="21"/>
      <c r="M352" s="25"/>
      <c r="N352" s="25"/>
      <c r="O352" s="25"/>
      <c r="P352" s="26"/>
    </row>
    <row r="353" spans="2:20" x14ac:dyDescent="0.2">
      <c r="B353" s="21"/>
      <c r="C353" s="21"/>
      <c r="D353" s="32" t="s">
        <v>339</v>
      </c>
      <c r="E353" s="1250" t="str">
        <f>Translations!$B$1084</f>
        <v>Etilēnoksīda un etilēnglikolu ražošanas dati:</v>
      </c>
      <c r="F353" s="1251"/>
      <c r="G353" s="1251"/>
      <c r="H353" s="1251"/>
      <c r="I353" s="1251"/>
      <c r="J353" s="1251"/>
      <c r="K353" s="1251"/>
      <c r="L353" s="1251"/>
      <c r="M353" s="1251"/>
      <c r="N353" s="1251"/>
      <c r="O353" s="25"/>
      <c r="P353" s="26"/>
    </row>
    <row r="354" spans="2:20" x14ac:dyDescent="0.2">
      <c r="B354" s="21"/>
      <c r="C354" s="21"/>
      <c r="D354" s="34"/>
      <c r="E354" s="1319" t="str">
        <f>Translations!$B$1085</f>
        <v>Šeit ievadiet ikgadējos ražošanas datus par dažādiem produktiem, uz ko attiecas šī līmeņatzīme, katrā bāzlīnijas perioda gadā.</v>
      </c>
      <c r="F354" s="1251"/>
      <c r="G354" s="1251"/>
      <c r="H354" s="1251"/>
      <c r="I354" s="1251"/>
      <c r="J354" s="1251"/>
      <c r="K354" s="1251"/>
      <c r="L354" s="1251"/>
      <c r="M354" s="1251"/>
      <c r="N354" s="1251"/>
      <c r="O354" s="25"/>
      <c r="P354" s="26"/>
    </row>
    <row r="355" spans="2:20" x14ac:dyDescent="0.2">
      <c r="B355" s="21"/>
      <c r="C355" s="21"/>
      <c r="D355" s="34"/>
      <c r="E355" s="1319" t="str">
        <f>Translations!$B$1086</f>
        <v>Šajā tabulā attēlotas arī aprēķinā izmantotās CF(EOE) vērtības. CF(EOE) ir katras vielas pārrēķina koeficients attiecībā uz etilēnoksīdu.</v>
      </c>
      <c r="F355" s="1251"/>
      <c r="G355" s="1251"/>
      <c r="H355" s="1251"/>
      <c r="I355" s="1251"/>
      <c r="J355" s="1251"/>
      <c r="K355" s="1251"/>
      <c r="L355" s="1251"/>
      <c r="M355" s="1251"/>
      <c r="N355" s="1251"/>
      <c r="O355" s="25"/>
      <c r="P355" s="26"/>
    </row>
    <row r="356" spans="2:20" x14ac:dyDescent="0.2">
      <c r="B356" s="38"/>
      <c r="C356" s="38"/>
      <c r="D356" s="32"/>
      <c r="E356" s="43"/>
      <c r="F356" s="40"/>
      <c r="G356" s="145" t="s">
        <v>325</v>
      </c>
      <c r="H356" s="52" t="str">
        <f>EUconst_Unit</f>
        <v>Vienība</v>
      </c>
      <c r="I356" s="447">
        <f>I$408</f>
        <v>2019</v>
      </c>
      <c r="J356" s="447">
        <f>J$408</f>
        <v>2020</v>
      </c>
      <c r="K356" s="447">
        <f>K$408</f>
        <v>2021</v>
      </c>
      <c r="L356" s="447">
        <f>L$408</f>
        <v>2022</v>
      </c>
      <c r="M356" s="447">
        <f>M$408</f>
        <v>2023</v>
      </c>
      <c r="N356" s="25"/>
      <c r="O356" s="25"/>
      <c r="S356" s="386" t="s">
        <v>574</v>
      </c>
      <c r="T356" s="453" t="str">
        <f>IF(L349&lt;&gt;EUconst_Relevant,"",INDEX(CNTR_SubInstLess1Year,MATCH(Q349,CNTR_SubInstListBMnumbers,0)))</f>
        <v/>
      </c>
    </row>
    <row r="357" spans="2:20" x14ac:dyDescent="0.2">
      <c r="B357" s="38"/>
      <c r="C357" s="38"/>
      <c r="D357" s="38"/>
      <c r="E357" s="1541" t="str">
        <f>Translations!$B$1087</f>
        <v>Etilēnoksīds</v>
      </c>
      <c r="F357" s="1853"/>
      <c r="G357" s="146">
        <v>0.92600000000000005</v>
      </c>
      <c r="H357" s="45" t="str">
        <f>EUconst_tpa</f>
        <v>t / gads</v>
      </c>
      <c r="I357" s="319"/>
      <c r="J357" s="319"/>
      <c r="K357" s="319"/>
      <c r="L357" s="319"/>
      <c r="M357" s="319"/>
      <c r="N357" s="25"/>
      <c r="O357" s="25"/>
    </row>
    <row r="358" spans="2:20" x14ac:dyDescent="0.2">
      <c r="B358" s="38"/>
      <c r="C358" s="38"/>
      <c r="D358" s="38"/>
      <c r="E358" s="1547" t="str">
        <f>Translations!$B$1088</f>
        <v>Monoetilēnglikols</v>
      </c>
      <c r="F358" s="1854"/>
      <c r="G358" s="147">
        <v>0.71699999999999997</v>
      </c>
      <c r="H358" s="46" t="str">
        <f>EUconst_tpa</f>
        <v>t / gads</v>
      </c>
      <c r="I358" s="303"/>
      <c r="J358" s="303"/>
      <c r="K358" s="303"/>
      <c r="L358" s="303"/>
      <c r="M358" s="303"/>
      <c r="N358" s="25"/>
      <c r="O358" s="25"/>
    </row>
    <row r="359" spans="2:20" x14ac:dyDescent="0.2">
      <c r="B359" s="38"/>
      <c r="C359" s="38"/>
      <c r="D359" s="38"/>
      <c r="E359" s="1547" t="str">
        <f>Translations!$B$1089</f>
        <v>Dietilēnglikols</v>
      </c>
      <c r="F359" s="1854"/>
      <c r="G359" s="147">
        <v>1.1739999999999999</v>
      </c>
      <c r="H359" s="46" t="str">
        <f>EUconst_tpa</f>
        <v>t / gads</v>
      </c>
      <c r="I359" s="303"/>
      <c r="J359" s="303"/>
      <c r="K359" s="303"/>
      <c r="L359" s="303"/>
      <c r="M359" s="303"/>
      <c r="N359" s="25"/>
      <c r="O359" s="25"/>
    </row>
    <row r="360" spans="2:20" x14ac:dyDescent="0.2">
      <c r="B360" s="38"/>
      <c r="C360" s="38"/>
      <c r="D360" s="38"/>
      <c r="E360" s="1550" t="str">
        <f>Translations!$B$1090</f>
        <v>Trietilēnglikols</v>
      </c>
      <c r="F360" s="1852"/>
      <c r="G360" s="148">
        <v>1.429</v>
      </c>
      <c r="H360" s="48" t="str">
        <f>EUconst_tpa</f>
        <v>t / gads</v>
      </c>
      <c r="I360" s="302"/>
      <c r="J360" s="302"/>
      <c r="K360" s="302"/>
      <c r="L360" s="302"/>
      <c r="M360" s="302"/>
      <c r="N360" s="25"/>
      <c r="O360" s="25"/>
    </row>
    <row r="361" spans="2:20" x14ac:dyDescent="0.2">
      <c r="B361" s="38"/>
      <c r="C361" s="38"/>
      <c r="D361" s="38"/>
      <c r="E361" s="1517" t="str">
        <f>Translations!$B$1091</f>
        <v>Produktu summa</v>
      </c>
      <c r="F361" s="1517"/>
      <c r="G361" s="1517"/>
      <c r="H361" s="48" t="str">
        <f>EUconst_tpa</f>
        <v>t / gads</v>
      </c>
      <c r="I361" s="318" t="str">
        <f>IF(COUNT(I357:I360)&gt;0,SUM(I357:I360),"")</f>
        <v/>
      </c>
      <c r="J361" s="318" t="str">
        <f>IF(COUNT(J357:J360)&gt;0,SUM(J357:J360),"")</f>
        <v/>
      </c>
      <c r="K361" s="318" t="str">
        <f>IF(COUNT(K357:K360)&gt;0,SUM(K357:K360),"")</f>
        <v/>
      </c>
      <c r="L361" s="318" t="str">
        <f>IF(COUNT(L357:L360)&gt;0,SUM(L357:L360),"")</f>
        <v/>
      </c>
      <c r="M361" s="318" t="str">
        <f>IF(COUNT(M357:M360)&gt;0,SUM(M357:M360),"")</f>
        <v/>
      </c>
      <c r="N361" s="25"/>
      <c r="O361" s="25"/>
    </row>
    <row r="362" spans="2:20" ht="5.0999999999999996" customHeight="1" x14ac:dyDescent="0.2">
      <c r="B362" s="21"/>
      <c r="C362" s="21"/>
      <c r="D362" s="21"/>
      <c r="E362" s="21"/>
      <c r="F362" s="21"/>
      <c r="G362" s="21"/>
      <c r="H362" s="21"/>
      <c r="I362" s="21"/>
      <c r="J362" s="21"/>
      <c r="K362" s="21"/>
      <c r="L362" s="21"/>
      <c r="M362" s="25"/>
      <c r="N362" s="25"/>
      <c r="O362" s="25"/>
      <c r="P362" s="26"/>
    </row>
    <row r="363" spans="2:20" x14ac:dyDescent="0.2">
      <c r="B363" s="21"/>
      <c r="C363" s="21"/>
      <c r="D363" s="32" t="s">
        <v>11</v>
      </c>
      <c r="E363" s="1250" t="str">
        <f>Translations!$B$1092</f>
        <v>Rezultāts: etilēnoksīda/etilēnglikolu produkta līmeņatzīmes apakšiekārtu darbības līmeņi:</v>
      </c>
      <c r="F363" s="1251"/>
      <c r="G363" s="1251"/>
      <c r="H363" s="1251"/>
      <c r="I363" s="1251"/>
      <c r="J363" s="1251"/>
      <c r="K363" s="1251"/>
      <c r="L363" s="1251"/>
      <c r="M363" s="1251"/>
      <c r="N363" s="1251"/>
      <c r="O363" s="25"/>
      <c r="P363" s="26"/>
    </row>
    <row r="364" spans="2:20" x14ac:dyDescent="0.2">
      <c r="B364" s="21"/>
      <c r="C364" s="21"/>
      <c r="D364" s="34"/>
      <c r="E364" s="1319" t="str">
        <f>Translations!$B$1093</f>
        <v>Vēsturisko darbības līmeni, kas izteikts etilēnoksīda ekvivalenta tonnās, aprēķina, izmantojot formulu, kas dota FAR III pielikuma 8. punktā.</v>
      </c>
      <c r="F364" s="1251"/>
      <c r="G364" s="1251"/>
      <c r="H364" s="1251"/>
      <c r="I364" s="1251"/>
      <c r="J364" s="1251"/>
      <c r="K364" s="1251"/>
      <c r="L364" s="1251"/>
      <c r="M364" s="1251"/>
      <c r="N364" s="1251"/>
      <c r="O364" s="25"/>
      <c r="P364" s="26"/>
    </row>
    <row r="365" spans="2:20" x14ac:dyDescent="0.2">
      <c r="B365" s="21"/>
      <c r="C365" s="21"/>
      <c r="D365" s="34"/>
      <c r="E365" s="1319" t="str">
        <f>Translations!$B$1685</f>
        <v>Šā rīka rezultāts tiek izmantots lapas “F_ProductBM” rindā a) punkta ii. apakšpunktā par attiecīgo apakšiekārtu, un no tā aprēķina mediānu.</v>
      </c>
      <c r="F365" s="1251"/>
      <c r="G365" s="1251"/>
      <c r="H365" s="1251"/>
      <c r="I365" s="1251"/>
      <c r="J365" s="1251"/>
      <c r="K365" s="1251"/>
      <c r="L365" s="1251"/>
      <c r="M365" s="1251"/>
      <c r="N365" s="1251"/>
      <c r="O365" s="25"/>
      <c r="P365" s="26"/>
    </row>
    <row r="366" spans="2:20" x14ac:dyDescent="0.2">
      <c r="B366" s="38"/>
      <c r="C366" s="38"/>
      <c r="D366" s="32"/>
      <c r="E366" s="40"/>
      <c r="F366" s="40"/>
      <c r="G366" s="40"/>
      <c r="H366" s="52" t="str">
        <f>EUconst_Unit</f>
        <v>Vienība</v>
      </c>
      <c r="I366" s="447">
        <f>I$408</f>
        <v>2019</v>
      </c>
      <c r="J366" s="447">
        <f>J$408</f>
        <v>2020</v>
      </c>
      <c r="K366" s="447">
        <f>K$408</f>
        <v>2021</v>
      </c>
      <c r="L366" s="447">
        <f>L$408</f>
        <v>2022</v>
      </c>
      <c r="M366" s="447">
        <f>M$408</f>
        <v>2023</v>
      </c>
      <c r="N366" s="25"/>
      <c r="O366" s="25"/>
    </row>
    <row r="367" spans="2:20" x14ac:dyDescent="0.2">
      <c r="B367" s="38"/>
      <c r="C367" s="38"/>
      <c r="D367" s="38"/>
      <c r="E367" s="1517" t="str">
        <f>Translations!$B$1094</f>
        <v>Kopapjoms, izteikts kā etilēnoksīda ekvivalents</v>
      </c>
      <c r="F367" s="1517"/>
      <c r="G367" s="1517"/>
      <c r="H367" s="66" t="str">
        <f>EUconst_tpa</f>
        <v>t / gads</v>
      </c>
      <c r="I367" s="336" t="str">
        <f>IF(ISNUMBER(I361),SUMPRODUCT($G$357:$G$360,I357:I360),"")</f>
        <v/>
      </c>
      <c r="J367" s="336" t="str">
        <f>IF(ISNUMBER(J361),SUMPRODUCT($G$357:$G$360,J357:J360),"")</f>
        <v/>
      </c>
      <c r="K367" s="336" t="str">
        <f>IF(ISNUMBER(K361),SUMPRODUCT($G$357:$G$360,K357:K360),"")</f>
        <v/>
      </c>
      <c r="L367" s="336" t="str">
        <f>IF(ISNUMBER(L361),SUMPRODUCT($G$357:$G$360,L357:L360),"")</f>
        <v/>
      </c>
      <c r="M367" s="336" t="str">
        <f>IF(ISNUMBER(M361),SUMPRODUCT($G$357:$G$360,M357:M360),"")</f>
        <v/>
      </c>
      <c r="N367" s="25"/>
      <c r="O367" s="25"/>
      <c r="P367" s="134" t="str">
        <f>IF(L349=EUconst_Relevant,EUconst_CNTR_HALspecial &amp; INDEX(EUconst_BMlistNames,MATCH(Q349,EUconst_BMlistMainNumberOfBM,0)),"")</f>
        <v/>
      </c>
    </row>
    <row r="368" spans="2:20" ht="5.0999999999999996" customHeight="1" x14ac:dyDescent="0.2">
      <c r="B368" s="21"/>
      <c r="C368" s="21"/>
      <c r="D368" s="21"/>
      <c r="E368" s="21"/>
      <c r="F368" s="21"/>
      <c r="G368" s="21"/>
      <c r="H368" s="21"/>
      <c r="I368" s="21"/>
      <c r="J368" s="21"/>
      <c r="K368" s="21"/>
      <c r="L368" s="21"/>
      <c r="M368" s="25"/>
      <c r="N368" s="25"/>
      <c r="O368" s="25"/>
      <c r="P368" s="26"/>
    </row>
    <row r="369" spans="2:17" x14ac:dyDescent="0.2">
      <c r="B369" s="21"/>
      <c r="C369" s="21"/>
      <c r="D369" s="21"/>
      <c r="E369" s="1846" t="str">
        <f>IF(L349=EUconst_Relevant,HYPERLINK(Q369,EUconst_MsgBackToSheetF),"")</f>
        <v/>
      </c>
      <c r="F369" s="1847"/>
      <c r="G369" s="1847"/>
      <c r="H369" s="1847"/>
      <c r="I369" s="1847"/>
      <c r="J369" s="1847"/>
      <c r="K369" s="1847"/>
      <c r="L369" s="1847"/>
      <c r="M369" s="1847"/>
      <c r="N369" s="1848"/>
      <c r="O369" s="25"/>
      <c r="P369" s="386" t="s">
        <v>32</v>
      </c>
      <c r="Q369" s="134" t="str">
        <f>Q351</f>
        <v/>
      </c>
    </row>
    <row r="370" spans="2:17" x14ac:dyDescent="0.2">
      <c r="B370" s="38"/>
      <c r="C370" s="38"/>
      <c r="D370" s="38"/>
      <c r="E370" s="38"/>
      <c r="F370" s="38"/>
      <c r="G370" s="38"/>
      <c r="H370" s="38"/>
      <c r="I370" s="38"/>
      <c r="J370" s="38"/>
      <c r="K370" s="38"/>
      <c r="L370" s="38"/>
      <c r="M370" s="38"/>
      <c r="N370" s="38"/>
      <c r="O370" s="25"/>
    </row>
    <row r="371" spans="2:17" ht="15.75" x14ac:dyDescent="0.25">
      <c r="B371" s="21"/>
      <c r="C371" s="30" t="s">
        <v>75</v>
      </c>
      <c r="D371" s="1249" t="str">
        <f>Translations!$B$1095</f>
        <v>Vinilhlorīda monomērs (VCM)</v>
      </c>
      <c r="E371" s="1249"/>
      <c r="F371" s="1249"/>
      <c r="G371" s="1249"/>
      <c r="H371" s="1249"/>
      <c r="I371" s="1249"/>
      <c r="J371" s="1249"/>
      <c r="K371" s="1249"/>
      <c r="L371" s="1249"/>
      <c r="M371" s="1249"/>
      <c r="N371" s="1249"/>
      <c r="O371" s="25"/>
      <c r="P371" s="26"/>
    </row>
    <row r="372" spans="2:17" ht="5.0999999999999996" customHeight="1" x14ac:dyDescent="0.2">
      <c r="B372" s="21"/>
      <c r="C372" s="21"/>
      <c r="D372" s="21"/>
      <c r="E372" s="21"/>
      <c r="F372" s="21"/>
      <c r="G372" s="21"/>
      <c r="H372" s="21"/>
      <c r="I372" s="21"/>
      <c r="J372" s="21"/>
      <c r="K372" s="21"/>
      <c r="L372" s="21"/>
      <c r="M372" s="25"/>
      <c r="N372" s="25"/>
      <c r="O372" s="25"/>
      <c r="P372" s="26"/>
    </row>
    <row r="373" spans="2:17" ht="15" x14ac:dyDescent="0.25">
      <c r="B373" s="21"/>
      <c r="C373" s="36"/>
      <c r="D373" s="1318" t="str">
        <f>Translations!$B$1096</f>
        <v>Vinilhlorīda monomēra rīks: provizoriskais iedales apjoms (FAR 20. pants)</v>
      </c>
      <c r="E373" s="1251"/>
      <c r="F373" s="1251"/>
      <c r="G373" s="1251"/>
      <c r="H373" s="1251"/>
      <c r="I373" s="1251"/>
      <c r="J373" s="1251"/>
      <c r="K373" s="1251"/>
      <c r="L373" s="1251"/>
      <c r="M373" s="1251"/>
      <c r="N373" s="1251"/>
      <c r="O373" s="25"/>
      <c r="P373" s="26"/>
    </row>
    <row r="374" spans="2:17" ht="5.0999999999999996" customHeight="1" x14ac:dyDescent="0.2">
      <c r="B374" s="21"/>
      <c r="C374" s="21"/>
      <c r="D374" s="21"/>
      <c r="E374" s="21"/>
      <c r="F374" s="21"/>
      <c r="G374" s="21"/>
      <c r="H374" s="21"/>
      <c r="I374" s="21"/>
      <c r="J374" s="21"/>
      <c r="K374" s="21"/>
      <c r="L374" s="21"/>
      <c r="M374" s="25"/>
      <c r="N374" s="25"/>
      <c r="O374" s="25"/>
      <c r="P374" s="26"/>
    </row>
    <row r="375" spans="2:17" x14ac:dyDescent="0.2">
      <c r="B375" s="21"/>
      <c r="C375" s="21"/>
      <c r="D375" s="34"/>
      <c r="E375" s="1319" t="str">
        <f>Translations!$B$1097</f>
        <v>Šis rīks palīdz noteikt provizorisko iedales apjomu vinilhlorīda monomēra (VCM) apakšiekārtām (FAR 20. pants).</v>
      </c>
      <c r="F375" s="1251"/>
      <c r="G375" s="1251"/>
      <c r="H375" s="1251"/>
      <c r="I375" s="1251"/>
      <c r="J375" s="1251"/>
      <c r="K375" s="1251"/>
      <c r="L375" s="1251"/>
      <c r="M375" s="1251"/>
      <c r="N375" s="1251"/>
      <c r="O375" s="25"/>
      <c r="P375" s="26"/>
    </row>
    <row r="376" spans="2:17" x14ac:dyDescent="0.2">
      <c r="B376" s="21"/>
      <c r="C376" s="21"/>
      <c r="D376" s="34"/>
      <c r="E376" s="1319" t="str">
        <f>Translations!$B$1098</f>
        <v>Jānorāda šādi dati:</v>
      </c>
      <c r="F376" s="1251"/>
      <c r="G376" s="1251"/>
      <c r="H376" s="1251"/>
      <c r="I376" s="1251"/>
      <c r="J376" s="1251"/>
      <c r="K376" s="1251"/>
      <c r="L376" s="1251"/>
      <c r="M376" s="1251"/>
      <c r="N376" s="1251"/>
      <c r="O376" s="25"/>
      <c r="P376" s="26"/>
    </row>
    <row r="377" spans="2:17" x14ac:dyDescent="0.2">
      <c r="B377" s="21"/>
      <c r="C377" s="21"/>
      <c r="D377" s="34"/>
      <c r="E377" s="141" t="s">
        <v>392</v>
      </c>
      <c r="F377" s="1319" t="str">
        <f>Translations!$B$1099</f>
        <v>darbības līmeņi, kas ievadīti lapas “ProductBM” a) sadaļā par attiecīgo apakšiekārtu;</v>
      </c>
      <c r="G377" s="1251"/>
      <c r="H377" s="1251"/>
      <c r="I377" s="1251"/>
      <c r="J377" s="1251"/>
      <c r="K377" s="1251"/>
      <c r="L377" s="1251"/>
      <c r="M377" s="1251"/>
      <c r="N377" s="1251"/>
      <c r="O377" s="25"/>
      <c r="P377" s="26"/>
    </row>
    <row r="378" spans="2:17" x14ac:dyDescent="0.2">
      <c r="B378" s="21"/>
      <c r="C378" s="21"/>
      <c r="D378" s="34"/>
      <c r="E378" s="141" t="s">
        <v>392</v>
      </c>
      <c r="F378" s="1319" t="str">
        <f>Translations!$B$1100</f>
        <v>kopējās tiešās emisijas, kas attiecinātas uz šo apakšiekārtu;</v>
      </c>
      <c r="G378" s="1251"/>
      <c r="H378" s="1251"/>
      <c r="I378" s="1251"/>
      <c r="J378" s="1251"/>
      <c r="K378" s="1251"/>
      <c r="L378" s="1251"/>
      <c r="M378" s="1251"/>
      <c r="N378" s="1251"/>
      <c r="O378" s="25"/>
      <c r="P378" s="26"/>
    </row>
    <row r="379" spans="2:17" x14ac:dyDescent="0.2">
      <c r="B379" s="21"/>
      <c r="C379" s="21"/>
      <c r="D379" s="34"/>
      <c r="E379" s="141" t="s">
        <v>392</v>
      </c>
      <c r="F379" s="1319" t="str">
        <f>Translations!$B$1101</f>
        <v>neto izmērāmais siltums, ko šī apakšiekārta importējusi no citām ETS iekārtām;</v>
      </c>
      <c r="G379" s="1251"/>
      <c r="H379" s="1251"/>
      <c r="I379" s="1251"/>
      <c r="J379" s="1251"/>
      <c r="K379" s="1251"/>
      <c r="L379" s="1251"/>
      <c r="M379" s="1251"/>
      <c r="N379" s="1251"/>
      <c r="O379" s="25"/>
      <c r="P379" s="26"/>
    </row>
    <row r="380" spans="2:17" ht="12.75" customHeight="1" x14ac:dyDescent="0.2">
      <c r="B380" s="21"/>
      <c r="C380" s="21"/>
      <c r="D380" s="34"/>
      <c r="E380" s="141" t="s">
        <v>392</v>
      </c>
      <c r="F380" s="1319" t="str">
        <f>Translations!$B$1102</f>
        <v>ar ūdeņradi saistītas emisijas, t. i., vēsturiskais siltuma patēriņš no ūdeņraža sadedzināšanas, reizināts ar siltuma līmeņatzīmi.</v>
      </c>
      <c r="G380" s="1319"/>
      <c r="H380" s="1319"/>
      <c r="I380" s="1319"/>
      <c r="J380" s="1319"/>
      <c r="K380" s="1319"/>
      <c r="L380" s="1319"/>
      <c r="M380" s="1319"/>
      <c r="N380" s="1319"/>
      <c r="O380" s="25"/>
      <c r="P380" s="26"/>
    </row>
    <row r="381" spans="2:17" ht="5.0999999999999996" customHeight="1" x14ac:dyDescent="0.2">
      <c r="B381" s="21"/>
      <c r="C381" s="21"/>
      <c r="D381" s="21"/>
      <c r="E381" s="21"/>
      <c r="F381" s="21"/>
      <c r="G381" s="21"/>
      <c r="H381" s="21"/>
      <c r="I381" s="21"/>
      <c r="J381" s="21"/>
      <c r="K381" s="21"/>
      <c r="L381" s="21"/>
      <c r="M381" s="25"/>
      <c r="N381" s="25"/>
      <c r="O381" s="25"/>
      <c r="P381" s="26"/>
    </row>
    <row r="382" spans="2:17" ht="15" x14ac:dyDescent="0.25">
      <c r="B382" s="21"/>
      <c r="C382" s="21"/>
      <c r="D382" s="32" t="s">
        <v>165</v>
      </c>
      <c r="E382" s="1250" t="str">
        <f>Translations!$B$908</f>
        <v>Šā rīka relevantums jūsu iekārtai:</v>
      </c>
      <c r="F382" s="1250"/>
      <c r="G382" s="1250"/>
      <c r="H382" s="1250"/>
      <c r="I382" s="1250"/>
      <c r="J382" s="1250"/>
      <c r="K382" s="1524"/>
      <c r="L382" s="1849" t="str">
        <f>IF(CNTR_ExistSubInstEntries,IF(COUNTIF(CNTR_SubInstListNames,INDEX(EUconst_BMlistNames,MATCH(Q382,EUconst_BMlistMainNumberOfBM,0)))&gt;0,EUconst_Relevant,EUconst_NotRelevant),"")</f>
        <v/>
      </c>
      <c r="M382" s="1850"/>
      <c r="N382" s="1851"/>
      <c r="O382" s="25"/>
      <c r="P382" s="386" t="s">
        <v>33</v>
      </c>
      <c r="Q382" s="366">
        <v>47</v>
      </c>
    </row>
    <row r="383" spans="2:17" x14ac:dyDescent="0.2">
      <c r="B383" s="21"/>
      <c r="C383" s="21"/>
      <c r="D383" s="34"/>
      <c r="E383" s="1274" t="str">
        <f>Translations!$B$909</f>
        <v>Šis ziņojums tiek automātiski ģenerēts, balstoties uz datiem, ko ievadījāt lapas “A_InstallationData” III sadaļas 1. punktā.</v>
      </c>
      <c r="F383" s="1275"/>
      <c r="G383" s="1275"/>
      <c r="H383" s="1275"/>
      <c r="I383" s="1275"/>
      <c r="J383" s="1275"/>
      <c r="K383" s="1275"/>
      <c r="L383" s="1275"/>
      <c r="M383" s="1275"/>
      <c r="N383" s="1275"/>
      <c r="O383" s="25"/>
      <c r="P383" s="26"/>
    </row>
    <row r="384" spans="2:17" x14ac:dyDescent="0.2">
      <c r="B384" s="21"/>
      <c r="C384" s="21"/>
      <c r="D384" s="21"/>
      <c r="E384" s="1846" t="str">
        <f>IF(L382=EUconst_Relevant,HYPERLINK(Q384,EUconst_MsgBackToSheetF),"")</f>
        <v/>
      </c>
      <c r="F384" s="1847"/>
      <c r="G384" s="1847"/>
      <c r="H384" s="1847"/>
      <c r="I384" s="1847"/>
      <c r="J384" s="1847"/>
      <c r="K384" s="1847"/>
      <c r="L384" s="1847"/>
      <c r="M384" s="1847"/>
      <c r="N384" s="1848"/>
      <c r="O384" s="25"/>
      <c r="P384" s="386" t="s">
        <v>32</v>
      </c>
      <c r="Q384" s="134" t="str">
        <f>IF(ISNUMBER(MATCH(Q382,CNTR_SubInstListBMnumbers,0)),"#JUMP_F"&amp;MATCH(Q382,CNTR_SubInstListBMnumbers,0),"")</f>
        <v/>
      </c>
    </row>
    <row r="385" spans="2:23" ht="5.0999999999999996" customHeight="1" x14ac:dyDescent="0.2">
      <c r="B385" s="21"/>
      <c r="C385" s="21"/>
      <c r="D385" s="21"/>
      <c r="E385" s="21"/>
      <c r="F385" s="21"/>
      <c r="G385" s="21"/>
      <c r="H385" s="21"/>
      <c r="I385" s="21"/>
      <c r="J385" s="21"/>
      <c r="K385" s="21"/>
      <c r="L385" s="21"/>
      <c r="M385" s="25"/>
      <c r="N385" s="25"/>
      <c r="O385" s="25"/>
      <c r="P385" s="26"/>
    </row>
    <row r="386" spans="2:23" x14ac:dyDescent="0.2">
      <c r="B386" s="38"/>
      <c r="C386" s="38"/>
      <c r="D386" s="32" t="s">
        <v>339</v>
      </c>
      <c r="E386" s="1250" t="str">
        <f>Translations!$B$1103</f>
        <v>Ar emisijām saistītie dati:</v>
      </c>
      <c r="F386" s="1251"/>
      <c r="G386" s="1251"/>
      <c r="H386" s="1251"/>
      <c r="I386" s="1251"/>
      <c r="J386" s="1251"/>
      <c r="K386" s="1251"/>
      <c r="L386" s="1251"/>
      <c r="M386" s="1251"/>
      <c r="N386" s="1251"/>
      <c r="O386" s="25"/>
    </row>
    <row r="387" spans="2:23" x14ac:dyDescent="0.2">
      <c r="B387" s="21"/>
      <c r="C387" s="21"/>
      <c r="D387" s="34"/>
      <c r="E387" s="1319" t="str">
        <f>Translations!$B$1104</f>
        <v>Šeit ievadiet prasītos lielumus, kas paskaidroti iepriekš.</v>
      </c>
      <c r="F387" s="1251"/>
      <c r="G387" s="1251"/>
      <c r="H387" s="1251"/>
      <c r="I387" s="1251"/>
      <c r="J387" s="1251"/>
      <c r="K387" s="1251"/>
      <c r="L387" s="1251"/>
      <c r="M387" s="1251"/>
      <c r="N387" s="1251"/>
      <c r="O387" s="25"/>
      <c r="P387" s="26"/>
    </row>
    <row r="388" spans="2:23" x14ac:dyDescent="0.2">
      <c r="B388" s="38"/>
      <c r="C388" s="38"/>
      <c r="D388" s="32"/>
      <c r="E388" s="1320" t="str">
        <f>Translations!$B$686</f>
        <v>Parametrs</v>
      </c>
      <c r="F388" s="1275"/>
      <c r="G388" s="1275"/>
      <c r="H388" s="52" t="str">
        <f>EUconst_Unit</f>
        <v>Vienība</v>
      </c>
      <c r="I388" s="412">
        <f>I$408</f>
        <v>2019</v>
      </c>
      <c r="J388" s="412">
        <f>J$408</f>
        <v>2020</v>
      </c>
      <c r="K388" s="412">
        <f>K$408</f>
        <v>2021</v>
      </c>
      <c r="L388" s="412">
        <f>L$408</f>
        <v>2022</v>
      </c>
      <c r="M388" s="412">
        <f>M$408</f>
        <v>2023</v>
      </c>
      <c r="N388" s="25"/>
      <c r="O388" s="25"/>
      <c r="S388" s="386" t="s">
        <v>574</v>
      </c>
      <c r="T388" s="453" t="str">
        <f>IF(L382&lt;&gt;EUconst_Relevant,"",INDEX(CNTR_SubInstLess1Year,MATCH(Q382,CNTR_SubInstListBMnumbers,0)))</f>
        <v/>
      </c>
    </row>
    <row r="389" spans="2:23" x14ac:dyDescent="0.2">
      <c r="B389" s="38"/>
      <c r="C389" s="38"/>
      <c r="D389" s="38"/>
      <c r="E389" s="1541" t="str">
        <f>Translations!$B$687</f>
        <v>Tiešās emisijas</v>
      </c>
      <c r="F389" s="1541"/>
      <c r="G389" s="1541"/>
      <c r="H389" s="55" t="str">
        <f>EUconst_tCO2pa</f>
        <v>t CO2 / gads</v>
      </c>
      <c r="I389" s="348"/>
      <c r="J389" s="348"/>
      <c r="K389" s="348"/>
      <c r="L389" s="348"/>
      <c r="M389" s="484"/>
      <c r="N389" s="25"/>
      <c r="O389" s="25"/>
      <c r="P389" s="367" t="str">
        <f>EUconst_CNTR_Emissions &amp; INDEX(EUconst_BMlistNames,MATCH(Q382,EUconst_BMlistMainNumberOfBM,0))</f>
        <v>DirEmissions_Vinilhlorīda monomērs</v>
      </c>
    </row>
    <row r="390" spans="2:23" x14ac:dyDescent="0.2">
      <c r="B390" s="38"/>
      <c r="C390" s="38"/>
      <c r="D390" s="38"/>
      <c r="E390" s="1547" t="str">
        <f>Translations!$B$1105</f>
        <v>Neto importētais izmērāmais siltums</v>
      </c>
      <c r="F390" s="1547"/>
      <c r="G390" s="1547"/>
      <c r="H390" s="56" t="str">
        <f>EUconst_TJpa</f>
        <v>TJ / gads</v>
      </c>
      <c r="I390" s="852" t="str">
        <f>IF($L382=EUconst_Relevant,INDEX(F_ProductBM!I:I,MATCH($P390,F_ProductBM!$P:$P,0)),"")</f>
        <v/>
      </c>
      <c r="J390" s="852" t="str">
        <f>IF($L382=EUconst_Relevant,INDEX(F_ProductBM!J:J,MATCH($P390,F_ProductBM!$P:$P,0)),"")</f>
        <v/>
      </c>
      <c r="K390" s="852" t="str">
        <f>IF($L382=EUconst_Relevant,INDEX(F_ProductBM!K:K,MATCH($P390,F_ProductBM!$P:$P,0)),"")</f>
        <v/>
      </c>
      <c r="L390" s="852" t="str">
        <f>IF($L382=EUconst_Relevant,INDEX(F_ProductBM!L:L,MATCH($P390,F_ProductBM!$P:$P,0)),"")</f>
        <v/>
      </c>
      <c r="M390" s="852" t="str">
        <f>IF($L382=EUconst_Relevant,INDEX(F_ProductBM!M:M,MATCH($P390,F_ProductBM!$P:$P,0)),"")</f>
        <v/>
      </c>
      <c r="N390" s="25"/>
      <c r="O390" s="25"/>
      <c r="P390" s="367" t="str">
        <f>EUconst_CNTR_HeatImport&amp;INDEX(EUconst_BMlistNames,MATCH(Q382,EUconst_BMlistMainNumberOfBM,0))</f>
        <v>HeatIm_Vinilhlorīda monomērs</v>
      </c>
      <c r="R390" s="20" t="s">
        <v>66</v>
      </c>
    </row>
    <row r="391" spans="2:23" x14ac:dyDescent="0.2">
      <c r="B391" s="38"/>
      <c r="C391" s="38"/>
      <c r="D391" s="38"/>
      <c r="E391" s="1550" t="str">
        <f>Translations!$B$1106</f>
        <v>Siltuma patēriņš no H2 sadedzināšanas</v>
      </c>
      <c r="F391" s="1550"/>
      <c r="G391" s="1550"/>
      <c r="H391" s="59" t="str">
        <f>EUconst_TJpa</f>
        <v>TJ / gads</v>
      </c>
      <c r="I391" s="345"/>
      <c r="J391" s="345"/>
      <c r="K391" s="345"/>
      <c r="L391" s="345"/>
      <c r="M391" s="458"/>
      <c r="N391" s="25"/>
      <c r="O391" s="25"/>
      <c r="S391" s="20">
        <f>I$408</f>
        <v>2019</v>
      </c>
      <c r="T391" s="20">
        <f>J$408</f>
        <v>2020</v>
      </c>
      <c r="U391" s="20">
        <f>K$408</f>
        <v>2021</v>
      </c>
      <c r="V391" s="20">
        <f>L$408</f>
        <v>2022</v>
      </c>
      <c r="W391" s="20">
        <f>M$408</f>
        <v>2023</v>
      </c>
    </row>
    <row r="392" spans="2:23" ht="13.5" thickBot="1" x14ac:dyDescent="0.25">
      <c r="B392" s="38"/>
      <c r="C392" s="38"/>
      <c r="D392" s="38"/>
      <c r="E392" s="1541" t="str">
        <f>Translations!$B$690</f>
        <v>Kopējās tiešās emisijas</v>
      </c>
      <c r="F392" s="1541"/>
      <c r="G392" s="1541"/>
      <c r="H392" s="55" t="str">
        <f>EUconst_tCO2pa</f>
        <v>t CO2 / gads</v>
      </c>
      <c r="I392" s="349" t="str">
        <f>IF(OR(ISNUMBER(I389),ISNUMBER(I390)),I389+I390*EUconst_HeatBMvalue,"")</f>
        <v/>
      </c>
      <c r="J392" s="349" t="str">
        <f>IF(OR(ISNUMBER(J389),ISNUMBER(J390)),J389+J390*EUconst_HeatBMvalue,"")</f>
        <v/>
      </c>
      <c r="K392" s="349" t="str">
        <f>IF(OR(ISNUMBER(K389),ISNUMBER(K390)),K389+K390*EUconst_HeatBMvalue,"")</f>
        <v/>
      </c>
      <c r="L392" s="349" t="str">
        <f>IF(OR(ISNUMBER(L389),ISNUMBER(L390)),L389+L390*EUconst_HeatBMvalue,"")</f>
        <v/>
      </c>
      <c r="M392" s="349" t="str">
        <f>IF(OR(ISNUMBER(M389),ISNUMBER(M390)),M389+M390*EUconst_HeatBMvalue,"")</f>
        <v/>
      </c>
      <c r="N392" s="25"/>
      <c r="O392" s="25"/>
      <c r="P392" s="20" t="s">
        <v>228</v>
      </c>
      <c r="R392" s="287" t="str">
        <f>Translations!$B$687</f>
        <v>Tiešās emisijas</v>
      </c>
      <c r="S392" s="183" t="str">
        <f>IF(I$411,IF(ISNUMBER(I392),I392,0),"")</f>
        <v/>
      </c>
      <c r="T392" s="183" t="str">
        <f>IF(J$411,IF(ISNUMBER(J392),J392,0),"")</f>
        <v/>
      </c>
      <c r="U392" s="183" t="str">
        <f>IF(K$411,IF(ISNUMBER(K392),K392,0),"")</f>
        <v/>
      </c>
      <c r="V392" s="183" t="str">
        <f>IF(L$411,IF(ISNUMBER(L392),L392,0),"")</f>
        <v/>
      </c>
      <c r="W392" s="183" t="str">
        <f>IF(M$411,IF(ISNUMBER(M392),M392,0),"")</f>
        <v/>
      </c>
    </row>
    <row r="393" spans="2:23" ht="13.5" thickBot="1" x14ac:dyDescent="0.25">
      <c r="B393" s="38"/>
      <c r="C393" s="38"/>
      <c r="D393" s="38"/>
      <c r="E393" s="1550" t="str">
        <f>Translations!$B$1107</f>
        <v>Ar ūdeņradi saistītās emisijas</v>
      </c>
      <c r="F393" s="1550"/>
      <c r="G393" s="1550"/>
      <c r="H393" s="59" t="str">
        <f>EUconst_tCO2pa</f>
        <v>t CO2 / gads</v>
      </c>
      <c r="I393" s="335" t="str">
        <f>IF(ISNUMBER(I391),I391*EUconst_HeatBMvalue,"")</f>
        <v/>
      </c>
      <c r="J393" s="335" t="str">
        <f>IF(ISNUMBER(J391),J391*EUconst_HeatBMvalue,"")</f>
        <v/>
      </c>
      <c r="K393" s="335" t="str">
        <f>IF(ISNUMBER(K391),K391*EUconst_HeatBMvalue,"")</f>
        <v/>
      </c>
      <c r="L393" s="335" t="str">
        <f>IF(ISNUMBER(L391),L391*EUconst_HeatBMvalue,"")</f>
        <v/>
      </c>
      <c r="M393" s="335" t="str">
        <f>IF(ISNUMBER(M391),M391*EUconst_HeatBMvalue,"")</f>
        <v/>
      </c>
      <c r="N393" s="25"/>
      <c r="O393" s="25"/>
      <c r="P393" s="134" t="str">
        <f>EUconst_CNTR_VCM</f>
        <v>VCM_</v>
      </c>
      <c r="Q393" s="410" t="str">
        <f>IF(SUM(S393:X393)&lt;&gt;0,SUM(S392:X392)/SUM(S393:X393),EUconst_NA)</f>
        <v>NA</v>
      </c>
      <c r="R393" s="287" t="str">
        <f>Translations!$B$412</f>
        <v>Kopējās emisijas</v>
      </c>
      <c r="S393" s="183" t="str">
        <f>IF(I$411,IF(COUNT(I392:I393)&gt;0,SUM(I392:I393),0),"")</f>
        <v/>
      </c>
      <c r="T393" s="183" t="str">
        <f>IF(J$411,IF(COUNT(J392:J393)&gt;0,SUM(J392:J393),0),"")</f>
        <v/>
      </c>
      <c r="U393" s="183" t="str">
        <f>IF(K$411,IF(COUNT(K392:K393)&gt;0,SUM(K392:K393),0),"")</f>
        <v/>
      </c>
      <c r="V393" s="183" t="str">
        <f>IF(L$411,IF(COUNT(L392:L393)&gt;0,SUM(L392:L393),0),"")</f>
        <v/>
      </c>
      <c r="W393" s="183" t="str">
        <f>IF(M$411,IF(COUNT(M392:M393)&gt;0,SUM(M392:M393),0),"")</f>
        <v/>
      </c>
    </row>
    <row r="394" spans="2:23" ht="5.0999999999999996" customHeight="1" x14ac:dyDescent="0.2">
      <c r="B394" s="21"/>
      <c r="C394" s="21"/>
      <c r="D394" s="21"/>
      <c r="E394" s="21"/>
      <c r="F394" s="21"/>
      <c r="G394" s="21"/>
      <c r="H394" s="21"/>
      <c r="I394" s="21"/>
      <c r="J394" s="21"/>
      <c r="K394" s="21"/>
      <c r="L394" s="21"/>
      <c r="M394" s="25"/>
      <c r="N394" s="25"/>
      <c r="O394" s="25"/>
      <c r="P394" s="26"/>
    </row>
    <row r="395" spans="2:23" x14ac:dyDescent="0.2">
      <c r="B395" s="21"/>
      <c r="C395" s="21"/>
      <c r="D395" s="21"/>
      <c r="E395" s="1846" t="str">
        <f>IF(L382=EUconst_Relevant,HYPERLINK(Q395,EUconst_MsgBackToSheetF),"")</f>
        <v/>
      </c>
      <c r="F395" s="1847"/>
      <c r="G395" s="1847"/>
      <c r="H395" s="1847"/>
      <c r="I395" s="1847"/>
      <c r="J395" s="1847"/>
      <c r="K395" s="1847"/>
      <c r="L395" s="1847"/>
      <c r="M395" s="1847"/>
      <c r="N395" s="1848"/>
      <c r="O395" s="25"/>
      <c r="P395" s="386" t="s">
        <v>32</v>
      </c>
      <c r="Q395" s="134" t="str">
        <f>Q384</f>
        <v/>
      </c>
    </row>
    <row r="396" spans="2:23" x14ac:dyDescent="0.2">
      <c r="B396" s="38"/>
      <c r="C396" s="38"/>
      <c r="D396" s="38"/>
      <c r="E396" s="38"/>
      <c r="F396" s="38"/>
      <c r="G396" s="38"/>
      <c r="H396" s="38"/>
      <c r="I396" s="38"/>
      <c r="J396" s="125"/>
      <c r="K396" s="38"/>
      <c r="L396" s="38"/>
      <c r="M396" s="38"/>
      <c r="N396" s="38"/>
      <c r="O396" s="25"/>
      <c r="S396" s="63"/>
    </row>
    <row r="397" spans="2:23" x14ac:dyDescent="0.2">
      <c r="B397" s="38"/>
      <c r="C397" s="38"/>
      <c r="D397" s="38"/>
      <c r="E397" s="38"/>
      <c r="F397" s="38"/>
      <c r="G397" s="38"/>
      <c r="H397" s="38"/>
      <c r="I397" s="38"/>
      <c r="J397" s="38"/>
      <c r="K397" s="38"/>
      <c r="L397" s="38"/>
      <c r="M397" s="38"/>
      <c r="N397" s="38"/>
      <c r="O397" s="25"/>
    </row>
    <row r="398" spans="2:23" x14ac:dyDescent="0.2">
      <c r="B398" s="38"/>
      <c r="C398" s="38"/>
      <c r="D398" s="38"/>
      <c r="E398" s="38"/>
      <c r="F398" s="38"/>
      <c r="G398" s="38"/>
      <c r="H398" s="38"/>
      <c r="I398" s="38"/>
      <c r="J398" s="38"/>
      <c r="K398" s="38"/>
      <c r="L398" s="38"/>
      <c r="M398" s="38"/>
      <c r="N398" s="38"/>
      <c r="O398" s="25"/>
    </row>
    <row r="399" spans="2:23" x14ac:dyDescent="0.2">
      <c r="B399" s="38"/>
      <c r="C399" s="38"/>
      <c r="D399" s="1855" t="str">
        <f>Translations!$B$73</f>
        <v xml:space="preserve">&lt;&lt;&lt; Lai pārietu uz nākamo lapu, klikšķiniet šeit &gt;&gt;&gt; </v>
      </c>
      <c r="E399" s="1519"/>
      <c r="F399" s="1519"/>
      <c r="G399" s="1519"/>
      <c r="H399" s="1519"/>
      <c r="I399" s="1519"/>
      <c r="J399" s="1519"/>
      <c r="K399" s="1519"/>
      <c r="L399" s="1519"/>
      <c r="M399" s="1519"/>
      <c r="N399" s="1519"/>
      <c r="O399" s="25"/>
    </row>
    <row r="400" spans="2:23" x14ac:dyDescent="0.2">
      <c r="B400" s="38"/>
      <c r="C400" s="38"/>
      <c r="D400" s="38"/>
      <c r="E400" s="38"/>
      <c r="F400" s="38"/>
      <c r="G400" s="38"/>
      <c r="H400" s="38"/>
      <c r="I400" s="38"/>
      <c r="J400" s="38"/>
      <c r="K400" s="38"/>
      <c r="L400" s="38"/>
      <c r="M400" s="38"/>
      <c r="N400" s="38"/>
      <c r="O400" s="25"/>
    </row>
    <row r="401" spans="1:24" hidden="1" x14ac:dyDescent="0.2">
      <c r="A401" s="20" t="s">
        <v>93</v>
      </c>
      <c r="B401" s="20" t="s">
        <v>336</v>
      </c>
      <c r="C401" s="20" t="s">
        <v>336</v>
      </c>
      <c r="D401" s="20" t="s">
        <v>336</v>
      </c>
      <c r="E401" s="20" t="s">
        <v>336</v>
      </c>
      <c r="F401" s="20" t="s">
        <v>336</v>
      </c>
      <c r="G401" s="20"/>
      <c r="H401" s="20" t="s">
        <v>336</v>
      </c>
      <c r="I401" s="20" t="s">
        <v>336</v>
      </c>
      <c r="J401" s="20" t="s">
        <v>336</v>
      </c>
      <c r="K401" s="20" t="s">
        <v>336</v>
      </c>
      <c r="L401" s="20" t="s">
        <v>336</v>
      </c>
      <c r="M401" s="20" t="s">
        <v>336</v>
      </c>
      <c r="N401" s="20" t="s">
        <v>336</v>
      </c>
      <c r="O401" s="20" t="s">
        <v>336</v>
      </c>
      <c r="P401" s="20" t="s">
        <v>336</v>
      </c>
      <c r="Q401" s="20" t="s">
        <v>336</v>
      </c>
      <c r="R401" s="20" t="s">
        <v>336</v>
      </c>
      <c r="S401" s="20" t="s">
        <v>336</v>
      </c>
      <c r="T401" s="20" t="s">
        <v>336</v>
      </c>
      <c r="U401" s="20" t="s">
        <v>336</v>
      </c>
      <c r="V401" s="20" t="s">
        <v>336</v>
      </c>
      <c r="W401" s="20" t="s">
        <v>336</v>
      </c>
      <c r="X401" s="20" t="s">
        <v>336</v>
      </c>
    </row>
    <row r="402" spans="1:24" hidden="1" x14ac:dyDescent="0.2">
      <c r="A402" s="20" t="s">
        <v>93</v>
      </c>
    </row>
    <row r="403" spans="1:24" hidden="1" x14ac:dyDescent="0.2">
      <c r="A403" s="20" t="s">
        <v>93</v>
      </c>
      <c r="B403" s="20"/>
      <c r="C403" s="20"/>
      <c r="D403" s="63" t="s">
        <v>337</v>
      </c>
      <c r="E403" s="20"/>
      <c r="F403" s="20"/>
      <c r="G403" s="20"/>
      <c r="H403" s="20"/>
      <c r="I403" s="20"/>
      <c r="J403" s="20"/>
      <c r="K403" s="20"/>
      <c r="L403" s="20"/>
      <c r="M403" s="20"/>
      <c r="N403" s="20"/>
      <c r="O403" s="20"/>
    </row>
    <row r="404" spans="1:24" ht="13.5" hidden="1" thickBot="1" x14ac:dyDescent="0.25">
      <c r="A404" s="20" t="s">
        <v>93</v>
      </c>
      <c r="D404" s="64"/>
    </row>
    <row r="405" spans="1:24" hidden="1" x14ac:dyDescent="0.2">
      <c r="A405" s="20" t="s">
        <v>93</v>
      </c>
      <c r="E405" s="180" t="s">
        <v>227</v>
      </c>
      <c r="F405" s="84"/>
      <c r="G405" s="84"/>
      <c r="H405" s="84"/>
      <c r="I405" s="84"/>
      <c r="J405" s="84"/>
      <c r="K405" s="84"/>
      <c r="L405" s="84"/>
      <c r="M405" s="84"/>
      <c r="N405" s="86"/>
    </row>
    <row r="406" spans="1:24" hidden="1" x14ac:dyDescent="0.2">
      <c r="A406" s="20" t="s">
        <v>93</v>
      </c>
      <c r="E406" s="119" t="s">
        <v>340</v>
      </c>
      <c r="F406" s="41"/>
      <c r="G406" s="41"/>
      <c r="H406" s="41"/>
      <c r="I406" s="170">
        <v>1</v>
      </c>
      <c r="J406" s="170">
        <v>2</v>
      </c>
      <c r="K406" s="170">
        <v>3</v>
      </c>
      <c r="L406" s="170">
        <v>4</v>
      </c>
      <c r="M406" s="170">
        <v>5</v>
      </c>
      <c r="N406" s="173"/>
    </row>
    <row r="407" spans="1:24" hidden="1" x14ac:dyDescent="0.2">
      <c r="A407" s="20" t="s">
        <v>93</v>
      </c>
      <c r="E407" s="174" t="s">
        <v>457</v>
      </c>
      <c r="F407" s="41"/>
      <c r="G407" s="41"/>
      <c r="H407" s="41"/>
      <c r="I407" s="170">
        <f>INDEX(EUconst_ReportingYears,I406)</f>
        <v>2014</v>
      </c>
      <c r="J407" s="170">
        <f>INDEX(EUconst_ReportingYears,J406)</f>
        <v>2015</v>
      </c>
      <c r="K407" s="170">
        <f>INDEX(EUconst_ReportingYears,K406)</f>
        <v>2016</v>
      </c>
      <c r="L407" s="170">
        <f>INDEX(EUconst_ReportingYears,L406)</f>
        <v>2017</v>
      </c>
      <c r="M407" s="170">
        <f>INDEX(EUconst_ReportingYears,M406)</f>
        <v>2018</v>
      </c>
      <c r="N407" s="173"/>
    </row>
    <row r="408" spans="1:24" hidden="1" x14ac:dyDescent="0.2">
      <c r="A408" s="20" t="s">
        <v>93</v>
      </c>
      <c r="E408" s="174" t="s">
        <v>456</v>
      </c>
      <c r="F408" s="171"/>
      <c r="G408" s="171"/>
      <c r="H408" s="171"/>
      <c r="I408" s="172">
        <f>IF(CNTR_BaselinePeriod=EUconst_NA,I407,INDEX(EUconst_ReportingYears,I406)+(CNTR_BaselinePeriod-1)*5)</f>
        <v>2019</v>
      </c>
      <c r="J408" s="172">
        <f>IF(CNTR_BaselinePeriod=EUconst_NA,J407,INDEX(EUconst_ReportingYears,J406)+(CNTR_BaselinePeriod-1)*5)</f>
        <v>2020</v>
      </c>
      <c r="K408" s="172">
        <f>IF(CNTR_BaselinePeriod=EUconst_NA,K407,INDEX(EUconst_ReportingYears,K406)+(CNTR_BaselinePeriod-1)*5)</f>
        <v>2021</v>
      </c>
      <c r="L408" s="172">
        <f>IF(CNTR_BaselinePeriod=EUconst_NA,L407,INDEX(EUconst_ReportingYears,L406)+(CNTR_BaselinePeriod-1)*5)</f>
        <v>2022</v>
      </c>
      <c r="M408" s="172">
        <f>IF(CNTR_BaselinePeriod=EUconst_NA,M407,INDEX(EUconst_ReportingYears,M406)+(CNTR_BaselinePeriod-1)*5)</f>
        <v>2023</v>
      </c>
      <c r="N408" s="175"/>
      <c r="O408" s="38"/>
    </row>
    <row r="409" spans="1:24" hidden="1" x14ac:dyDescent="0.2">
      <c r="A409" s="20" t="s">
        <v>93</v>
      </c>
      <c r="E409" s="174" t="s">
        <v>226</v>
      </c>
      <c r="F409" s="171"/>
      <c r="G409" s="171"/>
      <c r="H409" s="171"/>
      <c r="I409" s="172">
        <v>1</v>
      </c>
      <c r="J409" s="172">
        <v>1</v>
      </c>
      <c r="K409" s="172">
        <v>1</v>
      </c>
      <c r="L409" s="172">
        <v>1</v>
      </c>
      <c r="M409" s="172">
        <v>1</v>
      </c>
      <c r="N409" s="175"/>
    </row>
    <row r="410" spans="1:24" hidden="1" x14ac:dyDescent="0.2">
      <c r="A410" s="20" t="s">
        <v>93</v>
      </c>
      <c r="E410" s="174" t="s">
        <v>224</v>
      </c>
      <c r="F410" s="171"/>
      <c r="G410" s="171"/>
      <c r="H410" s="171"/>
      <c r="I410" s="171" t="b">
        <f>(I409=CNTR_BaselinePeriod)</f>
        <v>0</v>
      </c>
      <c r="J410" s="171" t="b">
        <f>(J409=CNTR_BaselinePeriod)</f>
        <v>0</v>
      </c>
      <c r="K410" s="171" t="b">
        <f>(K409=CNTR_BaselinePeriod)</f>
        <v>0</v>
      </c>
      <c r="L410" s="171" t="b">
        <f>(L409=CNTR_BaselinePeriod)</f>
        <v>0</v>
      </c>
      <c r="M410" s="171" t="b">
        <f>(M409=CNTR_BaselinePeriod)</f>
        <v>0</v>
      </c>
      <c r="N410" s="176"/>
    </row>
    <row r="411" spans="1:24" ht="13.5" hidden="1" thickBot="1" x14ac:dyDescent="0.25">
      <c r="A411" s="20" t="s">
        <v>93</v>
      </c>
      <c r="E411" s="177" t="s">
        <v>225</v>
      </c>
      <c r="F411" s="178"/>
      <c r="G411" s="178"/>
      <c r="H411" s="178"/>
      <c r="I411" s="178">
        <f>INDEX(CNTR_BaslineYearRelevant,I406)</f>
        <v>0</v>
      </c>
      <c r="J411" s="178">
        <f>INDEX(CNTR_BaslineYearRelevant,J406)</f>
        <v>0</v>
      </c>
      <c r="K411" s="178">
        <f>INDEX(CNTR_BaslineYearRelevant,K406)</f>
        <v>0</v>
      </c>
      <c r="L411" s="178">
        <f>INDEX(CNTR_BaslineYearRelevant,L406)</f>
        <v>0</v>
      </c>
      <c r="M411" s="178">
        <f>INDEX(CNTR_BaslineYearRelevant,M406)</f>
        <v>0</v>
      </c>
      <c r="N411" s="179"/>
    </row>
    <row r="412" spans="1:24" hidden="1" x14ac:dyDescent="0.2">
      <c r="A412" s="20" t="s">
        <v>93</v>
      </c>
    </row>
  </sheetData>
  <sheetCalcPr fullCalcOnLoad="1"/>
  <sheetProtection sheet="1" objects="1" scenarios="1" formatCells="0" formatColumns="0" formatRows="0"/>
  <mergeCells count="321">
    <mergeCell ref="E299:N299"/>
    <mergeCell ref="E278:N278"/>
    <mergeCell ref="E281:G281"/>
    <mergeCell ref="E284:G284"/>
    <mergeCell ref="E286:N286"/>
    <mergeCell ref="E287:N287"/>
    <mergeCell ref="E290:G290"/>
    <mergeCell ref="E291:G291"/>
    <mergeCell ref="E283:G283"/>
    <mergeCell ref="E288:N288"/>
    <mergeCell ref="E307:N307"/>
    <mergeCell ref="E292:G292"/>
    <mergeCell ref="E293:G293"/>
    <mergeCell ref="E294:G294"/>
    <mergeCell ref="E296:G296"/>
    <mergeCell ref="E301:G301"/>
    <mergeCell ref="E302:G302"/>
    <mergeCell ref="E305:G305"/>
    <mergeCell ref="E298:N298"/>
    <mergeCell ref="E295:G295"/>
    <mergeCell ref="E275:N275"/>
    <mergeCell ref="E276:N276"/>
    <mergeCell ref="E277:N277"/>
    <mergeCell ref="E280:G280"/>
    <mergeCell ref="E266:N266"/>
    <mergeCell ref="E267:N267"/>
    <mergeCell ref="E269:N269"/>
    <mergeCell ref="E270:N270"/>
    <mergeCell ref="E271:N271"/>
    <mergeCell ref="E273:G273"/>
    <mergeCell ref="D259:N259"/>
    <mergeCell ref="E261:N261"/>
    <mergeCell ref="E262:N262"/>
    <mergeCell ref="E263:N263"/>
    <mergeCell ref="E265:K265"/>
    <mergeCell ref="L265:N265"/>
    <mergeCell ref="L17:N17"/>
    <mergeCell ref="E32:F32"/>
    <mergeCell ref="E33:F33"/>
    <mergeCell ref="E34:F34"/>
    <mergeCell ref="E19:N19"/>
    <mergeCell ref="E22:N22"/>
    <mergeCell ref="E23:N23"/>
    <mergeCell ref="E24:N24"/>
    <mergeCell ref="F25:N25"/>
    <mergeCell ref="F26:N26"/>
    <mergeCell ref="E36:F36"/>
    <mergeCell ref="E37:F37"/>
    <mergeCell ref="E38:F38"/>
    <mergeCell ref="E39:F39"/>
    <mergeCell ref="E35:F35"/>
    <mergeCell ref="F27:N27"/>
    <mergeCell ref="F28:N28"/>
    <mergeCell ref="E29:N29"/>
    <mergeCell ref="E44:F44"/>
    <mergeCell ref="E45:F45"/>
    <mergeCell ref="E46:F46"/>
    <mergeCell ref="E47:F47"/>
    <mergeCell ref="E40:F40"/>
    <mergeCell ref="E41:F41"/>
    <mergeCell ref="E42:F42"/>
    <mergeCell ref="E43:F43"/>
    <mergeCell ref="E52:F52"/>
    <mergeCell ref="E53:F53"/>
    <mergeCell ref="E54:F54"/>
    <mergeCell ref="E55:F55"/>
    <mergeCell ref="E48:F48"/>
    <mergeCell ref="E49:F49"/>
    <mergeCell ref="E50:F50"/>
    <mergeCell ref="E51:F51"/>
    <mergeCell ref="E66:F66"/>
    <mergeCell ref="E67:F67"/>
    <mergeCell ref="E56:F56"/>
    <mergeCell ref="E57:F57"/>
    <mergeCell ref="E58:F58"/>
    <mergeCell ref="E59:F59"/>
    <mergeCell ref="E60:F60"/>
    <mergeCell ref="E61:F61"/>
    <mergeCell ref="E62:F62"/>
    <mergeCell ref="E63:F63"/>
    <mergeCell ref="E64:F64"/>
    <mergeCell ref="E65:F65"/>
    <mergeCell ref="E82:F82"/>
    <mergeCell ref="E73:F73"/>
    <mergeCell ref="E74:F74"/>
    <mergeCell ref="E68:F68"/>
    <mergeCell ref="E69:F69"/>
    <mergeCell ref="E70:F70"/>
    <mergeCell ref="E80:F80"/>
    <mergeCell ref="E72:F72"/>
    <mergeCell ref="E71:F71"/>
    <mergeCell ref="K4:L4"/>
    <mergeCell ref="E239:F239"/>
    <mergeCell ref="E240:F240"/>
    <mergeCell ref="E238:F238"/>
    <mergeCell ref="E87:F87"/>
    <mergeCell ref="L225:N225"/>
    <mergeCell ref="E83:F83"/>
    <mergeCell ref="E84:F84"/>
    <mergeCell ref="E85:F85"/>
    <mergeCell ref="E81:F81"/>
    <mergeCell ref="M2:N2"/>
    <mergeCell ref="E3:F3"/>
    <mergeCell ref="G3:H3"/>
    <mergeCell ref="I3:J3"/>
    <mergeCell ref="K3:L3"/>
    <mergeCell ref="M3:N3"/>
    <mergeCell ref="G2:H2"/>
    <mergeCell ref="I2:J2"/>
    <mergeCell ref="K2:L2"/>
    <mergeCell ref="D399:N399"/>
    <mergeCell ref="M4:N4"/>
    <mergeCell ref="G5:H5"/>
    <mergeCell ref="I5:J5"/>
    <mergeCell ref="K5:L5"/>
    <mergeCell ref="M5:N5"/>
    <mergeCell ref="B2:D4"/>
    <mergeCell ref="E4:F4"/>
    <mergeCell ref="G4:H4"/>
    <mergeCell ref="I4:J4"/>
    <mergeCell ref="E395:N395"/>
    <mergeCell ref="D7:N7"/>
    <mergeCell ref="D9:N9"/>
    <mergeCell ref="D11:N11"/>
    <mergeCell ref="E13:N13"/>
    <mergeCell ref="E14:N14"/>
    <mergeCell ref="E15:N15"/>
    <mergeCell ref="E17:K17"/>
    <mergeCell ref="E18:N18"/>
    <mergeCell ref="E21:N21"/>
    <mergeCell ref="E91:N91"/>
    <mergeCell ref="E92:N92"/>
    <mergeCell ref="E90:N90"/>
    <mergeCell ref="E75:F75"/>
    <mergeCell ref="E76:F76"/>
    <mergeCell ref="E77:F77"/>
    <mergeCell ref="E78:F78"/>
    <mergeCell ref="E89:N89"/>
    <mergeCell ref="E86:F86"/>
    <mergeCell ref="E79:F79"/>
    <mergeCell ref="E97:N97"/>
    <mergeCell ref="E129:N129"/>
    <mergeCell ref="L106:N106"/>
    <mergeCell ref="E116:N116"/>
    <mergeCell ref="F117:N117"/>
    <mergeCell ref="F118:N118"/>
    <mergeCell ref="D101:N101"/>
    <mergeCell ref="E103:N103"/>
    <mergeCell ref="E106:K106"/>
    <mergeCell ref="E111:N111"/>
    <mergeCell ref="E163:N163"/>
    <mergeCell ref="F151:N151"/>
    <mergeCell ref="F152:N152"/>
    <mergeCell ref="E154:G154"/>
    <mergeCell ref="E158:N158"/>
    <mergeCell ref="E135:N135"/>
    <mergeCell ref="E161:G161"/>
    <mergeCell ref="F150:N150"/>
    <mergeCell ref="E147:N147"/>
    <mergeCell ref="E148:N148"/>
    <mergeCell ref="F149:N149"/>
    <mergeCell ref="E138:K138"/>
    <mergeCell ref="E140:N140"/>
    <mergeCell ref="E145:G145"/>
    <mergeCell ref="E93:N93"/>
    <mergeCell ref="E95:G95"/>
    <mergeCell ref="E104:N104"/>
    <mergeCell ref="E124:N124"/>
    <mergeCell ref="E127:G127"/>
    <mergeCell ref="D133:N133"/>
    <mergeCell ref="E113:G113"/>
    <mergeCell ref="E115:N115"/>
    <mergeCell ref="D99:N99"/>
    <mergeCell ref="E347:N347"/>
    <mergeCell ref="E125:N125"/>
    <mergeCell ref="E159:N159"/>
    <mergeCell ref="E193:N193"/>
    <mergeCell ref="E251:N251"/>
    <mergeCell ref="E142:N142"/>
    <mergeCell ref="E143:N143"/>
    <mergeCell ref="E155:G155"/>
    <mergeCell ref="E157:N157"/>
    <mergeCell ref="E215:N215"/>
    <mergeCell ref="E107:N107"/>
    <mergeCell ref="E110:N110"/>
    <mergeCell ref="E139:N139"/>
    <mergeCell ref="L138:N138"/>
    <mergeCell ref="E108:N108"/>
    <mergeCell ref="E123:N123"/>
    <mergeCell ref="D131:N131"/>
    <mergeCell ref="E136:N136"/>
    <mergeCell ref="E120:G120"/>
    <mergeCell ref="E121:G121"/>
    <mergeCell ref="L172:N172"/>
    <mergeCell ref="E177:N177"/>
    <mergeCell ref="D165:N165"/>
    <mergeCell ref="D167:N167"/>
    <mergeCell ref="E169:N169"/>
    <mergeCell ref="E172:K172"/>
    <mergeCell ref="E170:N170"/>
    <mergeCell ref="E174:N174"/>
    <mergeCell ref="E179:G179"/>
    <mergeCell ref="E181:N181"/>
    <mergeCell ref="E182:N182"/>
    <mergeCell ref="F183:N183"/>
    <mergeCell ref="E173:N173"/>
    <mergeCell ref="E176:N176"/>
    <mergeCell ref="E188:G188"/>
    <mergeCell ref="E189:G189"/>
    <mergeCell ref="E191:N191"/>
    <mergeCell ref="E192:N192"/>
    <mergeCell ref="F184:N184"/>
    <mergeCell ref="F185:N185"/>
    <mergeCell ref="E186:G186"/>
    <mergeCell ref="E187:G187"/>
    <mergeCell ref="E201:N201"/>
    <mergeCell ref="E203:N203"/>
    <mergeCell ref="E204:N204"/>
    <mergeCell ref="E206:F206"/>
    <mergeCell ref="E195:G195"/>
    <mergeCell ref="D197:N197"/>
    <mergeCell ref="E199:N199"/>
    <mergeCell ref="E200:N200"/>
    <mergeCell ref="E205:F205"/>
    <mergeCell ref="E213:G213"/>
    <mergeCell ref="D217:N217"/>
    <mergeCell ref="D219:N219"/>
    <mergeCell ref="E221:N221"/>
    <mergeCell ref="E207:F207"/>
    <mergeCell ref="E208:F208"/>
    <mergeCell ref="E210:N210"/>
    <mergeCell ref="E211:N211"/>
    <mergeCell ref="E230:N230"/>
    <mergeCell ref="E231:N231"/>
    <mergeCell ref="E232:N232"/>
    <mergeCell ref="F233:N233"/>
    <mergeCell ref="E222:N222"/>
    <mergeCell ref="E225:K225"/>
    <mergeCell ref="E226:N226"/>
    <mergeCell ref="E229:N229"/>
    <mergeCell ref="E223:N223"/>
    <mergeCell ref="E227:N227"/>
    <mergeCell ref="F234:N234"/>
    <mergeCell ref="E235:N235"/>
    <mergeCell ref="E237:F237"/>
    <mergeCell ref="E247:N247"/>
    <mergeCell ref="E241:F241"/>
    <mergeCell ref="E245:F245"/>
    <mergeCell ref="E244:F244"/>
    <mergeCell ref="E242:F242"/>
    <mergeCell ref="E243:F243"/>
    <mergeCell ref="D257:N257"/>
    <mergeCell ref="E255:N255"/>
    <mergeCell ref="E248:N248"/>
    <mergeCell ref="E249:N249"/>
    <mergeCell ref="E250:N250"/>
    <mergeCell ref="E253:G253"/>
    <mergeCell ref="D311:N311"/>
    <mergeCell ref="E313:N313"/>
    <mergeCell ref="E315:N315"/>
    <mergeCell ref="E317:K317"/>
    <mergeCell ref="L317:N317"/>
    <mergeCell ref="D309:N309"/>
    <mergeCell ref="E314:N314"/>
    <mergeCell ref="E325:G325"/>
    <mergeCell ref="E327:N327"/>
    <mergeCell ref="E328:N328"/>
    <mergeCell ref="E329:N329"/>
    <mergeCell ref="E318:N318"/>
    <mergeCell ref="E321:N321"/>
    <mergeCell ref="E322:N322"/>
    <mergeCell ref="E323:N323"/>
    <mergeCell ref="E319:N319"/>
    <mergeCell ref="E338:G338"/>
    <mergeCell ref="D342:N342"/>
    <mergeCell ref="D344:N344"/>
    <mergeCell ref="E346:N346"/>
    <mergeCell ref="E340:N340"/>
    <mergeCell ref="E331:G331"/>
    <mergeCell ref="E333:N333"/>
    <mergeCell ref="E334:N334"/>
    <mergeCell ref="E335:N335"/>
    <mergeCell ref="E336:N336"/>
    <mergeCell ref="E355:N355"/>
    <mergeCell ref="E357:F357"/>
    <mergeCell ref="E358:F358"/>
    <mergeCell ref="E359:F359"/>
    <mergeCell ref="E349:K349"/>
    <mergeCell ref="E350:N350"/>
    <mergeCell ref="E353:N353"/>
    <mergeCell ref="E354:N354"/>
    <mergeCell ref="E351:N351"/>
    <mergeCell ref="L349:N349"/>
    <mergeCell ref="E367:G367"/>
    <mergeCell ref="D371:N371"/>
    <mergeCell ref="D373:N373"/>
    <mergeCell ref="E375:N375"/>
    <mergeCell ref="E369:N369"/>
    <mergeCell ref="E360:F360"/>
    <mergeCell ref="E361:G361"/>
    <mergeCell ref="E363:N363"/>
    <mergeCell ref="E364:N364"/>
    <mergeCell ref="E365:N365"/>
    <mergeCell ref="E383:N383"/>
    <mergeCell ref="E386:N386"/>
    <mergeCell ref="E384:N384"/>
    <mergeCell ref="L382:N382"/>
    <mergeCell ref="E376:N376"/>
    <mergeCell ref="F377:N377"/>
    <mergeCell ref="F378:N378"/>
    <mergeCell ref="F379:N379"/>
    <mergeCell ref="E303:G303"/>
    <mergeCell ref="E391:G391"/>
    <mergeCell ref="E392:G392"/>
    <mergeCell ref="E393:G393"/>
    <mergeCell ref="E387:N387"/>
    <mergeCell ref="E388:G388"/>
    <mergeCell ref="E389:G389"/>
    <mergeCell ref="E390:G390"/>
    <mergeCell ref="F380:N380"/>
    <mergeCell ref="E382:K382"/>
  </mergeCells>
  <phoneticPr fontId="34" type="noConversion"/>
  <conditionalFormatting sqref="I389:M391">
    <cfRule type="expression" dxfId="199" priority="316" stopIfTrue="1">
      <formula>($L$382=EUconst_NotRelevant)</formula>
    </cfRule>
  </conditionalFormatting>
  <conditionalFormatting sqref="I357:M360">
    <cfRule type="expression" dxfId="198" priority="318" stopIfTrue="1">
      <formula>($L$349=EUconst_NotRelevant)</formula>
    </cfRule>
  </conditionalFormatting>
  <conditionalFormatting sqref="I325:M325 I331:M331">
    <cfRule type="expression" dxfId="197" priority="320" stopIfTrue="1">
      <formula>($L$317=EUconst_NotRelevant)</formula>
    </cfRule>
  </conditionalFormatting>
  <conditionalFormatting sqref="I238:M245">
    <cfRule type="expression" dxfId="196" priority="328" stopIfTrue="1">
      <formula>($L$225=EUconst_NotRelevant)</formula>
    </cfRule>
  </conditionalFormatting>
  <conditionalFormatting sqref="I179:M179 I187:M189">
    <cfRule type="expression" dxfId="195" priority="330" stopIfTrue="1">
      <formula>($L$172=EUconst_NotRelevant)</formula>
    </cfRule>
  </conditionalFormatting>
  <conditionalFormatting sqref="I145:M145 I154:M155">
    <cfRule type="expression" dxfId="194" priority="334" stopIfTrue="1">
      <formula>($L$138=EUconst_NotRelevant)</formula>
    </cfRule>
  </conditionalFormatting>
  <conditionalFormatting sqref="I113:M113 I120:M121">
    <cfRule type="expression" dxfId="193" priority="338" stopIfTrue="1">
      <formula>($L$106=EUconst_NotRelevant)</formula>
    </cfRule>
  </conditionalFormatting>
  <conditionalFormatting sqref="I32:M87">
    <cfRule type="expression" dxfId="192" priority="342" stopIfTrue="1">
      <formula>($L$17=EUconst_NotRelevant)</formula>
    </cfRule>
  </conditionalFormatting>
  <conditionalFormatting sqref="I273:M273 I280:M281 I290:M290">
    <cfRule type="expression" dxfId="191" priority="17" stopIfTrue="1">
      <formula>($L$265=EUconst_NotRelevant)</formula>
    </cfRule>
  </conditionalFormatting>
  <dataValidations count="4">
    <dataValidation type="decimal" allowBlank="1" showInputMessage="1" showErrorMessage="1" errorTitle="0 &lt; value &lt; 1" error="Values should be between 0 and 1." sqref="I280:M281 I331:M331">
      <formula1>0</formula1>
      <formula2>1</formula2>
    </dataValidation>
    <dataValidation type="decimal" allowBlank="1" showInputMessage="1" showErrorMessage="1" errorTitle="0 &lt; value &lt; 100" error="Values should be between 0 and 100." sqref="I120:M121 I154:M155">
      <formula1>0</formula1>
      <formula2>100</formula2>
    </dataValidation>
    <dataValidation type="decimal" operator="greaterThanOrEqual" allowBlank="1" showInputMessage="1" showErrorMessage="1" errorTitle="0 &lt; value &lt; 1" error="Values should be between 0 and 1." sqref="I290:M291">
      <formula1>0</formula1>
    </dataValidation>
    <dataValidation type="decimal" operator="greaterThanOrEqual" allowBlank="1" showInputMessage="1" showErrorMessage="1" sqref="I273:M273">
      <formula1>0</formula1>
    </dataValidation>
  </dataValidations>
  <hyperlinks>
    <hyperlink ref="G2:H2" location="JUMP_TOC_Home" display="Table of contents"/>
    <hyperlink ref="M2:N2" location="JUMP_K_I" display="Summary"/>
    <hyperlink ref="E3:F3" location="JUMP_H_Top" display="Top of sheet"/>
    <hyperlink ref="I2:J2" location="JUMP_G_Top" display="Previous sheet"/>
    <hyperlink ref="G3:H3" location="JUMP_H_I" display="JUMP_H_I"/>
    <hyperlink ref="I3:J3" location="JUMP_H_II" display="JUMP_H_II"/>
    <hyperlink ref="K3:L3" location="JUMP_H_III" display="JUMP_H_III"/>
    <hyperlink ref="M3:N3" location="JUMP_H_IV" display="JUMP_H_IV"/>
    <hyperlink ref="G4:H4" location="JUMP_H_V" display="JUMP_H_V"/>
    <hyperlink ref="I4:J4" location="JUMP_H_VI" display="JUMP_H_VI"/>
    <hyperlink ref="K4:L4" location="JUMP_H_VII" display="JUMP_H_VII"/>
    <hyperlink ref="M4:N4" location="JUMP_H_VIII" display="JUMP_H_VIII"/>
    <hyperlink ref="G5:H5" location="JUMP_H_IX" display="JUMP_H_IX"/>
    <hyperlink ref="E4:F4" location="JUMP_H_Bottom" display="End of sheet"/>
    <hyperlink ref="D399:N399" location="JUMP_I_Top" display="&lt;&lt;&lt; Click here to proceed to next sheet &gt;&gt;&gt; "/>
    <hyperlink ref="K2:L2" location="JUMP_I_Top" display="Next sheet"/>
  </hyperlinks>
  <pageMargins left="0.78740157480314965" right="0.78740157480314965" top="0.78740157480314965" bottom="0.78740157480314965" header="0.51181102362204722" footer="0.51181102362204722"/>
  <pageSetup paperSize="9" scale="61" fitToHeight="12" orientation="portrait" r:id="rId1"/>
  <headerFooter alignWithMargins="0">
    <oddHeader>&amp;L&amp;F; &amp;A&amp;R&amp;D; &amp;T</oddHeader>
    <oddFooter>&amp;C&amp;P / &amp;N</oddFooter>
  </headerFooter>
  <rowBreaks count="3" manualBreakCount="3">
    <brk id="164" min="1" max="13" man="1"/>
    <brk id="256" min="1" max="13" man="1"/>
    <brk id="396" min="1" max="1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tabColor indexed="9"/>
    <pageSetUpPr fitToPage="1"/>
  </sheetPr>
  <dimension ref="A1:N30"/>
  <sheetViews>
    <sheetView zoomScaleNormal="100" workbookViewId="0">
      <pane ySplit="3" topLeftCell="A4" activePane="bottomLeft" state="frozen"/>
      <selection sqref="B2:D4"/>
      <selection pane="bottomLeft" sqref="A1:E4"/>
    </sheetView>
  </sheetViews>
  <sheetFormatPr defaultColWidth="11.42578125" defaultRowHeight="12.75" x14ac:dyDescent="0.2"/>
  <cols>
    <col min="1" max="1" width="2.7109375" style="38" customWidth="1"/>
    <col min="2" max="3" width="4.7109375" style="38" customWidth="1"/>
    <col min="4" max="13" width="12.7109375" style="38" customWidth="1"/>
    <col min="14" max="14" width="4.7109375" style="38" customWidth="1"/>
    <col min="15" max="16384" width="11.42578125" style="38"/>
  </cols>
  <sheetData>
    <row r="1" spans="1:14" ht="13.5" thickBot="1" x14ac:dyDescent="0.25">
      <c r="A1" s="1405" t="str">
        <f>Translations!$B$1108</f>
        <v>I. Dalībvalsts lapa</v>
      </c>
      <c r="B1" s="1406"/>
      <c r="C1" s="1407"/>
      <c r="D1" s="786" t="str">
        <f>Translations!$B$2</f>
        <v>Navigācijas josla:</v>
      </c>
      <c r="E1" s="787"/>
      <c r="F1" s="1388" t="str">
        <f>Translations!$B$18</f>
        <v>Saturs</v>
      </c>
      <c r="G1" s="7"/>
      <c r="H1" s="7" t="str">
        <f>Translations!$B$19</f>
        <v>Iepriekšējā lapa</v>
      </c>
      <c r="I1" s="7"/>
      <c r="J1" s="7" t="str">
        <f>Translations!$B$3</f>
        <v>Nākamā lapa</v>
      </c>
      <c r="K1" s="7"/>
      <c r="L1" s="7" t="str">
        <f>Translations!$B$4</f>
        <v>Kopsavilkums</v>
      </c>
      <c r="M1" s="7"/>
    </row>
    <row r="2" spans="1:14" ht="13.5" thickBot="1" x14ac:dyDescent="0.25">
      <c r="A2" s="1408"/>
      <c r="B2" s="1409"/>
      <c r="C2" s="1410"/>
      <c r="D2" s="7" t="str">
        <f>Translations!$B$5</f>
        <v>Lapas sākums</v>
      </c>
      <c r="E2" s="1392"/>
      <c r="F2" s="5"/>
      <c r="G2" s="5"/>
      <c r="H2" s="5"/>
      <c r="I2" s="5"/>
      <c r="J2" s="5"/>
      <c r="K2" s="5"/>
      <c r="L2" s="5"/>
      <c r="M2" s="5"/>
    </row>
    <row r="3" spans="1:14" ht="13.5" thickBot="1" x14ac:dyDescent="0.25">
      <c r="A3" s="1411"/>
      <c r="B3" s="1412"/>
      <c r="C3" s="1413"/>
      <c r="D3" s="7" t="str">
        <f>Translations!$B$6</f>
        <v>Lapas beigas</v>
      </c>
      <c r="E3" s="7"/>
      <c r="F3" s="5"/>
      <c r="G3" s="5"/>
      <c r="H3" s="5"/>
      <c r="I3" s="5"/>
      <c r="J3" s="5"/>
      <c r="K3" s="5"/>
      <c r="L3" s="5"/>
      <c r="M3" s="5"/>
    </row>
    <row r="4" spans="1:14" x14ac:dyDescent="0.2">
      <c r="A4" s="21"/>
      <c r="B4" s="22"/>
      <c r="C4" s="23"/>
      <c r="D4" s="23"/>
      <c r="E4" s="24"/>
      <c r="F4" s="24"/>
      <c r="G4" s="24"/>
      <c r="H4" s="21"/>
      <c r="I4" s="21"/>
      <c r="J4" s="21"/>
      <c r="K4" s="21"/>
      <c r="L4" s="25"/>
      <c r="M4" s="25"/>
      <c r="N4" s="25"/>
    </row>
    <row r="5" spans="1:14" ht="23.25" customHeight="1" x14ac:dyDescent="0.2">
      <c r="A5" s="21"/>
      <c r="B5" s="27" t="s">
        <v>258</v>
      </c>
      <c r="C5" s="27" t="str">
        <f>Translations!$B$1109</f>
        <v>Lapa “MSspecific” — DALĪBVALSTS PAPILDU DATU PRASĪBAS</v>
      </c>
      <c r="D5" s="27"/>
      <c r="E5" s="27"/>
      <c r="F5" s="27"/>
      <c r="G5" s="27"/>
      <c r="H5" s="27"/>
      <c r="I5" s="27"/>
      <c r="J5" s="27"/>
      <c r="K5" s="27"/>
      <c r="L5" s="25"/>
      <c r="M5" s="25"/>
      <c r="N5" s="25"/>
    </row>
    <row r="6" spans="1:14" x14ac:dyDescent="0.2">
      <c r="A6" s="21"/>
      <c r="B6" s="21"/>
      <c r="C6" s="21"/>
      <c r="D6" s="21"/>
      <c r="E6" s="21"/>
      <c r="F6" s="21"/>
      <c r="G6" s="21"/>
      <c r="H6" s="21"/>
      <c r="I6" s="21"/>
      <c r="J6" s="21"/>
      <c r="K6" s="21"/>
      <c r="L6" s="25"/>
      <c r="M6" s="25"/>
      <c r="N6" s="25"/>
    </row>
    <row r="7" spans="1:14" ht="15.75" x14ac:dyDescent="0.25">
      <c r="A7" s="21"/>
      <c r="B7" s="30" t="s">
        <v>391</v>
      </c>
      <c r="C7" s="31" t="str">
        <f>Translations!$B$1110</f>
        <v>Nosaka dalībvalsts</v>
      </c>
      <c r="D7" s="31"/>
      <c r="E7" s="31"/>
      <c r="F7" s="31"/>
      <c r="G7" s="31"/>
      <c r="H7" s="31"/>
      <c r="I7" s="31"/>
      <c r="J7" s="31"/>
      <c r="K7" s="31"/>
      <c r="L7" s="31"/>
      <c r="M7" s="31"/>
      <c r="N7" s="25"/>
    </row>
    <row r="8" spans="1:14" ht="5.0999999999999996" customHeight="1" x14ac:dyDescent="0.2">
      <c r="A8" s="21"/>
      <c r="B8" s="21"/>
      <c r="C8" s="21"/>
      <c r="D8" s="21"/>
      <c r="E8" s="21"/>
      <c r="F8" s="21"/>
      <c r="G8" s="21"/>
      <c r="H8" s="21"/>
      <c r="I8" s="21"/>
      <c r="J8" s="21"/>
      <c r="K8" s="21"/>
      <c r="L8" s="25"/>
      <c r="M8" s="25"/>
      <c r="N8" s="25"/>
    </row>
    <row r="30" spans="3:13" x14ac:dyDescent="0.2">
      <c r="C30" s="1519" t="str">
        <f>Translations!$B$73</f>
        <v xml:space="preserve">&lt;&lt;&lt; Lai pārietu uz nākamo lapu, klikšķiniet šeit &gt;&gt;&gt; </v>
      </c>
      <c r="D30" s="1857"/>
      <c r="E30" s="1857"/>
      <c r="F30" s="1857"/>
      <c r="G30" s="1857"/>
      <c r="H30" s="1519"/>
      <c r="I30" s="1519"/>
      <c r="J30" s="1519"/>
      <c r="K30" s="1519"/>
      <c r="L30" s="1519"/>
      <c r="M30" s="1519"/>
    </row>
  </sheetData>
  <sheetProtection sheet="1" objects="1" scenarios="1" formatCells="0" formatColumns="0" formatRows="0"/>
  <mergeCells count="16">
    <mergeCell ref="A1:C3"/>
    <mergeCell ref="F1:G1"/>
    <mergeCell ref="H1:I1"/>
    <mergeCell ref="D3:E3"/>
    <mergeCell ref="F3:G3"/>
    <mergeCell ref="H3:I3"/>
    <mergeCell ref="J3:K3"/>
    <mergeCell ref="L3:M3"/>
    <mergeCell ref="C30:M30"/>
    <mergeCell ref="J1:K1"/>
    <mergeCell ref="L1:M1"/>
    <mergeCell ref="D2:E2"/>
    <mergeCell ref="F2:G2"/>
    <mergeCell ref="H2:I2"/>
    <mergeCell ref="J2:K2"/>
    <mergeCell ref="L2:M2"/>
  </mergeCells>
  <phoneticPr fontId="34" type="noConversion"/>
  <hyperlinks>
    <hyperlink ref="F1:G1" location="JUMP_TOC_Home" display="Table of contents"/>
    <hyperlink ref="L1:M1" location="JUMP_K_I" display="Summary"/>
    <hyperlink ref="H1:I1" location="JUMP_H_Top" display="Previous sheet"/>
    <hyperlink ref="D2:E2" location="JUMP_I_Top" display="Top of sheet"/>
    <hyperlink ref="D3:E3" location="JUMP_I_Bottom" display="End of sheet"/>
    <hyperlink ref="J1:K1" location="JUMP_J_Top" display="Next sheet"/>
    <hyperlink ref="C30:M30" location="JUMP_J_Top" display="JUMP_J_Top"/>
  </hyperlinks>
  <pageMargins left="0.78740157480314965" right="0.78740157480314965" top="0.78740157480314965" bottom="0.78740157480314965" header="0.51181102362204722" footer="0.51181102362204722"/>
  <pageSetup paperSize="9" scale="61" fitToHeight="10" orientation="portrait" r:id="rId1"/>
  <headerFooter alignWithMargins="0">
    <oddHeader>&amp;L&amp;F; &amp;A&amp;R&amp;D; &amp;T</oddHeader>
    <oddFooter>&amp;C&amp;P /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tabColor indexed="9"/>
    <pageSetUpPr fitToPage="1"/>
  </sheetPr>
  <dimension ref="A1:N59"/>
  <sheetViews>
    <sheetView zoomScaleNormal="100" workbookViewId="0">
      <pane ySplit="3" topLeftCell="A4" activePane="bottomLeft" state="frozen"/>
      <selection activeCell="B2" sqref="B2:D4"/>
      <selection pane="bottomLeft" sqref="A1:E4"/>
    </sheetView>
  </sheetViews>
  <sheetFormatPr defaultColWidth="11.42578125" defaultRowHeight="12.75" x14ac:dyDescent="0.2"/>
  <cols>
    <col min="1" max="1" width="2.7109375" style="368" customWidth="1"/>
    <col min="2" max="3" width="4.7109375" style="368" customWidth="1"/>
    <col min="4" max="13" width="12.7109375" style="368" customWidth="1"/>
    <col min="14" max="14" width="4.7109375" style="368" customWidth="1"/>
    <col min="15" max="16384" width="11.42578125" style="368"/>
  </cols>
  <sheetData>
    <row r="1" spans="1:14" s="38" customFormat="1" ht="13.5" thickBot="1" x14ac:dyDescent="0.25">
      <c r="A1" s="1405" t="str">
        <f>Translations!$B$1111</f>
        <v>J. Piezīmes</v>
      </c>
      <c r="B1" s="1406"/>
      <c r="C1" s="1407"/>
      <c r="D1" s="786" t="str">
        <f>Translations!$B$2</f>
        <v>Navigācijas josla:</v>
      </c>
      <c r="E1" s="787"/>
      <c r="F1" s="1388" t="str">
        <f>Translations!$B$18</f>
        <v>Saturs</v>
      </c>
      <c r="G1" s="7"/>
      <c r="H1" s="7" t="str">
        <f>Translations!$B$19</f>
        <v>Iepriekšējā lapa</v>
      </c>
      <c r="I1" s="7"/>
      <c r="J1" s="7" t="str">
        <f>Translations!$B$3</f>
        <v>Nākamā lapa</v>
      </c>
      <c r="K1" s="7"/>
      <c r="L1" s="7" t="str">
        <f>Translations!$B$4</f>
        <v>Kopsavilkums</v>
      </c>
      <c r="M1" s="7"/>
      <c r="N1" s="25"/>
    </row>
    <row r="2" spans="1:14" s="38" customFormat="1" ht="13.5" thickBot="1" x14ac:dyDescent="0.25">
      <c r="A2" s="1408"/>
      <c r="B2" s="1409"/>
      <c r="C2" s="1410"/>
      <c r="D2" s="7" t="str">
        <f>Translations!$B$5</f>
        <v>Lapas sākums</v>
      </c>
      <c r="E2" s="1392"/>
      <c r="F2" s="5"/>
      <c r="G2" s="5"/>
      <c r="H2" s="5"/>
      <c r="I2" s="5"/>
      <c r="J2" s="5"/>
      <c r="K2" s="5"/>
      <c r="L2" s="5"/>
      <c r="M2" s="5"/>
      <c r="N2" s="25"/>
    </row>
    <row r="3" spans="1:14" s="38" customFormat="1" ht="13.5" thickBot="1" x14ac:dyDescent="0.25">
      <c r="A3" s="1411"/>
      <c r="B3" s="1412"/>
      <c r="C3" s="1413"/>
      <c r="D3" s="7" t="str">
        <f>Translations!$B$6</f>
        <v>Lapas beigas</v>
      </c>
      <c r="E3" s="7"/>
      <c r="F3" s="5"/>
      <c r="G3" s="5"/>
      <c r="H3" s="5"/>
      <c r="I3" s="5"/>
      <c r="J3" s="5"/>
      <c r="K3" s="5"/>
      <c r="L3" s="5"/>
      <c r="M3" s="5"/>
      <c r="N3" s="25"/>
    </row>
    <row r="4" spans="1:14" s="38" customFormat="1" x14ac:dyDescent="0.2">
      <c r="A4" s="21"/>
      <c r="B4" s="22"/>
      <c r="C4" s="23"/>
      <c r="D4" s="23"/>
      <c r="E4" s="24"/>
      <c r="F4" s="24"/>
      <c r="G4" s="24"/>
      <c r="H4" s="21"/>
      <c r="I4" s="21"/>
      <c r="J4" s="21"/>
      <c r="K4" s="21"/>
      <c r="L4" s="25"/>
      <c r="M4" s="25"/>
      <c r="N4" s="25"/>
    </row>
    <row r="5" spans="1:14" s="38" customFormat="1" ht="23.25" customHeight="1" x14ac:dyDescent="0.2">
      <c r="A5" s="21"/>
      <c r="B5" s="27" t="s">
        <v>259</v>
      </c>
      <c r="C5" s="1281" t="str">
        <f>Translations!$B$1112</f>
        <v>Lapa “Comments” — KOMENTĀRI UN SĪKĀKA INFORMĀCIJA</v>
      </c>
      <c r="D5" s="1251"/>
      <c r="E5" s="1251"/>
      <c r="F5" s="1251"/>
      <c r="G5" s="1251"/>
      <c r="H5" s="1251"/>
      <c r="I5" s="1251"/>
      <c r="J5" s="1251"/>
      <c r="K5" s="1251"/>
      <c r="L5" s="1251"/>
      <c r="M5" s="1251"/>
      <c r="N5" s="25"/>
    </row>
    <row r="6" spans="1:14" s="38" customFormat="1" x14ac:dyDescent="0.2">
      <c r="A6" s="21"/>
      <c r="B6" s="21"/>
      <c r="C6" s="21"/>
      <c r="D6" s="21"/>
      <c r="E6" s="21"/>
      <c r="F6" s="21"/>
      <c r="G6" s="21"/>
      <c r="H6" s="21"/>
      <c r="I6" s="21"/>
      <c r="J6" s="21"/>
      <c r="K6" s="21"/>
      <c r="L6" s="25"/>
      <c r="M6" s="25"/>
      <c r="N6" s="25"/>
    </row>
    <row r="7" spans="1:14" s="38" customFormat="1" ht="15.75" x14ac:dyDescent="0.25">
      <c r="A7" s="21"/>
      <c r="B7" s="30" t="s">
        <v>391</v>
      </c>
      <c r="C7" s="1249" t="str">
        <f>Translations!$B$1113</f>
        <v>Ziņojumam pievienotie apliecinošie dokumenti</v>
      </c>
      <c r="D7" s="1249"/>
      <c r="E7" s="1249"/>
      <c r="F7" s="1249"/>
      <c r="G7" s="1249"/>
      <c r="H7" s="1249"/>
      <c r="I7" s="1249"/>
      <c r="J7" s="1249"/>
      <c r="K7" s="1249"/>
      <c r="L7" s="1249"/>
      <c r="M7" s="1249"/>
      <c r="N7" s="25"/>
    </row>
    <row r="8" spans="1:14" s="38" customFormat="1" ht="5.0999999999999996" customHeight="1" x14ac:dyDescent="0.2">
      <c r="A8" s="21"/>
      <c r="B8" s="21"/>
      <c r="C8" s="21"/>
      <c r="D8" s="21"/>
      <c r="E8" s="21"/>
      <c r="F8" s="21"/>
      <c r="G8" s="21"/>
      <c r="H8" s="21"/>
      <c r="I8" s="21"/>
      <c r="J8" s="21"/>
      <c r="K8" s="21"/>
      <c r="L8" s="25"/>
      <c r="M8" s="25"/>
      <c r="N8" s="25"/>
    </row>
    <row r="9" spans="1:14" s="38" customFormat="1" ht="15" x14ac:dyDescent="0.25">
      <c r="A9" s="21"/>
      <c r="B9" s="36"/>
      <c r="C9" s="1318" t="str">
        <f>Translations!$B$1114</f>
        <v>Šeit norādiet visus relevantos dokumentus, kas iesniegti kopā ar šo ziņojumu</v>
      </c>
      <c r="D9" s="1251"/>
      <c r="E9" s="1251"/>
      <c r="F9" s="1251"/>
      <c r="G9" s="1251"/>
      <c r="H9" s="1251"/>
      <c r="I9" s="1251"/>
      <c r="J9" s="1251"/>
      <c r="K9" s="1251"/>
      <c r="L9" s="1251"/>
      <c r="M9" s="1251"/>
      <c r="N9" s="25"/>
    </row>
    <row r="10" spans="1:14" s="38" customFormat="1" x14ac:dyDescent="0.2">
      <c r="A10" s="21"/>
      <c r="B10" s="34"/>
      <c r="C10" s="1319" t="str">
        <f>Translations!$B$1115</f>
        <v>Lai pamatotu šajā ziņojumā sniegtos datus, ir vajadzīgi papildu dokumenti. Ja vien iespējams, sniedziet šo informāciju elektroniskā formātā.</v>
      </c>
      <c r="D10" s="1251"/>
      <c r="E10" s="1251"/>
      <c r="F10" s="1251"/>
      <c r="G10" s="1251"/>
      <c r="H10" s="1251"/>
      <c r="I10" s="1251"/>
      <c r="J10" s="1251"/>
      <c r="K10" s="1251"/>
      <c r="L10" s="1251"/>
      <c r="M10" s="1251"/>
    </row>
    <row r="11" spans="1:14" s="38" customFormat="1" x14ac:dyDescent="0.2">
      <c r="A11" s="21"/>
      <c r="B11" s="34"/>
      <c r="C11" s="1319" t="str">
        <f>Translations!$B$1116</f>
        <v>Informāciju var iesniegt Microsoft Word, Excel, vai Adobe Acrobat formātā.</v>
      </c>
      <c r="D11" s="1251"/>
      <c r="E11" s="1251"/>
      <c r="F11" s="1251"/>
      <c r="G11" s="1251"/>
      <c r="H11" s="1251"/>
      <c r="I11" s="1251"/>
      <c r="J11" s="1251"/>
      <c r="K11" s="1251"/>
      <c r="L11" s="1251"/>
      <c r="M11" s="1251"/>
    </row>
    <row r="12" spans="1:14" s="38" customFormat="1" x14ac:dyDescent="0.2">
      <c r="A12" s="21"/>
      <c r="B12" s="34"/>
      <c r="C12" s="1319" t="str">
        <f>Translations!$B$1117</f>
        <v>Vajadzības gadījumā kompetentajā iestādē noskaidrojiet, vai bez iepriekš minētajiem formātiem ir pieņemami arī citi formāti.</v>
      </c>
      <c r="D12" s="1251"/>
      <c r="E12" s="1251"/>
      <c r="F12" s="1251"/>
      <c r="G12" s="1251"/>
      <c r="H12" s="1251"/>
      <c r="I12" s="1251"/>
      <c r="J12" s="1251"/>
      <c r="K12" s="1251"/>
      <c r="L12" s="1251"/>
      <c r="M12" s="1251"/>
    </row>
    <row r="13" spans="1:14" s="38" customFormat="1" x14ac:dyDescent="0.2">
      <c r="A13" s="21"/>
      <c r="B13" s="34"/>
      <c r="C13" s="1319" t="str">
        <f>Translations!$B$1118</f>
        <v xml:space="preserve">Sniegtajiem papildu dokumentiem jābūt ar skaidrām atsaucēm, un zemāk jānorāda datnes nosaukums / atsauces numurs. </v>
      </c>
      <c r="D13" s="1251"/>
      <c r="E13" s="1251"/>
      <c r="F13" s="1251"/>
      <c r="G13" s="1251"/>
      <c r="H13" s="1251"/>
      <c r="I13" s="1251"/>
      <c r="J13" s="1251"/>
      <c r="K13" s="1251"/>
      <c r="L13" s="1251"/>
      <c r="M13" s="1251"/>
    </row>
    <row r="14" spans="1:14" s="38" customFormat="1" x14ac:dyDescent="0.2">
      <c r="A14" s="21"/>
      <c r="B14" s="34"/>
      <c r="C14" s="1319" t="str">
        <f>Translations!$B$1119</f>
        <v xml:space="preserve">Ieteicams nerelevantu informāciju nesniegt, jo tas var kavēt ziņojuma apstiprināšanu. </v>
      </c>
      <c r="D14" s="1251"/>
      <c r="E14" s="1251"/>
      <c r="F14" s="1251"/>
      <c r="G14" s="1251"/>
      <c r="H14" s="1251"/>
      <c r="I14" s="1251"/>
      <c r="J14" s="1251"/>
      <c r="K14" s="1251"/>
      <c r="L14" s="1251"/>
      <c r="M14" s="1251"/>
    </row>
    <row r="15" spans="1:14" s="38" customFormat="1" ht="5.0999999999999996" customHeight="1" x14ac:dyDescent="0.2">
      <c r="A15" s="21"/>
      <c r="B15" s="21"/>
      <c r="C15" s="21"/>
      <c r="D15" s="21"/>
      <c r="E15" s="21"/>
      <c r="F15" s="21"/>
      <c r="G15" s="21"/>
      <c r="H15" s="21"/>
      <c r="I15" s="21"/>
      <c r="J15" s="21"/>
      <c r="K15" s="21"/>
      <c r="L15" s="25"/>
      <c r="M15" s="25"/>
      <c r="N15" s="25"/>
    </row>
    <row r="16" spans="1:14" s="38" customFormat="1" x14ac:dyDescent="0.2">
      <c r="A16" s="21"/>
      <c r="B16" s="32" t="s">
        <v>165</v>
      </c>
      <c r="C16" s="1250" t="str">
        <f>Translations!$B$1120</f>
        <v>FAR 4. panta 2. punkta b) apakšpunktā prasītais monitoringa metodikas plāns (obligāts):</v>
      </c>
      <c r="D16" s="1251"/>
      <c r="E16" s="1251"/>
      <c r="F16" s="1251"/>
      <c r="G16" s="1251"/>
      <c r="H16" s="1251"/>
      <c r="I16" s="1251"/>
      <c r="J16" s="1251"/>
      <c r="K16" s="1251"/>
      <c r="L16" s="1251"/>
      <c r="M16" s="1251"/>
    </row>
    <row r="17" spans="1:14" s="38" customFormat="1" x14ac:dyDescent="0.2">
      <c r="C17" s="1861" t="str">
        <f>Translations!$B$1121</f>
        <v>Šeit norādiet datnes vai datņu nosaukumu (ja datne ir elektroniskā formātā) vai dokumenta(-u) atsauces numuru(-us) (ja dokuments ir papīrformā):</v>
      </c>
      <c r="D17" s="1251"/>
      <c r="E17" s="1251"/>
      <c r="F17" s="1251"/>
      <c r="G17" s="1251"/>
      <c r="H17" s="1251"/>
      <c r="I17" s="1251"/>
      <c r="J17" s="1251"/>
      <c r="K17" s="1251"/>
      <c r="L17" s="1251"/>
      <c r="M17" s="1251"/>
    </row>
    <row r="18" spans="1:14" s="38" customFormat="1" ht="5.0999999999999996" customHeight="1" x14ac:dyDescent="0.2">
      <c r="A18" s="21"/>
      <c r="B18" s="21"/>
      <c r="C18" s="21"/>
      <c r="D18" s="21"/>
      <c r="E18" s="21"/>
      <c r="F18" s="21"/>
      <c r="G18" s="21"/>
      <c r="H18" s="21"/>
      <c r="I18" s="21"/>
      <c r="J18" s="21"/>
      <c r="K18" s="21"/>
      <c r="L18" s="25"/>
      <c r="M18" s="25"/>
      <c r="N18" s="25"/>
    </row>
    <row r="19" spans="1:14" s="38" customFormat="1" x14ac:dyDescent="0.2">
      <c r="D19" s="1320" t="str">
        <f>Translations!$B$1122</f>
        <v>Datnes nosaukums /atsauces numurs</v>
      </c>
      <c r="E19" s="1460"/>
      <c r="F19" s="1767" t="str">
        <f>Translations!$B$1123</f>
        <v>Dokumenta apraksts</v>
      </c>
      <c r="G19" s="1275"/>
      <c r="H19" s="1275"/>
      <c r="I19" s="1275"/>
      <c r="J19" s="1275"/>
      <c r="K19" s="1275"/>
      <c r="L19" s="1275"/>
      <c r="M19" s="1275"/>
    </row>
    <row r="20" spans="1:14" s="38" customFormat="1" x14ac:dyDescent="0.2">
      <c r="D20" s="1871"/>
      <c r="E20" s="1465"/>
      <c r="F20" s="1463"/>
      <c r="G20" s="1464"/>
      <c r="H20" s="1464"/>
      <c r="I20" s="1464"/>
      <c r="J20" s="1464"/>
      <c r="K20" s="1464"/>
      <c r="L20" s="1464"/>
      <c r="M20" s="1464"/>
    </row>
    <row r="21" spans="1:14" s="38" customFormat="1" x14ac:dyDescent="0.2">
      <c r="D21" s="1863"/>
      <c r="E21" s="1864"/>
      <c r="F21" s="1865"/>
      <c r="G21" s="1866"/>
      <c r="H21" s="1866"/>
      <c r="I21" s="1866"/>
      <c r="J21" s="1866"/>
      <c r="K21" s="1866"/>
      <c r="L21" s="1866"/>
      <c r="M21" s="1866"/>
    </row>
    <row r="22" spans="1:14" s="38" customFormat="1" x14ac:dyDescent="0.2">
      <c r="D22" s="1867"/>
      <c r="E22" s="1868"/>
      <c r="F22" s="1869"/>
      <c r="G22" s="1870"/>
      <c r="H22" s="1870"/>
      <c r="I22" s="1870"/>
      <c r="J22" s="1870"/>
      <c r="K22" s="1870"/>
      <c r="L22" s="1870"/>
      <c r="M22" s="1870"/>
    </row>
    <row r="23" spans="1:14" s="38" customFormat="1" ht="5.0999999999999996" customHeight="1" x14ac:dyDescent="0.2">
      <c r="A23" s="21"/>
      <c r="B23" s="21"/>
      <c r="C23" s="21"/>
      <c r="D23" s="21"/>
      <c r="E23" s="21"/>
      <c r="F23" s="21"/>
      <c r="G23" s="21"/>
      <c r="H23" s="21"/>
      <c r="I23" s="21"/>
      <c r="J23" s="21"/>
      <c r="K23" s="21"/>
      <c r="L23" s="25"/>
      <c r="M23" s="25"/>
      <c r="N23" s="25"/>
    </row>
    <row r="24" spans="1:14" s="38" customFormat="1" x14ac:dyDescent="0.2">
      <c r="A24" s="21"/>
      <c r="B24" s="32" t="s">
        <v>339</v>
      </c>
      <c r="C24" s="1250" t="str">
        <f>Translations!$B$1124</f>
        <v>FAR 4. panta 2. punkta c) apakšpunktā prasītais verifikācijas ziņojums (obligāts):</v>
      </c>
      <c r="D24" s="1251"/>
      <c r="E24" s="1251"/>
      <c r="F24" s="1251"/>
      <c r="G24" s="1251"/>
      <c r="H24" s="1251"/>
      <c r="I24" s="1251"/>
      <c r="J24" s="1251"/>
      <c r="K24" s="1251"/>
      <c r="L24" s="1251"/>
      <c r="M24" s="1251"/>
    </row>
    <row r="25" spans="1:14" s="38" customFormat="1" x14ac:dyDescent="0.2">
      <c r="C25" s="1861" t="str">
        <f>Translations!$B$1121</f>
        <v>Šeit norādiet datnes vai datņu nosaukumu (ja datne ir elektroniskā formātā) vai dokumenta(-u) atsauces numuru(-us) (ja dokuments ir papīrformā):</v>
      </c>
      <c r="D25" s="1251"/>
      <c r="E25" s="1251"/>
      <c r="F25" s="1251"/>
      <c r="G25" s="1251"/>
      <c r="H25" s="1251"/>
      <c r="I25" s="1251"/>
      <c r="J25" s="1251"/>
      <c r="K25" s="1251"/>
      <c r="L25" s="1251"/>
      <c r="M25" s="1251"/>
    </row>
    <row r="26" spans="1:14" s="38" customFormat="1" ht="5.0999999999999996" customHeight="1" x14ac:dyDescent="0.2">
      <c r="A26" s="21"/>
      <c r="B26" s="21"/>
      <c r="C26" s="21"/>
      <c r="D26" s="21"/>
      <c r="E26" s="21"/>
      <c r="F26" s="21"/>
      <c r="G26" s="21"/>
      <c r="H26" s="21"/>
      <c r="I26" s="21"/>
      <c r="J26" s="21"/>
      <c r="K26" s="21"/>
      <c r="L26" s="25"/>
      <c r="M26" s="25"/>
      <c r="N26" s="25"/>
    </row>
    <row r="27" spans="1:14" s="38" customFormat="1" x14ac:dyDescent="0.2">
      <c r="D27" s="1320" t="str">
        <f>Translations!$B$1122</f>
        <v>Datnes nosaukums /atsauces numurs</v>
      </c>
      <c r="E27" s="1460"/>
      <c r="F27" s="1767" t="str">
        <f>Translations!$B$1123</f>
        <v>Dokumenta apraksts</v>
      </c>
      <c r="G27" s="1275"/>
      <c r="H27" s="1275"/>
      <c r="I27" s="1275"/>
      <c r="J27" s="1275"/>
      <c r="K27" s="1275"/>
      <c r="L27" s="1275"/>
      <c r="M27" s="1275"/>
    </row>
    <row r="28" spans="1:14" s="38" customFormat="1" x14ac:dyDescent="0.2">
      <c r="D28" s="1871"/>
      <c r="E28" s="1465"/>
      <c r="F28" s="1463"/>
      <c r="G28" s="1464"/>
      <c r="H28" s="1464"/>
      <c r="I28" s="1464"/>
      <c r="J28" s="1464"/>
      <c r="K28" s="1464"/>
      <c r="L28" s="1464"/>
      <c r="M28" s="1464"/>
    </row>
    <row r="29" spans="1:14" s="38" customFormat="1" x14ac:dyDescent="0.2">
      <c r="D29" s="1863"/>
      <c r="E29" s="1864"/>
      <c r="F29" s="1865"/>
      <c r="G29" s="1866"/>
      <c r="H29" s="1866"/>
      <c r="I29" s="1866"/>
      <c r="J29" s="1866"/>
      <c r="K29" s="1866"/>
      <c r="L29" s="1866"/>
      <c r="M29" s="1866"/>
    </row>
    <row r="30" spans="1:14" s="38" customFormat="1" x14ac:dyDescent="0.2">
      <c r="D30" s="1867"/>
      <c r="E30" s="1868"/>
      <c r="F30" s="1869"/>
      <c r="G30" s="1870"/>
      <c r="H30" s="1870"/>
      <c r="I30" s="1870"/>
      <c r="J30" s="1870"/>
      <c r="K30" s="1870"/>
      <c r="L30" s="1870"/>
      <c r="M30" s="1870"/>
    </row>
    <row r="31" spans="1:14" s="38" customFormat="1" ht="5.0999999999999996" customHeight="1" x14ac:dyDescent="0.2">
      <c r="A31" s="21"/>
      <c r="B31" s="21"/>
      <c r="C31" s="21"/>
      <c r="D31" s="21"/>
      <c r="E31" s="21"/>
      <c r="F31" s="21"/>
      <c r="G31" s="21"/>
      <c r="H31" s="21"/>
      <c r="I31" s="21"/>
      <c r="J31" s="21"/>
      <c r="K31" s="21"/>
      <c r="L31" s="25"/>
      <c r="M31" s="25"/>
    </row>
    <row r="32" spans="1:14" s="38" customFormat="1" x14ac:dyDescent="0.2">
      <c r="A32" s="21"/>
      <c r="B32" s="32" t="s">
        <v>11</v>
      </c>
      <c r="C32" s="1250" t="str">
        <f>Translations!$B$1125</f>
        <v>Datu iztrūkumu pamatojums</v>
      </c>
      <c r="D32" s="1251"/>
      <c r="E32" s="1251"/>
      <c r="F32" s="1251"/>
      <c r="G32" s="1251"/>
      <c r="H32" s="1251"/>
      <c r="I32" s="1251"/>
      <c r="J32" s="1251"/>
      <c r="K32" s="1251"/>
      <c r="L32" s="1251"/>
      <c r="M32" s="1251"/>
    </row>
    <row r="33" spans="1:14" s="38" customFormat="1" x14ac:dyDescent="0.2">
      <c r="C33" s="1861" t="str">
        <f>Translations!$B$1126</f>
        <v>FAR 12. panta 2. punkts prasa, lai tiktu norādīts datu iztrūkumu pamatojums un to novēršanai izmantotās metodes apraksts.</v>
      </c>
      <c r="D33" s="1251"/>
      <c r="E33" s="1251"/>
      <c r="F33" s="1251"/>
      <c r="G33" s="1251"/>
      <c r="H33" s="1251"/>
      <c r="I33" s="1251"/>
      <c r="J33" s="1251"/>
      <c r="K33" s="1251"/>
      <c r="L33" s="1251"/>
      <c r="M33" s="1251"/>
    </row>
    <row r="34" spans="1:14" s="38" customFormat="1" ht="12.75" customHeight="1" x14ac:dyDescent="0.2">
      <c r="A34" s="21"/>
      <c r="B34" s="21"/>
      <c r="C34" s="21"/>
      <c r="D34" s="21"/>
      <c r="E34" s="21"/>
      <c r="F34" s="21"/>
      <c r="G34" s="21"/>
      <c r="H34" s="21"/>
      <c r="I34" s="21"/>
      <c r="J34" s="21"/>
      <c r="K34" s="21"/>
      <c r="L34" s="25"/>
      <c r="M34" s="25"/>
    </row>
    <row r="35" spans="1:14" s="139" customFormat="1" ht="25.5" customHeight="1" x14ac:dyDescent="0.2">
      <c r="A35" s="889"/>
      <c r="B35" s="889"/>
      <c r="C35" s="1013" t="str">
        <f>Translations!$B$220</f>
        <v>Nr.</v>
      </c>
      <c r="D35" s="1862" t="str">
        <f>Translations!$B$1127</f>
        <v>Skartā datu kopa (DD, EF, siltums, elektroenerģija, ...)</v>
      </c>
      <c r="E35" s="1862"/>
      <c r="F35" s="1862" t="str">
        <f>Translations!$B$614</f>
        <v>Apakšiekārta</v>
      </c>
      <c r="G35" s="1862"/>
      <c r="H35" s="1016" t="str">
        <f>Translations!$B$1541</f>
        <v>Laikposms</v>
      </c>
      <c r="I35" s="1703" t="str">
        <f>Translations!$B$1128</f>
        <v>Datu iztrūkuma apraksts</v>
      </c>
      <c r="J35" s="1704"/>
      <c r="K35" s="1862" t="str">
        <f>Translations!$B$1129</f>
        <v>Pamatojums</v>
      </c>
      <c r="L35" s="1862"/>
      <c r="M35" s="1862"/>
      <c r="N35" s="38"/>
    </row>
    <row r="36" spans="1:14" s="38" customFormat="1" ht="12.75" customHeight="1" x14ac:dyDescent="0.2">
      <c r="A36" s="21"/>
      <c r="B36" s="21"/>
      <c r="C36" s="1012" t="str">
        <f>IF(COUNTA(D36:M36)&gt;0,MAX($C$35:C35)+1,"")</f>
        <v/>
      </c>
      <c r="D36" s="1858"/>
      <c r="E36" s="1858"/>
      <c r="F36" s="1858"/>
      <c r="G36" s="1858"/>
      <c r="H36" s="1017"/>
      <c r="I36" s="1859"/>
      <c r="J36" s="1860"/>
      <c r="K36" s="1858"/>
      <c r="L36" s="1858"/>
      <c r="M36" s="1858"/>
    </row>
    <row r="37" spans="1:14" s="38" customFormat="1" ht="12.75" customHeight="1" x14ac:dyDescent="0.2">
      <c r="A37" s="21"/>
      <c r="B37" s="21"/>
      <c r="C37" s="1012" t="str">
        <f>IF(COUNTA(D37:M37)&gt;0,MAX($C$35:C36)+1,"")</f>
        <v/>
      </c>
      <c r="D37" s="1858"/>
      <c r="E37" s="1858"/>
      <c r="F37" s="1858"/>
      <c r="G37" s="1858"/>
      <c r="H37" s="1017"/>
      <c r="I37" s="1859"/>
      <c r="J37" s="1860"/>
      <c r="K37" s="1858"/>
      <c r="L37" s="1858"/>
      <c r="M37" s="1858"/>
    </row>
    <row r="38" spans="1:14" s="38" customFormat="1" ht="12.75" customHeight="1" x14ac:dyDescent="0.2">
      <c r="A38" s="21"/>
      <c r="B38" s="21"/>
      <c r="C38" s="1012" t="str">
        <f>IF(COUNTA(D38:M38)&gt;0,MAX($C$35:C37)+1,"")</f>
        <v/>
      </c>
      <c r="D38" s="1858"/>
      <c r="E38" s="1858"/>
      <c r="F38" s="1858"/>
      <c r="G38" s="1858"/>
      <c r="H38" s="1017"/>
      <c r="I38" s="1859"/>
      <c r="J38" s="1860"/>
      <c r="K38" s="1858"/>
      <c r="L38" s="1858"/>
      <c r="M38" s="1858"/>
    </row>
    <row r="39" spans="1:14" s="38" customFormat="1" ht="12.75" customHeight="1" x14ac:dyDescent="0.2">
      <c r="A39" s="21"/>
      <c r="B39" s="21"/>
      <c r="C39" s="1012" t="str">
        <f>IF(COUNTA(D39:M39)&gt;0,MAX($C$35:C38)+1,"")</f>
        <v/>
      </c>
      <c r="D39" s="1858"/>
      <c r="E39" s="1858"/>
      <c r="F39" s="1858"/>
      <c r="G39" s="1858"/>
      <c r="H39" s="1017"/>
      <c r="I39" s="1859"/>
      <c r="J39" s="1860"/>
      <c r="K39" s="1858"/>
      <c r="L39" s="1858"/>
      <c r="M39" s="1858"/>
    </row>
    <row r="40" spans="1:14" s="38" customFormat="1" ht="12.75" customHeight="1" x14ac:dyDescent="0.2">
      <c r="A40" s="21"/>
      <c r="B40" s="21"/>
      <c r="C40" s="1012" t="str">
        <f>IF(COUNTA(D40:M40)&gt;0,MAX($C$35:C39)+1,"")</f>
        <v/>
      </c>
      <c r="D40" s="1858"/>
      <c r="E40" s="1858"/>
      <c r="F40" s="1858"/>
      <c r="G40" s="1858"/>
      <c r="H40" s="1017"/>
      <c r="I40" s="1859"/>
      <c r="J40" s="1860"/>
      <c r="K40" s="1858"/>
      <c r="L40" s="1858"/>
      <c r="M40" s="1858"/>
    </row>
    <row r="41" spans="1:14" s="38" customFormat="1" ht="12.75" customHeight="1" x14ac:dyDescent="0.2">
      <c r="A41" s="21"/>
      <c r="B41" s="21"/>
      <c r="C41" s="1012" t="str">
        <f>IF(COUNTA(D41:M41)&gt;0,MAX($C$35:C40)+1,"")</f>
        <v/>
      </c>
      <c r="D41" s="1858"/>
      <c r="E41" s="1858"/>
      <c r="F41" s="1858"/>
      <c r="G41" s="1858"/>
      <c r="H41" s="1017"/>
      <c r="I41" s="1859"/>
      <c r="J41" s="1860"/>
      <c r="K41" s="1858"/>
      <c r="L41" s="1858"/>
      <c r="M41" s="1858"/>
    </row>
    <row r="42" spans="1:14" s="38" customFormat="1" ht="5.0999999999999996" customHeight="1" x14ac:dyDescent="0.2">
      <c r="A42" s="21"/>
      <c r="B42" s="21"/>
      <c r="C42" s="21"/>
      <c r="D42" s="21"/>
      <c r="E42" s="21"/>
      <c r="F42" s="21"/>
      <c r="G42" s="21"/>
      <c r="H42" s="21"/>
      <c r="I42" s="21"/>
      <c r="J42" s="21"/>
      <c r="K42" s="21"/>
      <c r="L42" s="25"/>
      <c r="M42" s="25"/>
    </row>
    <row r="43" spans="1:14" s="38" customFormat="1" x14ac:dyDescent="0.2">
      <c r="A43" s="21"/>
      <c r="B43" s="32" t="s">
        <v>342</v>
      </c>
      <c r="C43" s="1250" t="str">
        <f>Translations!$B$1130</f>
        <v>Citi dokumenti:</v>
      </c>
      <c r="D43" s="1251"/>
      <c r="E43" s="1251"/>
      <c r="F43" s="1251"/>
      <c r="G43" s="1251"/>
      <c r="H43" s="1251"/>
      <c r="I43" s="1251"/>
      <c r="J43" s="1251"/>
      <c r="K43" s="1251"/>
      <c r="L43" s="1251"/>
      <c r="M43" s="1251"/>
    </row>
    <row r="44" spans="1:14" s="38" customFormat="1" x14ac:dyDescent="0.2">
      <c r="C44" s="1861" t="str">
        <f>Translations!$B$1121</f>
        <v>Šeit norādiet datnes vai datņu nosaukumu (ja datne ir elektroniskā formātā) vai dokumenta(-u) atsauces numuru(-us) (ja dokuments ir papīrformā):</v>
      </c>
      <c r="D44" s="1251"/>
      <c r="E44" s="1251"/>
      <c r="F44" s="1251"/>
      <c r="G44" s="1251"/>
      <c r="H44" s="1251"/>
      <c r="I44" s="1251"/>
      <c r="J44" s="1251"/>
      <c r="K44" s="1251"/>
      <c r="L44" s="1251"/>
      <c r="M44" s="1251"/>
    </row>
    <row r="45" spans="1:14" s="38" customFormat="1" ht="5.0999999999999996" customHeight="1" x14ac:dyDescent="0.2">
      <c r="A45" s="21"/>
      <c r="B45" s="21"/>
      <c r="C45" s="21"/>
      <c r="D45" s="21"/>
      <c r="E45" s="21"/>
      <c r="F45" s="21"/>
      <c r="G45" s="21"/>
      <c r="H45" s="21"/>
      <c r="I45" s="21"/>
      <c r="J45" s="21"/>
      <c r="K45" s="21"/>
      <c r="L45" s="25"/>
      <c r="M45" s="25"/>
      <c r="N45" s="25"/>
    </row>
    <row r="46" spans="1:14" s="38" customFormat="1" x14ac:dyDescent="0.2">
      <c r="D46" s="43" t="str">
        <f>Translations!$B$1122</f>
        <v>Datnes nosaukums /atsauces numurs</v>
      </c>
      <c r="E46" s="251"/>
      <c r="F46" s="43" t="str">
        <f>Translations!$B$1123</f>
        <v>Dokumenta apraksts</v>
      </c>
      <c r="G46" s="43"/>
      <c r="H46" s="43"/>
      <c r="I46" s="43"/>
      <c r="J46" s="43"/>
      <c r="K46" s="43"/>
      <c r="L46" s="40"/>
      <c r="M46" s="40"/>
    </row>
    <row r="47" spans="1:14" s="38" customFormat="1" x14ac:dyDescent="0.2">
      <c r="D47" s="1873"/>
      <c r="E47" s="1874"/>
      <c r="F47" s="1875"/>
      <c r="G47" s="1876"/>
      <c r="H47" s="1876"/>
      <c r="I47" s="1876"/>
      <c r="J47" s="1876"/>
      <c r="K47" s="1876"/>
      <c r="L47" s="1876"/>
      <c r="M47" s="1876"/>
    </row>
    <row r="48" spans="1:14" s="38" customFormat="1" x14ac:dyDescent="0.2">
      <c r="D48" s="1863"/>
      <c r="E48" s="1864"/>
      <c r="F48" s="1865"/>
      <c r="G48" s="1866"/>
      <c r="H48" s="1866"/>
      <c r="I48" s="1866"/>
      <c r="J48" s="1866"/>
      <c r="K48" s="1866"/>
      <c r="L48" s="1866"/>
      <c r="M48" s="1866"/>
    </row>
    <row r="49" spans="1:14" s="38" customFormat="1" x14ac:dyDescent="0.2">
      <c r="D49" s="1863"/>
      <c r="E49" s="1864"/>
      <c r="F49" s="1865"/>
      <c r="G49" s="1866"/>
      <c r="H49" s="1866"/>
      <c r="I49" s="1866"/>
      <c r="J49" s="1866"/>
      <c r="K49" s="1866"/>
      <c r="L49" s="1866"/>
      <c r="M49" s="1866"/>
    </row>
    <row r="50" spans="1:14" s="38" customFormat="1" x14ac:dyDescent="0.2">
      <c r="D50" s="1863"/>
      <c r="E50" s="1864"/>
      <c r="F50" s="1865"/>
      <c r="G50" s="1866"/>
      <c r="H50" s="1866"/>
      <c r="I50" s="1866"/>
      <c r="J50" s="1866"/>
      <c r="K50" s="1866"/>
      <c r="L50" s="1866"/>
      <c r="M50" s="1866"/>
    </row>
    <row r="51" spans="1:14" s="38" customFormat="1" x14ac:dyDescent="0.2">
      <c r="D51" s="1863"/>
      <c r="E51" s="1864"/>
      <c r="F51" s="1865"/>
      <c r="G51" s="1866"/>
      <c r="H51" s="1866"/>
      <c r="I51" s="1866"/>
      <c r="J51" s="1866"/>
      <c r="K51" s="1866"/>
      <c r="L51" s="1866"/>
      <c r="M51" s="1866"/>
    </row>
    <row r="52" spans="1:14" s="38" customFormat="1" x14ac:dyDescent="0.2">
      <c r="D52" s="1863"/>
      <c r="E52" s="1864"/>
      <c r="F52" s="1865"/>
      <c r="G52" s="1866"/>
      <c r="H52" s="1866"/>
      <c r="I52" s="1866"/>
      <c r="J52" s="1866"/>
      <c r="K52" s="1866"/>
      <c r="L52" s="1866"/>
      <c r="M52" s="1866"/>
    </row>
    <row r="53" spans="1:14" s="38" customFormat="1" x14ac:dyDescent="0.2">
      <c r="D53" s="1863"/>
      <c r="E53" s="1864"/>
      <c r="F53" s="1865"/>
      <c r="G53" s="1866"/>
      <c r="H53" s="1866"/>
      <c r="I53" s="1866"/>
      <c r="J53" s="1866"/>
      <c r="K53" s="1866"/>
      <c r="L53" s="1866"/>
      <c r="M53" s="1866"/>
    </row>
    <row r="54" spans="1:14" s="38" customFormat="1" x14ac:dyDescent="0.2">
      <c r="D54" s="1863"/>
      <c r="E54" s="1864"/>
      <c r="F54" s="1865"/>
      <c r="G54" s="1866"/>
      <c r="H54" s="1866"/>
      <c r="I54" s="1866"/>
      <c r="J54" s="1866"/>
      <c r="K54" s="1866"/>
      <c r="L54" s="1866"/>
      <c r="M54" s="1866"/>
    </row>
    <row r="55" spans="1:14" s="38" customFormat="1" x14ac:dyDescent="0.2">
      <c r="D55" s="1867"/>
      <c r="E55" s="1868"/>
      <c r="F55" s="1869"/>
      <c r="G55" s="1870"/>
      <c r="H55" s="1870"/>
      <c r="I55" s="1870"/>
      <c r="J55" s="1870"/>
      <c r="K55" s="1870"/>
      <c r="L55" s="1870"/>
      <c r="M55" s="1870"/>
    </row>
    <row r="56" spans="1:14" s="38" customFormat="1" x14ac:dyDescent="0.2"/>
    <row r="57" spans="1:14" s="38" customFormat="1" ht="15.75" x14ac:dyDescent="0.25">
      <c r="A57" s="21"/>
      <c r="B57" s="30" t="s">
        <v>338</v>
      </c>
      <c r="C57" s="1249" t="str">
        <f>Translations!$B$1131</f>
        <v>Brīva vieta papildu informācijai</v>
      </c>
      <c r="D57" s="1249"/>
      <c r="E57" s="1249"/>
      <c r="F57" s="1249"/>
      <c r="G57" s="1249"/>
      <c r="H57" s="1249"/>
      <c r="I57" s="1249"/>
      <c r="J57" s="1249"/>
      <c r="K57" s="1249"/>
      <c r="L57" s="1249"/>
      <c r="M57" s="1249"/>
      <c r="N57" s="25"/>
    </row>
    <row r="58" spans="1:14" s="38" customFormat="1" ht="5.0999999999999996" customHeight="1" x14ac:dyDescent="0.2">
      <c r="A58" s="21"/>
      <c r="B58" s="21"/>
      <c r="C58" s="21"/>
      <c r="D58" s="21"/>
      <c r="E58" s="21"/>
      <c r="F58" s="21"/>
      <c r="G58" s="21"/>
      <c r="H58" s="21"/>
      <c r="I58" s="21"/>
      <c r="J58" s="21"/>
      <c r="K58" s="21"/>
      <c r="L58" s="25"/>
      <c r="M58" s="25"/>
      <c r="N58" s="25"/>
    </row>
    <row r="59" spans="1:14" s="38" customFormat="1" ht="30" customHeight="1" x14ac:dyDescent="0.25">
      <c r="A59" s="21"/>
      <c r="B59" s="160"/>
      <c r="C59" s="1872" t="str">
        <f>Translations!$B$1132</f>
        <v>Šeit jūs varat sniegt visu informāciju, ko nebija iespējams ievadīt pārējās lapās un ko, jūsuprāt, kompetentajai iestādei būtu svarīgi zināt.</v>
      </c>
      <c r="D59" s="1872"/>
      <c r="E59" s="1872"/>
      <c r="F59" s="1872"/>
      <c r="G59" s="1872"/>
      <c r="H59" s="1872"/>
      <c r="I59" s="1872"/>
      <c r="J59" s="1872"/>
      <c r="K59" s="1872"/>
      <c r="L59" s="1872"/>
      <c r="M59" s="1872"/>
      <c r="N59" s="25"/>
    </row>
  </sheetData>
  <sheetProtection sheet="1" objects="1" scenarios="1" formatCells="0" formatColumns="0" formatRows="0"/>
  <mergeCells count="95">
    <mergeCell ref="D22:E22"/>
    <mergeCell ref="D20:E20"/>
    <mergeCell ref="D21:E21"/>
    <mergeCell ref="F20:M20"/>
    <mergeCell ref="F21:M21"/>
    <mergeCell ref="F22:M22"/>
    <mergeCell ref="D49:E49"/>
    <mergeCell ref="F49:M49"/>
    <mergeCell ref="D47:E47"/>
    <mergeCell ref="F47:M47"/>
    <mergeCell ref="C43:M43"/>
    <mergeCell ref="C44:M44"/>
    <mergeCell ref="C59:M59"/>
    <mergeCell ref="D54:E54"/>
    <mergeCell ref="F54:M54"/>
    <mergeCell ref="D50:E50"/>
    <mergeCell ref="F50:M50"/>
    <mergeCell ref="D51:E51"/>
    <mergeCell ref="F51:M51"/>
    <mergeCell ref="D52:E52"/>
    <mergeCell ref="F52:M52"/>
    <mergeCell ref="D53:E53"/>
    <mergeCell ref="A1:C3"/>
    <mergeCell ref="F1:G1"/>
    <mergeCell ref="H1:I1"/>
    <mergeCell ref="J1:K1"/>
    <mergeCell ref="D3:E3"/>
    <mergeCell ref="F3:G3"/>
    <mergeCell ref="H3:I3"/>
    <mergeCell ref="J3:K3"/>
    <mergeCell ref="L3:M3"/>
    <mergeCell ref="L1:M1"/>
    <mergeCell ref="D2:E2"/>
    <mergeCell ref="F2:G2"/>
    <mergeCell ref="H2:I2"/>
    <mergeCell ref="J2:K2"/>
    <mergeCell ref="L2:M2"/>
    <mergeCell ref="C11:M11"/>
    <mergeCell ref="C12:M12"/>
    <mergeCell ref="C13:M13"/>
    <mergeCell ref="C14:M14"/>
    <mergeCell ref="C5:M5"/>
    <mergeCell ref="C7:M7"/>
    <mergeCell ref="C9:M9"/>
    <mergeCell ref="C10:M10"/>
    <mergeCell ref="C57:M57"/>
    <mergeCell ref="C16:M16"/>
    <mergeCell ref="C17:M17"/>
    <mergeCell ref="D19:E19"/>
    <mergeCell ref="F19:M19"/>
    <mergeCell ref="F53:M53"/>
    <mergeCell ref="D48:E48"/>
    <mergeCell ref="D55:E55"/>
    <mergeCell ref="F48:M48"/>
    <mergeCell ref="F55:M55"/>
    <mergeCell ref="D29:E29"/>
    <mergeCell ref="F29:M29"/>
    <mergeCell ref="D30:E30"/>
    <mergeCell ref="F30:M30"/>
    <mergeCell ref="C24:M24"/>
    <mergeCell ref="C25:M25"/>
    <mergeCell ref="D27:E27"/>
    <mergeCell ref="F27:M27"/>
    <mergeCell ref="D28:E28"/>
    <mergeCell ref="F28:M28"/>
    <mergeCell ref="C32:M32"/>
    <mergeCell ref="C33:M33"/>
    <mergeCell ref="D35:E35"/>
    <mergeCell ref="F35:G35"/>
    <mergeCell ref="K35:M35"/>
    <mergeCell ref="I35:J35"/>
    <mergeCell ref="D36:E36"/>
    <mergeCell ref="F36:G36"/>
    <mergeCell ref="K36:M36"/>
    <mergeCell ref="D37:E37"/>
    <mergeCell ref="F37:G37"/>
    <mergeCell ref="K37:M37"/>
    <mergeCell ref="I36:J36"/>
    <mergeCell ref="I37:J37"/>
    <mergeCell ref="D38:E38"/>
    <mergeCell ref="F38:G38"/>
    <mergeCell ref="K38:M38"/>
    <mergeCell ref="D39:E39"/>
    <mergeCell ref="F39:G39"/>
    <mergeCell ref="K39:M39"/>
    <mergeCell ref="I38:J38"/>
    <mergeCell ref="I39:J39"/>
    <mergeCell ref="D40:E40"/>
    <mergeCell ref="F40:G40"/>
    <mergeCell ref="K40:M40"/>
    <mergeCell ref="D41:E41"/>
    <mergeCell ref="F41:G41"/>
    <mergeCell ref="K41:M41"/>
    <mergeCell ref="I40:J40"/>
    <mergeCell ref="I41:J41"/>
  </mergeCells>
  <phoneticPr fontId="34" type="noConversion"/>
  <hyperlinks>
    <hyperlink ref="F1:G1" location="JUMP_TOC_Home" display="Table of contents"/>
    <hyperlink ref="L1:M1" location="JUMP_K_I" display="Summary"/>
    <hyperlink ref="D2:E2" location="JUMP_J_Top" display="Top of sheet"/>
    <hyperlink ref="D3:E3" location="JUMP_J_II" display="End of sheet"/>
    <hyperlink ref="H1:I1" location="JUMP_I_Top" display="Previous sheet"/>
    <hyperlink ref="J1:K1" location="JUMP_K_Top" display="Next sheet"/>
  </hyperlinks>
  <pageMargins left="0.78740157480314965" right="0.78740157480314965" top="0.78740157480314965" bottom="0.78740157480314965" header="0.51181102362204722" footer="0.51181102362204722"/>
  <pageSetup paperSize="9" scale="61" fitToHeight="10" orientation="portrait" r:id="rId1"/>
  <headerFooter alignWithMargins="0">
    <oddHeader>&amp;L&amp;F; &amp;A&amp;R&amp;D; &amp;T</oddHeader>
    <oddFooter>&amp;C&amp;P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indexed="10"/>
    <pageSetUpPr fitToPage="1"/>
  </sheetPr>
  <dimension ref="A1:T1658"/>
  <sheetViews>
    <sheetView tabSelected="1" zoomScaleNormal="100" workbookViewId="0">
      <pane ySplit="4" topLeftCell="A286" activePane="bottomLeft" state="frozen"/>
      <selection sqref="B2:D4"/>
      <selection pane="bottomLeft" activeCell="Y307" sqref="Y307"/>
    </sheetView>
  </sheetViews>
  <sheetFormatPr defaultColWidth="11.42578125" defaultRowHeight="12.75" x14ac:dyDescent="0.2"/>
  <cols>
    <col min="1" max="1" width="2.7109375" style="20" hidden="1" customWidth="1"/>
    <col min="2" max="2" width="2.7109375" style="19" customWidth="1"/>
    <col min="3" max="4" width="4.7109375" style="19" customWidth="1"/>
    <col min="5" max="14" width="12.7109375" style="19" customWidth="1"/>
    <col min="15" max="15" width="4.7109375" style="19" customWidth="1"/>
    <col min="16" max="20" width="12.7109375" style="20" hidden="1" customWidth="1"/>
    <col min="21" max="16384" width="11.42578125" style="696"/>
  </cols>
  <sheetData>
    <row r="1" spans="1:20" s="445" customFormat="1" ht="13.5" hidden="1" thickBot="1" x14ac:dyDescent="0.25">
      <c r="A1" s="445" t="s">
        <v>93</v>
      </c>
      <c r="P1" s="445" t="s">
        <v>93</v>
      </c>
      <c r="Q1" s="445" t="s">
        <v>93</v>
      </c>
      <c r="R1" s="445" t="s">
        <v>93</v>
      </c>
      <c r="S1" s="445" t="s">
        <v>93</v>
      </c>
      <c r="T1" s="445" t="s">
        <v>93</v>
      </c>
    </row>
    <row r="2" spans="1:20" ht="13.5" thickBot="1" x14ac:dyDescent="0.25">
      <c r="B2" s="1405" t="str">
        <f>Translations!$B$1133</f>
        <v>K. Kopsavilkums</v>
      </c>
      <c r="C2" s="1406"/>
      <c r="D2" s="1407"/>
      <c r="E2" s="786" t="str">
        <f>Translations!$B$2</f>
        <v>Navigācijas josla:</v>
      </c>
      <c r="F2" s="787"/>
      <c r="G2" s="1388" t="str">
        <f>Translations!$B$18</f>
        <v>Saturs</v>
      </c>
      <c r="H2" s="7"/>
      <c r="I2" s="7" t="str">
        <f>Translations!$B$19</f>
        <v>Iepriekšējā lapa</v>
      </c>
      <c r="J2" s="7"/>
      <c r="K2" s="1942"/>
      <c r="L2" s="1942"/>
      <c r="M2" s="7"/>
      <c r="N2" s="7"/>
      <c r="O2" s="25"/>
      <c r="P2" s="26"/>
      <c r="Q2" s="26"/>
      <c r="R2" s="26"/>
      <c r="S2" s="26"/>
      <c r="T2" s="26"/>
    </row>
    <row r="3" spans="1:20" ht="13.5" thickBot="1" x14ac:dyDescent="0.25">
      <c r="B3" s="1408"/>
      <c r="C3" s="1409"/>
      <c r="D3" s="1410"/>
      <c r="E3" s="7" t="str">
        <f>Translations!$B$5</f>
        <v>Lapas sākums</v>
      </c>
      <c r="F3" s="1392"/>
      <c r="G3" s="1414" t="str">
        <f>Translations!$B$1134</f>
        <v>Dati par iekārtu</v>
      </c>
      <c r="H3" s="1393"/>
      <c r="I3" s="1393" t="str">
        <f>Translations!$B$1135</f>
        <v>Bāzlīnijas periods un tiesības uz bezmaksas kvotu iedali</v>
      </c>
      <c r="J3" s="1393"/>
      <c r="K3" s="1393" t="str">
        <f>Translations!$B$1136</f>
        <v>Emisijas un enerģijas plūsmas</v>
      </c>
      <c r="L3" s="1393"/>
      <c r="M3" s="1393" t="str">
        <f>Translations!$B$1137</f>
        <v>Dati par apakšiekārtu</v>
      </c>
      <c r="N3" s="1393"/>
      <c r="O3" s="38"/>
      <c r="P3" s="26"/>
      <c r="Q3" s="26"/>
      <c r="R3" s="26"/>
      <c r="S3" s="26"/>
      <c r="T3" s="26"/>
    </row>
    <row r="4" spans="1:20" ht="13.5" thickBot="1" x14ac:dyDescent="0.25">
      <c r="B4" s="1411"/>
      <c r="C4" s="1412"/>
      <c r="D4" s="1413"/>
      <c r="E4" s="7" t="str">
        <f>Translations!$B$6</f>
        <v>Lapas beigas</v>
      </c>
      <c r="F4" s="7"/>
      <c r="G4" s="1394" t="str">
        <f>Translations!$B$1138</f>
        <v>Provizoriskais iedales apjoms</v>
      </c>
      <c r="H4" s="1395"/>
      <c r="I4" s="1395"/>
      <c r="J4" s="1395"/>
      <c r="K4" s="1679"/>
      <c r="L4" s="1680"/>
      <c r="M4" s="1680"/>
      <c r="N4" s="1680"/>
      <c r="O4" s="38"/>
      <c r="P4" s="26"/>
      <c r="Q4" s="26"/>
      <c r="R4" s="26"/>
      <c r="S4" s="26"/>
      <c r="T4" s="26"/>
    </row>
    <row r="5" spans="1:20" x14ac:dyDescent="0.2">
      <c r="B5" s="21"/>
      <c r="C5" s="22"/>
      <c r="D5" s="23"/>
      <c r="E5" s="23"/>
      <c r="F5" s="24"/>
      <c r="G5" s="24"/>
      <c r="H5" s="24"/>
      <c r="I5" s="21"/>
      <c r="J5" s="21"/>
      <c r="K5" s="21"/>
      <c r="L5" s="21"/>
      <c r="M5" s="25"/>
      <c r="N5" s="25"/>
      <c r="O5" s="25"/>
      <c r="P5" s="26"/>
      <c r="Q5" s="26"/>
      <c r="R5" s="26"/>
      <c r="S5" s="26"/>
      <c r="T5" s="26"/>
    </row>
    <row r="6" spans="1:20" ht="23.25" customHeight="1" x14ac:dyDescent="0.2">
      <c r="B6" s="21"/>
      <c r="C6" s="27" t="s">
        <v>91</v>
      </c>
      <c r="D6" s="27" t="str">
        <f>Translations!$B$1139</f>
        <v>Lapa “Summary” — PĀRSKATS PAR SVARĪGĀKAJIEM DATIEM</v>
      </c>
      <c r="E6" s="27"/>
      <c r="F6" s="27"/>
      <c r="G6" s="27"/>
      <c r="H6" s="27"/>
      <c r="I6" s="27"/>
      <c r="J6" s="27"/>
      <c r="K6" s="27"/>
      <c r="L6" s="27"/>
      <c r="M6" s="801"/>
      <c r="N6" s="25"/>
      <c r="O6" s="25"/>
      <c r="P6" s="28" t="s">
        <v>73</v>
      </c>
      <c r="Q6" s="28" t="s">
        <v>73</v>
      </c>
      <c r="R6" s="28" t="s">
        <v>73</v>
      </c>
      <c r="S6" s="28" t="s">
        <v>73</v>
      </c>
      <c r="T6" s="28" t="s">
        <v>73</v>
      </c>
    </row>
    <row r="7" spans="1:20" x14ac:dyDescent="0.2">
      <c r="B7" s="21"/>
      <c r="C7" s="21"/>
      <c r="D7" s="21"/>
      <c r="E7" s="21"/>
      <c r="F7" s="21"/>
      <c r="G7" s="21"/>
      <c r="H7" s="21"/>
      <c r="I7" s="21"/>
      <c r="J7" s="21"/>
      <c r="K7" s="21"/>
      <c r="L7" s="21"/>
      <c r="M7" s="25"/>
      <c r="N7" s="25"/>
      <c r="O7" s="25"/>
      <c r="P7" s="29" t="s">
        <v>265</v>
      </c>
      <c r="Q7" s="29" t="s">
        <v>265</v>
      </c>
      <c r="R7" s="29" t="s">
        <v>265</v>
      </c>
      <c r="S7" s="29" t="s">
        <v>265</v>
      </c>
      <c r="T7" s="29" t="s">
        <v>265</v>
      </c>
    </row>
    <row r="8" spans="1:20" ht="15.75" x14ac:dyDescent="0.25">
      <c r="B8" s="21"/>
      <c r="C8" s="30" t="s">
        <v>391</v>
      </c>
      <c r="D8" s="31" t="str">
        <f>Translations!$B$1134</f>
        <v>Dati par iekārtu</v>
      </c>
      <c r="E8" s="31"/>
      <c r="F8" s="31"/>
      <c r="G8" s="31"/>
      <c r="H8" s="31"/>
      <c r="I8" s="31"/>
      <c r="J8" s="31"/>
      <c r="K8" s="31"/>
      <c r="L8" s="31"/>
      <c r="M8" s="31"/>
      <c r="N8" s="31"/>
      <c r="O8" s="25"/>
      <c r="P8" s="26"/>
      <c r="Q8" s="26"/>
      <c r="R8" s="26"/>
      <c r="S8" s="26"/>
      <c r="T8" s="26"/>
    </row>
    <row r="9" spans="1:20" ht="5.0999999999999996" customHeight="1" x14ac:dyDescent="0.2">
      <c r="B9" s="21"/>
      <c r="C9" s="21"/>
      <c r="D9" s="21"/>
      <c r="E9" s="21"/>
      <c r="F9" s="21"/>
      <c r="G9" s="21"/>
      <c r="H9" s="21"/>
      <c r="I9" s="21"/>
      <c r="J9" s="21"/>
      <c r="K9" s="21"/>
      <c r="L9" s="21"/>
      <c r="M9" s="25"/>
      <c r="N9" s="25"/>
      <c r="O9" s="25"/>
      <c r="P9" s="26"/>
      <c r="Q9" s="26"/>
      <c r="R9" s="26"/>
      <c r="S9" s="26"/>
      <c r="T9" s="26"/>
    </row>
    <row r="10" spans="1:20" ht="15" customHeight="1" x14ac:dyDescent="0.25">
      <c r="B10" s="38"/>
      <c r="C10" s="36">
        <v>1</v>
      </c>
      <c r="D10" s="1318" t="str">
        <f>Translations!$B$1140</f>
        <v>Vispārīga informācija (A lapas I sadaļa):</v>
      </c>
      <c r="E10" s="1251"/>
      <c r="F10" s="1251"/>
      <c r="G10" s="1251"/>
      <c r="H10" s="1251"/>
      <c r="I10" s="1251"/>
      <c r="J10" s="1251"/>
      <c r="K10" s="1251"/>
      <c r="L10" s="1251"/>
      <c r="M10" s="1251"/>
      <c r="N10" s="1251"/>
      <c r="O10" s="25"/>
      <c r="P10" s="445"/>
      <c r="Q10" s="445"/>
      <c r="R10" s="445"/>
      <c r="S10" s="445"/>
      <c r="T10" s="445"/>
    </row>
    <row r="11" spans="1:20" s="697" customFormat="1" ht="5.0999999999999996" customHeight="1" x14ac:dyDescent="0.2">
      <c r="A11" s="437"/>
      <c r="B11" s="414"/>
      <c r="C11" s="414"/>
      <c r="D11" s="414"/>
      <c r="E11" s="440"/>
      <c r="F11" s="440"/>
      <c r="G11" s="440"/>
      <c r="H11" s="440"/>
      <c r="I11" s="440"/>
      <c r="J11" s="440"/>
      <c r="K11" s="440"/>
      <c r="L11" s="440"/>
      <c r="M11" s="440"/>
      <c r="N11" s="414"/>
      <c r="O11" s="25"/>
      <c r="P11" s="437"/>
      <c r="Q11" s="437"/>
      <c r="R11" s="437"/>
      <c r="S11" s="437"/>
      <c r="T11" s="26"/>
    </row>
    <row r="12" spans="1:20" s="697" customFormat="1" x14ac:dyDescent="0.2">
      <c r="A12" s="437"/>
      <c r="B12" s="414"/>
      <c r="C12" s="414"/>
      <c r="D12" s="414"/>
      <c r="E12" s="413" t="str">
        <f>Translations!$B$1141</f>
        <v>Iekārtas identifikators:</v>
      </c>
      <c r="F12" s="440"/>
      <c r="G12" s="440"/>
      <c r="H12" s="1915" t="str">
        <f>CNTR_UniqueID</f>
        <v/>
      </c>
      <c r="I12" s="1915"/>
      <c r="J12" s="440"/>
      <c r="K12" s="547" t="str">
        <f>Translations!$B$1142</f>
        <v>Dalībvalsts:</v>
      </c>
      <c r="M12" s="1916" t="str">
        <f>IF(ISBLANK(A_InstallationData!J15),"",A_InstallationData!J15)</f>
        <v/>
      </c>
      <c r="N12" s="1917"/>
      <c r="O12" s="25"/>
      <c r="P12" s="437"/>
      <c r="Q12" s="437"/>
      <c r="R12" s="437"/>
      <c r="S12" s="437"/>
      <c r="T12" s="26"/>
    </row>
    <row r="13" spans="1:20" s="697" customFormat="1" x14ac:dyDescent="0.2">
      <c r="A13" s="437"/>
      <c r="B13" s="414"/>
      <c r="C13" s="414"/>
      <c r="D13" s="414"/>
      <c r="E13" s="413" t="str">
        <f>Translations!$B$86</f>
        <v>Iekārtas nosaukums:</v>
      </c>
      <c r="F13" s="440"/>
      <c r="G13" s="440"/>
      <c r="H13" s="1918" t="str">
        <f>IF(ISBLANK(A_InstallationData!J12),"",A_InstallationData!J12)</f>
        <v/>
      </c>
      <c r="I13" s="1919"/>
      <c r="J13" s="1919"/>
      <c r="K13" s="1919"/>
      <c r="L13" s="1919"/>
      <c r="M13" s="440"/>
      <c r="N13" s="414"/>
      <c r="O13" s="25"/>
      <c r="P13" s="437"/>
      <c r="Q13" s="437"/>
      <c r="R13" s="437"/>
      <c r="S13" s="437"/>
      <c r="T13" s="26"/>
    </row>
    <row r="14" spans="1:20" s="697" customFormat="1" x14ac:dyDescent="0.2">
      <c r="A14" s="437"/>
      <c r="B14" s="414"/>
      <c r="C14" s="414"/>
      <c r="D14" s="414"/>
      <c r="E14" s="413" t="str">
        <f>Translations!$B$118</f>
        <v>Operatora nosaukums:</v>
      </c>
      <c r="F14" s="440"/>
      <c r="G14" s="440"/>
      <c r="H14" s="1918" t="str">
        <f>IF(ISBLANK(A_InstallationData!J58),"",A_InstallationData!J58)</f>
        <v/>
      </c>
      <c r="I14" s="1919"/>
      <c r="J14" s="1919"/>
      <c r="K14" s="1919"/>
      <c r="L14" s="1919"/>
      <c r="M14" s="440"/>
      <c r="N14" s="414"/>
      <c r="O14" s="25"/>
      <c r="P14" s="437"/>
      <c r="Q14" s="437"/>
      <c r="R14" s="437"/>
      <c r="S14" s="437"/>
      <c r="T14" s="26"/>
    </row>
    <row r="15" spans="1:20" s="697" customFormat="1" x14ac:dyDescent="0.2">
      <c r="A15" s="437"/>
      <c r="B15" s="414"/>
      <c r="C15" s="414"/>
      <c r="D15" s="414"/>
      <c r="E15" s="62" t="str">
        <f>Translations!$B$1143</f>
        <v>Verificētājs (uzņēmums):</v>
      </c>
      <c r="F15" s="440"/>
      <c r="G15" s="440"/>
      <c r="H15" s="1918" t="str">
        <f>IF(ISBLANK(A_InstallationData!J92),"",A_InstallationData!J92)</f>
        <v/>
      </c>
      <c r="I15" s="1919"/>
      <c r="J15" s="1919"/>
      <c r="K15" s="1919"/>
      <c r="L15" s="1919"/>
      <c r="M15" s="440"/>
      <c r="N15" s="414"/>
      <c r="O15" s="25"/>
      <c r="P15" s="437"/>
      <c r="Q15" s="437"/>
      <c r="R15" s="437"/>
      <c r="S15" s="437"/>
      <c r="T15" s="26"/>
    </row>
    <row r="16" spans="1:20" s="697" customFormat="1" ht="5.0999999999999996" customHeight="1" x14ac:dyDescent="0.2">
      <c r="A16" s="437"/>
      <c r="B16" s="414"/>
      <c r="C16" s="414"/>
      <c r="D16" s="414"/>
      <c r="E16" s="413"/>
      <c r="F16" s="440"/>
      <c r="G16" s="440"/>
      <c r="H16" s="232"/>
      <c r="I16" s="440"/>
      <c r="J16" s="440"/>
      <c r="K16" s="440"/>
      <c r="L16" s="440"/>
      <c r="M16" s="440"/>
      <c r="N16" s="414"/>
      <c r="O16" s="25"/>
      <c r="P16" s="437"/>
      <c r="Q16" s="437"/>
      <c r="R16" s="437"/>
      <c r="S16" s="437"/>
      <c r="T16" s="26"/>
    </row>
    <row r="17" spans="1:20" s="697" customFormat="1" x14ac:dyDescent="0.2">
      <c r="A17" s="437"/>
      <c r="B17" s="414"/>
      <c r="C17" s="414"/>
      <c r="D17" s="414"/>
      <c r="E17" s="413" t="str">
        <f>Translations!$B$1144</f>
        <v>Iepriekš bijusi iekļauta ETS:</v>
      </c>
      <c r="F17" s="440"/>
      <c r="G17" s="440"/>
      <c r="H17" s="1207" t="str">
        <f>IF(ISBLANK(A_InstallationData!J18),"",A_InstallationData!J18)</f>
        <v/>
      </c>
      <c r="I17" s="440"/>
      <c r="J17" s="440"/>
      <c r="K17" s="547" t="str">
        <f>Translations!$B$1145</f>
        <v>Mazs emitētājs (27. pants):</v>
      </c>
      <c r="L17" s="440"/>
      <c r="M17" s="803" t="str">
        <f>IF(ISBLANK(A_InstallationData!M141),"",A_InstallationData!M141)</f>
        <v/>
      </c>
      <c r="N17" s="414"/>
      <c r="O17" s="25"/>
      <c r="P17" s="437"/>
      <c r="Q17" s="437"/>
      <c r="R17" s="437"/>
      <c r="S17" s="437"/>
      <c r="T17" s="26"/>
    </row>
    <row r="18" spans="1:20" s="697" customFormat="1" x14ac:dyDescent="0.2">
      <c r="A18" s="437"/>
      <c r="B18" s="414"/>
      <c r="C18" s="414"/>
      <c r="D18" s="414"/>
      <c r="E18" s="62" t="str">
        <f>Translations!$B$1146</f>
        <v>Pastāvoša iekārta:</v>
      </c>
      <c r="F18" s="440"/>
      <c r="G18" s="440"/>
      <c r="H18" s="1207" t="str">
        <f>IF(ISBLANK(A_InstallationData!J50),"",A_InstallationData!J50)</f>
        <v/>
      </c>
      <c r="I18" s="440"/>
      <c r="J18" s="440"/>
      <c r="K18" s="547" t="str">
        <f>Translations!$B$1147</f>
        <v>Slimnīca:</v>
      </c>
      <c r="L18" s="440"/>
      <c r="M18" s="803" t="str">
        <f>IF(ISBLANK(A_InstallationData!M143),"",A_InstallationData!M143)</f>
        <v/>
      </c>
      <c r="N18" s="414"/>
      <c r="O18" s="25"/>
      <c r="P18" s="437"/>
      <c r="Q18" s="437"/>
      <c r="R18" s="437"/>
      <c r="S18" s="437"/>
      <c r="T18" s="26"/>
    </row>
    <row r="19" spans="1:20" s="697" customFormat="1" x14ac:dyDescent="0.2">
      <c r="A19" s="437"/>
      <c r="B19" s="414"/>
      <c r="C19" s="414"/>
      <c r="D19" s="414"/>
      <c r="E19" s="413" t="str">
        <f>Translations!$B$1148</f>
        <v>Sākuma datums:</v>
      </c>
      <c r="F19" s="440"/>
      <c r="G19" s="440"/>
      <c r="H19" s="1207" t="str">
        <f>IF(ISBLANK(A_InstallationData!J47),"",A_InstallationData!J47)</f>
        <v/>
      </c>
      <c r="I19" s="440"/>
      <c r="J19" s="440"/>
      <c r="K19" s="547" t="str">
        <f>Translations!$B$1149</f>
        <v>Mazs emitētājs (27.a pants):</v>
      </c>
      <c r="L19" s="440"/>
      <c r="M19" s="803" t="str">
        <f>IF(ISBLANK(A_InstallationData!M153),"",A_InstallationData!M153)</f>
        <v/>
      </c>
      <c r="N19" s="414"/>
      <c r="O19" s="25"/>
      <c r="P19" s="437"/>
      <c r="Q19" s="437"/>
      <c r="R19" s="437"/>
      <c r="S19" s="437"/>
      <c r="T19" s="26"/>
    </row>
    <row r="20" spans="1:20" s="697" customFormat="1" x14ac:dyDescent="0.2">
      <c r="A20" s="437"/>
      <c r="B20" s="414"/>
      <c r="C20" s="414"/>
      <c r="D20" s="414"/>
      <c r="E20" s="413"/>
      <c r="F20" s="440"/>
      <c r="G20" s="440"/>
      <c r="H20" s="232"/>
      <c r="I20" s="440"/>
      <c r="J20" s="440"/>
      <c r="K20" s="547" t="str">
        <f>Translations!$B$1150</f>
        <v>Bloki, &lt; 300 h:</v>
      </c>
      <c r="L20" s="440"/>
      <c r="M20" s="803" t="str">
        <f>IF(ISBLANK(A_InstallationData!M155),"",A_InstallationData!M155)</f>
        <v/>
      </c>
      <c r="N20" s="414"/>
      <c r="O20" s="25"/>
      <c r="P20" s="437"/>
      <c r="Q20" s="437"/>
      <c r="R20" s="437"/>
      <c r="S20" s="437"/>
      <c r="T20" s="26"/>
    </row>
    <row r="21" spans="1:20" s="697" customFormat="1" x14ac:dyDescent="0.2">
      <c r="A21" s="437"/>
      <c r="B21" s="414"/>
      <c r="C21" s="414"/>
      <c r="D21" s="414"/>
      <c r="E21" s="413" t="str">
        <f>Translations!$B$1151</f>
        <v>NACE kods 2010. g. (NACE 2. red.):</v>
      </c>
      <c r="F21" s="440"/>
      <c r="G21" s="440"/>
      <c r="H21" s="1207" t="str">
        <f>IF(ISBLANK(CNTR_NACEInstallation),"",CNTR_NACEInstallation)</f>
        <v/>
      </c>
      <c r="I21" s="440"/>
      <c r="J21" s="440"/>
      <c r="K21" s="547" t="str">
        <f>Translations!$B$1152</f>
        <v>EPRTR ID:</v>
      </c>
      <c r="L21" s="440"/>
      <c r="M21" s="803" t="str">
        <f>IF(ISBLANK(A_InstallationData!L131),"",A_InstallationData!L131)</f>
        <v/>
      </c>
      <c r="N21" s="414"/>
      <c r="O21" s="25"/>
      <c r="P21" s="437"/>
      <c r="Q21" s="437"/>
      <c r="R21" s="437"/>
      <c r="S21" s="437"/>
      <c r="T21" s="26"/>
    </row>
    <row r="22" spans="1:20" s="697" customFormat="1" ht="5.0999999999999996" customHeight="1" x14ac:dyDescent="0.2">
      <c r="A22" s="437"/>
      <c r="B22" s="414"/>
      <c r="C22" s="414"/>
      <c r="D22" s="414"/>
      <c r="I22" s="440"/>
      <c r="J22" s="440"/>
      <c r="K22" s="440"/>
      <c r="L22" s="440"/>
      <c r="M22" s="440"/>
      <c r="N22" s="414"/>
      <c r="O22" s="25"/>
      <c r="P22" s="437"/>
      <c r="Q22" s="437"/>
      <c r="R22" s="437"/>
      <c r="S22" s="437"/>
      <c r="T22" s="26"/>
    </row>
    <row r="23" spans="1:20" s="697" customFormat="1" x14ac:dyDescent="0.2">
      <c r="A23" s="437"/>
      <c r="B23" s="414"/>
      <c r="C23" s="414"/>
      <c r="D23" s="370"/>
      <c r="E23" s="413" t="str">
        <f>Translations!$B$146</f>
        <v>Darbības saskaņā ar ES ETS direktīvas I pielikumu:</v>
      </c>
      <c r="F23" s="414"/>
      <c r="G23" s="414"/>
      <c r="H23" s="225"/>
      <c r="I23" s="225"/>
      <c r="J23" s="225"/>
      <c r="K23" s="225"/>
      <c r="L23" s="414"/>
      <c r="M23" s="1939" t="str">
        <f>Translations!$B$1712</f>
        <v>Nominālā ievadītā siltumjauda (MW)</v>
      </c>
      <c r="N23" s="1940"/>
      <c r="O23" s="25"/>
      <c r="P23" s="437"/>
      <c r="Q23" s="437"/>
      <c r="R23" s="437"/>
      <c r="S23" s="437"/>
      <c r="T23" s="437"/>
    </row>
    <row r="24" spans="1:20" s="697" customFormat="1" x14ac:dyDescent="0.2">
      <c r="A24" s="437"/>
      <c r="B24" s="414"/>
      <c r="C24" s="414"/>
      <c r="D24" s="62"/>
      <c r="E24" s="804" t="s">
        <v>541</v>
      </c>
      <c r="F24" s="1923" t="str">
        <f>IF(ISBLANK(A_InstallationData!F116),"",A_InstallationData!F116)</f>
        <v/>
      </c>
      <c r="G24" s="1941"/>
      <c r="H24" s="1941"/>
      <c r="I24" s="1941"/>
      <c r="J24" s="1941"/>
      <c r="K24" s="1941"/>
      <c r="L24" s="1941"/>
      <c r="M24" s="1913" t="str">
        <f>IF(ISBLANK(A_InstallationData!M116),"",A_InstallationData!M116)</f>
        <v/>
      </c>
      <c r="N24" s="1914"/>
      <c r="O24" s="25"/>
      <c r="P24" s="437"/>
      <c r="Q24" s="437"/>
      <c r="R24" s="437"/>
      <c r="S24" s="437"/>
      <c r="T24" s="437"/>
    </row>
    <row r="25" spans="1:20" s="697" customFormat="1" x14ac:dyDescent="0.2">
      <c r="A25" s="437"/>
      <c r="B25" s="414"/>
      <c r="C25" s="414"/>
      <c r="D25" s="370"/>
      <c r="E25" s="804" t="s">
        <v>542</v>
      </c>
      <c r="F25" s="1923" t="str">
        <f>IF(ISBLANK(A_InstallationData!F117),"",A_InstallationData!F117)</f>
        <v/>
      </c>
      <c r="G25" s="1255"/>
      <c r="H25" s="1255"/>
      <c r="I25" s="1255"/>
      <c r="J25" s="1255"/>
      <c r="K25" s="1255"/>
      <c r="L25" s="1255"/>
      <c r="M25" s="1913" t="str">
        <f>IF(ISBLANK(A_InstallationData!M117),"",A_InstallationData!M117)</f>
        <v/>
      </c>
      <c r="N25" s="1914"/>
      <c r="O25" s="25"/>
      <c r="P25" s="437"/>
      <c r="Q25" s="437"/>
      <c r="R25" s="437"/>
      <c r="S25" s="437"/>
      <c r="T25" s="437"/>
    </row>
    <row r="26" spans="1:20" s="697" customFormat="1" x14ac:dyDescent="0.2">
      <c r="A26" s="437"/>
      <c r="B26" s="414"/>
      <c r="C26" s="414"/>
      <c r="D26" s="805"/>
      <c r="E26" s="804" t="s">
        <v>543</v>
      </c>
      <c r="F26" s="1923" t="str">
        <f>IF(ISBLANK(A_InstallationData!F118),"",A_InstallationData!F118)</f>
        <v/>
      </c>
      <c r="G26" s="1255"/>
      <c r="H26" s="1255"/>
      <c r="I26" s="1255"/>
      <c r="J26" s="1255"/>
      <c r="K26" s="1255"/>
      <c r="L26" s="1255"/>
      <c r="M26" s="1913" t="str">
        <f>IF(ISBLANK(A_InstallationData!M118),"",A_InstallationData!M118)</f>
        <v/>
      </c>
      <c r="N26" s="1914"/>
      <c r="O26" s="25"/>
      <c r="P26" s="437"/>
      <c r="Q26" s="437"/>
      <c r="R26" s="437"/>
      <c r="S26" s="437"/>
      <c r="T26" s="437"/>
    </row>
    <row r="27" spans="1:20" s="697" customFormat="1" x14ac:dyDescent="0.2">
      <c r="A27" s="437"/>
      <c r="B27" s="414"/>
      <c r="C27" s="414"/>
      <c r="D27" s="805"/>
      <c r="E27" s="804" t="s">
        <v>544</v>
      </c>
      <c r="F27" s="1923" t="str">
        <f>IF(ISBLANK(A_InstallationData!F119),"",A_InstallationData!F119)</f>
        <v/>
      </c>
      <c r="G27" s="1255"/>
      <c r="H27" s="1255"/>
      <c r="I27" s="1255"/>
      <c r="J27" s="1255"/>
      <c r="K27" s="1255"/>
      <c r="L27" s="1255"/>
      <c r="M27" s="1913" t="str">
        <f>IF(ISBLANK(A_InstallationData!M119),"",A_InstallationData!M119)</f>
        <v/>
      </c>
      <c r="N27" s="1914"/>
      <c r="O27" s="25"/>
      <c r="P27" s="437"/>
      <c r="Q27" s="437"/>
      <c r="R27" s="437"/>
      <c r="S27" s="437"/>
      <c r="T27" s="437"/>
    </row>
    <row r="28" spans="1:20" s="697" customFormat="1" x14ac:dyDescent="0.2">
      <c r="A28" s="437"/>
      <c r="B28" s="414"/>
      <c r="C28" s="414"/>
      <c r="D28" s="805"/>
      <c r="E28" s="804" t="s">
        <v>545</v>
      </c>
      <c r="F28" s="1923" t="str">
        <f>IF(ISBLANK(A_InstallationData!F120),"",A_InstallationData!F120)</f>
        <v/>
      </c>
      <c r="G28" s="1255"/>
      <c r="H28" s="1255"/>
      <c r="I28" s="1255"/>
      <c r="J28" s="1255"/>
      <c r="K28" s="1255"/>
      <c r="L28" s="1255"/>
      <c r="M28" s="1913" t="str">
        <f>IF(ISBLANK(A_InstallationData!M120),"",A_InstallationData!M120)</f>
        <v/>
      </c>
      <c r="N28" s="1914"/>
      <c r="O28" s="25"/>
      <c r="P28" s="437"/>
      <c r="Q28" s="437"/>
      <c r="R28" s="437"/>
      <c r="S28" s="437"/>
      <c r="T28" s="437"/>
    </row>
    <row r="29" spans="1:20" s="697" customFormat="1" x14ac:dyDescent="0.2">
      <c r="A29" s="437"/>
      <c r="B29" s="414"/>
      <c r="C29" s="414"/>
      <c r="D29" s="414"/>
      <c r="E29" s="804" t="s">
        <v>546</v>
      </c>
      <c r="F29" s="1923" t="str">
        <f>IF(ISBLANK(A_InstallationData!F121),"",A_InstallationData!F121)</f>
        <v/>
      </c>
      <c r="G29" s="1255"/>
      <c r="H29" s="1255"/>
      <c r="I29" s="1255"/>
      <c r="J29" s="1255"/>
      <c r="K29" s="1255"/>
      <c r="L29" s="1255"/>
      <c r="M29" s="1913" t="str">
        <f>IF(ISBLANK(A_InstallationData!M121),"",A_InstallationData!M121)</f>
        <v/>
      </c>
      <c r="N29" s="1914"/>
      <c r="O29" s="25"/>
      <c r="P29" s="437"/>
      <c r="Q29" s="437"/>
      <c r="R29" s="437"/>
      <c r="S29" s="437"/>
      <c r="T29" s="26"/>
    </row>
    <row r="30" spans="1:20" s="697" customFormat="1" ht="5.0999999999999996" customHeight="1" x14ac:dyDescent="0.2">
      <c r="A30" s="437"/>
      <c r="B30" s="414"/>
      <c r="C30" s="414"/>
      <c r="D30" s="414"/>
      <c r="E30" s="440"/>
      <c r="F30" s="440"/>
      <c r="G30" s="440"/>
      <c r="H30" s="440"/>
      <c r="I30" s="440"/>
      <c r="J30" s="440"/>
      <c r="K30" s="440"/>
      <c r="L30" s="440"/>
      <c r="M30" s="440"/>
      <c r="N30" s="414"/>
      <c r="O30" s="25"/>
      <c r="P30" s="437"/>
      <c r="Q30" s="437"/>
      <c r="R30" s="437"/>
      <c r="S30" s="437"/>
      <c r="T30" s="26"/>
    </row>
    <row r="31" spans="1:20" s="697" customFormat="1" ht="15" x14ac:dyDescent="0.25">
      <c r="A31" s="437"/>
      <c r="B31" s="414"/>
      <c r="C31" s="36">
        <v>2</v>
      </c>
      <c r="D31" s="1318" t="str">
        <f>Translations!$B$1153</f>
        <v>Tehniskie savienojumi (A lapas IV sadaļa):</v>
      </c>
      <c r="E31" s="1251"/>
      <c r="F31" s="1251"/>
      <c r="G31" s="1251"/>
      <c r="H31" s="1251"/>
      <c r="I31" s="1251"/>
      <c r="J31" s="1251"/>
      <c r="K31" s="1251"/>
      <c r="L31" s="1251"/>
      <c r="M31" s="1251"/>
      <c r="N31" s="1251"/>
      <c r="O31" s="25"/>
      <c r="P31" s="437"/>
      <c r="Q31" s="437"/>
      <c r="R31" s="437"/>
      <c r="S31" s="437"/>
      <c r="T31" s="26"/>
    </row>
    <row r="32" spans="1:20" s="697" customFormat="1" x14ac:dyDescent="0.2">
      <c r="A32" s="437"/>
      <c r="B32" s="414"/>
      <c r="C32" s="414"/>
      <c r="D32" s="414"/>
      <c r="E32" s="1324" t="str">
        <f>Translations!$B$1154</f>
        <v>Savienojuma nosaukums</v>
      </c>
      <c r="F32" s="1711"/>
      <c r="G32" s="1711"/>
      <c r="H32" s="1322"/>
      <c r="I32" s="1324" t="str">
        <f>Translations!$B$1155</f>
        <v>EUTL identifikators (attiecīgā gadījumā)</v>
      </c>
      <c r="J32" s="1711"/>
      <c r="K32" s="1322"/>
      <c r="L32" s="1324" t="str">
        <f>Translations!$B$1156</f>
        <v>Vienības veids</v>
      </c>
      <c r="M32" s="1711"/>
      <c r="N32" s="1711"/>
      <c r="O32" s="25"/>
      <c r="P32" s="437"/>
      <c r="Q32" s="437"/>
      <c r="R32" s="437"/>
      <c r="S32" s="437"/>
      <c r="T32" s="26"/>
    </row>
    <row r="33" spans="1:20" s="697" customFormat="1" x14ac:dyDescent="0.2">
      <c r="A33" s="437"/>
      <c r="B33" s="414"/>
      <c r="C33" s="414"/>
      <c r="D33" s="414">
        <v>1</v>
      </c>
      <c r="E33" s="1920" t="str">
        <f t="shared" ref="E33:E42" si="0">IF(INDEX(CNTR_ConnectionEntityList,$D33)=EUconst_NA,"",INDEX(CNTR_ConnectionEntityList,$D33))</f>
        <v/>
      </c>
      <c r="F33" s="1921"/>
      <c r="G33" s="1921"/>
      <c r="H33" s="1922"/>
      <c r="I33" s="1923" t="str">
        <f t="shared" ref="I33:I42" si="1">INDEX(CNTR_ConnectionEntityListCITL_IDs,$D33)</f>
        <v/>
      </c>
      <c r="J33" s="1924"/>
      <c r="K33" s="1925"/>
      <c r="L33" s="1920" t="str">
        <f t="shared" ref="L33:L42" si="2">INDEX(CNTR_ConnectionEntityListTypes,$D33)</f>
        <v/>
      </c>
      <c r="M33" s="1689"/>
      <c r="N33" s="1926"/>
      <c r="O33" s="25"/>
      <c r="P33" s="437"/>
      <c r="Q33" s="437"/>
      <c r="R33" s="437"/>
      <c r="S33" s="437"/>
      <c r="T33" s="26"/>
    </row>
    <row r="34" spans="1:20" s="697" customFormat="1" x14ac:dyDescent="0.2">
      <c r="A34" s="437"/>
      <c r="B34" s="414"/>
      <c r="C34" s="414"/>
      <c r="D34" s="414">
        <v>2</v>
      </c>
      <c r="E34" s="1920" t="str">
        <f t="shared" si="0"/>
        <v/>
      </c>
      <c r="F34" s="1921"/>
      <c r="G34" s="1921"/>
      <c r="H34" s="1922"/>
      <c r="I34" s="1923" t="str">
        <f t="shared" si="1"/>
        <v/>
      </c>
      <c r="J34" s="1924"/>
      <c r="K34" s="1925"/>
      <c r="L34" s="1920" t="str">
        <f t="shared" si="2"/>
        <v/>
      </c>
      <c r="M34" s="1689"/>
      <c r="N34" s="1926"/>
      <c r="O34" s="25"/>
      <c r="P34" s="437"/>
      <c r="Q34" s="437"/>
      <c r="R34" s="437"/>
      <c r="S34" s="437"/>
      <c r="T34" s="26"/>
    </row>
    <row r="35" spans="1:20" s="697" customFormat="1" x14ac:dyDescent="0.2">
      <c r="A35" s="437"/>
      <c r="B35" s="414"/>
      <c r="C35" s="414"/>
      <c r="D35" s="414">
        <v>3</v>
      </c>
      <c r="E35" s="1920" t="str">
        <f t="shared" si="0"/>
        <v/>
      </c>
      <c r="F35" s="1921"/>
      <c r="G35" s="1921"/>
      <c r="H35" s="1922"/>
      <c r="I35" s="1923" t="str">
        <f t="shared" si="1"/>
        <v/>
      </c>
      <c r="J35" s="1924"/>
      <c r="K35" s="1925"/>
      <c r="L35" s="1920" t="str">
        <f t="shared" si="2"/>
        <v/>
      </c>
      <c r="M35" s="1689"/>
      <c r="N35" s="1926"/>
      <c r="O35" s="25"/>
      <c r="P35" s="437"/>
      <c r="Q35" s="437"/>
      <c r="R35" s="437"/>
      <c r="S35" s="437"/>
      <c r="T35" s="26"/>
    </row>
    <row r="36" spans="1:20" s="697" customFormat="1" x14ac:dyDescent="0.2">
      <c r="A36" s="437"/>
      <c r="B36" s="414"/>
      <c r="C36" s="414"/>
      <c r="D36" s="414">
        <v>4</v>
      </c>
      <c r="E36" s="1920" t="str">
        <f t="shared" si="0"/>
        <v/>
      </c>
      <c r="F36" s="1921"/>
      <c r="G36" s="1921"/>
      <c r="H36" s="1922"/>
      <c r="I36" s="1923" t="str">
        <f t="shared" si="1"/>
        <v/>
      </c>
      <c r="J36" s="1924"/>
      <c r="K36" s="1925"/>
      <c r="L36" s="1920" t="str">
        <f t="shared" si="2"/>
        <v/>
      </c>
      <c r="M36" s="1689"/>
      <c r="N36" s="1926"/>
      <c r="O36" s="25"/>
      <c r="P36" s="437"/>
      <c r="Q36" s="437"/>
      <c r="R36" s="437"/>
      <c r="S36" s="437"/>
      <c r="T36" s="26"/>
    </row>
    <row r="37" spans="1:20" s="697" customFormat="1" x14ac:dyDescent="0.2">
      <c r="A37" s="437"/>
      <c r="B37" s="414"/>
      <c r="C37" s="414"/>
      <c r="D37" s="414">
        <v>5</v>
      </c>
      <c r="E37" s="1920" t="str">
        <f t="shared" si="0"/>
        <v/>
      </c>
      <c r="F37" s="1921"/>
      <c r="G37" s="1921"/>
      <c r="H37" s="1922"/>
      <c r="I37" s="1923" t="str">
        <f t="shared" si="1"/>
        <v/>
      </c>
      <c r="J37" s="1924"/>
      <c r="K37" s="1925"/>
      <c r="L37" s="1920" t="str">
        <f t="shared" si="2"/>
        <v/>
      </c>
      <c r="M37" s="1689"/>
      <c r="N37" s="1926"/>
      <c r="O37" s="25"/>
      <c r="P37" s="437"/>
      <c r="Q37" s="437"/>
      <c r="R37" s="437"/>
      <c r="S37" s="437"/>
      <c r="T37" s="26"/>
    </row>
    <row r="38" spans="1:20" s="697" customFormat="1" x14ac:dyDescent="0.2">
      <c r="A38" s="437"/>
      <c r="B38" s="414"/>
      <c r="C38" s="414"/>
      <c r="D38" s="414">
        <v>6</v>
      </c>
      <c r="E38" s="1920" t="str">
        <f t="shared" si="0"/>
        <v/>
      </c>
      <c r="F38" s="1921"/>
      <c r="G38" s="1921"/>
      <c r="H38" s="1922"/>
      <c r="I38" s="1923" t="str">
        <f t="shared" si="1"/>
        <v/>
      </c>
      <c r="J38" s="1924"/>
      <c r="K38" s="1925"/>
      <c r="L38" s="1920" t="str">
        <f t="shared" si="2"/>
        <v/>
      </c>
      <c r="M38" s="1689"/>
      <c r="N38" s="1926"/>
      <c r="O38" s="25"/>
      <c r="P38" s="437"/>
      <c r="Q38" s="437"/>
      <c r="R38" s="437"/>
      <c r="S38" s="437"/>
      <c r="T38" s="26"/>
    </row>
    <row r="39" spans="1:20" s="697" customFormat="1" x14ac:dyDescent="0.2">
      <c r="A39" s="437"/>
      <c r="B39" s="414"/>
      <c r="C39" s="414"/>
      <c r="D39" s="414">
        <v>7</v>
      </c>
      <c r="E39" s="1920" t="str">
        <f t="shared" si="0"/>
        <v/>
      </c>
      <c r="F39" s="1921"/>
      <c r="G39" s="1921"/>
      <c r="H39" s="1922"/>
      <c r="I39" s="1923" t="str">
        <f t="shared" si="1"/>
        <v/>
      </c>
      <c r="J39" s="1924"/>
      <c r="K39" s="1925"/>
      <c r="L39" s="1920" t="str">
        <f t="shared" si="2"/>
        <v/>
      </c>
      <c r="M39" s="1689"/>
      <c r="N39" s="1926"/>
      <c r="O39" s="25"/>
      <c r="P39" s="437"/>
      <c r="Q39" s="437"/>
      <c r="R39" s="437"/>
      <c r="S39" s="437"/>
      <c r="T39" s="26"/>
    </row>
    <row r="40" spans="1:20" s="697" customFormat="1" x14ac:dyDescent="0.2">
      <c r="A40" s="437"/>
      <c r="B40" s="414"/>
      <c r="C40" s="414"/>
      <c r="D40" s="414">
        <v>8</v>
      </c>
      <c r="E40" s="1920" t="str">
        <f t="shared" si="0"/>
        <v/>
      </c>
      <c r="F40" s="1921"/>
      <c r="G40" s="1921"/>
      <c r="H40" s="1922"/>
      <c r="I40" s="1923" t="str">
        <f t="shared" si="1"/>
        <v/>
      </c>
      <c r="J40" s="1924"/>
      <c r="K40" s="1925"/>
      <c r="L40" s="1920" t="str">
        <f t="shared" si="2"/>
        <v/>
      </c>
      <c r="M40" s="1689"/>
      <c r="N40" s="1926"/>
      <c r="O40" s="25"/>
      <c r="P40" s="437"/>
      <c r="Q40" s="437"/>
      <c r="R40" s="437"/>
      <c r="S40" s="437"/>
      <c r="T40" s="26"/>
    </row>
    <row r="41" spans="1:20" s="697" customFormat="1" x14ac:dyDescent="0.2">
      <c r="A41" s="437"/>
      <c r="B41" s="414"/>
      <c r="C41" s="414"/>
      <c r="D41" s="414">
        <v>9</v>
      </c>
      <c r="E41" s="1920" t="str">
        <f t="shared" si="0"/>
        <v/>
      </c>
      <c r="F41" s="1921"/>
      <c r="G41" s="1921"/>
      <c r="H41" s="1922"/>
      <c r="I41" s="1923" t="str">
        <f t="shared" si="1"/>
        <v/>
      </c>
      <c r="J41" s="1924"/>
      <c r="K41" s="1925"/>
      <c r="L41" s="1920" t="str">
        <f t="shared" si="2"/>
        <v/>
      </c>
      <c r="M41" s="1689"/>
      <c r="N41" s="1926"/>
      <c r="O41" s="25"/>
      <c r="P41" s="437"/>
      <c r="Q41" s="437"/>
      <c r="R41" s="437"/>
      <c r="S41" s="437"/>
      <c r="T41" s="26"/>
    </row>
    <row r="42" spans="1:20" s="697" customFormat="1" x14ac:dyDescent="0.2">
      <c r="A42" s="437"/>
      <c r="B42" s="414"/>
      <c r="C42" s="414"/>
      <c r="D42" s="414">
        <v>10</v>
      </c>
      <c r="E42" s="1920" t="str">
        <f t="shared" si="0"/>
        <v/>
      </c>
      <c r="F42" s="1921"/>
      <c r="G42" s="1921"/>
      <c r="H42" s="1922"/>
      <c r="I42" s="1923" t="str">
        <f t="shared" si="1"/>
        <v/>
      </c>
      <c r="J42" s="1924"/>
      <c r="K42" s="1925"/>
      <c r="L42" s="1920" t="str">
        <f t="shared" si="2"/>
        <v/>
      </c>
      <c r="M42" s="1689"/>
      <c r="N42" s="1926"/>
      <c r="O42" s="25"/>
      <c r="P42" s="437"/>
      <c r="Q42" s="437"/>
      <c r="R42" s="437"/>
      <c r="S42" s="437"/>
      <c r="T42" s="26"/>
    </row>
    <row r="43" spans="1:20" x14ac:dyDescent="0.2">
      <c r="B43" s="38"/>
      <c r="C43" s="38"/>
      <c r="D43" s="38"/>
      <c r="E43" s="38"/>
      <c r="F43" s="38"/>
      <c r="G43" s="38"/>
      <c r="H43" s="38"/>
      <c r="I43" s="38"/>
      <c r="J43" s="38"/>
      <c r="K43" s="38"/>
      <c r="L43" s="38"/>
      <c r="M43" s="38"/>
      <c r="N43" s="38"/>
      <c r="O43" s="25"/>
      <c r="P43" s="26"/>
      <c r="Q43" s="26"/>
      <c r="R43" s="26"/>
      <c r="S43" s="26"/>
      <c r="T43" s="26"/>
    </row>
    <row r="44" spans="1:20" ht="15.75" x14ac:dyDescent="0.25">
      <c r="B44" s="21"/>
      <c r="C44" s="30" t="s">
        <v>338</v>
      </c>
      <c r="D44" s="31" t="str">
        <f>Translations!$B$1157</f>
        <v>Bāzlīnijas periods un tiesības uz bezmaksas kvotu iedali</v>
      </c>
      <c r="E44" s="31"/>
      <c r="F44" s="31"/>
      <c r="G44" s="31"/>
      <c r="H44" s="31"/>
      <c r="I44" s="31"/>
      <c r="J44" s="31"/>
      <c r="K44" s="31"/>
      <c r="L44" s="31"/>
      <c r="M44" s="31"/>
      <c r="N44" s="31"/>
      <c r="O44" s="25"/>
      <c r="P44" s="26"/>
      <c r="Q44" s="26"/>
      <c r="R44" s="26"/>
      <c r="S44" s="26"/>
      <c r="T44" s="26"/>
    </row>
    <row r="45" spans="1:20" ht="5.0999999999999996" customHeight="1" x14ac:dyDescent="0.2">
      <c r="B45" s="38"/>
      <c r="C45" s="38"/>
      <c r="D45" s="38"/>
      <c r="E45" s="38"/>
      <c r="F45" s="38"/>
      <c r="G45" s="38"/>
      <c r="H45" s="38"/>
      <c r="I45" s="38"/>
      <c r="J45" s="38"/>
      <c r="K45" s="38"/>
      <c r="L45" s="38"/>
      <c r="M45" s="38"/>
      <c r="N45" s="38"/>
      <c r="O45" s="25"/>
      <c r="P45" s="26"/>
      <c r="Q45" s="26"/>
      <c r="R45" s="26"/>
      <c r="S45" s="26"/>
      <c r="T45" s="26"/>
    </row>
    <row r="46" spans="1:20" s="697" customFormat="1" ht="15" customHeight="1" x14ac:dyDescent="0.25">
      <c r="A46" s="437"/>
      <c r="B46" s="414"/>
      <c r="C46" s="36">
        <v>1</v>
      </c>
      <c r="D46" s="1930" t="str">
        <f>Translations!$B$1158</f>
        <v>Tiesības uz bezmaksas kvotu iedali (A lapas II sadaļas 1. punkts):</v>
      </c>
      <c r="E46" s="1930"/>
      <c r="F46" s="1930"/>
      <c r="G46" s="1930"/>
      <c r="H46" s="1930"/>
      <c r="I46" s="1930"/>
      <c r="J46" s="1930"/>
      <c r="K46" s="1930"/>
      <c r="L46" s="1930"/>
      <c r="M46" s="1930"/>
      <c r="N46" s="1930"/>
      <c r="O46" s="25"/>
      <c r="P46" s="437"/>
      <c r="Q46" s="437"/>
      <c r="R46" s="437"/>
      <c r="S46" s="437"/>
      <c r="T46" s="437"/>
    </row>
    <row r="47" spans="1:20" s="697" customFormat="1" ht="5.0999999999999996" customHeight="1" x14ac:dyDescent="0.2">
      <c r="A47" s="437"/>
      <c r="B47" s="21"/>
      <c r="C47" s="21"/>
      <c r="D47" s="21"/>
      <c r="E47" s="23"/>
      <c r="F47" s="23"/>
      <c r="G47" s="23"/>
      <c r="H47" s="23"/>
      <c r="I47" s="23"/>
      <c r="J47" s="23"/>
      <c r="K47" s="23"/>
      <c r="L47" s="23"/>
      <c r="M47" s="44"/>
      <c r="N47" s="44"/>
      <c r="O47" s="25"/>
      <c r="P47" s="26"/>
      <c r="Q47" s="199"/>
      <c r="R47" s="437"/>
      <c r="S47" s="437"/>
      <c r="T47" s="437"/>
    </row>
    <row r="48" spans="1:20" s="697" customFormat="1" ht="13.5" customHeight="1" thickBot="1" x14ac:dyDescent="0.25">
      <c r="A48" s="437"/>
      <c r="B48" s="414"/>
      <c r="C48" s="414"/>
      <c r="D48" s="414"/>
      <c r="E48" s="1973" t="str">
        <f>IF(ISBLANK(A_InstallationData!E181),EUconst_ERR_Mandatory_ef,A_InstallationData!E181)</f>
        <v>Obligāti jāapstiprina A lapas II sadaļas 1. punkts!</v>
      </c>
      <c r="F48" s="1973"/>
      <c r="G48" s="1973"/>
      <c r="H48" s="1973"/>
      <c r="I48" s="1973"/>
      <c r="J48" s="1973"/>
      <c r="K48" s="1973"/>
      <c r="L48" s="1973"/>
      <c r="M48" s="1973"/>
      <c r="N48" s="1973"/>
      <c r="O48" s="25"/>
      <c r="P48" s="437" t="s">
        <v>8</v>
      </c>
      <c r="Q48" s="437"/>
      <c r="R48" s="437"/>
      <c r="S48" s="437"/>
      <c r="T48" s="437"/>
    </row>
    <row r="49" spans="1:20" s="697" customFormat="1" ht="13.5" thickBot="1" x14ac:dyDescent="0.25">
      <c r="A49" s="437"/>
      <c r="B49" s="414"/>
      <c r="C49" s="414"/>
      <c r="D49" s="414"/>
      <c r="E49" s="1973" t="str">
        <f>IF(ISBLANK(A_InstallationData!E186),EUconst_ERR_Mandatory_g,A_InstallationData!E186)</f>
        <v/>
      </c>
      <c r="F49" s="1973"/>
      <c r="G49" s="1973"/>
      <c r="H49" s="1973"/>
      <c r="I49" s="1973"/>
      <c r="J49" s="1973"/>
      <c r="K49" s="1973"/>
      <c r="L49" s="1973"/>
      <c r="M49" s="1973"/>
      <c r="N49" s="1973"/>
      <c r="O49" s="25"/>
      <c r="P49" s="572" t="b">
        <f>IF(E48="","",AND(E48=EUconst_ConfirmApplicationForAlloc,E49=EUconst_ConfirmAllowUseOfData))</f>
        <v>0</v>
      </c>
      <c r="Q49" s="437"/>
      <c r="R49" s="437"/>
      <c r="S49" s="437"/>
      <c r="T49" s="437"/>
    </row>
    <row r="50" spans="1:20" s="697" customFormat="1" ht="5.0999999999999996" customHeight="1" x14ac:dyDescent="0.2">
      <c r="A50" s="437"/>
      <c r="B50" s="23"/>
      <c r="C50" s="23"/>
      <c r="D50" s="21"/>
      <c r="E50" s="44"/>
      <c r="F50" s="44"/>
      <c r="G50" s="44"/>
      <c r="H50" s="44"/>
      <c r="I50" s="44"/>
      <c r="J50" s="44"/>
      <c r="K50" s="44"/>
      <c r="L50" s="44"/>
      <c r="M50" s="44"/>
      <c r="N50" s="44"/>
      <c r="O50" s="25"/>
      <c r="P50" s="199"/>
      <c r="Q50" s="199"/>
      <c r="R50" s="437"/>
      <c r="S50" s="437"/>
      <c r="T50" s="437"/>
    </row>
    <row r="51" spans="1:20" s="697" customFormat="1" ht="15" x14ac:dyDescent="0.25">
      <c r="A51" s="437"/>
      <c r="B51" s="414"/>
      <c r="C51" s="36">
        <v>2</v>
      </c>
      <c r="D51" s="1930" t="str">
        <f>Translations!$B$1713</f>
        <v>Nosacījumi (A.II.2.–A.III.4. sadaļa)</v>
      </c>
      <c r="E51" s="1930"/>
      <c r="F51" s="1930"/>
      <c r="G51" s="1930"/>
      <c r="H51" s="1930"/>
      <c r="I51" s="1930"/>
      <c r="J51" s="1930"/>
      <c r="K51" s="1930"/>
      <c r="L51" s="1930"/>
      <c r="M51" s="1930"/>
      <c r="N51" s="1930"/>
      <c r="O51" s="25"/>
      <c r="P51" s="437"/>
      <c r="Q51" s="437"/>
      <c r="R51" s="437"/>
      <c r="S51" s="437"/>
      <c r="T51" s="437"/>
    </row>
    <row r="52" spans="1:20" s="697" customFormat="1" ht="5.0999999999999996" customHeight="1" x14ac:dyDescent="0.2">
      <c r="A52" s="437"/>
      <c r="B52" s="414"/>
      <c r="C52" s="414"/>
      <c r="D52" s="414"/>
      <c r="E52" s="414"/>
      <c r="F52" s="414"/>
      <c r="G52" s="414"/>
      <c r="H52" s="414"/>
      <c r="I52" s="414"/>
      <c r="J52" s="414"/>
      <c r="K52" s="414"/>
      <c r="L52" s="414"/>
      <c r="M52" s="414"/>
      <c r="N52" s="414"/>
      <c r="O52" s="25"/>
      <c r="P52" s="437"/>
      <c r="Q52" s="437"/>
      <c r="R52" s="437"/>
      <c r="S52" s="437"/>
      <c r="T52" s="437"/>
    </row>
    <row r="53" spans="1:20" s="697" customFormat="1" ht="12.75" customHeight="1" x14ac:dyDescent="0.2">
      <c r="A53" s="437"/>
      <c r="B53" s="414"/>
      <c r="C53" s="21"/>
      <c r="D53" s="32" t="s">
        <v>165</v>
      </c>
      <c r="E53" s="1325" t="str">
        <f>Translations!$B$1714</f>
        <v>1. un 2. nosacījumu rezultāts (bezmaksas kvotu iedales samazinājums par 20 %)</v>
      </c>
      <c r="F53" s="1325"/>
      <c r="G53" s="1325"/>
      <c r="H53" s="1325"/>
      <c r="I53" s="1325"/>
      <c r="J53" s="1325"/>
      <c r="K53" s="1325"/>
      <c r="L53" s="1325"/>
      <c r="M53" s="1325"/>
      <c r="N53" s="1325"/>
      <c r="O53" s="25"/>
      <c r="P53" s="437"/>
      <c r="Q53" s="437"/>
      <c r="R53" s="437"/>
      <c r="S53" s="437"/>
      <c r="T53" s="437"/>
    </row>
    <row r="54" spans="1:20" s="697" customFormat="1" ht="5.0999999999999996" customHeight="1" thickBot="1" x14ac:dyDescent="0.25">
      <c r="A54" s="437"/>
      <c r="B54" s="414"/>
      <c r="C54" s="38"/>
      <c r="D54" s="38"/>
      <c r="E54" s="38"/>
      <c r="F54" s="38"/>
      <c r="G54" s="38"/>
      <c r="H54" s="38"/>
      <c r="I54" s="38"/>
      <c r="J54" s="38"/>
      <c r="K54" s="38"/>
      <c r="L54" s="38"/>
      <c r="M54" s="38"/>
      <c r="N54" s="38"/>
      <c r="O54" s="25"/>
      <c r="P54" s="437"/>
      <c r="Q54" s="437"/>
      <c r="R54" s="437"/>
      <c r="S54" s="437"/>
      <c r="T54" s="437"/>
    </row>
    <row r="55" spans="1:20" s="697" customFormat="1" ht="13.5" thickBot="1" x14ac:dyDescent="0.25">
      <c r="A55" s="437"/>
      <c r="B55" s="414"/>
      <c r="C55" s="414"/>
      <c r="D55" s="414"/>
      <c r="E55" s="414" t="str">
        <f>Translations!$B$1715</f>
        <v>22.a panta nosacījumi (energoef.)</v>
      </c>
      <c r="F55" s="414"/>
      <c r="G55" s="414"/>
      <c r="H55" s="414"/>
      <c r="I55" s="820" t="b">
        <f>AND(CNTR_Conditionality22a&lt;&gt;"",CNTR_Conditionality22a)</f>
        <v>0</v>
      </c>
      <c r="J55" s="414"/>
      <c r="K55" s="414"/>
      <c r="L55" s="414"/>
      <c r="N55" s="414"/>
      <c r="O55" s="25"/>
      <c r="P55" s="572" t="b">
        <f>AND(CNTR_HasEntries_A_I,COUNTIFS(A_InstallationData!$P:$P,EUconst_CNTR_ConditionalityOK,A_InstallationData!$S:$S,TRUE)=0)</f>
        <v>0</v>
      </c>
      <c r="Q55" s="437" t="s">
        <v>631</v>
      </c>
      <c r="R55" s="437"/>
      <c r="S55" s="437"/>
      <c r="T55" s="437"/>
    </row>
    <row r="56" spans="1:20" s="697" customFormat="1" ht="13.5" thickBot="1" x14ac:dyDescent="0.25">
      <c r="A56" s="437"/>
      <c r="B56" s="414"/>
      <c r="C56" s="414"/>
      <c r="D56" s="414"/>
      <c r="E56" s="414" t="str">
        <f>Translations!$B$1716</f>
        <v>22.b panta 1. punkta nosacījumi (80. procentile)</v>
      </c>
      <c r="F56" s="414"/>
      <c r="G56" s="414"/>
      <c r="H56" s="414"/>
      <c r="I56" s="820" t="b">
        <f>AND(CNTR_Conditionality22b&lt;&gt;"",CNTR_Conditionality22b)</f>
        <v>0</v>
      </c>
      <c r="K56" s="414"/>
      <c r="L56" s="547" t="str">
        <f>Translations!$B$1717</f>
        <v>Rezultāts: piemērojami 20 % nosacījumi:</v>
      </c>
      <c r="M56" s="286" t="b">
        <f>OR(I55:I56)</f>
        <v>0</v>
      </c>
      <c r="O56" s="25"/>
      <c r="P56" s="437" t="s">
        <v>628</v>
      </c>
      <c r="Q56" s="437"/>
      <c r="R56" s="437"/>
      <c r="S56" s="437"/>
      <c r="T56" s="437"/>
    </row>
    <row r="57" spans="1:20" s="697" customFormat="1" ht="5.0999999999999996" customHeight="1" x14ac:dyDescent="0.2">
      <c r="A57" s="437"/>
      <c r="B57" s="414"/>
      <c r="C57" s="414"/>
      <c r="D57" s="414"/>
      <c r="E57" s="414"/>
      <c r="F57" s="414"/>
      <c r="G57" s="414"/>
      <c r="H57" s="414"/>
      <c r="I57" s="414"/>
      <c r="J57" s="414"/>
      <c r="K57" s="414"/>
      <c r="L57" s="414"/>
      <c r="M57" s="414"/>
      <c r="N57" s="414"/>
      <c r="O57" s="25"/>
      <c r="P57" s="437"/>
      <c r="Q57" s="437"/>
      <c r="R57" s="437"/>
      <c r="S57" s="437"/>
      <c r="T57" s="437"/>
    </row>
    <row r="58" spans="1:20" s="697" customFormat="1" ht="12.75" customHeight="1" x14ac:dyDescent="0.2">
      <c r="A58" s="437"/>
      <c r="B58" s="414"/>
      <c r="C58" s="21"/>
      <c r="D58" s="32" t="s">
        <v>339</v>
      </c>
      <c r="E58" s="1325" t="str">
        <f>A_InstallationData!D189</f>
        <v>Nosacījumi Nr. 1. Neizpildītie energoefektivitātes uzlabošanas pasākumu ieteikumi</v>
      </c>
      <c r="F58" s="1325"/>
      <c r="G58" s="1325"/>
      <c r="H58" s="1325"/>
      <c r="I58" s="1325"/>
      <c r="J58" s="1325"/>
      <c r="K58" s="1325"/>
      <c r="L58" s="1325"/>
      <c r="M58" s="1325"/>
      <c r="N58" s="1325"/>
      <c r="O58" s="25"/>
      <c r="P58" s="437"/>
      <c r="Q58" s="437"/>
      <c r="R58" s="437"/>
      <c r="S58" s="437"/>
      <c r="T58" s="437"/>
    </row>
    <row r="59" spans="1:20" s="697" customFormat="1" x14ac:dyDescent="0.2">
      <c r="A59" s="437"/>
      <c r="B59" s="414"/>
      <c r="C59" s="414"/>
      <c r="D59" s="414"/>
      <c r="E59" s="414" t="str">
        <f>A_InstallationData!E192</f>
        <v>Vai ieteikumi par energoefektivitātes pasākumiem ir šai iekārtai relevanti?</v>
      </c>
      <c r="F59" s="414"/>
      <c r="G59" s="414"/>
      <c r="H59" s="414"/>
      <c r="I59" s="414"/>
      <c r="J59" s="414"/>
      <c r="K59" s="414"/>
      <c r="L59" s="414"/>
      <c r="M59" s="1132" t="str">
        <f>IF(A_InstallationData!M192="","",A_InstallationData!M192)</f>
        <v/>
      </c>
      <c r="N59" s="414"/>
      <c r="O59" s="25"/>
      <c r="P59" s="437"/>
      <c r="Q59" s="437"/>
      <c r="R59" s="437"/>
      <c r="S59" s="437"/>
      <c r="T59" s="437"/>
    </row>
    <row r="60" spans="1:20" s="697" customFormat="1" x14ac:dyDescent="0.2">
      <c r="A60" s="437"/>
      <c r="B60" s="414"/>
      <c r="C60" s="414"/>
      <c r="D60" s="414"/>
      <c r="E60" s="414" t="str">
        <f>A_InstallationData!E195</f>
        <v>Vai ir vēl kādi 2019.–2022. gada ieteikumi, kas vēl nav īstenoti?</v>
      </c>
      <c r="F60" s="414"/>
      <c r="G60" s="414"/>
      <c r="H60" s="414"/>
      <c r="I60" s="414"/>
      <c r="J60" s="414"/>
      <c r="K60" s="414"/>
      <c r="L60" s="414"/>
      <c r="M60" s="1132" t="str">
        <f>IF(A_InstallationData!M195="","",A_InstallationData!M195)</f>
        <v/>
      </c>
      <c r="N60" s="414"/>
      <c r="O60" s="25"/>
      <c r="P60" s="437"/>
      <c r="Q60" s="437"/>
      <c r="R60" s="437"/>
      <c r="S60" s="437"/>
      <c r="T60" s="437"/>
    </row>
    <row r="61" spans="1:20" s="697" customFormat="1" ht="5.0999999999999996" customHeight="1" x14ac:dyDescent="0.2">
      <c r="A61" s="437"/>
      <c r="B61" s="414"/>
      <c r="C61" s="414"/>
      <c r="D61" s="414"/>
      <c r="E61" s="414"/>
      <c r="F61" s="414"/>
      <c r="G61" s="414"/>
      <c r="H61" s="414"/>
      <c r="I61" s="414"/>
      <c r="J61" s="414"/>
      <c r="K61" s="414"/>
      <c r="L61" s="414"/>
      <c r="M61" s="414"/>
      <c r="N61" s="414"/>
      <c r="O61" s="25"/>
      <c r="P61" s="437"/>
      <c r="Q61" s="437"/>
      <c r="R61" s="437"/>
      <c r="S61" s="437"/>
      <c r="T61" s="437"/>
    </row>
    <row r="62" spans="1:20" s="697" customFormat="1" ht="25.5" customHeight="1" x14ac:dyDescent="0.2">
      <c r="A62" s="437"/>
      <c r="B62" s="414"/>
      <c r="C62" s="414"/>
      <c r="D62" s="414"/>
      <c r="E62" s="1970" t="str">
        <f>A_InstallationData!E207</f>
        <v>Nav saistīts ar rūpniecisko procesu?</v>
      </c>
      <c r="F62" s="1970"/>
      <c r="G62" s="1970" t="str">
        <f>A_InstallationData!G207</f>
        <v>Atmaksāšanās laiks &gt; 3 gadi?</v>
      </c>
      <c r="H62" s="1970"/>
      <c r="I62" s="1970" t="str">
        <f>A_InstallationData!I207</f>
        <v>Investīciju izmaksas &gt; 5 % apgrozījuma vai &gt; 25 % peļņas?</v>
      </c>
      <c r="J62" s="1970"/>
      <c r="K62" s="1970" t="str">
        <f>A_InstallationData!K207</f>
        <v>Investīciju izmaksas &gt; 50 % iedales apjoma ekvivalenta?</v>
      </c>
      <c r="L62" s="1970"/>
      <c r="M62" s="1970" t="str">
        <f>A_InstallationData!M207</f>
        <v>Apstākļi vēl nav iestājušies?</v>
      </c>
      <c r="N62" s="1970"/>
      <c r="O62" s="25"/>
      <c r="P62" s="437"/>
      <c r="Q62" s="437"/>
      <c r="R62" s="437"/>
      <c r="S62" s="437"/>
      <c r="T62" s="437"/>
    </row>
    <row r="63" spans="1:20" s="697" customFormat="1" x14ac:dyDescent="0.2">
      <c r="A63" s="437"/>
      <c r="B63" s="414"/>
      <c r="C63" s="414"/>
      <c r="D63" s="414"/>
      <c r="E63" s="1929" t="str">
        <f>IF(A_InstallationData!E208="","",A_InstallationData!E208)</f>
        <v/>
      </c>
      <c r="F63" s="1929"/>
      <c r="G63" s="1929" t="str">
        <f>IF(A_InstallationData!G208="","",A_InstallationData!G208)</f>
        <v/>
      </c>
      <c r="H63" s="1929"/>
      <c r="I63" s="1929" t="str">
        <f>IF(A_InstallationData!I208="","",A_InstallationData!I208)</f>
        <v/>
      </c>
      <c r="J63" s="1929"/>
      <c r="K63" s="1929" t="str">
        <f>IF(A_InstallationData!K208="","",A_InstallationData!K208)</f>
        <v/>
      </c>
      <c r="L63" s="1929"/>
      <c r="M63" s="1929" t="str">
        <f>IF(A_InstallationData!M208="","",A_InstallationData!M208)</f>
        <v/>
      </c>
      <c r="N63" s="1929"/>
      <c r="O63" s="25"/>
      <c r="P63" s="437"/>
      <c r="Q63" s="437"/>
      <c r="R63" s="437"/>
      <c r="S63" s="437"/>
      <c r="T63" s="437"/>
    </row>
    <row r="64" spans="1:20" s="697" customFormat="1" ht="5.0999999999999996" customHeight="1" x14ac:dyDescent="0.2">
      <c r="A64" s="437"/>
      <c r="B64" s="414"/>
      <c r="C64" s="414"/>
      <c r="D64" s="414"/>
      <c r="E64" s="414"/>
      <c r="F64" s="414"/>
      <c r="G64" s="414"/>
      <c r="H64" s="414"/>
      <c r="I64" s="414"/>
      <c r="J64" s="414"/>
      <c r="K64" s="414"/>
      <c r="L64" s="414"/>
      <c r="M64" s="414"/>
      <c r="N64" s="414"/>
      <c r="O64" s="25"/>
      <c r="P64" s="437"/>
      <c r="Q64" s="437"/>
      <c r="R64" s="437"/>
      <c r="S64" s="437"/>
      <c r="T64" s="437"/>
    </row>
    <row r="65" spans="1:20" s="697" customFormat="1" x14ac:dyDescent="0.2">
      <c r="A65" s="437"/>
      <c r="B65" s="414"/>
      <c r="C65" s="414"/>
      <c r="D65" s="414"/>
      <c r="E65" s="414" t="str">
        <f>A_InstallationData!E210</f>
        <v>Kādi ieteikumi, kas palikuši pēc c) punkta?</v>
      </c>
      <c r="F65" s="414"/>
      <c r="G65" s="414"/>
      <c r="H65" s="414"/>
      <c r="I65" s="414"/>
      <c r="J65" s="414"/>
      <c r="K65" s="414"/>
      <c r="L65" s="414"/>
      <c r="M65" s="1132" t="str">
        <f>IF(A_InstallationData!M210="","",A_InstallationData!M210)</f>
        <v/>
      </c>
      <c r="N65" s="414"/>
      <c r="O65" s="25"/>
      <c r="P65" s="437"/>
      <c r="Q65" s="437"/>
      <c r="R65" s="437"/>
      <c r="S65" s="437"/>
      <c r="T65" s="437"/>
    </row>
    <row r="66" spans="1:20" s="697" customFormat="1" x14ac:dyDescent="0.2">
      <c r="A66" s="437"/>
      <c r="B66" s="414"/>
      <c r="C66" s="414"/>
      <c r="D66" s="414"/>
      <c r="E66" s="414" t="str">
        <f>A_InstallationData!E213</f>
        <v>Ja pēc d) punkta vēl palikuši pasākumi, vai attiecībā uz VISIEM ir tikuši piemēroti pielīdzināmi pasākumi?</v>
      </c>
      <c r="F66" s="414"/>
      <c r="G66" s="414"/>
      <c r="H66" s="414"/>
      <c r="I66" s="414"/>
      <c r="J66" s="414"/>
      <c r="K66" s="414"/>
      <c r="L66" s="414"/>
      <c r="M66" s="1132" t="str">
        <f>IF(A_InstallationData!M213="","",A_InstallationData!M213)</f>
        <v/>
      </c>
      <c r="N66" s="414"/>
      <c r="O66" s="25"/>
      <c r="P66" s="437"/>
      <c r="Q66" s="437"/>
      <c r="R66" s="437"/>
      <c r="S66" s="437"/>
      <c r="T66" s="437"/>
    </row>
    <row r="67" spans="1:20" s="697" customFormat="1" ht="5.0999999999999996" customHeight="1" x14ac:dyDescent="0.2">
      <c r="A67" s="437"/>
      <c r="B67" s="414"/>
      <c r="C67" s="414"/>
      <c r="D67" s="414"/>
      <c r="E67" s="414"/>
      <c r="F67" s="414"/>
      <c r="G67" s="414"/>
      <c r="H67" s="414"/>
      <c r="I67" s="414"/>
      <c r="J67" s="414"/>
      <c r="K67" s="414"/>
      <c r="L67" s="414"/>
      <c r="M67" s="414"/>
      <c r="N67" s="414"/>
      <c r="O67" s="25"/>
      <c r="P67" s="437"/>
      <c r="Q67" s="437"/>
      <c r="R67" s="437"/>
      <c r="S67" s="437"/>
      <c r="T67" s="437"/>
    </row>
    <row r="68" spans="1:20" s="697" customFormat="1" ht="12.75" customHeight="1" x14ac:dyDescent="0.2">
      <c r="A68" s="437"/>
      <c r="B68" s="414"/>
      <c r="C68" s="21"/>
      <c r="D68" s="32" t="s">
        <v>11</v>
      </c>
      <c r="E68" s="1325" t="str">
        <f>A_InstallationData!D220</f>
        <v>Nosacījumi Nr. 2. Sniegums &gt; 80 procentiles</v>
      </c>
      <c r="F68" s="1325"/>
      <c r="G68" s="1325"/>
      <c r="H68" s="1325"/>
      <c r="I68" s="1325"/>
      <c r="J68" s="1325"/>
      <c r="K68" s="1325"/>
      <c r="L68" s="1325"/>
      <c r="M68" s="1325"/>
      <c r="N68" s="1325"/>
      <c r="O68" s="25"/>
      <c r="P68" s="437"/>
      <c r="Q68" s="437"/>
      <c r="R68" s="437"/>
      <c r="S68" s="437"/>
      <c r="T68" s="437"/>
    </row>
    <row r="69" spans="1:20" s="697" customFormat="1" x14ac:dyDescent="0.2">
      <c r="A69" s="437"/>
      <c r="B69" s="414"/>
      <c r="C69" s="414"/>
      <c r="D69" s="414"/>
      <c r="E69" s="414" t="str">
        <f>A_InstallationData!E226</f>
        <v>Vai kādas produkta LA apakšiekārtas SEG intensitāte pārsniedza 80 procentiles?</v>
      </c>
      <c r="F69" s="414"/>
      <c r="G69" s="414"/>
      <c r="H69" s="414"/>
      <c r="I69" s="414"/>
      <c r="J69" s="414"/>
      <c r="K69" s="414"/>
      <c r="L69" s="414"/>
      <c r="M69" s="1132" t="str">
        <f>IF(A_InstallationData!M226="","",A_InstallationData!M226)</f>
        <v/>
      </c>
      <c r="N69" s="414"/>
      <c r="O69" s="25"/>
      <c r="P69" s="437"/>
      <c r="Q69" s="437"/>
      <c r="R69" s="437"/>
      <c r="S69" s="437"/>
      <c r="T69" s="437"/>
    </row>
    <row r="70" spans="1:20" s="697" customFormat="1" x14ac:dyDescent="0.2">
      <c r="A70" s="437"/>
      <c r="B70" s="414"/>
      <c r="C70" s="414"/>
      <c r="D70" s="414"/>
      <c r="E70" s="414" t="str">
        <f>A_InstallationData!E229</f>
        <v>Ja a) punkts ir relevants, vai kā daļu no šā pieteikuma iesniedzat klimatneitralitātes plānu (KNP)?</v>
      </c>
      <c r="F70" s="414"/>
      <c r="G70" s="414"/>
      <c r="H70" s="414"/>
      <c r="I70" s="414"/>
      <c r="J70" s="414"/>
      <c r="K70" s="414"/>
      <c r="L70" s="414"/>
      <c r="M70" s="1132" t="str">
        <f>IF(A_InstallationData!M229="","",A_InstallationData!M229)</f>
        <v/>
      </c>
      <c r="N70" s="414"/>
      <c r="O70" s="25"/>
      <c r="P70" s="437"/>
      <c r="Q70" s="437"/>
      <c r="R70" s="437"/>
      <c r="S70" s="437"/>
      <c r="T70" s="437"/>
    </row>
    <row r="71" spans="1:20" s="697" customFormat="1" x14ac:dyDescent="0.2">
      <c r="A71" s="437"/>
      <c r="B71" s="414"/>
      <c r="C71" s="414"/>
      <c r="D71" s="414"/>
      <c r="E71" s="414" t="str">
        <f>Translations!$B$1718</f>
        <v>Vai kompetentā iestāde apstiprina KNP pilnīgumu?</v>
      </c>
      <c r="F71" s="414"/>
      <c r="G71" s="414"/>
      <c r="H71" s="414"/>
      <c r="I71" s="414"/>
      <c r="J71" s="414"/>
      <c r="K71" s="414"/>
      <c r="L71" s="414"/>
      <c r="M71" s="1132" t="str">
        <f>IF(A_InstallationData!M232="","",A_InstallationData!M232)</f>
        <v/>
      </c>
      <c r="N71" s="414"/>
      <c r="O71" s="25"/>
      <c r="P71" s="437"/>
      <c r="Q71" s="437"/>
      <c r="R71" s="437"/>
      <c r="S71" s="437"/>
      <c r="T71" s="437"/>
    </row>
    <row r="72" spans="1:20" s="697" customFormat="1" ht="5.0999999999999996" customHeight="1" x14ac:dyDescent="0.2">
      <c r="A72" s="437"/>
      <c r="B72" s="414"/>
      <c r="C72" s="414"/>
      <c r="D72" s="414"/>
      <c r="E72" s="414"/>
      <c r="F72" s="414"/>
      <c r="G72" s="414"/>
      <c r="H72" s="414"/>
      <c r="I72" s="414"/>
      <c r="J72" s="414"/>
      <c r="K72" s="414"/>
      <c r="L72" s="414"/>
      <c r="M72" s="414"/>
      <c r="N72" s="414"/>
      <c r="O72" s="25"/>
      <c r="P72" s="437"/>
      <c r="Q72" s="437"/>
      <c r="R72" s="437"/>
      <c r="S72" s="437"/>
      <c r="T72" s="437"/>
    </row>
    <row r="73" spans="1:20" s="697" customFormat="1" x14ac:dyDescent="0.2">
      <c r="A73" s="437"/>
      <c r="B73" s="414"/>
      <c r="C73" s="414"/>
      <c r="D73" s="32" t="s">
        <v>342</v>
      </c>
      <c r="E73" s="1971" t="str">
        <f>Translations!$B$1719</f>
        <v>22.b panta 2. punkta nosacījumi (centralizētā siltumapgāde)</v>
      </c>
      <c r="F73" s="1971"/>
      <c r="G73" s="1971"/>
      <c r="H73" s="1971"/>
      <c r="I73" s="1971"/>
      <c r="J73" s="1971"/>
      <c r="K73" s="1971"/>
      <c r="L73" s="1972"/>
      <c r="M73" s="1132" t="str">
        <f>IF(A_InstallationData!M241="","",A_InstallationData!M241)</f>
        <v/>
      </c>
      <c r="N73" s="414"/>
      <c r="O73" s="25"/>
      <c r="P73" s="437"/>
      <c r="Q73" s="437"/>
      <c r="R73" s="437"/>
      <c r="S73" s="437"/>
      <c r="T73" s="437"/>
    </row>
    <row r="74" spans="1:20" s="697" customFormat="1" ht="12.75" customHeight="1" x14ac:dyDescent="0.2">
      <c r="A74" s="437"/>
      <c r="B74" s="414"/>
      <c r="C74" s="414"/>
      <c r="D74" s="414"/>
      <c r="E74" s="414"/>
      <c r="F74" s="414"/>
      <c r="G74" s="414"/>
      <c r="H74" s="414"/>
      <c r="I74" s="414"/>
      <c r="J74" s="414"/>
      <c r="K74" s="414"/>
      <c r="L74" s="414"/>
      <c r="M74" s="414"/>
      <c r="N74" s="414"/>
      <c r="O74" s="25"/>
      <c r="P74" s="437"/>
      <c r="Q74" s="437"/>
      <c r="R74" s="437"/>
      <c r="S74" s="437"/>
      <c r="T74" s="437"/>
    </row>
    <row r="75" spans="1:20" s="697" customFormat="1" ht="15" x14ac:dyDescent="0.25">
      <c r="A75" s="437"/>
      <c r="B75" s="414"/>
      <c r="C75" s="36">
        <v>3</v>
      </c>
      <c r="D75" s="818" t="str">
        <f>Translations!$B$1720</f>
        <v>Bāzlīnijas gadi (A lapas II sadaļas 5. punkts)</v>
      </c>
      <c r="E75" s="384"/>
      <c r="F75" s="384"/>
      <c r="G75" s="414"/>
      <c r="H75" s="414"/>
      <c r="I75" s="414"/>
      <c r="J75" s="414"/>
      <c r="K75" s="414"/>
      <c r="L75" s="414"/>
      <c r="M75" s="414"/>
      <c r="N75" s="414"/>
      <c r="O75" s="25"/>
      <c r="P75" s="437"/>
      <c r="Q75" s="437"/>
      <c r="R75" s="437"/>
      <c r="S75" s="437"/>
      <c r="T75" s="437"/>
    </row>
    <row r="76" spans="1:20" s="697" customFormat="1" x14ac:dyDescent="0.2">
      <c r="A76" s="437"/>
      <c r="B76" s="414"/>
      <c r="C76" s="414"/>
      <c r="D76" s="414"/>
      <c r="E76" s="413"/>
      <c r="F76" s="384"/>
      <c r="G76" s="384"/>
      <c r="H76" s="384"/>
      <c r="I76" s="447">
        <f>I$1652</f>
        <v>2019</v>
      </c>
      <c r="J76" s="447">
        <f>J$1652</f>
        <v>2020</v>
      </c>
      <c r="K76" s="447">
        <f>K$1652</f>
        <v>2021</v>
      </c>
      <c r="L76" s="447">
        <f>L$1652</f>
        <v>2022</v>
      </c>
      <c r="M76" s="447">
        <f>M$1652</f>
        <v>2023</v>
      </c>
      <c r="N76" s="414"/>
      <c r="O76" s="25"/>
      <c r="P76" s="437"/>
      <c r="Q76" s="437"/>
      <c r="R76" s="437"/>
      <c r="S76" s="437"/>
      <c r="T76" s="437"/>
    </row>
    <row r="77" spans="1:20" s="697" customFormat="1" x14ac:dyDescent="0.2">
      <c r="A77" s="437"/>
      <c r="B77" s="414"/>
      <c r="C77" s="414"/>
      <c r="D77" s="414"/>
      <c r="E77" s="655" t="str">
        <f>Translations!$B$1165</f>
        <v>Gads, kas jāņem vērā:</v>
      </c>
      <c r="F77" s="819"/>
      <c r="G77" s="819"/>
      <c r="H77" s="819"/>
      <c r="I77" s="820" t="b">
        <f>IF(ISBLANK(A_InstallationData!I373),"",A_InstallationData!I373)</f>
        <v>0</v>
      </c>
      <c r="J77" s="820" t="b">
        <f>IF(ISBLANK(A_InstallationData!J373),"",A_InstallationData!J373)</f>
        <v>0</v>
      </c>
      <c r="K77" s="820" t="b">
        <f>IF(ISBLANK(A_InstallationData!K373),"",A_InstallationData!K373)</f>
        <v>0</v>
      </c>
      <c r="L77" s="820" t="b">
        <f>IF(ISBLANK(A_InstallationData!L373),"",A_InstallationData!L373)</f>
        <v>0</v>
      </c>
      <c r="M77" s="820" t="b">
        <f>IF(ISBLANK(A_InstallationData!M373),"",A_InstallationData!M373)</f>
        <v>0</v>
      </c>
      <c r="N77" s="414"/>
      <c r="O77" s="25"/>
      <c r="P77" s="437"/>
      <c r="Q77" s="437"/>
      <c r="R77" s="437"/>
      <c r="S77" s="437"/>
      <c r="T77" s="437"/>
    </row>
    <row r="78" spans="1:20" s="697" customFormat="1" x14ac:dyDescent="0.2">
      <c r="A78" s="437"/>
      <c r="B78" s="414"/>
      <c r="C78" s="414"/>
      <c r="D78" s="414"/>
      <c r="E78" s="414"/>
      <c r="F78" s="414"/>
      <c r="G78" s="414"/>
      <c r="H78" s="414"/>
      <c r="I78" s="414"/>
      <c r="J78" s="414"/>
      <c r="K78" s="414"/>
      <c r="L78" s="414"/>
      <c r="M78" s="414"/>
      <c r="N78" s="414"/>
      <c r="O78" s="25"/>
      <c r="P78" s="437"/>
      <c r="Q78" s="437"/>
      <c r="R78" s="437"/>
      <c r="S78" s="437"/>
      <c r="T78" s="437"/>
    </row>
    <row r="79" spans="1:20" s="697" customFormat="1" ht="15.75" x14ac:dyDescent="0.25">
      <c r="A79" s="437"/>
      <c r="B79" s="21"/>
      <c r="C79" s="30" t="s">
        <v>343</v>
      </c>
      <c r="D79" s="31" t="str">
        <f>Translations!$B$1166</f>
        <v>Emisijas un enerģijas plūsmas</v>
      </c>
      <c r="E79" s="31"/>
      <c r="F79" s="31"/>
      <c r="G79" s="31"/>
      <c r="H79" s="31"/>
      <c r="I79" s="31"/>
      <c r="J79" s="31"/>
      <c r="K79" s="31"/>
      <c r="L79" s="31"/>
      <c r="M79" s="31"/>
      <c r="N79" s="31"/>
      <c r="O79" s="25"/>
      <c r="P79" s="26"/>
      <c r="Q79" s="26"/>
      <c r="R79" s="26"/>
      <c r="S79" s="26"/>
      <c r="T79" s="26"/>
    </row>
    <row r="80" spans="1:20" s="697" customFormat="1" x14ac:dyDescent="0.2">
      <c r="A80" s="437"/>
      <c r="B80" s="414"/>
      <c r="C80" s="414"/>
      <c r="D80" s="414"/>
      <c r="E80" s="414"/>
      <c r="F80" s="414"/>
      <c r="G80" s="414"/>
      <c r="H80" s="414"/>
      <c r="I80" s="414"/>
      <c r="J80" s="414"/>
      <c r="K80" s="414"/>
      <c r="L80" s="414"/>
      <c r="M80" s="414"/>
      <c r="N80" s="414"/>
      <c r="O80" s="25"/>
      <c r="P80" s="437"/>
      <c r="Q80" s="437"/>
      <c r="R80" s="437"/>
      <c r="S80" s="437"/>
      <c r="T80" s="437"/>
    </row>
    <row r="81" spans="1:20" s="697" customFormat="1" ht="15" x14ac:dyDescent="0.25">
      <c r="A81" s="437"/>
      <c r="B81" s="414"/>
      <c r="C81" s="36">
        <v>1</v>
      </c>
      <c r="D81" s="1318" t="str">
        <f>Translations!$B$1167</f>
        <v>Dati, kuru pamatā ir sadaļā “Avota plūsmas” (B+C lapas) vai emisiju kopsavilkuma sadaļā (D lapas I sadaļa) ievadītie dati</v>
      </c>
      <c r="E81" s="1251"/>
      <c r="F81" s="1251"/>
      <c r="G81" s="1251"/>
      <c r="H81" s="1251"/>
      <c r="I81" s="1251"/>
      <c r="J81" s="1251"/>
      <c r="K81" s="1251"/>
      <c r="L81" s="1251"/>
      <c r="M81" s="1251"/>
      <c r="N81" s="1251"/>
      <c r="O81" s="25"/>
      <c r="P81" s="437"/>
      <c r="Q81" s="437"/>
      <c r="R81" s="437"/>
      <c r="S81" s="437"/>
      <c r="T81" s="437"/>
    </row>
    <row r="82" spans="1:20" s="697" customFormat="1" ht="5.0999999999999996" customHeight="1" x14ac:dyDescent="0.2">
      <c r="A82" s="437"/>
      <c r="B82" s="414"/>
      <c r="C82" s="414"/>
      <c r="D82" s="414"/>
      <c r="E82" s="414"/>
      <c r="F82" s="414"/>
      <c r="G82" s="414"/>
      <c r="H82" s="414"/>
      <c r="I82" s="414"/>
      <c r="J82" s="414"/>
      <c r="K82" s="414"/>
      <c r="L82" s="414"/>
      <c r="M82" s="414"/>
      <c r="N82" s="414"/>
      <c r="O82" s="25"/>
      <c r="P82" s="437"/>
      <c r="Q82" s="437"/>
      <c r="R82" s="437"/>
      <c r="S82" s="437"/>
      <c r="T82" s="437"/>
    </row>
    <row r="83" spans="1:20" s="697" customFormat="1" x14ac:dyDescent="0.2">
      <c r="A83" s="437"/>
      <c r="B83" s="414"/>
      <c r="C83" s="414"/>
      <c r="D83" s="414"/>
      <c r="E83" s="1320" t="str">
        <f>D_Emissions!E51</f>
        <v>Iekārtas līmeņa dati:</v>
      </c>
      <c r="F83" s="1320"/>
      <c r="G83" s="1320"/>
      <c r="H83" s="53" t="str">
        <f>D_Emissions!H51</f>
        <v>Vienība</v>
      </c>
      <c r="I83" s="412">
        <f>D_Emissions!I51</f>
        <v>2019</v>
      </c>
      <c r="J83" s="412">
        <f>D_Emissions!J51</f>
        <v>2020</v>
      </c>
      <c r="K83" s="412">
        <f>D_Emissions!K51</f>
        <v>2021</v>
      </c>
      <c r="L83" s="412">
        <f>D_Emissions!L51</f>
        <v>2022</v>
      </c>
      <c r="M83" s="412">
        <f>D_Emissions!M51</f>
        <v>2023</v>
      </c>
      <c r="N83" s="414"/>
      <c r="O83" s="25"/>
      <c r="P83" s="437"/>
      <c r="Q83" s="437"/>
      <c r="R83" s="437"/>
      <c r="S83" s="437"/>
      <c r="T83" s="437"/>
    </row>
    <row r="84" spans="1:20" s="697" customFormat="1" x14ac:dyDescent="0.2">
      <c r="A84" s="437"/>
      <c r="B84" s="414"/>
      <c r="C84" s="414"/>
      <c r="D84" s="414"/>
      <c r="E84" s="1541" t="str">
        <f>D_Emissions!E52</f>
        <v>Kopējās CO2 emisijas</v>
      </c>
      <c r="F84" s="1541"/>
      <c r="G84" s="1541"/>
      <c r="H84" s="55" t="str">
        <f>D_Emissions!H52</f>
        <v>t CO2 / gads</v>
      </c>
      <c r="I84" s="377" t="str">
        <f>D_Emissions!I52</f>
        <v/>
      </c>
      <c r="J84" s="377" t="str">
        <f>D_Emissions!J52</f>
        <v/>
      </c>
      <c r="K84" s="377" t="str">
        <f>D_Emissions!K52</f>
        <v/>
      </c>
      <c r="L84" s="377" t="str">
        <f>D_Emissions!L52</f>
        <v/>
      </c>
      <c r="M84" s="377" t="str">
        <f>D_Emissions!M52</f>
        <v/>
      </c>
      <c r="N84" s="414"/>
      <c r="O84" s="25"/>
      <c r="P84" s="437"/>
      <c r="Q84" s="437"/>
      <c r="R84" s="437"/>
      <c r="S84" s="437"/>
      <c r="T84" s="437"/>
    </row>
    <row r="85" spans="1:20" s="697" customFormat="1" x14ac:dyDescent="0.2">
      <c r="A85" s="437"/>
      <c r="B85" s="414"/>
      <c r="C85" s="414"/>
      <c r="D85" s="414"/>
      <c r="E85" s="1545" t="str">
        <f>D_Emissions!E53</f>
        <v>Nulles faktora biomasas emisijas</v>
      </c>
      <c r="F85" s="1545"/>
      <c r="G85" s="1545"/>
      <c r="H85" s="201" t="str">
        <f>D_Emissions!H53</f>
        <v>t CO2 / gads</v>
      </c>
      <c r="I85" s="378" t="str">
        <f>D_Emissions!I53</f>
        <v/>
      </c>
      <c r="J85" s="378" t="str">
        <f>D_Emissions!J53</f>
        <v/>
      </c>
      <c r="K85" s="378" t="str">
        <f>D_Emissions!K53</f>
        <v/>
      </c>
      <c r="L85" s="378" t="str">
        <f>D_Emissions!L53</f>
        <v/>
      </c>
      <c r="M85" s="378" t="str">
        <f>D_Emissions!M53</f>
        <v/>
      </c>
      <c r="N85" s="414"/>
      <c r="O85" s="25"/>
      <c r="P85" s="437"/>
      <c r="Q85" s="437"/>
      <c r="R85" s="437"/>
      <c r="S85" s="437"/>
      <c r="T85" s="437"/>
    </row>
    <row r="86" spans="1:20" s="697" customFormat="1" x14ac:dyDescent="0.2">
      <c r="A86" s="437"/>
      <c r="B86" s="414"/>
      <c r="C86" s="414"/>
      <c r="D86" s="414"/>
      <c r="E86" s="1547" t="str">
        <f>D_Emissions!E54</f>
        <v>Kopējās N2O emisijas</v>
      </c>
      <c r="F86" s="1547"/>
      <c r="G86" s="1547"/>
      <c r="H86" s="56" t="str">
        <f>D_Emissions!H54</f>
        <v>t CO2e/gads</v>
      </c>
      <c r="I86" s="379" t="str">
        <f>D_Emissions!I54</f>
        <v/>
      </c>
      <c r="J86" s="379" t="str">
        <f>D_Emissions!J54</f>
        <v/>
      </c>
      <c r="K86" s="379" t="str">
        <f>D_Emissions!K54</f>
        <v/>
      </c>
      <c r="L86" s="379" t="str">
        <f>D_Emissions!L54</f>
        <v/>
      </c>
      <c r="M86" s="379" t="str">
        <f>D_Emissions!M54</f>
        <v/>
      </c>
      <c r="N86" s="414"/>
      <c r="O86" s="25"/>
      <c r="P86" s="437"/>
      <c r="Q86" s="437"/>
      <c r="R86" s="437"/>
      <c r="S86" s="437"/>
      <c r="T86" s="437"/>
    </row>
    <row r="87" spans="1:20" s="697" customFormat="1" x14ac:dyDescent="0.2">
      <c r="A87" s="437"/>
      <c r="B87" s="414"/>
      <c r="C87" s="414"/>
      <c r="D87" s="414"/>
      <c r="E87" s="1550" t="str">
        <f>D_Emissions!E55</f>
        <v>Kopējās PFC emisijas</v>
      </c>
      <c r="F87" s="1550"/>
      <c r="G87" s="1550"/>
      <c r="H87" s="59" t="str">
        <f>D_Emissions!H55</f>
        <v>t CO2e/gads</v>
      </c>
      <c r="I87" s="380" t="str">
        <f>D_Emissions!I55</f>
        <v/>
      </c>
      <c r="J87" s="380" t="str">
        <f>D_Emissions!J55</f>
        <v/>
      </c>
      <c r="K87" s="380" t="str">
        <f>D_Emissions!K55</f>
        <v/>
      </c>
      <c r="L87" s="380" t="str">
        <f>D_Emissions!L55</f>
        <v/>
      </c>
      <c r="M87" s="380" t="str">
        <f>D_Emissions!M55</f>
        <v/>
      </c>
      <c r="N87" s="414"/>
      <c r="O87" s="25"/>
      <c r="P87" s="437"/>
      <c r="Q87" s="437"/>
      <c r="R87" s="437"/>
      <c r="S87" s="437"/>
      <c r="T87" s="437"/>
    </row>
    <row r="88" spans="1:20" s="697" customFormat="1" x14ac:dyDescent="0.2">
      <c r="A88" s="437"/>
      <c r="B88" s="414"/>
      <c r="C88" s="414"/>
      <c r="D88" s="414"/>
      <c r="E88" s="1516" t="str">
        <f>D_Emissions!E56</f>
        <v>Tiešo emisiju summa</v>
      </c>
      <c r="F88" s="1516"/>
      <c r="G88" s="1516"/>
      <c r="H88" s="149" t="str">
        <f>D_Emissions!H56</f>
        <v>t CO2e/gads</v>
      </c>
      <c r="I88" s="680" t="str">
        <f>D_Emissions!I56</f>
        <v/>
      </c>
      <c r="J88" s="681" t="str">
        <f>D_Emissions!J56</f>
        <v/>
      </c>
      <c r="K88" s="681" t="str">
        <f>D_Emissions!K56</f>
        <v/>
      </c>
      <c r="L88" s="681" t="str">
        <f>D_Emissions!L56</f>
        <v/>
      </c>
      <c r="M88" s="681" t="str">
        <f>D_Emissions!M56</f>
        <v/>
      </c>
      <c r="N88" s="414"/>
      <c r="O88" s="25"/>
      <c r="P88" s="437"/>
      <c r="Q88" s="437"/>
      <c r="R88" s="437"/>
      <c r="S88" s="437"/>
      <c r="T88" s="437"/>
    </row>
    <row r="89" spans="1:20" s="697" customFormat="1" ht="13.5" thickBot="1" x14ac:dyDescent="0.25">
      <c r="A89" s="437"/>
      <c r="B89" s="414"/>
      <c r="C89" s="414"/>
      <c r="D89" s="414"/>
      <c r="E89" s="1542" t="str">
        <f>D_Emissions!E57</f>
        <v>Eksportētais pārvietotais CO2</v>
      </c>
      <c r="F89" s="1542"/>
      <c r="G89" s="1542"/>
      <c r="H89" s="674" t="str">
        <f>D_Emissions!H57</f>
        <v>t CO2 / gads</v>
      </c>
      <c r="I89" s="682" t="str">
        <f>D_Emissions!I57</f>
        <v/>
      </c>
      <c r="J89" s="683" t="str">
        <f>D_Emissions!J57</f>
        <v/>
      </c>
      <c r="K89" s="683" t="str">
        <f>D_Emissions!K57</f>
        <v/>
      </c>
      <c r="L89" s="683" t="str">
        <f>D_Emissions!L57</f>
        <v/>
      </c>
      <c r="M89" s="683" t="str">
        <f>D_Emissions!M57</f>
        <v/>
      </c>
      <c r="N89" s="414"/>
      <c r="O89" s="25"/>
      <c r="P89" s="437"/>
      <c r="Q89" s="437"/>
      <c r="R89" s="437"/>
      <c r="S89" s="437"/>
      <c r="T89" s="437"/>
    </row>
    <row r="90" spans="1:20" s="697" customFormat="1" ht="13.5" thickBot="1" x14ac:dyDescent="0.25">
      <c r="A90" s="437"/>
      <c r="B90" s="414"/>
      <c r="C90" s="414"/>
      <c r="D90" s="414"/>
      <c r="E90" s="1543" t="str">
        <f>D_Emissions!E58</f>
        <v>Iekārtas kopējās tiešās emisijas</v>
      </c>
      <c r="F90" s="1544"/>
      <c r="G90" s="1544"/>
      <c r="H90" s="675" t="str">
        <f>D_Emissions!H58</f>
        <v>t CO2e/gads</v>
      </c>
      <c r="I90" s="676" t="str">
        <f>D_Emissions!I58</f>
        <v/>
      </c>
      <c r="J90" s="676" t="str">
        <f>D_Emissions!J58</f>
        <v/>
      </c>
      <c r="K90" s="676" t="str">
        <f>D_Emissions!K58</f>
        <v/>
      </c>
      <c r="L90" s="676" t="str">
        <f>D_Emissions!L58</f>
        <v/>
      </c>
      <c r="M90" s="678" t="str">
        <f>D_Emissions!M58</f>
        <v/>
      </c>
      <c r="N90" s="414"/>
      <c r="O90" s="25"/>
      <c r="P90" s="437"/>
      <c r="Q90" s="437"/>
      <c r="R90" s="437"/>
      <c r="S90" s="437"/>
      <c r="T90" s="437"/>
    </row>
    <row r="91" spans="1:20" s="697" customFormat="1" ht="13.5" thickBot="1" x14ac:dyDescent="0.25">
      <c r="A91" s="437"/>
      <c r="B91" s="414"/>
      <c r="C91" s="414"/>
      <c r="D91" s="414"/>
      <c r="E91" s="1543" t="str">
        <f>E_EnergyFlows!$E$20</f>
        <v>Enerģijas ielaide no kurināmajiem (no D.I)</v>
      </c>
      <c r="F91" s="1544"/>
      <c r="G91" s="1544"/>
      <c r="H91" s="675" t="str">
        <f>D_Emissions!H59</f>
        <v>TJ / gads</v>
      </c>
      <c r="I91" s="677" t="str">
        <f>D_Emissions!I59</f>
        <v/>
      </c>
      <c r="J91" s="677" t="str">
        <f>D_Emissions!J59</f>
        <v/>
      </c>
      <c r="K91" s="677" t="str">
        <f>D_Emissions!K59</f>
        <v/>
      </c>
      <c r="L91" s="677" t="str">
        <f>D_Emissions!L59</f>
        <v/>
      </c>
      <c r="M91" s="679" t="str">
        <f>D_Emissions!M59</f>
        <v/>
      </c>
      <c r="N91" s="414"/>
      <c r="O91" s="25"/>
      <c r="P91" s="437"/>
      <c r="Q91" s="437"/>
      <c r="R91" s="437"/>
      <c r="S91" s="437"/>
      <c r="T91" s="437"/>
    </row>
    <row r="92" spans="1:20" s="697" customFormat="1" ht="12.75" customHeight="1" x14ac:dyDescent="0.2">
      <c r="A92" s="437"/>
      <c r="B92" s="414"/>
      <c r="C92" s="414"/>
      <c r="D92" s="414"/>
      <c r="E92" s="1938" t="str">
        <f>E_EnergyFlows!E21</f>
        <v>Elektroenerģijas ielaide siltuma ražošanai</v>
      </c>
      <c r="F92" s="1938"/>
      <c r="G92" s="1938"/>
      <c r="H92" s="1209" t="str">
        <f>E_EnergyFlows!H21</f>
        <v>TJ / gads</v>
      </c>
      <c r="I92" s="1210" t="str">
        <f>IF(E_EnergyFlows!I21="","",E_EnergyFlows!I21)</f>
        <v/>
      </c>
      <c r="J92" s="1210" t="str">
        <f>IF(E_EnergyFlows!J21="","",E_EnergyFlows!J21)</f>
        <v/>
      </c>
      <c r="K92" s="1210" t="str">
        <f>IF(E_EnergyFlows!K21="","",E_EnergyFlows!K21)</f>
        <v/>
      </c>
      <c r="L92" s="1210" t="str">
        <f>IF(E_EnergyFlows!L21="","",E_EnergyFlows!L21)</f>
        <v/>
      </c>
      <c r="M92" s="1210" t="str">
        <f>IF(E_EnergyFlows!M21="","",E_EnergyFlows!M21)</f>
        <v/>
      </c>
      <c r="N92" s="414"/>
      <c r="O92" s="25"/>
      <c r="P92" s="437"/>
      <c r="Q92" s="437"/>
      <c r="R92" s="437"/>
      <c r="S92" s="437"/>
      <c r="T92" s="437"/>
    </row>
    <row r="93" spans="1:20" s="697" customFormat="1" ht="12.75" customHeight="1" x14ac:dyDescent="0.2">
      <c r="A93" s="437"/>
      <c r="B93" s="414"/>
      <c r="C93" s="414"/>
      <c r="D93" s="414"/>
      <c r="E93" s="1516" t="str">
        <f>E_EnergyFlows!E22</f>
        <v>Citas enerģijas (piemēram, eksotermiskā siltuma) ielaide</v>
      </c>
      <c r="F93" s="1516"/>
      <c r="G93" s="1516"/>
      <c r="H93" s="66" t="str">
        <f>E_EnergyFlows!H22</f>
        <v>TJ / gads</v>
      </c>
      <c r="I93" s="482" t="str">
        <f>IF(E_EnergyFlows!I22="","",E_EnergyFlows!I22)</f>
        <v/>
      </c>
      <c r="J93" s="482" t="str">
        <f>IF(E_EnergyFlows!J22="","",E_EnergyFlows!J22)</f>
        <v/>
      </c>
      <c r="K93" s="482" t="str">
        <f>IF(E_EnergyFlows!K22="","",E_EnergyFlows!K22)</f>
        <v/>
      </c>
      <c r="L93" s="482" t="str">
        <f>IF(E_EnergyFlows!L22="","",E_EnergyFlows!L22)</f>
        <v/>
      </c>
      <c r="M93" s="482" t="str">
        <f>IF(E_EnergyFlows!M22="","",E_EnergyFlows!M22)</f>
        <v/>
      </c>
      <c r="N93" s="414"/>
      <c r="O93" s="25"/>
      <c r="P93" s="437"/>
      <c r="Q93" s="437"/>
      <c r="R93" s="437"/>
      <c r="S93" s="437"/>
      <c r="T93" s="437"/>
    </row>
    <row r="94" spans="1:20" s="697" customFormat="1" ht="12.75" customHeight="1" x14ac:dyDescent="0.2">
      <c r="A94" s="437"/>
      <c r="B94" s="414"/>
      <c r="C94" s="414"/>
      <c r="D94" s="414"/>
      <c r="E94" s="1516" t="str">
        <f>E_EnergyFlows!E23</f>
        <v>Kopējā enerģijas ielaide (iepriekš minēto elementu summa)</v>
      </c>
      <c r="F94" s="1516"/>
      <c r="G94" s="1516"/>
      <c r="H94" s="66" t="str">
        <f>E_EnergyFlows!H23</f>
        <v>TJ / gads</v>
      </c>
      <c r="I94" s="328" t="str">
        <f>E_EnergyFlows!I23</f>
        <v/>
      </c>
      <c r="J94" s="328" t="str">
        <f>E_EnergyFlows!J23</f>
        <v/>
      </c>
      <c r="K94" s="328" t="str">
        <f>E_EnergyFlows!K23</f>
        <v/>
      </c>
      <c r="L94" s="328" t="str">
        <f>E_EnergyFlows!L23</f>
        <v/>
      </c>
      <c r="M94" s="328" t="str">
        <f>E_EnergyFlows!M23</f>
        <v/>
      </c>
      <c r="N94" s="414"/>
      <c r="O94" s="25"/>
      <c r="P94" s="437"/>
      <c r="Q94" s="437"/>
      <c r="R94" s="437"/>
      <c r="S94" s="437"/>
      <c r="T94" s="437"/>
    </row>
    <row r="95" spans="1:20" s="697" customFormat="1" ht="5.0999999999999996" customHeight="1" x14ac:dyDescent="0.2">
      <c r="A95" s="437"/>
      <c r="B95" s="414"/>
      <c r="C95" s="414"/>
      <c r="D95" s="414"/>
      <c r="E95" s="414"/>
      <c r="F95" s="414"/>
      <c r="G95" s="414"/>
      <c r="H95" s="414"/>
      <c r="I95" s="414"/>
      <c r="J95" s="414"/>
      <c r="K95" s="414"/>
      <c r="L95" s="414"/>
      <c r="M95" s="414"/>
      <c r="N95" s="414"/>
      <c r="O95" s="25"/>
      <c r="P95" s="437"/>
      <c r="Q95" s="437"/>
      <c r="R95" s="437"/>
      <c r="S95" s="437"/>
      <c r="T95" s="437"/>
    </row>
    <row r="96" spans="1:20" s="697" customFormat="1" ht="12.75" customHeight="1" x14ac:dyDescent="0.2">
      <c r="A96" s="437"/>
      <c r="B96" s="414"/>
      <c r="C96" s="414"/>
      <c r="D96" s="414"/>
      <c r="E96" s="1516" t="str">
        <f>D_Emissions!E61</f>
        <v>Nulles faktora biomasas īpatsvars</v>
      </c>
      <c r="F96" s="1516"/>
      <c r="G96" s="1516"/>
      <c r="H96" s="459" t="s">
        <v>392</v>
      </c>
      <c r="I96" s="1225" t="str">
        <f>D_Emissions!I61</f>
        <v/>
      </c>
      <c r="J96" s="1225" t="str">
        <f>D_Emissions!J61</f>
        <v/>
      </c>
      <c r="K96" s="1225" t="str">
        <f>D_Emissions!K61</f>
        <v/>
      </c>
      <c r="L96" s="1225" t="str">
        <f>D_Emissions!L61</f>
        <v/>
      </c>
      <c r="M96" s="1225" t="str">
        <f>D_Emissions!M61</f>
        <v/>
      </c>
      <c r="N96" s="414"/>
      <c r="O96" s="25"/>
      <c r="P96" s="437"/>
      <c r="Q96" s="437"/>
      <c r="R96" s="437"/>
      <c r="S96" s="437"/>
      <c r="T96" s="437"/>
    </row>
    <row r="97" spans="1:20" s="697" customFormat="1" ht="12.75" customHeight="1" x14ac:dyDescent="0.2">
      <c r="A97" s="437"/>
      <c r="B97" s="414"/>
      <c r="C97" s="414"/>
      <c r="D97" s="414"/>
      <c r="E97" s="414"/>
      <c r="F97" s="414"/>
      <c r="G97" s="414"/>
      <c r="H97" s="414"/>
      <c r="I97" s="414"/>
      <c r="J97" s="414"/>
      <c r="K97" s="414"/>
      <c r="L97" s="414"/>
      <c r="M97" s="414"/>
      <c r="N97" s="414"/>
      <c r="O97" s="25"/>
      <c r="P97" s="437"/>
      <c r="Q97" s="437"/>
      <c r="R97" s="437"/>
      <c r="S97" s="437"/>
      <c r="T97" s="437"/>
    </row>
    <row r="98" spans="1:20" s="697" customFormat="1" ht="15" x14ac:dyDescent="0.25">
      <c r="A98" s="437"/>
      <c r="B98" s="414"/>
      <c r="C98" s="36">
        <v>2</v>
      </c>
      <c r="D98" s="1318" t="str">
        <f>Translations!$B$1168</f>
        <v>Emisiju attiecināšana uz apakšiekārtām (D lapas II sadaļa)</v>
      </c>
      <c r="E98" s="1251"/>
      <c r="F98" s="1251"/>
      <c r="G98" s="1251"/>
      <c r="H98" s="1251"/>
      <c r="I98" s="1251"/>
      <c r="J98" s="1251"/>
      <c r="K98" s="1251"/>
      <c r="L98" s="1251"/>
      <c r="M98" s="1251"/>
      <c r="N98" s="1251"/>
      <c r="O98" s="25"/>
      <c r="P98" s="437"/>
      <c r="Q98" s="437"/>
      <c r="R98" s="437"/>
      <c r="S98" s="437"/>
      <c r="T98" s="437"/>
    </row>
    <row r="99" spans="1:20" s="697" customFormat="1" ht="5.0999999999999996" customHeight="1" x14ac:dyDescent="0.2">
      <c r="A99" s="437"/>
      <c r="B99" s="21"/>
      <c r="C99" s="21"/>
      <c r="D99" s="23"/>
      <c r="E99" s="23"/>
      <c r="F99" s="23"/>
      <c r="G99" s="23"/>
      <c r="H99" s="23"/>
      <c r="I99" s="23"/>
      <c r="J99" s="23"/>
      <c r="K99" s="23"/>
      <c r="L99" s="23"/>
      <c r="M99" s="44"/>
      <c r="N99" s="44"/>
      <c r="O99" s="25"/>
      <c r="P99" s="26"/>
      <c r="Q99" s="199"/>
      <c r="R99" s="437"/>
      <c r="S99" s="437"/>
      <c r="T99" s="437"/>
    </row>
    <row r="100" spans="1:20" ht="12.75" customHeight="1" x14ac:dyDescent="0.2">
      <c r="B100" s="21"/>
      <c r="C100" s="21"/>
      <c r="D100" s="34"/>
      <c r="E100" s="1319" t="str">
        <f>Translations!$B$1169</f>
        <v>Dati ir automātiski ņemti no attiecīgajiem ierakstiem gaiši zilajās šūnās pie katras apakšiekārtas F un G lapā.</v>
      </c>
      <c r="F100" s="1251"/>
      <c r="G100" s="1251"/>
      <c r="H100" s="1251"/>
      <c r="I100" s="1251"/>
      <c r="J100" s="1251"/>
      <c r="K100" s="1251"/>
      <c r="L100" s="1251"/>
      <c r="M100" s="1251"/>
      <c r="N100" s="1251"/>
      <c r="O100" s="25"/>
      <c r="P100" s="26"/>
    </row>
    <row r="101" spans="1:20" ht="12.75" customHeight="1" x14ac:dyDescent="0.2">
      <c r="B101" s="21"/>
      <c r="C101" s="21"/>
      <c r="D101" s="34"/>
      <c r="E101" s="1319" t="str">
        <f>Translations!$B$1170</f>
        <v>Attiecināmās emisijas ir noteiktas šādi.</v>
      </c>
      <c r="F101" s="1251"/>
      <c r="G101" s="1251"/>
      <c r="H101" s="1251"/>
      <c r="I101" s="1251"/>
      <c r="J101" s="1251"/>
      <c r="K101" s="1251"/>
      <c r="L101" s="1251"/>
      <c r="M101" s="1251"/>
      <c r="N101" s="1251"/>
      <c r="O101" s="25"/>
      <c r="P101" s="26"/>
    </row>
    <row r="102" spans="1:20" ht="25.5" customHeight="1" x14ac:dyDescent="0.2">
      <c r="B102" s="21"/>
      <c r="C102" s="21"/>
      <c r="D102" s="34"/>
      <c r="E102" s="759" t="s">
        <v>579</v>
      </c>
      <c r="F102" s="1301" t="str">
        <f>Translations!$B$843</f>
        <v>Tiešās emisijas monitorē saskaņā ar monitoringa plānu, kas apstiprināts saskaņā ar MZR, t. i., ņemot vērā emisijas, kas iegūtas ar aprēķinos balstītām metodikām (izmantojot avota plūsmas), mērījumos balstītām metodikām (CEMS), kā arī bezpakāpju pieejas (“rezerves pieejas”).</v>
      </c>
      <c r="G102" s="1301"/>
      <c r="H102" s="1301"/>
      <c r="I102" s="1301"/>
      <c r="J102" s="1301"/>
      <c r="K102" s="1301"/>
      <c r="L102" s="1301"/>
      <c r="M102" s="1301"/>
      <c r="N102" s="1301"/>
      <c r="O102" s="25"/>
      <c r="P102" s="26"/>
    </row>
    <row r="103" spans="1:20" ht="12.75" customHeight="1" x14ac:dyDescent="0.2">
      <c r="B103" s="21"/>
      <c r="C103" s="21"/>
      <c r="D103" s="34"/>
      <c r="E103" s="875" t="s">
        <v>581</v>
      </c>
      <c r="F103" s="1301" t="str">
        <f>Translations!$B$1171</f>
        <v>Emisijas, kas saistītas ar citām iekšējām avota plūsmām</v>
      </c>
      <c r="G103" s="1301"/>
      <c r="H103" s="1301"/>
      <c r="I103" s="1301"/>
      <c r="J103" s="1301"/>
      <c r="K103" s="1301"/>
      <c r="L103" s="1301"/>
      <c r="M103" s="1301"/>
      <c r="N103" s="1301"/>
      <c r="O103" s="25"/>
      <c r="P103" s="26"/>
    </row>
    <row r="104" spans="1:20" ht="12.75" customHeight="1" x14ac:dyDescent="0.2">
      <c r="B104" s="21"/>
      <c r="C104" s="21"/>
      <c r="D104" s="34"/>
      <c r="E104" s="875" t="s">
        <v>581</v>
      </c>
      <c r="F104" s="1301" t="str">
        <f>Translations!$B$1172</f>
        <v>To SEG daudzums, kas importētas un eksportētas kā ievadmateriāli</v>
      </c>
      <c r="G104" s="1301"/>
      <c r="H104" s="1301"/>
      <c r="I104" s="1301"/>
      <c r="J104" s="1301"/>
      <c r="K104" s="1301"/>
      <c r="L104" s="1301"/>
      <c r="M104" s="1301"/>
      <c r="N104" s="1301"/>
      <c r="O104" s="25"/>
      <c r="P104" s="26"/>
    </row>
    <row r="105" spans="1:20" ht="12.75" customHeight="1" x14ac:dyDescent="0.2">
      <c r="B105" s="21"/>
      <c r="C105" s="21"/>
      <c r="D105" s="34"/>
      <c r="E105" s="875" t="s">
        <v>580</v>
      </c>
      <c r="F105" s="1301" t="str">
        <f>Translations!$B$1173</f>
        <v>Ar importēto siltumu saistītas emisijas saskaņā ar FAR VII pielikuma 10.1.2. un 10.1.3. iedaļu.</v>
      </c>
      <c r="G105" s="1301"/>
      <c r="H105" s="1301"/>
      <c r="I105" s="1301"/>
      <c r="J105" s="1301"/>
      <c r="K105" s="1301"/>
      <c r="L105" s="1301"/>
      <c r="M105" s="1301"/>
      <c r="N105" s="1301"/>
      <c r="O105" s="25"/>
      <c r="P105" s="26"/>
    </row>
    <row r="106" spans="1:20" ht="12.75" customHeight="1" x14ac:dyDescent="0.2">
      <c r="B106" s="21"/>
      <c r="C106" s="21"/>
      <c r="D106" s="34"/>
      <c r="E106" s="875" t="s">
        <v>392</v>
      </c>
      <c r="F106" s="1301" t="str">
        <f>Translations!$B$1174</f>
        <v>Ar eksportēto siltumu saistītas emisijas saskaņā ar FAR VII pielikuma 10.1.2. un 10.1.3. iedaļu.</v>
      </c>
      <c r="G106" s="1301"/>
      <c r="H106" s="1301"/>
      <c r="I106" s="1301"/>
      <c r="J106" s="1301"/>
      <c r="K106" s="1301"/>
      <c r="L106" s="1301"/>
      <c r="M106" s="1301"/>
      <c r="N106" s="1301"/>
      <c r="O106" s="25"/>
      <c r="P106" s="26"/>
    </row>
    <row r="107" spans="1:20" x14ac:dyDescent="0.2">
      <c r="B107" s="21"/>
      <c r="C107" s="21"/>
      <c r="D107" s="34"/>
      <c r="E107" s="875" t="s">
        <v>580</v>
      </c>
      <c r="F107" s="1301" t="str">
        <f>Translations!$B$1175</f>
        <v>Ar importētajām atlikumgāzēm saistītas emisijas saskaņā ar FAR VII pielikuma 10.1.5. iedaļu.</v>
      </c>
      <c r="G107" s="1301"/>
      <c r="H107" s="1301"/>
      <c r="I107" s="1301"/>
      <c r="J107" s="1301"/>
      <c r="K107" s="1301"/>
      <c r="L107" s="1301"/>
      <c r="M107" s="1301"/>
      <c r="N107" s="1301"/>
      <c r="O107" s="25"/>
      <c r="P107" s="26"/>
    </row>
    <row r="108" spans="1:20" ht="25.5" customHeight="1" x14ac:dyDescent="0.2">
      <c r="B108" s="21"/>
      <c r="C108" s="21"/>
      <c r="D108" s="34"/>
      <c r="E108" s="875" t="s">
        <v>392</v>
      </c>
      <c r="F108" s="1301" t="str">
        <f>Translations!$B$1176</f>
        <v>Ar eksportētajām atlikumgāzēm saistītas emisijas saskaņā ar FAR VII pielikuma 10.1.5. iedaļu (tās aprēķina, atņemot enerģētisko saturu, kas reizināts ar dabasgāzes emisijas faktoru un noklusējuma korekcijas koeficientu 0,667).</v>
      </c>
      <c r="G108" s="1301"/>
      <c r="H108" s="1301"/>
      <c r="I108" s="1301"/>
      <c r="J108" s="1301"/>
      <c r="K108" s="1301"/>
      <c r="L108" s="1301"/>
      <c r="M108" s="1301"/>
      <c r="N108" s="1301"/>
      <c r="O108" s="25"/>
      <c r="P108" s="26"/>
    </row>
    <row r="109" spans="1:20" x14ac:dyDescent="0.2">
      <c r="B109" s="21"/>
      <c r="C109" s="21"/>
      <c r="D109" s="34"/>
      <c r="E109" s="875" t="s">
        <v>392</v>
      </c>
      <c r="F109" s="1301" t="str">
        <f>Translations!$B$1178</f>
        <v>Emisijas, kas saistītas ar elektroenerģiju, kura nav saražota ar izmērāma siltuma starpniecību.</v>
      </c>
      <c r="G109" s="1301"/>
      <c r="H109" s="1301"/>
      <c r="I109" s="1301"/>
      <c r="J109" s="1301"/>
      <c r="K109" s="1301"/>
      <c r="L109" s="1301"/>
      <c r="M109" s="1301"/>
      <c r="N109" s="1301"/>
      <c r="O109" s="25"/>
      <c r="P109" s="26"/>
    </row>
    <row r="110" spans="1:20" ht="38.25" customHeight="1" x14ac:dyDescent="0.2">
      <c r="B110" s="21"/>
      <c r="C110" s="21"/>
      <c r="D110" s="34"/>
      <c r="E110" s="1319" t="str">
        <f>Translations!$B$1721</f>
        <v>“Kopējās tiešās emisijas” un vērtību “citas emisijas” attēlo kontroles nolūkā. Tās ietver emisijas, kas saistītas ar elektroenerģijas ražošanu, sadedzināšanu lāpā, izņemot sadedzināšanu lāpā drošības apsvērumu dēļ, un citas emisijas, par kurām bezmaksas kvotas neiedala. Dažos gadījumos attiecināto emisiju summa var nesakrist ar iekārtas kopējām emisijām, piemēram, ja ir relevants siltuma vai atlikumgāzu imports vai eksports.</v>
      </c>
      <c r="F110" s="1251"/>
      <c r="G110" s="1251"/>
      <c r="H110" s="1251"/>
      <c r="I110" s="1251"/>
      <c r="J110" s="1251"/>
      <c r="K110" s="1251"/>
      <c r="L110" s="1251"/>
      <c r="M110" s="1251"/>
      <c r="N110" s="1251"/>
      <c r="O110" s="25"/>
      <c r="P110" s="26"/>
    </row>
    <row r="111" spans="1:20" ht="12.75" customHeight="1" thickBot="1" x14ac:dyDescent="0.25">
      <c r="B111" s="21"/>
      <c r="C111" s="21"/>
      <c r="D111" s="34"/>
      <c r="E111" s="440"/>
      <c r="F111" s="440"/>
      <c r="G111" s="440"/>
      <c r="H111" s="53" t="str">
        <f>EUconst_Unit</f>
        <v>Vienība</v>
      </c>
      <c r="I111" s="412">
        <f>D_Emissions!I$312</f>
        <v>2019</v>
      </c>
      <c r="J111" s="412">
        <f>D_Emissions!J$312</f>
        <v>2020</v>
      </c>
      <c r="K111" s="412">
        <f>D_Emissions!K$312</f>
        <v>2021</v>
      </c>
      <c r="L111" s="412">
        <f>D_Emissions!L$312</f>
        <v>2022</v>
      </c>
      <c r="M111" s="412">
        <f>D_Emissions!M$312</f>
        <v>2023</v>
      </c>
      <c r="N111" s="440"/>
      <c r="O111" s="25"/>
      <c r="P111" s="26"/>
    </row>
    <row r="112" spans="1:20" ht="12.75" customHeight="1" thickBot="1" x14ac:dyDescent="0.25">
      <c r="B112" s="21"/>
      <c r="C112" s="21"/>
      <c r="D112" s="34"/>
      <c r="E112" s="1543" t="str">
        <f>E90</f>
        <v>Iekārtas kopējās tiešās emisijas</v>
      </c>
      <c r="F112" s="1544"/>
      <c r="G112" s="1544"/>
      <c r="H112" s="675" t="str">
        <f t="shared" ref="H112:M112" si="3">H90</f>
        <v>t CO2e/gads</v>
      </c>
      <c r="I112" s="676" t="str">
        <f t="shared" si="3"/>
        <v/>
      </c>
      <c r="J112" s="676" t="str">
        <f t="shared" si="3"/>
        <v/>
      </c>
      <c r="K112" s="676" t="str">
        <f t="shared" si="3"/>
        <v/>
      </c>
      <c r="L112" s="676" t="str">
        <f t="shared" si="3"/>
        <v/>
      </c>
      <c r="M112" s="678" t="str">
        <f t="shared" si="3"/>
        <v/>
      </c>
      <c r="N112" s="440"/>
      <c r="O112" s="25"/>
      <c r="P112" s="26"/>
    </row>
    <row r="113" spans="2:19" ht="5.0999999999999996" customHeight="1" x14ac:dyDescent="0.2">
      <c r="B113" s="21"/>
      <c r="C113" s="21"/>
      <c r="D113" s="34"/>
      <c r="E113" s="440"/>
      <c r="F113" s="440"/>
      <c r="G113" s="440"/>
      <c r="H113" s="440"/>
      <c r="I113" s="440"/>
      <c r="J113" s="440"/>
      <c r="K113" s="440"/>
      <c r="L113" s="440"/>
      <c r="M113" s="440"/>
      <c r="N113" s="440"/>
      <c r="O113" s="25"/>
      <c r="P113" s="26"/>
    </row>
    <row r="114" spans="2:19" ht="13.5" thickBot="1" x14ac:dyDescent="0.25">
      <c r="B114" s="21"/>
      <c r="C114" s="21"/>
      <c r="D114" s="32"/>
      <c r="E114" s="1320" t="str">
        <f>Translations!$B$1184</f>
        <v>Apakšiekārtas līmeņa dati:</v>
      </c>
      <c r="F114" s="1320"/>
      <c r="G114" s="1320"/>
      <c r="H114" s="53" t="str">
        <f>EUconst_Unit</f>
        <v>Vienība</v>
      </c>
      <c r="I114" s="412">
        <f>D_Emissions!I$312</f>
        <v>2019</v>
      </c>
      <c r="J114" s="412">
        <f>D_Emissions!J$312</f>
        <v>2020</v>
      </c>
      <c r="K114" s="412">
        <f>D_Emissions!K$312</f>
        <v>2021</v>
      </c>
      <c r="L114" s="412">
        <f>D_Emissions!L$312</f>
        <v>2022</v>
      </c>
      <c r="M114" s="412">
        <f>D_Emissions!M$312</f>
        <v>2023</v>
      </c>
      <c r="N114" s="25"/>
      <c r="O114" s="25"/>
      <c r="S114" s="437" t="s">
        <v>553</v>
      </c>
    </row>
    <row r="115" spans="2:19" x14ac:dyDescent="0.2">
      <c r="B115" s="38"/>
      <c r="C115" s="38"/>
      <c r="D115" s="440"/>
      <c r="E115" s="1928" t="str">
        <f t="shared" ref="E115:E124" si="4">IF(INDEX(CNTR_SubInstListIsProdBM,Q115),INDEX(CNTR_SubInstListNames,Q115),"")</f>
        <v/>
      </c>
      <c r="F115" s="1928"/>
      <c r="G115" s="1928"/>
      <c r="H115" s="449" t="str">
        <f t="shared" ref="H115:H135" si="5">EUconst_tCO2epa</f>
        <v>t CO2e/gads</v>
      </c>
      <c r="I115" s="349" t="str">
        <f>IF(ISNUMBER(D_Emissions!I$68),IF($E115="","",IF(SUMIF(F_ProductBM!$R:$R,$S115,F_ProductBM!S:S)&gt;0,EUconst_NA,SUMIF(F_ProductBM!$R:$R,$P115,F_ProductBM!S:S))),"")</f>
        <v/>
      </c>
      <c r="J115" s="349" t="str">
        <f>IF(ISNUMBER(D_Emissions!J$68),IF($E115="","",IF(SUMIF(F_ProductBM!$R:$R,$S115,F_ProductBM!T:T)&gt;0,EUconst_NA,SUMIF(F_ProductBM!$R:$R,$P115,F_ProductBM!T:T))),"")</f>
        <v/>
      </c>
      <c r="K115" s="349" t="str">
        <f>IF(ISNUMBER(D_Emissions!K$68),IF($E115="","",IF(SUMIF(F_ProductBM!$R:$R,$S115,F_ProductBM!U:U)&gt;0,EUconst_NA,SUMIF(F_ProductBM!$R:$R,$P115,F_ProductBM!U:U))),"")</f>
        <v/>
      </c>
      <c r="L115" s="349" t="str">
        <f>IF(ISNUMBER(D_Emissions!L$68),IF($E115="","",IF(SUMIF(F_ProductBM!$R:$R,$S115,F_ProductBM!V:V)&gt;0,EUconst_NA,SUMIF(F_ProductBM!$R:$R,$P115,F_ProductBM!V:V))),"")</f>
        <v/>
      </c>
      <c r="M115" s="349" t="str">
        <f>IF(ISNUMBER(D_Emissions!M$68),IF($E115="","",IF(SUMIF(F_ProductBM!$R:$R,$S115,F_ProductBM!W:W)&gt;0,EUconst_NA,SUMIF(F_ProductBM!$R:$R,$P115,F_ProductBM!W:W))),"")</f>
        <v/>
      </c>
      <c r="N115" s="25"/>
      <c r="O115" s="25"/>
      <c r="P115" s="196" t="str">
        <f t="shared" ref="P115:P131" si="6">EUconst_CNTR_AttributedEmissions &amp; E115</f>
        <v>AttrEmissions_</v>
      </c>
      <c r="Q115" s="443">
        <v>1</v>
      </c>
      <c r="S115" s="134" t="str">
        <f t="shared" ref="S115:S134" si="7">EUconst_ERR_AttrEmBMapplied &amp; E115</f>
        <v>ERR_AttrEmBM_ </v>
      </c>
    </row>
    <row r="116" spans="2:19" x14ac:dyDescent="0.2">
      <c r="B116" s="38"/>
      <c r="C116" s="38"/>
      <c r="D116" s="440"/>
      <c r="E116" s="1909" t="str">
        <f t="shared" si="4"/>
        <v/>
      </c>
      <c r="F116" s="1909"/>
      <c r="G116" s="1909"/>
      <c r="H116" s="736" t="str">
        <f t="shared" si="5"/>
        <v>t CO2e/gads</v>
      </c>
      <c r="I116" s="341" t="str">
        <f>IF(ISNUMBER(D_Emissions!I$68),IF($E116="","",IF(SUMIF(F_ProductBM!$R:$R,$S116,F_ProductBM!S:S)&gt;0,EUconst_NA,SUMIF(F_ProductBM!$R:$R,$P116,F_ProductBM!S:S))),"")</f>
        <v/>
      </c>
      <c r="J116" s="341" t="str">
        <f>IF(ISNUMBER(D_Emissions!J$68),IF($E116="","",IF(SUMIF(F_ProductBM!$R:$R,$S116,F_ProductBM!T:T)&gt;0,EUconst_NA,SUMIF(F_ProductBM!$R:$R,$P116,F_ProductBM!T:T))),"")</f>
        <v/>
      </c>
      <c r="K116" s="341" t="str">
        <f>IF(ISNUMBER(D_Emissions!K$68),IF($E116="","",IF(SUMIF(F_ProductBM!$R:$R,$S116,F_ProductBM!U:U)&gt;0,EUconst_NA,SUMIF(F_ProductBM!$R:$R,$P116,F_ProductBM!U:U))),"")</f>
        <v/>
      </c>
      <c r="L116" s="341" t="str">
        <f>IF(ISNUMBER(D_Emissions!L$68),IF($E116="","",IF(SUMIF(F_ProductBM!$R:$R,$S116,F_ProductBM!V:V)&gt;0,EUconst_NA,SUMIF(F_ProductBM!$R:$R,$P116,F_ProductBM!V:V))),"")</f>
        <v/>
      </c>
      <c r="M116" s="341" t="str">
        <f>IF(ISNUMBER(D_Emissions!M$68),IF($E116="","",IF(SUMIF(F_ProductBM!$R:$R,$S116,F_ProductBM!W:W)&gt;0,EUconst_NA,SUMIF(F_ProductBM!$R:$R,$P116,F_ProductBM!W:W))),"")</f>
        <v/>
      </c>
      <c r="N116" s="25"/>
      <c r="O116" s="25"/>
      <c r="P116" s="361" t="str">
        <f t="shared" si="6"/>
        <v>AttrEmissions_</v>
      </c>
      <c r="Q116" s="441">
        <v>2</v>
      </c>
      <c r="S116" s="134" t="str">
        <f t="shared" si="7"/>
        <v>ERR_AttrEmBM_ </v>
      </c>
    </row>
    <row r="117" spans="2:19" ht="12.75" customHeight="1" x14ac:dyDescent="0.2">
      <c r="B117" s="38"/>
      <c r="C117" s="38"/>
      <c r="D117" s="440"/>
      <c r="E117" s="1909" t="str">
        <f t="shared" si="4"/>
        <v/>
      </c>
      <c r="F117" s="1909"/>
      <c r="G117" s="1909"/>
      <c r="H117" s="736" t="str">
        <f t="shared" si="5"/>
        <v>t CO2e/gads</v>
      </c>
      <c r="I117" s="341" t="str">
        <f>IF(ISNUMBER(D_Emissions!I$68),IF($E117="","",IF(SUMIF(F_ProductBM!$R:$R,$S117,F_ProductBM!S:S)&gt;0,EUconst_NA,SUMIF(F_ProductBM!$R:$R,$P117,F_ProductBM!S:S))),"")</f>
        <v/>
      </c>
      <c r="J117" s="341" t="str">
        <f>IF(ISNUMBER(D_Emissions!J$68),IF($E117="","",IF(SUMIF(F_ProductBM!$R:$R,$S117,F_ProductBM!T:T)&gt;0,EUconst_NA,SUMIF(F_ProductBM!$R:$R,$P117,F_ProductBM!T:T))),"")</f>
        <v/>
      </c>
      <c r="K117" s="341" t="str">
        <f>IF(ISNUMBER(D_Emissions!K$68),IF($E117="","",IF(SUMIF(F_ProductBM!$R:$R,$S117,F_ProductBM!U:U)&gt;0,EUconst_NA,SUMIF(F_ProductBM!$R:$R,$P117,F_ProductBM!U:U))),"")</f>
        <v/>
      </c>
      <c r="L117" s="341" t="str">
        <f>IF(ISNUMBER(D_Emissions!L$68),IF($E117="","",IF(SUMIF(F_ProductBM!$R:$R,$S117,F_ProductBM!V:V)&gt;0,EUconst_NA,SUMIF(F_ProductBM!$R:$R,$P117,F_ProductBM!V:V))),"")</f>
        <v/>
      </c>
      <c r="M117" s="341" t="str">
        <f>IF(ISNUMBER(D_Emissions!M$68),IF($E117="","",IF(SUMIF(F_ProductBM!$R:$R,$S117,F_ProductBM!W:W)&gt;0,EUconst_NA,SUMIF(F_ProductBM!$R:$R,$P117,F_ProductBM!W:W))),"")</f>
        <v/>
      </c>
      <c r="N117" s="25"/>
      <c r="O117" s="25"/>
      <c r="P117" s="361" t="str">
        <f t="shared" si="6"/>
        <v>AttrEmissions_</v>
      </c>
      <c r="Q117" s="441">
        <v>3</v>
      </c>
      <c r="S117" s="134" t="str">
        <f t="shared" si="7"/>
        <v>ERR_AttrEmBM_ </v>
      </c>
    </row>
    <row r="118" spans="2:19" x14ac:dyDescent="0.2">
      <c r="B118" s="38"/>
      <c r="C118" s="38"/>
      <c r="D118" s="440"/>
      <c r="E118" s="1909" t="str">
        <f t="shared" si="4"/>
        <v/>
      </c>
      <c r="F118" s="1909"/>
      <c r="G118" s="1909"/>
      <c r="H118" s="736" t="str">
        <f t="shared" si="5"/>
        <v>t CO2e/gads</v>
      </c>
      <c r="I118" s="341" t="str">
        <f>IF(ISNUMBER(D_Emissions!I$68),IF($E118="","",IF(SUMIF(F_ProductBM!$R:$R,$S118,F_ProductBM!S:S)&gt;0,EUconst_NA,SUMIF(F_ProductBM!$R:$R,$P118,F_ProductBM!S:S))),"")</f>
        <v/>
      </c>
      <c r="J118" s="341" t="str">
        <f>IF(ISNUMBER(D_Emissions!J$68),IF($E118="","",IF(SUMIF(F_ProductBM!$R:$R,$S118,F_ProductBM!T:T)&gt;0,EUconst_NA,SUMIF(F_ProductBM!$R:$R,$P118,F_ProductBM!T:T))),"")</f>
        <v/>
      </c>
      <c r="K118" s="341" t="str">
        <f>IF(ISNUMBER(D_Emissions!K$68),IF($E118="","",IF(SUMIF(F_ProductBM!$R:$R,$S118,F_ProductBM!U:U)&gt;0,EUconst_NA,SUMIF(F_ProductBM!$R:$R,$P118,F_ProductBM!U:U))),"")</f>
        <v/>
      </c>
      <c r="L118" s="341" t="str">
        <f>IF(ISNUMBER(D_Emissions!L$68),IF($E118="","",IF(SUMIF(F_ProductBM!$R:$R,$S118,F_ProductBM!V:V)&gt;0,EUconst_NA,SUMIF(F_ProductBM!$R:$R,$P118,F_ProductBM!V:V))),"")</f>
        <v/>
      </c>
      <c r="M118" s="341" t="str">
        <f>IF(ISNUMBER(D_Emissions!M$68),IF($E118="","",IF(SUMIF(F_ProductBM!$R:$R,$S118,F_ProductBM!W:W)&gt;0,EUconst_NA,SUMIF(F_ProductBM!$R:$R,$P118,F_ProductBM!W:W))),"")</f>
        <v/>
      </c>
      <c r="N118" s="25"/>
      <c r="O118" s="25"/>
      <c r="P118" s="361" t="str">
        <f t="shared" si="6"/>
        <v>AttrEmissions_</v>
      </c>
      <c r="Q118" s="441">
        <v>4</v>
      </c>
      <c r="S118" s="134" t="str">
        <f t="shared" si="7"/>
        <v>ERR_AttrEmBM_ </v>
      </c>
    </row>
    <row r="119" spans="2:19" x14ac:dyDescent="0.2">
      <c r="B119" s="38"/>
      <c r="C119" s="38"/>
      <c r="D119" s="440"/>
      <c r="E119" s="1909" t="str">
        <f t="shared" si="4"/>
        <v/>
      </c>
      <c r="F119" s="1909"/>
      <c r="G119" s="1909"/>
      <c r="H119" s="736" t="str">
        <f t="shared" si="5"/>
        <v>t CO2e/gads</v>
      </c>
      <c r="I119" s="341" t="str">
        <f>IF(ISNUMBER(D_Emissions!I$68),IF($E119="","",IF(SUMIF(F_ProductBM!$R:$R,$S119,F_ProductBM!S:S)&gt;0,EUconst_NA,SUMIF(F_ProductBM!$R:$R,$P119,F_ProductBM!S:S))),"")</f>
        <v/>
      </c>
      <c r="J119" s="341" t="str">
        <f>IF(ISNUMBER(D_Emissions!J$68),IF($E119="","",IF(SUMIF(F_ProductBM!$R:$R,$S119,F_ProductBM!T:T)&gt;0,EUconst_NA,SUMIF(F_ProductBM!$R:$R,$P119,F_ProductBM!T:T))),"")</f>
        <v/>
      </c>
      <c r="K119" s="341" t="str">
        <f>IF(ISNUMBER(D_Emissions!K$68),IF($E119="","",IF(SUMIF(F_ProductBM!$R:$R,$S119,F_ProductBM!U:U)&gt;0,EUconst_NA,SUMIF(F_ProductBM!$R:$R,$P119,F_ProductBM!U:U))),"")</f>
        <v/>
      </c>
      <c r="L119" s="341" t="str">
        <f>IF(ISNUMBER(D_Emissions!L$68),IF($E119="","",IF(SUMIF(F_ProductBM!$R:$R,$S119,F_ProductBM!V:V)&gt;0,EUconst_NA,SUMIF(F_ProductBM!$R:$R,$P119,F_ProductBM!V:V))),"")</f>
        <v/>
      </c>
      <c r="M119" s="341" t="str">
        <f>IF(ISNUMBER(D_Emissions!M$68),IF($E119="","",IF(SUMIF(F_ProductBM!$R:$R,$S119,F_ProductBM!W:W)&gt;0,EUconst_NA,SUMIF(F_ProductBM!$R:$R,$P119,F_ProductBM!W:W))),"")</f>
        <v/>
      </c>
      <c r="N119" s="25"/>
      <c r="O119" s="25"/>
      <c r="P119" s="361" t="str">
        <f t="shared" si="6"/>
        <v>AttrEmissions_</v>
      </c>
      <c r="Q119" s="441">
        <v>5</v>
      </c>
      <c r="S119" s="134" t="str">
        <f t="shared" si="7"/>
        <v>ERR_AttrEmBM_ </v>
      </c>
    </row>
    <row r="120" spans="2:19" ht="12.75" customHeight="1" x14ac:dyDescent="0.2">
      <c r="B120" s="38"/>
      <c r="C120" s="38"/>
      <c r="D120" s="440"/>
      <c r="E120" s="1909" t="str">
        <f t="shared" si="4"/>
        <v/>
      </c>
      <c r="F120" s="1909"/>
      <c r="G120" s="1909"/>
      <c r="H120" s="736" t="str">
        <f t="shared" si="5"/>
        <v>t CO2e/gads</v>
      </c>
      <c r="I120" s="341" t="str">
        <f>IF(ISNUMBER(D_Emissions!I$68),IF($E120="","",IF(SUMIF(F_ProductBM!$R:$R,$S120,F_ProductBM!S:S)&gt;0,EUconst_NA,SUMIF(F_ProductBM!$R:$R,$P120,F_ProductBM!S:S))),"")</f>
        <v/>
      </c>
      <c r="J120" s="341" t="str">
        <f>IF(ISNUMBER(D_Emissions!J$68),IF($E120="","",IF(SUMIF(F_ProductBM!$R:$R,$S120,F_ProductBM!T:T)&gt;0,EUconst_NA,SUMIF(F_ProductBM!$R:$R,$P120,F_ProductBM!T:T))),"")</f>
        <v/>
      </c>
      <c r="K120" s="341" t="str">
        <f>IF(ISNUMBER(D_Emissions!K$68),IF($E120="","",IF(SUMIF(F_ProductBM!$R:$R,$S120,F_ProductBM!U:U)&gt;0,EUconst_NA,SUMIF(F_ProductBM!$R:$R,$P120,F_ProductBM!U:U))),"")</f>
        <v/>
      </c>
      <c r="L120" s="341" t="str">
        <f>IF(ISNUMBER(D_Emissions!L$68),IF($E120="","",IF(SUMIF(F_ProductBM!$R:$R,$S120,F_ProductBM!V:V)&gt;0,EUconst_NA,SUMIF(F_ProductBM!$R:$R,$P120,F_ProductBM!V:V))),"")</f>
        <v/>
      </c>
      <c r="M120" s="341" t="str">
        <f>IF(ISNUMBER(D_Emissions!M$68),IF($E120="","",IF(SUMIF(F_ProductBM!$R:$R,$S120,F_ProductBM!W:W)&gt;0,EUconst_NA,SUMIF(F_ProductBM!$R:$R,$P120,F_ProductBM!W:W))),"")</f>
        <v/>
      </c>
      <c r="N120" s="25"/>
      <c r="O120" s="25"/>
      <c r="P120" s="361" t="str">
        <f t="shared" si="6"/>
        <v>AttrEmissions_</v>
      </c>
      <c r="Q120" s="441">
        <v>6</v>
      </c>
      <c r="S120" s="134" t="str">
        <f t="shared" si="7"/>
        <v>ERR_AttrEmBM_ </v>
      </c>
    </row>
    <row r="121" spans="2:19" ht="12.75" customHeight="1" x14ac:dyDescent="0.2">
      <c r="B121" s="38"/>
      <c r="C121" s="38"/>
      <c r="D121" s="440"/>
      <c r="E121" s="1909" t="str">
        <f t="shared" si="4"/>
        <v/>
      </c>
      <c r="F121" s="1909"/>
      <c r="G121" s="1909"/>
      <c r="H121" s="736" t="str">
        <f t="shared" si="5"/>
        <v>t CO2e/gads</v>
      </c>
      <c r="I121" s="341" t="str">
        <f>IF(ISNUMBER(D_Emissions!I$68),IF($E121="","",IF(SUMIF(F_ProductBM!$R:$R,$S121,F_ProductBM!S:S)&gt;0,EUconst_NA,SUMIF(F_ProductBM!$R:$R,$P121,F_ProductBM!S:S))),"")</f>
        <v/>
      </c>
      <c r="J121" s="341" t="str">
        <f>IF(ISNUMBER(D_Emissions!J$68),IF($E121="","",IF(SUMIF(F_ProductBM!$R:$R,$S121,F_ProductBM!T:T)&gt;0,EUconst_NA,SUMIF(F_ProductBM!$R:$R,$P121,F_ProductBM!T:T))),"")</f>
        <v/>
      </c>
      <c r="K121" s="341" t="str">
        <f>IF(ISNUMBER(D_Emissions!K$68),IF($E121="","",IF(SUMIF(F_ProductBM!$R:$R,$S121,F_ProductBM!U:U)&gt;0,EUconst_NA,SUMIF(F_ProductBM!$R:$R,$P121,F_ProductBM!U:U))),"")</f>
        <v/>
      </c>
      <c r="L121" s="341" t="str">
        <f>IF(ISNUMBER(D_Emissions!L$68),IF($E121="","",IF(SUMIF(F_ProductBM!$R:$R,$S121,F_ProductBM!V:V)&gt;0,EUconst_NA,SUMIF(F_ProductBM!$R:$R,$P121,F_ProductBM!V:V))),"")</f>
        <v/>
      </c>
      <c r="M121" s="341" t="str">
        <f>IF(ISNUMBER(D_Emissions!M$68),IF($E121="","",IF(SUMIF(F_ProductBM!$R:$R,$S121,F_ProductBM!W:W)&gt;0,EUconst_NA,SUMIF(F_ProductBM!$R:$R,$P121,F_ProductBM!W:W))),"")</f>
        <v/>
      </c>
      <c r="N121" s="25"/>
      <c r="O121" s="25"/>
      <c r="P121" s="361" t="str">
        <f t="shared" si="6"/>
        <v>AttrEmissions_</v>
      </c>
      <c r="Q121" s="441">
        <v>7</v>
      </c>
      <c r="S121" s="134" t="str">
        <f t="shared" si="7"/>
        <v>ERR_AttrEmBM_ </v>
      </c>
    </row>
    <row r="122" spans="2:19" x14ac:dyDescent="0.2">
      <c r="B122" s="38"/>
      <c r="C122" s="38"/>
      <c r="D122" s="440"/>
      <c r="E122" s="1909" t="str">
        <f t="shared" si="4"/>
        <v/>
      </c>
      <c r="F122" s="1909"/>
      <c r="G122" s="1909"/>
      <c r="H122" s="736" t="str">
        <f t="shared" si="5"/>
        <v>t CO2e/gads</v>
      </c>
      <c r="I122" s="341" t="str">
        <f>IF(ISNUMBER(D_Emissions!I$68),IF($E122="","",IF(SUMIF(F_ProductBM!$R:$R,$S122,F_ProductBM!S:S)&gt;0,EUconst_NA,SUMIF(F_ProductBM!$R:$R,$P122,F_ProductBM!S:S))),"")</f>
        <v/>
      </c>
      <c r="J122" s="341" t="str">
        <f>IF(ISNUMBER(D_Emissions!J$68),IF($E122="","",IF(SUMIF(F_ProductBM!$R:$R,$S122,F_ProductBM!T:T)&gt;0,EUconst_NA,SUMIF(F_ProductBM!$R:$R,$P122,F_ProductBM!T:T))),"")</f>
        <v/>
      </c>
      <c r="K122" s="341" t="str">
        <f>IF(ISNUMBER(D_Emissions!K$68),IF($E122="","",IF(SUMIF(F_ProductBM!$R:$R,$S122,F_ProductBM!U:U)&gt;0,EUconst_NA,SUMIF(F_ProductBM!$R:$R,$P122,F_ProductBM!U:U))),"")</f>
        <v/>
      </c>
      <c r="L122" s="341" t="str">
        <f>IF(ISNUMBER(D_Emissions!L$68),IF($E122="","",IF(SUMIF(F_ProductBM!$R:$R,$S122,F_ProductBM!V:V)&gt;0,EUconst_NA,SUMIF(F_ProductBM!$R:$R,$P122,F_ProductBM!V:V))),"")</f>
        <v/>
      </c>
      <c r="M122" s="341" t="str">
        <f>IF(ISNUMBER(D_Emissions!M$68),IF($E122="","",IF(SUMIF(F_ProductBM!$R:$R,$S122,F_ProductBM!W:W)&gt;0,EUconst_NA,SUMIF(F_ProductBM!$R:$R,$P122,F_ProductBM!W:W))),"")</f>
        <v/>
      </c>
      <c r="N122" s="25"/>
      <c r="O122" s="25"/>
      <c r="P122" s="361" t="str">
        <f t="shared" si="6"/>
        <v>AttrEmissions_</v>
      </c>
      <c r="Q122" s="441">
        <v>8</v>
      </c>
      <c r="S122" s="134" t="str">
        <f t="shared" si="7"/>
        <v>ERR_AttrEmBM_ </v>
      </c>
    </row>
    <row r="123" spans="2:19" ht="12.75" customHeight="1" x14ac:dyDescent="0.2">
      <c r="B123" s="38"/>
      <c r="C123" s="38"/>
      <c r="D123" s="440"/>
      <c r="E123" s="1909" t="str">
        <f t="shared" si="4"/>
        <v/>
      </c>
      <c r="F123" s="1909"/>
      <c r="G123" s="1909"/>
      <c r="H123" s="736" t="str">
        <f t="shared" si="5"/>
        <v>t CO2e/gads</v>
      </c>
      <c r="I123" s="341" t="str">
        <f>IF(ISNUMBER(D_Emissions!I$68),IF($E123="","",IF(SUMIF(F_ProductBM!$R:$R,$S123,F_ProductBM!S:S)&gt;0,EUconst_NA,SUMIF(F_ProductBM!$R:$R,$P123,F_ProductBM!S:S))),"")</f>
        <v/>
      </c>
      <c r="J123" s="341" t="str">
        <f>IF(ISNUMBER(D_Emissions!J$68),IF($E123="","",IF(SUMIF(F_ProductBM!$R:$R,$S123,F_ProductBM!T:T)&gt;0,EUconst_NA,SUMIF(F_ProductBM!$R:$R,$P123,F_ProductBM!T:T))),"")</f>
        <v/>
      </c>
      <c r="K123" s="341" t="str">
        <f>IF(ISNUMBER(D_Emissions!K$68),IF($E123="","",IF(SUMIF(F_ProductBM!$R:$R,$S123,F_ProductBM!U:U)&gt;0,EUconst_NA,SUMIF(F_ProductBM!$R:$R,$P123,F_ProductBM!U:U))),"")</f>
        <v/>
      </c>
      <c r="L123" s="341" t="str">
        <f>IF(ISNUMBER(D_Emissions!L$68),IF($E123="","",IF(SUMIF(F_ProductBM!$R:$R,$S123,F_ProductBM!V:V)&gt;0,EUconst_NA,SUMIF(F_ProductBM!$R:$R,$P123,F_ProductBM!V:V))),"")</f>
        <v/>
      </c>
      <c r="M123" s="341" t="str">
        <f>IF(ISNUMBER(D_Emissions!M$68),IF($E123="","",IF(SUMIF(F_ProductBM!$R:$R,$S123,F_ProductBM!W:W)&gt;0,EUconst_NA,SUMIF(F_ProductBM!$R:$R,$P123,F_ProductBM!W:W))),"")</f>
        <v/>
      </c>
      <c r="N123" s="25"/>
      <c r="O123" s="25"/>
      <c r="P123" s="361" t="str">
        <f t="shared" si="6"/>
        <v>AttrEmissions_</v>
      </c>
      <c r="Q123" s="441">
        <v>9</v>
      </c>
      <c r="S123" s="134" t="str">
        <f t="shared" si="7"/>
        <v>ERR_AttrEmBM_ </v>
      </c>
    </row>
    <row r="124" spans="2:19" ht="13.5" customHeight="1" thickBot="1" x14ac:dyDescent="0.25">
      <c r="B124" s="38"/>
      <c r="C124" s="38"/>
      <c r="D124" s="440"/>
      <c r="E124" s="1912" t="str">
        <f t="shared" si="4"/>
        <v/>
      </c>
      <c r="F124" s="1912"/>
      <c r="G124" s="1912"/>
      <c r="H124" s="610" t="str">
        <f t="shared" si="5"/>
        <v>t CO2e/gads</v>
      </c>
      <c r="I124" s="335" t="str">
        <f>IF(ISNUMBER(D_Emissions!I$68),IF($E124="","",IF(SUMIF(F_ProductBM!$R:$R,$S124,F_ProductBM!S:S)&gt;0,EUconst_NA,SUMIF(F_ProductBM!$R:$R,$P124,F_ProductBM!S:S))),"")</f>
        <v/>
      </c>
      <c r="J124" s="335" t="str">
        <f>IF(ISNUMBER(D_Emissions!J$68),IF($E124="","",IF(SUMIF(F_ProductBM!$R:$R,$S124,F_ProductBM!T:T)&gt;0,EUconst_NA,SUMIF(F_ProductBM!$R:$R,$P124,F_ProductBM!T:T))),"")</f>
        <v/>
      </c>
      <c r="K124" s="335" t="str">
        <f>IF(ISNUMBER(D_Emissions!K$68),IF($E124="","",IF(SUMIF(F_ProductBM!$R:$R,$S124,F_ProductBM!U:U)&gt;0,EUconst_NA,SUMIF(F_ProductBM!$R:$R,$P124,F_ProductBM!U:U))),"")</f>
        <v/>
      </c>
      <c r="L124" s="335" t="str">
        <f>IF(ISNUMBER(D_Emissions!L$68),IF($E124="","",IF(SUMIF(F_ProductBM!$R:$R,$S124,F_ProductBM!V:V)&gt;0,EUconst_NA,SUMIF(F_ProductBM!$R:$R,$P124,F_ProductBM!V:V))),"")</f>
        <v/>
      </c>
      <c r="M124" s="335" t="str">
        <f>IF(ISNUMBER(D_Emissions!M$68),IF($E124="","",IF(SUMIF(F_ProductBM!$R:$R,$S124,F_ProductBM!W:W)&gt;0,EUconst_NA,SUMIF(F_ProductBM!$R:$R,$P124,F_ProductBM!W:W))),"")</f>
        <v/>
      </c>
      <c r="N124" s="25"/>
      <c r="O124" s="25"/>
      <c r="P124" s="186" t="str">
        <f t="shared" si="6"/>
        <v>AttrEmissions_</v>
      </c>
      <c r="Q124" s="444">
        <v>10</v>
      </c>
      <c r="S124" s="134" t="str">
        <f t="shared" si="7"/>
        <v>ERR_AttrEmBM_ </v>
      </c>
    </row>
    <row r="125" spans="2:19" ht="12.75" customHeight="1" x14ac:dyDescent="0.2">
      <c r="B125" s="38"/>
      <c r="C125" s="38"/>
      <c r="D125" s="440"/>
      <c r="E125" s="1927" t="str">
        <f t="shared" ref="E125:E134" si="8">INDEX(EUconst_FallBackListNames,Q125)</f>
        <v>Siltuma līmeņatzīmes apakšiekārta, OEP | bez OIM)</v>
      </c>
      <c r="F125" s="1927"/>
      <c r="G125" s="1927"/>
      <c r="H125" s="736" t="str">
        <f t="shared" si="5"/>
        <v>t CO2e/gads</v>
      </c>
      <c r="I125" s="341" t="str">
        <f>IF(ISNUMBER(D_Emissions!I$68),IF(INDEX(CNTR_FallBackSubInstRelevant,$Q125),IF(SUMIF('G_Fall-back'!$R:$R,$S125,'G_Fall-back'!S:S)&gt;0,EUconst_NA,SUMIF('G_Fall-back'!$R:$R,$P125,'G_Fall-back'!S:S)),""),"")</f>
        <v/>
      </c>
      <c r="J125" s="341" t="str">
        <f>IF(ISNUMBER(D_Emissions!J$68),IF(INDEX(CNTR_FallBackSubInstRelevant,$Q125),IF(SUMIF('G_Fall-back'!$R:$R,$S125,'G_Fall-back'!T:T)&gt;0,EUconst_NA,SUMIF('G_Fall-back'!$R:$R,$P125,'G_Fall-back'!T:T)),""),"")</f>
        <v/>
      </c>
      <c r="K125" s="341" t="str">
        <f>IF(ISNUMBER(D_Emissions!K$68),IF(INDEX(CNTR_FallBackSubInstRelevant,$Q125),IF(SUMIF('G_Fall-back'!$R:$R,$S125,'G_Fall-back'!U:U)&gt;0,EUconst_NA,SUMIF('G_Fall-back'!$R:$R,$P125,'G_Fall-back'!U:U)),""),"")</f>
        <v/>
      </c>
      <c r="L125" s="341" t="str">
        <f>IF(ISNUMBER(D_Emissions!L$68),IF(INDEX(CNTR_FallBackSubInstRelevant,$Q125),IF(SUMIF('G_Fall-back'!$R:$R,$S125,'G_Fall-back'!V:V)&gt;0,EUconst_NA,SUMIF('G_Fall-back'!$R:$R,$P125,'G_Fall-back'!V:V)),""),"")</f>
        <v/>
      </c>
      <c r="M125" s="341" t="str">
        <f>IF(ISNUMBER(D_Emissions!M$68),IF(INDEX(CNTR_FallBackSubInstRelevant,$Q125),IF(SUMIF('G_Fall-back'!$R:$R,$S125,'G_Fall-back'!W:W)&gt;0,EUconst_NA,SUMIF('G_Fall-back'!$R:$R,$P125,'G_Fall-back'!W:W)),""),"")</f>
        <v/>
      </c>
      <c r="N125" s="25"/>
      <c r="O125" s="25"/>
      <c r="P125" s="196" t="str">
        <f t="shared" si="6"/>
        <v>AttrEmissions_Siltuma līmeņatzīmes apakšiekārta, OEP | bez OIM)</v>
      </c>
      <c r="Q125" s="1089">
        <v>1</v>
      </c>
      <c r="S125" s="134" t="str">
        <f t="shared" si="7"/>
        <v>ERR_AttrEmBM_ Siltuma līmeņatzīmes apakšiekārta, OEP | bez OIM)</v>
      </c>
    </row>
    <row r="126" spans="2:19" ht="12.75" customHeight="1" x14ac:dyDescent="0.2">
      <c r="B126" s="38"/>
      <c r="C126" s="38"/>
      <c r="D126" s="440"/>
      <c r="E126" s="1904" t="str">
        <f t="shared" si="8"/>
        <v>Siltuma līmeņatzīmes apakšiekārta (bez OEP | bez OIM)</v>
      </c>
      <c r="F126" s="1904"/>
      <c r="G126" s="1904"/>
      <c r="H126" s="737" t="str">
        <f t="shared" si="5"/>
        <v>t CO2e/gads</v>
      </c>
      <c r="I126" s="1141" t="str">
        <f>IF(ISNUMBER(D_Emissions!I$68),IF(INDEX(CNTR_FallBackSubInstRelevant,$Q126),IF(SUMIF('G_Fall-back'!$R:$R,$S126,'G_Fall-back'!S:S)&gt;0,EUconst_NA,SUMIF('G_Fall-back'!$R:$R,$P126,'G_Fall-back'!S:S)),""),"")</f>
        <v/>
      </c>
      <c r="J126" s="1141" t="str">
        <f>IF(ISNUMBER(D_Emissions!J$68),IF(INDEX(CNTR_FallBackSubInstRelevant,$Q126),IF(SUMIF('G_Fall-back'!$R:$R,$S126,'G_Fall-back'!T:T)&gt;0,EUconst_NA,SUMIF('G_Fall-back'!$R:$R,$P126,'G_Fall-back'!T:T)),""),"")</f>
        <v/>
      </c>
      <c r="K126" s="1141" t="str">
        <f>IF(ISNUMBER(D_Emissions!K$68),IF(INDEX(CNTR_FallBackSubInstRelevant,$Q126),IF(SUMIF('G_Fall-back'!$R:$R,$S126,'G_Fall-back'!U:U)&gt;0,EUconst_NA,SUMIF('G_Fall-back'!$R:$R,$P126,'G_Fall-back'!U:U)),""),"")</f>
        <v/>
      </c>
      <c r="L126" s="1141" t="str">
        <f>IF(ISNUMBER(D_Emissions!L$68),IF(INDEX(CNTR_FallBackSubInstRelevant,$Q126),IF(SUMIF('G_Fall-back'!$R:$R,$S126,'G_Fall-back'!V:V)&gt;0,EUconst_NA,SUMIF('G_Fall-back'!$R:$R,$P126,'G_Fall-back'!V:V)),""),"")</f>
        <v/>
      </c>
      <c r="M126" s="1141" t="str">
        <f>IF(ISNUMBER(D_Emissions!M$68),IF(INDEX(CNTR_FallBackSubInstRelevant,$Q126),IF(SUMIF('G_Fall-back'!$R:$R,$S126,'G_Fall-back'!W:W)&gt;0,EUconst_NA,SUMIF('G_Fall-back'!$R:$R,$P126,'G_Fall-back'!W:W)),""),"")</f>
        <v/>
      </c>
      <c r="N126" s="25"/>
      <c r="O126" s="25"/>
      <c r="P126" s="361" t="str">
        <f t="shared" si="6"/>
        <v>AttrEmissions_Siltuma līmeņatzīmes apakšiekārta (bez OEP | bez OIM)</v>
      </c>
      <c r="Q126" s="1090">
        <v>2</v>
      </c>
      <c r="S126" s="134" t="str">
        <f t="shared" si="7"/>
        <v>ERR_AttrEmBM_ Siltuma līmeņatzīmes apakšiekārta (bez OEP | bez OIM)</v>
      </c>
    </row>
    <row r="127" spans="2:19" ht="12.75" customHeight="1" x14ac:dyDescent="0.2">
      <c r="B127" s="38"/>
      <c r="C127" s="38"/>
      <c r="D127" s="440"/>
      <c r="E127" s="1904" t="str">
        <f t="shared" si="8"/>
        <v>Siltuma līmeņatzīmes apakšiekārta, OEP | OIM)</v>
      </c>
      <c r="F127" s="1904"/>
      <c r="G127" s="1904"/>
      <c r="H127" s="450" t="str">
        <f t="shared" si="5"/>
        <v>t CO2e/gads</v>
      </c>
      <c r="I127" s="1141" t="str">
        <f>IF(ISNUMBER(D_Emissions!I$68),IF(INDEX(CNTR_FallBackSubInstRelevant,$Q127),IF(SUMIF('G_Fall-back'!$R:$R,$S127,'G_Fall-back'!S:S)&gt;0,EUconst_NA,SUMIF('G_Fall-back'!$R:$R,$P127,'G_Fall-back'!S:S)),""),"")</f>
        <v/>
      </c>
      <c r="J127" s="1141" t="str">
        <f>IF(ISNUMBER(D_Emissions!J$68),IF(INDEX(CNTR_FallBackSubInstRelevant,$Q127),IF(SUMIF('G_Fall-back'!$R:$R,$S127,'G_Fall-back'!T:T)&gt;0,EUconst_NA,SUMIF('G_Fall-back'!$R:$R,$P127,'G_Fall-back'!T:T)),""),"")</f>
        <v/>
      </c>
      <c r="K127" s="1141" t="str">
        <f>IF(ISNUMBER(D_Emissions!K$68),IF(INDEX(CNTR_FallBackSubInstRelevant,$Q127),IF(SUMIF('G_Fall-back'!$R:$R,$S127,'G_Fall-back'!U:U)&gt;0,EUconst_NA,SUMIF('G_Fall-back'!$R:$R,$P127,'G_Fall-back'!U:U)),""),"")</f>
        <v/>
      </c>
      <c r="L127" s="1141" t="str">
        <f>IF(ISNUMBER(D_Emissions!L$68),IF(INDEX(CNTR_FallBackSubInstRelevant,$Q127),IF(SUMIF('G_Fall-back'!$R:$R,$S127,'G_Fall-back'!V:V)&gt;0,EUconst_NA,SUMIF('G_Fall-back'!$R:$R,$P127,'G_Fall-back'!V:V)),""),"")</f>
        <v/>
      </c>
      <c r="M127" s="1141" t="str">
        <f>IF(ISNUMBER(D_Emissions!M$68),IF(INDEX(CNTR_FallBackSubInstRelevant,$Q127),IF(SUMIF('G_Fall-back'!$R:$R,$S127,'G_Fall-back'!W:W)&gt;0,EUconst_NA,SUMIF('G_Fall-back'!$R:$R,$P127,'G_Fall-back'!W:W)),""),"")</f>
        <v/>
      </c>
      <c r="N127" s="25"/>
      <c r="O127" s="25"/>
      <c r="P127" s="361" t="str">
        <f t="shared" si="6"/>
        <v>AttrEmissions_Siltuma līmeņatzīmes apakšiekārta, OEP | OIM)</v>
      </c>
      <c r="Q127" s="1090">
        <v>3</v>
      </c>
      <c r="S127" s="134" t="str">
        <f t="shared" si="7"/>
        <v>ERR_AttrEmBM_ Siltuma līmeņatzīmes apakšiekārta, OEP | OIM)</v>
      </c>
    </row>
    <row r="128" spans="2:19" ht="12.75" customHeight="1" x14ac:dyDescent="0.2">
      <c r="B128" s="38"/>
      <c r="C128" s="38"/>
      <c r="D128" s="440"/>
      <c r="E128" s="1904" t="str">
        <f t="shared" si="8"/>
        <v>Centralizētās siltumapgādes apakšiekārta</v>
      </c>
      <c r="F128" s="1904"/>
      <c r="G128" s="1904"/>
      <c r="H128" s="737" t="str">
        <f t="shared" si="5"/>
        <v>t CO2e/gads</v>
      </c>
      <c r="I128" s="1142" t="str">
        <f>IF(ISNUMBER(D_Emissions!I$68),IF(INDEX(CNTR_FallBackSubInstRelevant,$Q128),IF(SUMIF('G_Fall-back'!$R:$R,$S128,'G_Fall-back'!S:S)&gt;0,EUconst_NA,SUMIF('G_Fall-back'!$R:$R,$P128,'G_Fall-back'!S:S)),""),"")</f>
        <v/>
      </c>
      <c r="J128" s="1142" t="str">
        <f>IF(ISNUMBER(D_Emissions!J$68),IF(INDEX(CNTR_FallBackSubInstRelevant,$Q128),IF(SUMIF('G_Fall-back'!$R:$R,$S128,'G_Fall-back'!T:T)&gt;0,EUconst_NA,SUMIF('G_Fall-back'!$R:$R,$P128,'G_Fall-back'!T:T)),""),"")</f>
        <v/>
      </c>
      <c r="K128" s="1142" t="str">
        <f>IF(ISNUMBER(D_Emissions!K$68),IF(INDEX(CNTR_FallBackSubInstRelevant,$Q128),IF(SUMIF('G_Fall-back'!$R:$R,$S128,'G_Fall-back'!U:U)&gt;0,EUconst_NA,SUMIF('G_Fall-back'!$R:$R,$P128,'G_Fall-back'!U:U)),""),"")</f>
        <v/>
      </c>
      <c r="L128" s="1142" t="str">
        <f>IF(ISNUMBER(D_Emissions!L$68),IF(INDEX(CNTR_FallBackSubInstRelevant,$Q128),IF(SUMIF('G_Fall-back'!$R:$R,$S128,'G_Fall-back'!V:V)&gt;0,EUconst_NA,SUMIF('G_Fall-back'!$R:$R,$P128,'G_Fall-back'!V:V)),""),"")</f>
        <v/>
      </c>
      <c r="M128" s="1142" t="str">
        <f>IF(ISNUMBER(D_Emissions!M$68),IF(INDEX(CNTR_FallBackSubInstRelevant,$Q128),IF(SUMIF('G_Fall-back'!$R:$R,$S128,'G_Fall-back'!W:W)&gt;0,EUconst_NA,SUMIF('G_Fall-back'!$R:$R,$P128,'G_Fall-back'!W:W)),""),"")</f>
        <v/>
      </c>
      <c r="N128" s="25"/>
      <c r="O128" s="25"/>
      <c r="P128" s="361" t="str">
        <f t="shared" si="6"/>
        <v>AttrEmissions_Centralizētās siltumapgādes apakšiekārta</v>
      </c>
      <c r="Q128" s="1090">
        <v>4</v>
      </c>
      <c r="S128" s="134" t="str">
        <f t="shared" si="7"/>
        <v>ERR_AttrEmBM_ Centralizētās siltumapgādes apakšiekārta</v>
      </c>
    </row>
    <row r="129" spans="2:19" ht="12.75" customHeight="1" x14ac:dyDescent="0.2">
      <c r="B129" s="38"/>
      <c r="C129" s="38"/>
      <c r="D129" s="440"/>
      <c r="E129" s="1904" t="str">
        <f>INDEX(EUconst_FallBackListNames,Q129)</f>
        <v>Kurināmā līmeņatzīmes apakšiekārta (OEP | bez OIM)</v>
      </c>
      <c r="F129" s="1904"/>
      <c r="G129" s="1904"/>
      <c r="H129" s="737" t="str">
        <f t="shared" si="5"/>
        <v>t CO2e/gads</v>
      </c>
      <c r="I129" s="1141" t="str">
        <f>IF(ISNUMBER(D_Emissions!I$68),IF(INDEX(CNTR_FallBackSubInstRelevant,$Q129),IF(SUMIF('G_Fall-back'!$R:$R,$S129,'G_Fall-back'!S:S)&gt;0,EUconst_NA,SUMIF('G_Fall-back'!$R:$R,$P129,'G_Fall-back'!S:S)),""),"")</f>
        <v/>
      </c>
      <c r="J129" s="1141" t="str">
        <f>IF(ISNUMBER(D_Emissions!J$68),IF(INDEX(CNTR_FallBackSubInstRelevant,$Q129),IF(SUMIF('G_Fall-back'!$R:$R,$S129,'G_Fall-back'!T:T)&gt;0,EUconst_NA,SUMIF('G_Fall-back'!$R:$R,$P129,'G_Fall-back'!T:T)),""),"")</f>
        <v/>
      </c>
      <c r="K129" s="1141" t="str">
        <f>IF(ISNUMBER(D_Emissions!K$68),IF(INDEX(CNTR_FallBackSubInstRelevant,$Q129),IF(SUMIF('G_Fall-back'!$R:$R,$S129,'G_Fall-back'!U:U)&gt;0,EUconst_NA,SUMIF('G_Fall-back'!$R:$R,$P129,'G_Fall-back'!U:U)),""),"")</f>
        <v/>
      </c>
      <c r="L129" s="1141" t="str">
        <f>IF(ISNUMBER(D_Emissions!L$68),IF(INDEX(CNTR_FallBackSubInstRelevant,$Q129),IF(SUMIF('G_Fall-back'!$R:$R,$S129,'G_Fall-back'!V:V)&gt;0,EUconst_NA,SUMIF('G_Fall-back'!$R:$R,$P129,'G_Fall-back'!V:V)),""),"")</f>
        <v/>
      </c>
      <c r="M129" s="1141" t="str">
        <f>IF(ISNUMBER(D_Emissions!M$68),IF(INDEX(CNTR_FallBackSubInstRelevant,$Q129),IF(SUMIF('G_Fall-back'!$R:$R,$S129,'G_Fall-back'!W:W)&gt;0,EUconst_NA,SUMIF('G_Fall-back'!$R:$R,$P129,'G_Fall-back'!W:W)),""),"")</f>
        <v/>
      </c>
      <c r="N129" s="25"/>
      <c r="O129" s="25"/>
      <c r="P129" s="1088" t="str">
        <f t="shared" si="6"/>
        <v>AttrEmissions_Kurināmā līmeņatzīmes apakšiekārta (OEP | bez OIM)</v>
      </c>
      <c r="Q129" s="1090">
        <v>5</v>
      </c>
      <c r="S129" s="134" t="str">
        <f t="shared" si="7"/>
        <v>ERR_AttrEmBM_ Kurināmā līmeņatzīmes apakšiekārta (OEP | bez OIM)</v>
      </c>
    </row>
    <row r="130" spans="2:19" ht="12.75" customHeight="1" x14ac:dyDescent="0.2">
      <c r="B130" s="38"/>
      <c r="C130" s="38"/>
      <c r="D130" s="440"/>
      <c r="E130" s="1904" t="str">
        <f>INDEX(EUconst_FallBackListNames,Q130)</f>
        <v>Kurināmā līmeņatzīmes apakšiekārta (bez OEP | bez OIM)</v>
      </c>
      <c r="F130" s="1904"/>
      <c r="G130" s="1904"/>
      <c r="H130" s="737" t="str">
        <f t="shared" si="5"/>
        <v>t CO2e/gads</v>
      </c>
      <c r="I130" s="1141" t="str">
        <f>IF(ISNUMBER(D_Emissions!I$68),IF(INDEX(CNTR_FallBackSubInstRelevant,$Q130),IF(SUMIF('G_Fall-back'!$R:$R,$S130,'G_Fall-back'!S:S)&gt;0,EUconst_NA,SUMIF('G_Fall-back'!$R:$R,$P130,'G_Fall-back'!S:S)),""),"")</f>
        <v/>
      </c>
      <c r="J130" s="1141" t="str">
        <f>IF(ISNUMBER(D_Emissions!J$68),IF(INDEX(CNTR_FallBackSubInstRelevant,$Q130),IF(SUMIF('G_Fall-back'!$R:$R,$S130,'G_Fall-back'!T:T)&gt;0,EUconst_NA,SUMIF('G_Fall-back'!$R:$R,$P130,'G_Fall-back'!T:T)),""),"")</f>
        <v/>
      </c>
      <c r="K130" s="1141" t="str">
        <f>IF(ISNUMBER(D_Emissions!K$68),IF(INDEX(CNTR_FallBackSubInstRelevant,$Q130),IF(SUMIF('G_Fall-back'!$R:$R,$S130,'G_Fall-back'!U:U)&gt;0,EUconst_NA,SUMIF('G_Fall-back'!$R:$R,$P130,'G_Fall-back'!U:U)),""),"")</f>
        <v/>
      </c>
      <c r="L130" s="1141" t="str">
        <f>IF(ISNUMBER(D_Emissions!L$68),IF(INDEX(CNTR_FallBackSubInstRelevant,$Q130),IF(SUMIF('G_Fall-back'!$R:$R,$S130,'G_Fall-back'!V:V)&gt;0,EUconst_NA,SUMIF('G_Fall-back'!$R:$R,$P130,'G_Fall-back'!V:V)),""),"")</f>
        <v/>
      </c>
      <c r="M130" s="1141" t="str">
        <f>IF(ISNUMBER(D_Emissions!M$68),IF(INDEX(CNTR_FallBackSubInstRelevant,$Q130),IF(SUMIF('G_Fall-back'!$R:$R,$S130,'G_Fall-back'!W:W)&gt;0,EUconst_NA,SUMIF('G_Fall-back'!$R:$R,$P130,'G_Fall-back'!W:W)),""),"")</f>
        <v/>
      </c>
      <c r="N130" s="25"/>
      <c r="O130" s="25"/>
      <c r="P130" s="1088" t="str">
        <f t="shared" si="6"/>
        <v>AttrEmissions_Kurināmā līmeņatzīmes apakšiekārta (bez OEP | bez OIM)</v>
      </c>
      <c r="Q130" s="1090">
        <v>6</v>
      </c>
      <c r="S130" s="134" t="str">
        <f t="shared" si="7"/>
        <v>ERR_AttrEmBM_ Kurināmā līmeņatzīmes apakšiekārta (bez OEP | bez OIM)</v>
      </c>
    </row>
    <row r="131" spans="2:19" ht="12.75" customHeight="1" thickBot="1" x14ac:dyDescent="0.25">
      <c r="B131" s="38"/>
      <c r="C131" s="38"/>
      <c r="D131" s="440"/>
      <c r="E131" s="1886" t="str">
        <f>INDEX(EUconst_FallBackListNames,Q131)</f>
        <v>Kurināmā līmeņatzīmes apakšiekārta (OEP | OIM)</v>
      </c>
      <c r="F131" s="1886"/>
      <c r="G131" s="1886"/>
      <c r="H131" s="737" t="str">
        <f t="shared" si="5"/>
        <v>t CO2e/gads</v>
      </c>
      <c r="I131" s="1141" t="str">
        <f>IF(ISNUMBER(D_Emissions!I$68),IF(INDEX(CNTR_FallBackSubInstRelevant,$Q131),IF(SUMIF('G_Fall-back'!$R:$R,$S131,'G_Fall-back'!S:S)&gt;0,EUconst_NA,SUMIF('G_Fall-back'!$R:$R,$P131,'G_Fall-back'!S:S)),""),"")</f>
        <v/>
      </c>
      <c r="J131" s="1141" t="str">
        <f>IF(ISNUMBER(D_Emissions!J$68),IF(INDEX(CNTR_FallBackSubInstRelevant,$Q131),IF(SUMIF('G_Fall-back'!$R:$R,$S131,'G_Fall-back'!T:T)&gt;0,EUconst_NA,SUMIF('G_Fall-back'!$R:$R,$P131,'G_Fall-back'!T:T)),""),"")</f>
        <v/>
      </c>
      <c r="K131" s="1141" t="str">
        <f>IF(ISNUMBER(D_Emissions!K$68),IF(INDEX(CNTR_FallBackSubInstRelevant,$Q131),IF(SUMIF('G_Fall-back'!$R:$R,$S131,'G_Fall-back'!U:U)&gt;0,EUconst_NA,SUMIF('G_Fall-back'!$R:$R,$P131,'G_Fall-back'!U:U)),""),"")</f>
        <v/>
      </c>
      <c r="L131" s="1141" t="str">
        <f>IF(ISNUMBER(D_Emissions!L$68),IF(INDEX(CNTR_FallBackSubInstRelevant,$Q131),IF(SUMIF('G_Fall-back'!$R:$R,$S131,'G_Fall-back'!V:V)&gt;0,EUconst_NA,SUMIF('G_Fall-back'!$R:$R,$P131,'G_Fall-back'!V:V)),""),"")</f>
        <v/>
      </c>
      <c r="M131" s="1141" t="str">
        <f>IF(ISNUMBER(D_Emissions!M$68),IF(INDEX(CNTR_FallBackSubInstRelevant,$Q131),IF(SUMIF('G_Fall-back'!$R:$R,$S131,'G_Fall-back'!W:W)&gt;0,EUconst_NA,SUMIF('G_Fall-back'!$R:$R,$P131,'G_Fall-back'!W:W)),""),"")</f>
        <v/>
      </c>
      <c r="N131" s="25"/>
      <c r="O131" s="25"/>
      <c r="P131" s="1088" t="str">
        <f t="shared" si="6"/>
        <v>AttrEmissions_Kurināmā līmeņatzīmes apakšiekārta (OEP | OIM)</v>
      </c>
      <c r="Q131" s="1090">
        <v>7</v>
      </c>
      <c r="S131" s="134" t="str">
        <f t="shared" si="7"/>
        <v>ERR_AttrEmBM_ Kurināmā līmeņatzīmes apakšiekārta (OEP | OIM)</v>
      </c>
    </row>
    <row r="132" spans="2:19" ht="12.75" customHeight="1" x14ac:dyDescent="0.2">
      <c r="B132" s="38"/>
      <c r="C132" s="38"/>
      <c r="D132" s="440"/>
      <c r="E132" s="1907" t="str">
        <f t="shared" si="8"/>
        <v>Procesa emisiju apakšiekārta (OEP | bez OIM)</v>
      </c>
      <c r="F132" s="1908"/>
      <c r="G132" s="1908"/>
      <c r="H132" s="738" t="str">
        <f t="shared" si="5"/>
        <v>t CO2e/gads</v>
      </c>
      <c r="I132" s="1163" t="str">
        <f>IF(ISNUMBER(D_Emissions!I$68),IF(INDEX(CNTR_FallBackSubInstRelevant,$Q132),SUMIF('G_Fall-back'!$P:$P,$P132,'G_Fall-back'!S:S),""),"")</f>
        <v/>
      </c>
      <c r="J132" s="1163" t="str">
        <f>IF(ISNUMBER(D_Emissions!J$68),IF(INDEX(CNTR_FallBackSubInstRelevant,$Q132),SUMIF('G_Fall-back'!$P:$P,$P132,'G_Fall-back'!T:T),""),"")</f>
        <v/>
      </c>
      <c r="K132" s="1163" t="str">
        <f>IF(ISNUMBER(D_Emissions!K$68),IF(INDEX(CNTR_FallBackSubInstRelevant,$Q132),SUMIF('G_Fall-back'!$P:$P,$P132,'G_Fall-back'!U:U),""),"")</f>
        <v/>
      </c>
      <c r="L132" s="1163" t="str">
        <f>IF(ISNUMBER(D_Emissions!L$68),IF(INDEX(CNTR_FallBackSubInstRelevant,$Q132),SUMIF('G_Fall-back'!$P:$P,$P132,'G_Fall-back'!V:V),""),"")</f>
        <v/>
      </c>
      <c r="M132" s="1164" t="str">
        <f>IF(ISNUMBER(D_Emissions!M$68),IF(INDEX(CNTR_FallBackSubInstRelevant,$Q132),SUMIF('G_Fall-back'!$P:$P,$P132,'G_Fall-back'!W:W),""),"")</f>
        <v/>
      </c>
      <c r="N132" s="25"/>
      <c r="O132" s="25"/>
      <c r="P132" s="1054" t="str">
        <f>EUconst_CNTR_HAL &amp; E132</f>
        <v>HAL_Procesa emisiju apakšiekārta (OEP | bez OIM)</v>
      </c>
      <c r="Q132" s="1089">
        <v>8</v>
      </c>
      <c r="S132" s="134" t="str">
        <f t="shared" si="7"/>
        <v>ERR_AttrEmBM_ Procesa emisiju apakšiekārta (OEP | bez OIM)</v>
      </c>
    </row>
    <row r="133" spans="2:19" ht="12.75" customHeight="1" x14ac:dyDescent="0.2">
      <c r="B133" s="38"/>
      <c r="C133" s="38"/>
      <c r="D133" s="440"/>
      <c r="E133" s="1931" t="str">
        <f t="shared" si="8"/>
        <v>Procesa emisiju apakšiekārta (bez OEP | bez OIM)</v>
      </c>
      <c r="F133" s="1932"/>
      <c r="G133" s="1932"/>
      <c r="H133" s="1159" t="str">
        <f t="shared" si="5"/>
        <v>t CO2e/gads</v>
      </c>
      <c r="I133" s="1160" t="str">
        <f>IF(ISNUMBER(D_Emissions!I$68),IF(INDEX(CNTR_FallBackSubInstRelevant,$Q133),SUMIF('G_Fall-back'!$P:$P,$P133,'G_Fall-back'!S:S),""),"")</f>
        <v/>
      </c>
      <c r="J133" s="1160" t="str">
        <f>IF(ISNUMBER(D_Emissions!J$68),IF(INDEX(CNTR_FallBackSubInstRelevant,$Q133),SUMIF('G_Fall-back'!$P:$P,$P133,'G_Fall-back'!T:T),""),"")</f>
        <v/>
      </c>
      <c r="K133" s="1160" t="str">
        <f>IF(ISNUMBER(D_Emissions!K$68),IF(INDEX(CNTR_FallBackSubInstRelevant,$Q133),SUMIF('G_Fall-back'!$P:$P,$P133,'G_Fall-back'!U:U),""),"")</f>
        <v/>
      </c>
      <c r="L133" s="1160" t="str">
        <f>IF(ISNUMBER(D_Emissions!L$68),IF(INDEX(CNTR_FallBackSubInstRelevant,$Q133),SUMIF('G_Fall-back'!$P:$P,$P133,'G_Fall-back'!V:V),""),"")</f>
        <v/>
      </c>
      <c r="M133" s="1161" t="str">
        <f>IF(ISNUMBER(D_Emissions!M$68),IF(INDEX(CNTR_FallBackSubInstRelevant,$Q133),SUMIF('G_Fall-back'!$P:$P,$P133,'G_Fall-back'!W:W),""),"")</f>
        <v/>
      </c>
      <c r="N133" s="25"/>
      <c r="O133" s="25"/>
      <c r="P133" s="1158" t="str">
        <f>EUconst_CNTR_HAL &amp; E133</f>
        <v>HAL_Procesa emisiju apakšiekārta (bez OEP | bez OIM)</v>
      </c>
      <c r="Q133" s="1090">
        <v>9</v>
      </c>
      <c r="S133" s="134" t="str">
        <f t="shared" si="7"/>
        <v>ERR_AttrEmBM_ Procesa emisiju apakšiekārta (bez OEP | bez OIM)</v>
      </c>
    </row>
    <row r="134" spans="2:19" ht="13.5" customHeight="1" thickBot="1" x14ac:dyDescent="0.25">
      <c r="B134" s="38"/>
      <c r="C134" s="38"/>
      <c r="D134" s="440"/>
      <c r="E134" s="1910" t="str">
        <f t="shared" si="8"/>
        <v>Procesa emisiju apakšiekārta (OEP | OIM)</v>
      </c>
      <c r="F134" s="1943"/>
      <c r="G134" s="1943"/>
      <c r="H134" s="739" t="str">
        <f t="shared" si="5"/>
        <v>t CO2e/gads</v>
      </c>
      <c r="I134" s="1143" t="str">
        <f>IF(ISNUMBER(D_Emissions!I$68),IF(INDEX(CNTR_FallBackSubInstRelevant,$Q134),SUMIF('G_Fall-back'!$P:$P,$P134,'G_Fall-back'!S:S),""),"")</f>
        <v/>
      </c>
      <c r="J134" s="1143" t="str">
        <f>IF(ISNUMBER(D_Emissions!J$68),IF(INDEX(CNTR_FallBackSubInstRelevant,$Q134),SUMIF('G_Fall-back'!$P:$P,$P134,'G_Fall-back'!T:T),""),"")</f>
        <v/>
      </c>
      <c r="K134" s="1143" t="str">
        <f>IF(ISNUMBER(D_Emissions!K$68),IF(INDEX(CNTR_FallBackSubInstRelevant,$Q134),SUMIF('G_Fall-back'!$P:$P,$P134,'G_Fall-back'!U:U),""),"")</f>
        <v/>
      </c>
      <c r="L134" s="1143" t="str">
        <f>IF(ISNUMBER(D_Emissions!L$68),IF(INDEX(CNTR_FallBackSubInstRelevant,$Q134),SUMIF('G_Fall-back'!$P:$P,$P134,'G_Fall-back'!V:V),""),"")</f>
        <v/>
      </c>
      <c r="M134" s="1162" t="str">
        <f>IF(ISNUMBER(D_Emissions!M$68),IF(INDEX(CNTR_FallBackSubInstRelevant,$Q134),SUMIF('G_Fall-back'!$P:$P,$P134,'G_Fall-back'!W:W),""),"")</f>
        <v/>
      </c>
      <c r="N134" s="25"/>
      <c r="O134" s="25"/>
      <c r="P134" s="1055" t="str">
        <f>EUconst_CNTR_HAL &amp; E134</f>
        <v>HAL_Procesa emisiju apakšiekārta (OEP | OIM)</v>
      </c>
      <c r="Q134" s="735">
        <v>10</v>
      </c>
      <c r="S134" s="134" t="str">
        <f t="shared" si="7"/>
        <v>ERR_AttrEmBM_ Procesa emisiju apakšiekārta (OEP | OIM)</v>
      </c>
    </row>
    <row r="135" spans="2:19" x14ac:dyDescent="0.2">
      <c r="B135" s="38"/>
      <c r="C135" s="38"/>
      <c r="D135" s="440"/>
      <c r="E135" s="1711" t="str">
        <f>Translations!$B$1185</f>
        <v>Kontrolei: citas emisijas</v>
      </c>
      <c r="F135" s="1711"/>
      <c r="G135" s="1711"/>
      <c r="H135" s="610" t="str">
        <f t="shared" si="5"/>
        <v>t CO2e/gads</v>
      </c>
      <c r="I135" s="1144" t="str">
        <f>IF(ISNUMBER(D_Emissions!I$68),IF(COUNTIF(I115:I134,EUconst_NA)&gt;0,EUconst_NA,D_Emissions!I$68-SUM(I115:I134)),"")</f>
        <v/>
      </c>
      <c r="J135" s="1144" t="str">
        <f>IF(ISNUMBER(D_Emissions!J$68),IF(COUNTIF(J115:J134,EUconst_NA)&gt;0,EUconst_NA,D_Emissions!J$68-SUM(J115:J134)),"")</f>
        <v/>
      </c>
      <c r="K135" s="1144" t="str">
        <f>IF(ISNUMBER(D_Emissions!K$68),IF(COUNTIF(K115:K134,EUconst_NA)&gt;0,EUconst_NA,D_Emissions!K$68-SUM(K115:K134)),"")</f>
        <v/>
      </c>
      <c r="L135" s="1144" t="str">
        <f>IF(ISNUMBER(D_Emissions!L$68),IF(COUNTIF(L115:L134,EUconst_NA)&gt;0,EUconst_NA,D_Emissions!L$68-SUM(L115:L134)),"")</f>
        <v/>
      </c>
      <c r="M135" s="1144" t="str">
        <f>IF(ISNUMBER(D_Emissions!M$68),IF(COUNTIF(M115:M134,EUconst_NA)&gt;0,EUconst_NA,D_Emissions!M$68-SUM(M115:M134)),"")</f>
        <v/>
      </c>
      <c r="N135" s="25"/>
      <c r="O135" s="25"/>
      <c r="P135" s="607"/>
    </row>
    <row r="136" spans="2:19" x14ac:dyDescent="0.2">
      <c r="B136" s="21"/>
      <c r="C136" s="21"/>
      <c r="D136" s="34"/>
      <c r="E136" s="35"/>
      <c r="F136" s="35"/>
      <c r="G136" s="35"/>
      <c r="H136" s="35"/>
      <c r="I136" s="35"/>
      <c r="J136" s="39"/>
      <c r="K136" s="39"/>
      <c r="L136" s="39"/>
      <c r="M136" s="25"/>
      <c r="N136" s="25"/>
      <c r="O136" s="25"/>
      <c r="P136" s="608"/>
    </row>
    <row r="137" spans="2:19" x14ac:dyDescent="0.2">
      <c r="B137" s="38"/>
      <c r="C137" s="38"/>
      <c r="D137" s="38"/>
      <c r="E137" s="43" t="str">
        <f t="shared" ref="E137:E149" si="9">E114</f>
        <v>Apakšiekārtas līmeņa dati:</v>
      </c>
      <c r="F137" s="43"/>
      <c r="G137" s="43"/>
      <c r="H137" s="53" t="str">
        <f>EUconst_Unit</f>
        <v>Vienība</v>
      </c>
      <c r="I137" s="412">
        <f>D_Emissions!I$312</f>
        <v>2019</v>
      </c>
      <c r="J137" s="412">
        <f>D_Emissions!J$312</f>
        <v>2020</v>
      </c>
      <c r="K137" s="412">
        <f>D_Emissions!K$312</f>
        <v>2021</v>
      </c>
      <c r="L137" s="412">
        <f>D_Emissions!L$312</f>
        <v>2022</v>
      </c>
      <c r="M137" s="412">
        <f>D_Emissions!M$312</f>
        <v>2023</v>
      </c>
      <c r="N137" s="25"/>
      <c r="O137" s="25"/>
      <c r="P137" s="608"/>
    </row>
    <row r="138" spans="2:19" x14ac:dyDescent="0.2">
      <c r="B138" s="38"/>
      <c r="C138" s="38"/>
      <c r="D138" s="440"/>
      <c r="E138" s="1928" t="str">
        <f t="shared" si="9"/>
        <v/>
      </c>
      <c r="F138" s="1928"/>
      <c r="G138" s="1928"/>
      <c r="H138" s="740" t="s">
        <v>393</v>
      </c>
      <c r="I138" s="344" t="str">
        <f>IF(I115=EUconst_NA,EUconst_NA,IF(AND(ISNUMBER(D_Emissions!I$68),I115&lt;&gt;""),I115/D_Emissions!I$68*100,""))</f>
        <v/>
      </c>
      <c r="J138" s="344" t="str">
        <f>IF(J115=EUconst_NA,EUconst_NA,IF(AND(ISNUMBER(D_Emissions!J$68),J115&lt;&gt;""),J115/D_Emissions!J$68*100,""))</f>
        <v/>
      </c>
      <c r="K138" s="344" t="str">
        <f>IF(K115=EUconst_NA,EUconst_NA,IF(AND(ISNUMBER(D_Emissions!K$68),K115&lt;&gt;""),K115/D_Emissions!K$68*100,""))</f>
        <v/>
      </c>
      <c r="L138" s="344" t="str">
        <f>IF(L115=EUconst_NA,EUconst_NA,IF(AND(ISNUMBER(D_Emissions!L$68),L115&lt;&gt;""),L115/D_Emissions!L$68*100,""))</f>
        <v/>
      </c>
      <c r="M138" s="344" t="str">
        <f>IF(M115=EUconst_NA,EUconst_NA,IF(AND(ISNUMBER(D_Emissions!M$68),M115&lt;&gt;""),M115/D_Emissions!M$68*100,""))</f>
        <v/>
      </c>
      <c r="N138" s="25"/>
      <c r="O138" s="25"/>
      <c r="P138" s="608"/>
    </row>
    <row r="139" spans="2:19" x14ac:dyDescent="0.2">
      <c r="B139" s="38"/>
      <c r="C139" s="38"/>
      <c r="D139" s="440"/>
      <c r="E139" s="1909" t="str">
        <f t="shared" si="9"/>
        <v/>
      </c>
      <c r="F139" s="1909"/>
      <c r="G139" s="1909"/>
      <c r="H139" s="736" t="s">
        <v>393</v>
      </c>
      <c r="I139" s="342" t="str">
        <f>IF(I116=EUconst_NA,EUconst_NA,IF(AND(ISNUMBER(D_Emissions!I$68),I116&lt;&gt;""),I116/D_Emissions!I$68*100,""))</f>
        <v/>
      </c>
      <c r="J139" s="342" t="str">
        <f>IF(J116=EUconst_NA,EUconst_NA,IF(AND(ISNUMBER(D_Emissions!J$68),J116&lt;&gt;""),J116/D_Emissions!J$68*100,""))</f>
        <v/>
      </c>
      <c r="K139" s="342" t="str">
        <f>IF(K116=EUconst_NA,EUconst_NA,IF(AND(ISNUMBER(D_Emissions!K$68),K116&lt;&gt;""),K116/D_Emissions!K$68*100,""))</f>
        <v/>
      </c>
      <c r="L139" s="342" t="str">
        <f>IF(L116=EUconst_NA,EUconst_NA,IF(AND(ISNUMBER(D_Emissions!L$68),L116&lt;&gt;""),L116/D_Emissions!L$68*100,""))</f>
        <v/>
      </c>
      <c r="M139" s="342" t="str">
        <f>IF(M116=EUconst_NA,EUconst_NA,IF(AND(ISNUMBER(D_Emissions!M$68),M116&lt;&gt;""),M116/D_Emissions!M$68*100,""))</f>
        <v/>
      </c>
      <c r="N139" s="25"/>
      <c r="O139" s="25"/>
      <c r="P139" s="608"/>
    </row>
    <row r="140" spans="2:19" x14ac:dyDescent="0.2">
      <c r="B140" s="38"/>
      <c r="C140" s="38"/>
      <c r="D140" s="440"/>
      <c r="E140" s="1909" t="str">
        <f t="shared" si="9"/>
        <v/>
      </c>
      <c r="F140" s="1909"/>
      <c r="G140" s="1909"/>
      <c r="H140" s="736" t="s">
        <v>393</v>
      </c>
      <c r="I140" s="342" t="str">
        <f>IF(I117=EUconst_NA,EUconst_NA,IF(AND(ISNUMBER(D_Emissions!I$68),I117&lt;&gt;""),I117/D_Emissions!I$68*100,""))</f>
        <v/>
      </c>
      <c r="J140" s="342" t="str">
        <f>IF(J117=EUconst_NA,EUconst_NA,IF(AND(ISNUMBER(D_Emissions!J$68),J117&lt;&gt;""),J117/D_Emissions!J$68*100,""))</f>
        <v/>
      </c>
      <c r="K140" s="342" t="str">
        <f>IF(K117=EUconst_NA,EUconst_NA,IF(AND(ISNUMBER(D_Emissions!K$68),K117&lt;&gt;""),K117/D_Emissions!K$68*100,""))</f>
        <v/>
      </c>
      <c r="L140" s="342" t="str">
        <f>IF(L117=EUconst_NA,EUconst_NA,IF(AND(ISNUMBER(D_Emissions!L$68),L117&lt;&gt;""),L117/D_Emissions!L$68*100,""))</f>
        <v/>
      </c>
      <c r="M140" s="342" t="str">
        <f>IF(M117=EUconst_NA,EUconst_NA,IF(AND(ISNUMBER(D_Emissions!M$68),M117&lt;&gt;""),M117/D_Emissions!M$68*100,""))</f>
        <v/>
      </c>
      <c r="N140" s="25"/>
      <c r="O140" s="25"/>
      <c r="P140" s="608"/>
    </row>
    <row r="141" spans="2:19" x14ac:dyDescent="0.2">
      <c r="B141" s="38"/>
      <c r="C141" s="38"/>
      <c r="D141" s="440"/>
      <c r="E141" s="1909" t="str">
        <f t="shared" si="9"/>
        <v/>
      </c>
      <c r="F141" s="1909"/>
      <c r="G141" s="1909"/>
      <c r="H141" s="736" t="s">
        <v>393</v>
      </c>
      <c r="I141" s="342" t="str">
        <f>IF(I118=EUconst_NA,EUconst_NA,IF(AND(ISNUMBER(D_Emissions!I$68),I118&lt;&gt;""),I118/D_Emissions!I$68*100,""))</f>
        <v/>
      </c>
      <c r="J141" s="342" t="str">
        <f>IF(J118=EUconst_NA,EUconst_NA,IF(AND(ISNUMBER(D_Emissions!J$68),J118&lt;&gt;""),J118/D_Emissions!J$68*100,""))</f>
        <v/>
      </c>
      <c r="K141" s="342" t="str">
        <f>IF(K118=EUconst_NA,EUconst_NA,IF(AND(ISNUMBER(D_Emissions!K$68),K118&lt;&gt;""),K118/D_Emissions!K$68*100,""))</f>
        <v/>
      </c>
      <c r="L141" s="342" t="str">
        <f>IF(L118=EUconst_NA,EUconst_NA,IF(AND(ISNUMBER(D_Emissions!L$68),L118&lt;&gt;""),L118/D_Emissions!L$68*100,""))</f>
        <v/>
      </c>
      <c r="M141" s="342" t="str">
        <f>IF(M118=EUconst_NA,EUconst_NA,IF(AND(ISNUMBER(D_Emissions!M$68),M118&lt;&gt;""),M118/D_Emissions!M$68*100,""))</f>
        <v/>
      </c>
      <c r="N141" s="25"/>
      <c r="O141" s="25"/>
      <c r="P141" s="608"/>
    </row>
    <row r="142" spans="2:19" x14ac:dyDescent="0.2">
      <c r="B142" s="38"/>
      <c r="C142" s="38"/>
      <c r="D142" s="440"/>
      <c r="E142" s="1909" t="str">
        <f t="shared" si="9"/>
        <v/>
      </c>
      <c r="F142" s="1909"/>
      <c r="G142" s="1909"/>
      <c r="H142" s="736" t="s">
        <v>393</v>
      </c>
      <c r="I142" s="342" t="str">
        <f>IF(I119=EUconst_NA,EUconst_NA,IF(AND(ISNUMBER(D_Emissions!I$68),I119&lt;&gt;""),I119/D_Emissions!I$68*100,""))</f>
        <v/>
      </c>
      <c r="J142" s="342" t="str">
        <f>IF(J119=EUconst_NA,EUconst_NA,IF(AND(ISNUMBER(D_Emissions!J$68),J119&lt;&gt;""),J119/D_Emissions!J$68*100,""))</f>
        <v/>
      </c>
      <c r="K142" s="342" t="str">
        <f>IF(K119=EUconst_NA,EUconst_NA,IF(AND(ISNUMBER(D_Emissions!K$68),K119&lt;&gt;""),K119/D_Emissions!K$68*100,""))</f>
        <v/>
      </c>
      <c r="L142" s="342" t="str">
        <f>IF(L119=EUconst_NA,EUconst_NA,IF(AND(ISNUMBER(D_Emissions!L$68),L119&lt;&gt;""),L119/D_Emissions!L$68*100,""))</f>
        <v/>
      </c>
      <c r="M142" s="342" t="str">
        <f>IF(M119=EUconst_NA,EUconst_NA,IF(AND(ISNUMBER(D_Emissions!M$68),M119&lt;&gt;""),M119/D_Emissions!M$68*100,""))</f>
        <v/>
      </c>
      <c r="N142" s="25"/>
      <c r="O142" s="25"/>
      <c r="P142" s="608"/>
    </row>
    <row r="143" spans="2:19" x14ac:dyDescent="0.2">
      <c r="B143" s="38"/>
      <c r="C143" s="38"/>
      <c r="D143" s="440"/>
      <c r="E143" s="1909" t="str">
        <f t="shared" si="9"/>
        <v/>
      </c>
      <c r="F143" s="1909"/>
      <c r="G143" s="1909"/>
      <c r="H143" s="736" t="s">
        <v>393</v>
      </c>
      <c r="I143" s="342" t="str">
        <f>IF(I120=EUconst_NA,EUconst_NA,IF(AND(ISNUMBER(D_Emissions!I$68),I120&lt;&gt;""),I120/D_Emissions!I$68*100,""))</f>
        <v/>
      </c>
      <c r="J143" s="342" t="str">
        <f>IF(J120=EUconst_NA,EUconst_NA,IF(AND(ISNUMBER(D_Emissions!J$68),J120&lt;&gt;""),J120/D_Emissions!J$68*100,""))</f>
        <v/>
      </c>
      <c r="K143" s="342" t="str">
        <f>IF(K120=EUconst_NA,EUconst_NA,IF(AND(ISNUMBER(D_Emissions!K$68),K120&lt;&gt;""),K120/D_Emissions!K$68*100,""))</f>
        <v/>
      </c>
      <c r="L143" s="342" t="str">
        <f>IF(L120=EUconst_NA,EUconst_NA,IF(AND(ISNUMBER(D_Emissions!L$68),L120&lt;&gt;""),L120/D_Emissions!L$68*100,""))</f>
        <v/>
      </c>
      <c r="M143" s="342" t="str">
        <f>IF(M120=EUconst_NA,EUconst_NA,IF(AND(ISNUMBER(D_Emissions!M$68),M120&lt;&gt;""),M120/D_Emissions!M$68*100,""))</f>
        <v/>
      </c>
      <c r="N143" s="25"/>
      <c r="O143" s="25"/>
      <c r="P143" s="608"/>
    </row>
    <row r="144" spans="2:19" x14ac:dyDescent="0.2">
      <c r="B144" s="38"/>
      <c r="C144" s="38"/>
      <c r="D144" s="440"/>
      <c r="E144" s="1909" t="str">
        <f t="shared" si="9"/>
        <v/>
      </c>
      <c r="F144" s="1909"/>
      <c r="G144" s="1909"/>
      <c r="H144" s="736" t="s">
        <v>393</v>
      </c>
      <c r="I144" s="342" t="str">
        <f>IF(I121=EUconst_NA,EUconst_NA,IF(AND(ISNUMBER(D_Emissions!I$68),I121&lt;&gt;""),I121/D_Emissions!I$68*100,""))</f>
        <v/>
      </c>
      <c r="J144" s="342" t="str">
        <f>IF(J121=EUconst_NA,EUconst_NA,IF(AND(ISNUMBER(D_Emissions!J$68),J121&lt;&gt;""),J121/D_Emissions!J$68*100,""))</f>
        <v/>
      </c>
      <c r="K144" s="342" t="str">
        <f>IF(K121=EUconst_NA,EUconst_NA,IF(AND(ISNUMBER(D_Emissions!K$68),K121&lt;&gt;""),K121/D_Emissions!K$68*100,""))</f>
        <v/>
      </c>
      <c r="L144" s="342" t="str">
        <f>IF(L121=EUconst_NA,EUconst_NA,IF(AND(ISNUMBER(D_Emissions!L$68),L121&lt;&gt;""),L121/D_Emissions!L$68*100,""))</f>
        <v/>
      </c>
      <c r="M144" s="342" t="str">
        <f>IF(M121=EUconst_NA,EUconst_NA,IF(AND(ISNUMBER(D_Emissions!M$68),M121&lt;&gt;""),M121/D_Emissions!M$68*100,""))</f>
        <v/>
      </c>
      <c r="N144" s="25"/>
      <c r="O144" s="25"/>
      <c r="P144" s="608"/>
    </row>
    <row r="145" spans="1:20" x14ac:dyDescent="0.2">
      <c r="B145" s="38"/>
      <c r="C145" s="38"/>
      <c r="D145" s="440"/>
      <c r="E145" s="1909" t="str">
        <f t="shared" si="9"/>
        <v/>
      </c>
      <c r="F145" s="1909"/>
      <c r="G145" s="1909"/>
      <c r="H145" s="736" t="s">
        <v>393</v>
      </c>
      <c r="I145" s="342" t="str">
        <f>IF(I122=EUconst_NA,EUconst_NA,IF(AND(ISNUMBER(D_Emissions!I$68),I122&lt;&gt;""),I122/D_Emissions!I$68*100,""))</f>
        <v/>
      </c>
      <c r="J145" s="342" t="str">
        <f>IF(J122=EUconst_NA,EUconst_NA,IF(AND(ISNUMBER(D_Emissions!J$68),J122&lt;&gt;""),J122/D_Emissions!J$68*100,""))</f>
        <v/>
      </c>
      <c r="K145" s="342" t="str">
        <f>IF(K122=EUconst_NA,EUconst_NA,IF(AND(ISNUMBER(D_Emissions!K$68),K122&lt;&gt;""),K122/D_Emissions!K$68*100,""))</f>
        <v/>
      </c>
      <c r="L145" s="342" t="str">
        <f>IF(L122=EUconst_NA,EUconst_NA,IF(AND(ISNUMBER(D_Emissions!L$68),L122&lt;&gt;""),L122/D_Emissions!L$68*100,""))</f>
        <v/>
      </c>
      <c r="M145" s="342" t="str">
        <f>IF(M122=EUconst_NA,EUconst_NA,IF(AND(ISNUMBER(D_Emissions!M$68),M122&lt;&gt;""),M122/D_Emissions!M$68*100,""))</f>
        <v/>
      </c>
      <c r="N145" s="25"/>
      <c r="O145" s="25"/>
      <c r="P145" s="608"/>
    </row>
    <row r="146" spans="1:20" x14ac:dyDescent="0.2">
      <c r="B146" s="38"/>
      <c r="C146" s="38"/>
      <c r="D146" s="440"/>
      <c r="E146" s="1909" t="str">
        <f t="shared" si="9"/>
        <v/>
      </c>
      <c r="F146" s="1909"/>
      <c r="G146" s="1909"/>
      <c r="H146" s="736" t="s">
        <v>393</v>
      </c>
      <c r="I146" s="342" t="str">
        <f>IF(I123=EUconst_NA,EUconst_NA,IF(AND(ISNUMBER(D_Emissions!I$68),I123&lt;&gt;""),I123/D_Emissions!I$68*100,""))</f>
        <v/>
      </c>
      <c r="J146" s="342" t="str">
        <f>IF(J123=EUconst_NA,EUconst_NA,IF(AND(ISNUMBER(D_Emissions!J$68),J123&lt;&gt;""),J123/D_Emissions!J$68*100,""))</f>
        <v/>
      </c>
      <c r="K146" s="342" t="str">
        <f>IF(K123=EUconst_NA,EUconst_NA,IF(AND(ISNUMBER(D_Emissions!K$68),K123&lt;&gt;""),K123/D_Emissions!K$68*100,""))</f>
        <v/>
      </c>
      <c r="L146" s="342" t="str">
        <f>IF(L123=EUconst_NA,EUconst_NA,IF(AND(ISNUMBER(D_Emissions!L$68),L123&lt;&gt;""),L123/D_Emissions!L$68*100,""))</f>
        <v/>
      </c>
      <c r="M146" s="342" t="str">
        <f>IF(M123=EUconst_NA,EUconst_NA,IF(AND(ISNUMBER(D_Emissions!M$68),M123&lt;&gt;""),M123/D_Emissions!M$68*100,""))</f>
        <v/>
      </c>
      <c r="N146" s="25"/>
      <c r="O146" s="25"/>
      <c r="P146" s="608"/>
    </row>
    <row r="147" spans="1:20" x14ac:dyDescent="0.2">
      <c r="B147" s="38"/>
      <c r="C147" s="38"/>
      <c r="D147" s="440"/>
      <c r="E147" s="1912" t="str">
        <f t="shared" si="9"/>
        <v/>
      </c>
      <c r="F147" s="1912"/>
      <c r="G147" s="1912"/>
      <c r="H147" s="451" t="s">
        <v>393</v>
      </c>
      <c r="I147" s="343" t="str">
        <f>IF(I124=EUconst_NA,EUconst_NA,IF(AND(ISNUMBER(D_Emissions!I$68),I124&lt;&gt;""),I124/D_Emissions!I$68*100,""))</f>
        <v/>
      </c>
      <c r="J147" s="343" t="str">
        <f>IF(J124=EUconst_NA,EUconst_NA,IF(AND(ISNUMBER(D_Emissions!J$68),J124&lt;&gt;""),J124/D_Emissions!J$68*100,""))</f>
        <v/>
      </c>
      <c r="K147" s="343" t="str">
        <f>IF(K124=EUconst_NA,EUconst_NA,IF(AND(ISNUMBER(D_Emissions!K$68),K124&lt;&gt;""),K124/D_Emissions!K$68*100,""))</f>
        <v/>
      </c>
      <c r="L147" s="343" t="str">
        <f>IF(L124=EUconst_NA,EUconst_NA,IF(AND(ISNUMBER(D_Emissions!L$68),L124&lt;&gt;""),L124/D_Emissions!L$68*100,""))</f>
        <v/>
      </c>
      <c r="M147" s="343" t="str">
        <f>IF(M124=EUconst_NA,EUconst_NA,IF(AND(ISNUMBER(D_Emissions!M$68),M124&lt;&gt;""),M124/D_Emissions!M$68*100,""))</f>
        <v/>
      </c>
      <c r="N147" s="25"/>
      <c r="O147" s="25"/>
      <c r="P147" s="608"/>
    </row>
    <row r="148" spans="1:20" ht="12.75" customHeight="1" x14ac:dyDescent="0.2">
      <c r="B148" s="38"/>
      <c r="C148" s="38"/>
      <c r="D148" s="440"/>
      <c r="E148" s="1885" t="str">
        <f t="shared" si="9"/>
        <v>Siltuma līmeņatzīmes apakšiekārta, OEP | bez OIM)</v>
      </c>
      <c r="F148" s="1885"/>
      <c r="G148" s="1885"/>
      <c r="H148" s="736" t="s">
        <v>393</v>
      </c>
      <c r="I148" s="342" t="str">
        <f>IF(I125=EUconst_NA,EUconst_NA,IF(AND(ISNUMBER(D_Emissions!I$68),I125&lt;&gt;""),I125/D_Emissions!I$68*100,""))</f>
        <v/>
      </c>
      <c r="J148" s="342" t="str">
        <f>IF(J125=EUconst_NA,EUconst_NA,IF(AND(ISNUMBER(D_Emissions!J$68),J125&lt;&gt;""),J125/D_Emissions!J$68*100,""))</f>
        <v/>
      </c>
      <c r="K148" s="342" t="str">
        <f>IF(K125=EUconst_NA,EUconst_NA,IF(AND(ISNUMBER(D_Emissions!K$68),K125&lt;&gt;""),K125/D_Emissions!K$68*100,""))</f>
        <v/>
      </c>
      <c r="L148" s="342" t="str">
        <f>IF(L125=EUconst_NA,EUconst_NA,IF(AND(ISNUMBER(D_Emissions!L$68),L125&lt;&gt;""),L125/D_Emissions!L$68*100,""))</f>
        <v/>
      </c>
      <c r="M148" s="342" t="str">
        <f>IF(M125=EUconst_NA,EUconst_NA,IF(AND(ISNUMBER(D_Emissions!M$68),M125&lt;&gt;""),M125/D_Emissions!M$68*100,""))</f>
        <v/>
      </c>
      <c r="N148" s="25"/>
      <c r="O148" s="25"/>
      <c r="P148" s="608"/>
    </row>
    <row r="149" spans="1:20" ht="12.75" customHeight="1" x14ac:dyDescent="0.2">
      <c r="B149" s="38"/>
      <c r="C149" s="38"/>
      <c r="D149" s="440"/>
      <c r="E149" s="1904" t="str">
        <f t="shared" si="9"/>
        <v>Siltuma līmeņatzīmes apakšiekārta (bez OEP | bez OIM)</v>
      </c>
      <c r="F149" s="1904"/>
      <c r="G149" s="1904"/>
      <c r="H149" s="450" t="s">
        <v>393</v>
      </c>
      <c r="I149" s="332" t="str">
        <f>IF(I126=EUconst_NA,EUconst_NA,IF(AND(ISNUMBER(D_Emissions!I$68),I126&lt;&gt;""),I126/D_Emissions!I$68*100,""))</f>
        <v/>
      </c>
      <c r="J149" s="332" t="str">
        <f>IF(J126=EUconst_NA,EUconst_NA,IF(AND(ISNUMBER(D_Emissions!J$68),J126&lt;&gt;""),J126/D_Emissions!J$68*100,""))</f>
        <v/>
      </c>
      <c r="K149" s="332" t="str">
        <f>IF(K126=EUconst_NA,EUconst_NA,IF(AND(ISNUMBER(D_Emissions!K$68),K126&lt;&gt;""),K126/D_Emissions!K$68*100,""))</f>
        <v/>
      </c>
      <c r="L149" s="332" t="str">
        <f>IF(L126=EUconst_NA,EUconst_NA,IF(AND(ISNUMBER(D_Emissions!L$68),L126&lt;&gt;""),L126/D_Emissions!L$68*100,""))</f>
        <v/>
      </c>
      <c r="M149" s="332" t="str">
        <f>IF(M126=EUconst_NA,EUconst_NA,IF(AND(ISNUMBER(D_Emissions!M$68),M126&lt;&gt;""),M126/D_Emissions!M$68*100,""))</f>
        <v/>
      </c>
      <c r="N149" s="25"/>
      <c r="O149" s="25"/>
      <c r="P149" s="608"/>
    </row>
    <row r="150" spans="1:20" ht="12.75" customHeight="1" x14ac:dyDescent="0.2">
      <c r="B150" s="38"/>
      <c r="C150" s="38"/>
      <c r="D150" s="440"/>
      <c r="E150" s="1904" t="str">
        <f t="shared" ref="E150:E157" si="10">E127</f>
        <v>Siltuma līmeņatzīmes apakšiekārta, OEP | OIM)</v>
      </c>
      <c r="F150" s="1904"/>
      <c r="G150" s="1904"/>
      <c r="H150" s="450" t="s">
        <v>393</v>
      </c>
      <c r="I150" s="332" t="str">
        <f>IF(I127=EUconst_NA,EUconst_NA,IF(AND(ISNUMBER(D_Emissions!I$68),I127&lt;&gt;""),I127/D_Emissions!I$68*100,""))</f>
        <v/>
      </c>
      <c r="J150" s="332" t="str">
        <f>IF(J127=EUconst_NA,EUconst_NA,IF(AND(ISNUMBER(D_Emissions!J$68),J127&lt;&gt;""),J127/D_Emissions!J$68*100,""))</f>
        <v/>
      </c>
      <c r="K150" s="332" t="str">
        <f>IF(K127=EUconst_NA,EUconst_NA,IF(AND(ISNUMBER(D_Emissions!K$68),K127&lt;&gt;""),K127/D_Emissions!K$68*100,""))</f>
        <v/>
      </c>
      <c r="L150" s="332" t="str">
        <f>IF(L127=EUconst_NA,EUconst_NA,IF(AND(ISNUMBER(D_Emissions!L$68),L127&lt;&gt;""),L127/D_Emissions!L$68*100,""))</f>
        <v/>
      </c>
      <c r="M150" s="332" t="str">
        <f>IF(M127=EUconst_NA,EUconst_NA,IF(AND(ISNUMBER(D_Emissions!M$68),M127&lt;&gt;""),M127/D_Emissions!M$68*100,""))</f>
        <v/>
      </c>
      <c r="N150" s="25"/>
      <c r="O150" s="25"/>
      <c r="P150" s="608"/>
    </row>
    <row r="151" spans="1:20" ht="12.75" customHeight="1" x14ac:dyDescent="0.2">
      <c r="B151" s="38"/>
      <c r="C151" s="38"/>
      <c r="D151" s="440"/>
      <c r="E151" s="1905" t="str">
        <f t="shared" si="10"/>
        <v>Centralizētās siltumapgādes apakšiekārta</v>
      </c>
      <c r="F151" s="1905"/>
      <c r="G151" s="1905"/>
      <c r="H151" s="450" t="s">
        <v>393</v>
      </c>
      <c r="I151" s="332" t="str">
        <f>IF(I128=EUconst_NA,EUconst_NA,IF(AND(ISNUMBER(D_Emissions!I$68),I128&lt;&gt;""),I128/D_Emissions!I$68*100,""))</f>
        <v/>
      </c>
      <c r="J151" s="332" t="str">
        <f>IF(J128=EUconst_NA,EUconst_NA,IF(AND(ISNUMBER(D_Emissions!J$68),J128&lt;&gt;""),J128/D_Emissions!J$68*100,""))</f>
        <v/>
      </c>
      <c r="K151" s="332" t="str">
        <f>IF(K128=EUconst_NA,EUconst_NA,IF(AND(ISNUMBER(D_Emissions!K$68),K128&lt;&gt;""),K128/D_Emissions!K$68*100,""))</f>
        <v/>
      </c>
      <c r="L151" s="332" t="str">
        <f>IF(L128=EUconst_NA,EUconst_NA,IF(AND(ISNUMBER(D_Emissions!L$68),L128&lt;&gt;""),L128/D_Emissions!L$68*100,""))</f>
        <v/>
      </c>
      <c r="M151" s="332" t="str">
        <f>IF(M128=EUconst_NA,EUconst_NA,IF(AND(ISNUMBER(D_Emissions!M$68),M128&lt;&gt;""),M128/D_Emissions!M$68*100,""))</f>
        <v/>
      </c>
      <c r="N151" s="25"/>
      <c r="O151" s="25"/>
      <c r="P151" s="608"/>
    </row>
    <row r="152" spans="1:20" ht="12.75" customHeight="1" x14ac:dyDescent="0.2">
      <c r="B152" s="38"/>
      <c r="C152" s="38"/>
      <c r="D152" s="440"/>
      <c r="E152" s="1905" t="str">
        <f t="shared" si="10"/>
        <v>Kurināmā līmeņatzīmes apakšiekārta (OEP | bez OIM)</v>
      </c>
      <c r="F152" s="1906"/>
      <c r="G152" s="1906"/>
      <c r="H152" s="450" t="s">
        <v>393</v>
      </c>
      <c r="I152" s="332" t="str">
        <f>IF(I129=EUconst_NA,EUconst_NA,IF(AND(ISNUMBER(D_Emissions!I$68),I129&lt;&gt;""),I129/D_Emissions!I$68*100,""))</f>
        <v/>
      </c>
      <c r="J152" s="332" t="str">
        <f>IF(J129=EUconst_NA,EUconst_NA,IF(AND(ISNUMBER(D_Emissions!J$68),J129&lt;&gt;""),J129/D_Emissions!J$68*100,""))</f>
        <v/>
      </c>
      <c r="K152" s="332" t="str">
        <f>IF(K129=EUconst_NA,EUconst_NA,IF(AND(ISNUMBER(D_Emissions!K$68),K129&lt;&gt;""),K129/D_Emissions!K$68*100,""))</f>
        <v/>
      </c>
      <c r="L152" s="332" t="str">
        <f>IF(L129=EUconst_NA,EUconst_NA,IF(AND(ISNUMBER(D_Emissions!L$68),L129&lt;&gt;""),L129/D_Emissions!L$68*100,""))</f>
        <v/>
      </c>
      <c r="M152" s="332" t="str">
        <f>IF(M129=EUconst_NA,EUconst_NA,IF(AND(ISNUMBER(D_Emissions!M$68),M129&lt;&gt;""),M129/D_Emissions!M$68*100,""))</f>
        <v/>
      </c>
      <c r="N152" s="25"/>
      <c r="O152" s="25"/>
      <c r="P152" s="608"/>
    </row>
    <row r="153" spans="1:20" ht="12.75" customHeight="1" x14ac:dyDescent="0.2">
      <c r="B153" s="38"/>
      <c r="C153" s="38"/>
      <c r="D153" s="440"/>
      <c r="E153" s="1905" t="str">
        <f t="shared" si="10"/>
        <v>Kurināmā līmeņatzīmes apakšiekārta (bez OEP | bez OIM)</v>
      </c>
      <c r="F153" s="1906"/>
      <c r="G153" s="1906"/>
      <c r="H153" s="450" t="s">
        <v>393</v>
      </c>
      <c r="I153" s="332" t="str">
        <f>IF(I130=EUconst_NA,EUconst_NA,IF(AND(ISNUMBER(D_Emissions!I$68),I130&lt;&gt;""),I130/D_Emissions!I$68*100,""))</f>
        <v/>
      </c>
      <c r="J153" s="332" t="str">
        <f>IF(J130=EUconst_NA,EUconst_NA,IF(AND(ISNUMBER(D_Emissions!J$68),J130&lt;&gt;""),J130/D_Emissions!J$68*100,""))</f>
        <v/>
      </c>
      <c r="K153" s="332" t="str">
        <f>IF(K130=EUconst_NA,EUconst_NA,IF(AND(ISNUMBER(D_Emissions!K$68),K130&lt;&gt;""),K130/D_Emissions!K$68*100,""))</f>
        <v/>
      </c>
      <c r="L153" s="332" t="str">
        <f>IF(L130=EUconst_NA,EUconst_NA,IF(AND(ISNUMBER(D_Emissions!L$68),L130&lt;&gt;""),L130/D_Emissions!L$68*100,""))</f>
        <v/>
      </c>
      <c r="M153" s="332" t="str">
        <f>IF(M130=EUconst_NA,EUconst_NA,IF(AND(ISNUMBER(D_Emissions!M$68),M130&lt;&gt;""),M130/D_Emissions!M$68*100,""))</f>
        <v/>
      </c>
      <c r="N153" s="25"/>
      <c r="O153" s="25"/>
      <c r="P153" s="608"/>
    </row>
    <row r="154" spans="1:20" ht="12.75" customHeight="1" thickBot="1" x14ac:dyDescent="0.25">
      <c r="B154" s="38"/>
      <c r="C154" s="38"/>
      <c r="D154" s="440"/>
      <c r="E154" s="1886" t="str">
        <f t="shared" si="10"/>
        <v>Kurināmā līmeņatzīmes apakšiekārta (OEP | OIM)</v>
      </c>
      <c r="F154" s="1886"/>
      <c r="G154" s="1886"/>
      <c r="H154" s="737" t="s">
        <v>393</v>
      </c>
      <c r="I154" s="332" t="str">
        <f>IF(I131=EUconst_NA,EUconst_NA,IF(AND(ISNUMBER(D_Emissions!I$68),I131&lt;&gt;""),I131/D_Emissions!I$68*100,""))</f>
        <v/>
      </c>
      <c r="J154" s="332" t="str">
        <f>IF(J131=EUconst_NA,EUconst_NA,IF(AND(ISNUMBER(D_Emissions!J$68),J131&lt;&gt;""),J131/D_Emissions!J$68*100,""))</f>
        <v/>
      </c>
      <c r="K154" s="332" t="str">
        <f>IF(K131=EUconst_NA,EUconst_NA,IF(AND(ISNUMBER(D_Emissions!K$68),K131&lt;&gt;""),K131/D_Emissions!K$68*100,""))</f>
        <v/>
      </c>
      <c r="L154" s="332" t="str">
        <f>IF(L131=EUconst_NA,EUconst_NA,IF(AND(ISNUMBER(D_Emissions!L$68),L131&lt;&gt;""),L131/D_Emissions!L$68*100,""))</f>
        <v/>
      </c>
      <c r="M154" s="332" t="str">
        <f>IF(M131=EUconst_NA,EUconst_NA,IF(AND(ISNUMBER(D_Emissions!M$68),M131&lt;&gt;""),M131/D_Emissions!M$68*100,""))</f>
        <v/>
      </c>
      <c r="N154" s="25"/>
      <c r="O154" s="25"/>
      <c r="P154" s="608"/>
    </row>
    <row r="155" spans="1:20" ht="12.75" customHeight="1" x14ac:dyDescent="0.2">
      <c r="B155" s="38"/>
      <c r="C155" s="38"/>
      <c r="D155" s="440"/>
      <c r="E155" s="1907" t="str">
        <f t="shared" si="10"/>
        <v>Procesa emisiju apakšiekārta (OEP | bez OIM)</v>
      </c>
      <c r="F155" s="1908"/>
      <c r="G155" s="1908"/>
      <c r="H155" s="738" t="s">
        <v>393</v>
      </c>
      <c r="I155" s="754" t="str">
        <f>IF(I132=EUconst_NA,EUconst_NA,IF(AND(ISNUMBER(D_Emissions!I$68),I132&lt;&gt;""),I132/D_Emissions!I$68*100,""))</f>
        <v/>
      </c>
      <c r="J155" s="754" t="str">
        <f>IF(J132=EUconst_NA,EUconst_NA,IF(AND(ISNUMBER(D_Emissions!J$68),J132&lt;&gt;""),J132/D_Emissions!J$68*100,""))</f>
        <v/>
      </c>
      <c r="K155" s="754" t="str">
        <f>IF(K132=EUconst_NA,EUconst_NA,IF(AND(ISNUMBER(D_Emissions!K$68),K132&lt;&gt;""),K132/D_Emissions!K$68*100,""))</f>
        <v/>
      </c>
      <c r="L155" s="754" t="str">
        <f>IF(L132=EUconst_NA,EUconst_NA,IF(AND(ISNUMBER(D_Emissions!L$68),L132&lt;&gt;""),L132/D_Emissions!L$68*100,""))</f>
        <v/>
      </c>
      <c r="M155" s="755" t="str">
        <f>IF(M132=EUconst_NA,EUconst_NA,IF(AND(ISNUMBER(D_Emissions!M$68),M132&lt;&gt;""),M132/D_Emissions!M$68*100,""))</f>
        <v/>
      </c>
      <c r="N155" s="25"/>
      <c r="O155" s="25"/>
      <c r="P155" s="608"/>
    </row>
    <row r="156" spans="1:20" x14ac:dyDescent="0.2">
      <c r="B156" s="38"/>
      <c r="C156" s="38"/>
      <c r="D156" s="440"/>
      <c r="E156" s="1931" t="str">
        <f t="shared" si="10"/>
        <v>Procesa emisiju apakšiekārta (bez OEP | bez OIM)</v>
      </c>
      <c r="F156" s="1937"/>
      <c r="G156" s="1937"/>
      <c r="H156" s="1159" t="s">
        <v>393</v>
      </c>
      <c r="I156" s="1155" t="str">
        <f>IF(I133=EUconst_NA,EUconst_NA,IF(AND(ISNUMBER(D_Emissions!I$68),I133&lt;&gt;""),I133/D_Emissions!I$68*100,""))</f>
        <v/>
      </c>
      <c r="J156" s="1155" t="str">
        <f>IF(J133=EUconst_NA,EUconst_NA,IF(AND(ISNUMBER(D_Emissions!J$68),J133&lt;&gt;""),J133/D_Emissions!J$68*100,""))</f>
        <v/>
      </c>
      <c r="K156" s="1155" t="str">
        <f>IF(K133=EUconst_NA,EUconst_NA,IF(AND(ISNUMBER(D_Emissions!K$68),K133&lt;&gt;""),K133/D_Emissions!K$68*100,""))</f>
        <v/>
      </c>
      <c r="L156" s="1155" t="str">
        <f>IF(L133=EUconst_NA,EUconst_NA,IF(AND(ISNUMBER(D_Emissions!L$68),L133&lt;&gt;""),L133/D_Emissions!L$68*100,""))</f>
        <v/>
      </c>
      <c r="M156" s="1156" t="str">
        <f>IF(M133=EUconst_NA,EUconst_NA,IF(AND(ISNUMBER(D_Emissions!M$68),M133&lt;&gt;""),M133/D_Emissions!M$68*100,""))</f>
        <v/>
      </c>
      <c r="N156" s="25"/>
      <c r="O156" s="25"/>
      <c r="P156" s="608"/>
    </row>
    <row r="157" spans="1:20" ht="13.5" thickBot="1" x14ac:dyDescent="0.25">
      <c r="B157" s="38"/>
      <c r="C157" s="38"/>
      <c r="D157" s="440"/>
      <c r="E157" s="1910" t="str">
        <f t="shared" si="10"/>
        <v>Procesa emisiju apakšiekārta (OEP | OIM)</v>
      </c>
      <c r="F157" s="1911"/>
      <c r="G157" s="1911"/>
      <c r="H157" s="739" t="s">
        <v>393</v>
      </c>
      <c r="I157" s="331" t="str">
        <f>IF(I134=EUconst_NA,EUconst_NA,IF(AND(ISNUMBER(D_Emissions!I$68),I134&lt;&gt;""),I134/D_Emissions!I$68*100,""))</f>
        <v/>
      </c>
      <c r="J157" s="331" t="str">
        <f>IF(J134=EUconst_NA,EUconst_NA,IF(AND(ISNUMBER(D_Emissions!J$68),J134&lt;&gt;""),J134/D_Emissions!J$68*100,""))</f>
        <v/>
      </c>
      <c r="K157" s="331" t="str">
        <f>IF(K134=EUconst_NA,EUconst_NA,IF(AND(ISNUMBER(D_Emissions!K$68),K134&lt;&gt;""),K134/D_Emissions!K$68*100,""))</f>
        <v/>
      </c>
      <c r="L157" s="331" t="str">
        <f>IF(L134=EUconst_NA,EUconst_NA,IF(AND(ISNUMBER(D_Emissions!L$68),L134&lt;&gt;""),L134/D_Emissions!L$68*100,""))</f>
        <v/>
      </c>
      <c r="M157" s="756" t="str">
        <f>IF(M134=EUconst_NA,EUconst_NA,IF(AND(ISNUMBER(D_Emissions!M$68),M134&lt;&gt;""),M134/D_Emissions!M$68*100,""))</f>
        <v/>
      </c>
      <c r="N157" s="25"/>
      <c r="O157" s="25"/>
      <c r="P157" s="608"/>
    </row>
    <row r="158" spans="1:20" ht="13.5" thickBot="1" x14ac:dyDescent="0.25">
      <c r="B158" s="38"/>
      <c r="C158" s="38"/>
      <c r="D158" s="440"/>
      <c r="E158" s="1712" t="str">
        <f>E135</f>
        <v>Kontrolei: citas emisijas</v>
      </c>
      <c r="F158" s="1712"/>
      <c r="G158" s="1712"/>
      <c r="H158" s="610" t="s">
        <v>393</v>
      </c>
      <c r="I158" s="326" t="str">
        <f>IF(I135=EUconst_NA,EUconst_NA,IF(AND(ISNUMBER(D_Emissions!I$68),I135&lt;&gt;""),I135/D_Emissions!I$68*100,""))</f>
        <v/>
      </c>
      <c r="J158" s="326" t="str">
        <f>IF(J135=EUconst_NA,EUconst_NA,IF(AND(ISNUMBER(D_Emissions!J$68),J135&lt;&gt;""),J135/D_Emissions!J$68*100,""))</f>
        <v/>
      </c>
      <c r="K158" s="326" t="str">
        <f>IF(K135=EUconst_NA,EUconst_NA,IF(AND(ISNUMBER(D_Emissions!K$68),K135&lt;&gt;""),K135/D_Emissions!K$68*100,""))</f>
        <v/>
      </c>
      <c r="L158" s="326" t="str">
        <f>IF(L135=EUconst_NA,EUconst_NA,IF(AND(ISNUMBER(D_Emissions!L$68),L135&lt;&gt;""),L135/D_Emissions!L$68*100,""))</f>
        <v/>
      </c>
      <c r="M158" s="326" t="str">
        <f>IF(M135=EUconst_NA,EUconst_NA,IF(AND(ISNUMBER(D_Emissions!M$68),M135&lt;&gt;""),M135/D_Emissions!M$68*100,""))</f>
        <v/>
      </c>
      <c r="N158" s="25"/>
      <c r="O158" s="25"/>
      <c r="P158" s="684"/>
    </row>
    <row r="159" spans="1:20" s="697" customFormat="1" ht="12.75" customHeight="1" x14ac:dyDescent="0.2">
      <c r="A159" s="437"/>
      <c r="B159" s="414"/>
      <c r="C159" s="414"/>
      <c r="D159" s="414"/>
      <c r="E159" s="414"/>
      <c r="F159" s="414"/>
      <c r="G159" s="414"/>
      <c r="H159" s="414"/>
      <c r="I159" s="414"/>
      <c r="J159" s="414"/>
      <c r="K159" s="414"/>
      <c r="L159" s="414"/>
      <c r="M159" s="414"/>
      <c r="N159" s="414"/>
      <c r="O159" s="25"/>
      <c r="P159" s="437"/>
      <c r="Q159" s="437"/>
      <c r="R159" s="437"/>
      <c r="S159" s="437"/>
      <c r="T159" s="437"/>
    </row>
    <row r="160" spans="1:20" s="697" customFormat="1" ht="15" x14ac:dyDescent="0.25">
      <c r="A160" s="437"/>
      <c r="B160" s="414"/>
      <c r="C160" s="36">
        <v>3</v>
      </c>
      <c r="D160" s="1318" t="str">
        <f>Translations!$B$1186</f>
        <v>Koģenerācijas rīks — D lapas III sadaļa</v>
      </c>
      <c r="E160" s="1251"/>
      <c r="F160" s="1251"/>
      <c r="G160" s="1251"/>
      <c r="H160" s="1251"/>
      <c r="I160" s="1251"/>
      <c r="J160" s="1251"/>
      <c r="K160" s="1251"/>
      <c r="L160" s="1251"/>
      <c r="M160" s="1251"/>
      <c r="N160" s="1251"/>
      <c r="O160" s="25"/>
      <c r="P160" s="437"/>
      <c r="Q160" s="437"/>
      <c r="R160" s="437"/>
      <c r="S160" s="437"/>
      <c r="T160" s="437"/>
    </row>
    <row r="161" spans="1:20" s="697" customFormat="1" ht="5.0999999999999996" customHeight="1" x14ac:dyDescent="0.2">
      <c r="A161" s="437"/>
      <c r="B161" s="21"/>
      <c r="C161" s="21"/>
      <c r="D161" s="23"/>
      <c r="E161" s="23"/>
      <c r="F161" s="23"/>
      <c r="G161" s="23"/>
      <c r="H161" s="23"/>
      <c r="I161" s="23"/>
      <c r="J161" s="23"/>
      <c r="K161" s="23"/>
      <c r="L161" s="23"/>
      <c r="M161" s="44"/>
      <c r="N161" s="44"/>
      <c r="O161" s="25"/>
      <c r="P161" s="26"/>
      <c r="Q161" s="199"/>
      <c r="R161" s="437"/>
      <c r="S161" s="437"/>
      <c r="T161" s="437"/>
    </row>
    <row r="162" spans="1:20" s="697" customFormat="1" ht="12.75" customHeight="1" x14ac:dyDescent="0.2">
      <c r="A162" s="437"/>
      <c r="B162" s="414"/>
      <c r="C162" s="21"/>
      <c r="D162" s="32" t="s">
        <v>165</v>
      </c>
      <c r="E162" s="1325" t="str">
        <f>Translations!$B$1187</f>
        <v>Koģenerācijas rīks 1</v>
      </c>
      <c r="F162" s="1325"/>
      <c r="G162" s="1325"/>
      <c r="H162" s="1325"/>
      <c r="I162" s="1325"/>
      <c r="J162" s="1325"/>
      <c r="K162" s="1325"/>
      <c r="L162" s="1489"/>
      <c r="M162" s="1208" t="str">
        <f>IF(ISBLANK(D_Emissions!M78),"",D_Emissions!M78)</f>
        <v/>
      </c>
      <c r="N162" s="457"/>
      <c r="O162" s="25"/>
      <c r="P162" s="437"/>
      <c r="Q162" s="437"/>
      <c r="R162" s="437"/>
      <c r="S162" s="437"/>
      <c r="T162" s="437"/>
    </row>
    <row r="163" spans="1:20" s="697" customFormat="1" ht="5.0999999999999996" customHeight="1" x14ac:dyDescent="0.2">
      <c r="A163" s="437"/>
      <c r="B163" s="414"/>
      <c r="C163" s="38"/>
      <c r="D163" s="38"/>
      <c r="E163" s="38"/>
      <c r="F163" s="38"/>
      <c r="G163" s="38"/>
      <c r="H163" s="38"/>
      <c r="I163" s="38"/>
      <c r="J163" s="38"/>
      <c r="K163" s="38"/>
      <c r="L163" s="38"/>
      <c r="M163" s="38"/>
      <c r="N163" s="38"/>
      <c r="O163" s="25"/>
      <c r="P163" s="437"/>
      <c r="Q163" s="437"/>
      <c r="R163" s="437"/>
      <c r="S163" s="437"/>
      <c r="T163" s="437"/>
    </row>
    <row r="164" spans="1:20" s="697" customFormat="1" ht="12.75" customHeight="1" x14ac:dyDescent="0.2">
      <c r="A164" s="437"/>
      <c r="B164" s="414"/>
      <c r="C164" s="38"/>
      <c r="D164" s="38"/>
      <c r="E164" s="1515" t="str">
        <f>Translations!$B$1188</f>
        <v>Enerģijas bilance</v>
      </c>
      <c r="F164" s="1275"/>
      <c r="G164" s="1275"/>
      <c r="H164" s="53" t="str">
        <f>D_Emissions!H90</f>
        <v>Vienība</v>
      </c>
      <c r="I164" s="412">
        <f>D_Emissions!I90</f>
        <v>2019</v>
      </c>
      <c r="J164" s="412">
        <f>D_Emissions!J90</f>
        <v>2020</v>
      </c>
      <c r="K164" s="412">
        <f>D_Emissions!K90</f>
        <v>2021</v>
      </c>
      <c r="L164" s="412">
        <f>D_Emissions!L90</f>
        <v>2022</v>
      </c>
      <c r="M164" s="412">
        <f>D_Emissions!M90</f>
        <v>2023</v>
      </c>
      <c r="N164" s="38"/>
      <c r="O164" s="25"/>
      <c r="P164" s="437"/>
      <c r="Q164" s="437"/>
      <c r="R164" s="437"/>
      <c r="S164" s="437"/>
      <c r="T164" s="437"/>
    </row>
    <row r="165" spans="1:20" s="697" customFormat="1" ht="12.75" customHeight="1" x14ac:dyDescent="0.2">
      <c r="A165" s="437"/>
      <c r="B165" s="414"/>
      <c r="C165" s="38"/>
      <c r="D165" s="38"/>
      <c r="E165" s="1516" t="str">
        <f>D_Emissions!E91</f>
        <v>Kurināmā ielaide koģenerācijas blokā</v>
      </c>
      <c r="F165" s="1517"/>
      <c r="G165" s="1517"/>
      <c r="H165" s="66" t="str">
        <f>D_Emissions!H91</f>
        <v>TJ / gads</v>
      </c>
      <c r="I165" s="937" t="str">
        <f>IF(ISBLANK(D_Emissions!I91),"",D_Emissions!I91)</f>
        <v/>
      </c>
      <c r="J165" s="937" t="str">
        <f>IF(ISBLANK(D_Emissions!J91),"",D_Emissions!J91)</f>
        <v/>
      </c>
      <c r="K165" s="937" t="str">
        <f>IF(ISBLANK(D_Emissions!K91),"",D_Emissions!K91)</f>
        <v/>
      </c>
      <c r="L165" s="937" t="str">
        <f>IF(ISBLANK(D_Emissions!L91),"",D_Emissions!L91)</f>
        <v/>
      </c>
      <c r="M165" s="937" t="str">
        <f>IF(ISBLANK(D_Emissions!M91),"",D_Emissions!M91)</f>
        <v/>
      </c>
      <c r="N165" s="38"/>
      <c r="O165" s="25"/>
      <c r="P165" s="437"/>
      <c r="Q165" s="437"/>
      <c r="R165" s="437"/>
      <c r="S165" s="437"/>
      <c r="T165" s="437"/>
    </row>
    <row r="166" spans="1:20" s="697" customFormat="1" ht="12.75" customHeight="1" x14ac:dyDescent="0.2">
      <c r="A166" s="437"/>
      <c r="B166" s="414"/>
      <c r="C166" s="38"/>
      <c r="D166" s="38"/>
      <c r="E166" s="1378" t="str">
        <f>D_Emissions!E96</f>
        <v>Koģenerācijas bloka siltuma izlaide</v>
      </c>
      <c r="F166" s="1541"/>
      <c r="G166" s="1541"/>
      <c r="H166" s="45" t="str">
        <f>D_Emissions!H96</f>
        <v>TJ / gads</v>
      </c>
      <c r="I166" s="938" t="str">
        <f>IF(ISBLANK(D_Emissions!I96),"",D_Emissions!I96)</f>
        <v/>
      </c>
      <c r="J166" s="938" t="str">
        <f>IF(ISBLANK(D_Emissions!J96),"",D_Emissions!J96)</f>
        <v/>
      </c>
      <c r="K166" s="938" t="str">
        <f>IF(ISBLANK(D_Emissions!K96),"",D_Emissions!K96)</f>
        <v/>
      </c>
      <c r="L166" s="938" t="str">
        <f>IF(ISBLANK(D_Emissions!L96),"",D_Emissions!L96)</f>
        <v/>
      </c>
      <c r="M166" s="938" t="str">
        <f>IF(ISBLANK(D_Emissions!M96),"",D_Emissions!M96)</f>
        <v/>
      </c>
      <c r="N166" s="38"/>
      <c r="O166" s="25"/>
      <c r="P166" s="437"/>
      <c r="Q166" s="437"/>
      <c r="R166" s="437"/>
      <c r="S166" s="437"/>
      <c r="T166" s="437"/>
    </row>
    <row r="167" spans="1:20" s="697" customFormat="1" ht="12.75" customHeight="1" x14ac:dyDescent="0.2">
      <c r="A167" s="437"/>
      <c r="B167" s="414"/>
      <c r="C167" s="38"/>
      <c r="D167" s="38"/>
      <c r="E167" s="1373" t="str">
        <f>D_Emissions!E102</f>
        <v>Koģenerācijas bloka elektroenerģijas izlaide</v>
      </c>
      <c r="F167" s="1550"/>
      <c r="G167" s="1550"/>
      <c r="H167" s="48" t="str">
        <f>D_Emissions!H102</f>
        <v>TJ / gads</v>
      </c>
      <c r="I167" s="940" t="str">
        <f>IF(ISBLANK(D_Emissions!I102),"",D_Emissions!I102)</f>
        <v/>
      </c>
      <c r="J167" s="940" t="str">
        <f>IF(ISBLANK(D_Emissions!J102),"",D_Emissions!J102)</f>
        <v/>
      </c>
      <c r="K167" s="940" t="str">
        <f>IF(ISBLANK(D_Emissions!K102),"",D_Emissions!K102)</f>
        <v/>
      </c>
      <c r="L167" s="940" t="str">
        <f>IF(ISBLANK(D_Emissions!L102),"",D_Emissions!L102)</f>
        <v/>
      </c>
      <c r="M167" s="940" t="str">
        <f>IF(ISBLANK(D_Emissions!M102),"",D_Emissions!M102)</f>
        <v/>
      </c>
      <c r="N167" s="38"/>
      <c r="O167" s="25"/>
      <c r="P167" s="437"/>
      <c r="Q167" s="437"/>
      <c r="R167" s="437"/>
      <c r="S167" s="437"/>
      <c r="T167" s="437"/>
    </row>
    <row r="168" spans="1:20" s="697" customFormat="1" ht="5.0999999999999996" customHeight="1" x14ac:dyDescent="0.2">
      <c r="A168" s="437"/>
      <c r="B168" s="414"/>
      <c r="C168" s="38"/>
      <c r="D168" s="38"/>
      <c r="E168" s="38"/>
      <c r="F168" s="38"/>
      <c r="G168" s="38"/>
      <c r="H168" s="38"/>
      <c r="I168" s="38"/>
      <c r="J168" s="38"/>
      <c r="K168" s="38"/>
      <c r="L168" s="38"/>
      <c r="M168" s="38"/>
      <c r="N168" s="38"/>
      <c r="O168" s="25"/>
      <c r="P168" s="437"/>
      <c r="Q168" s="437"/>
      <c r="R168" s="437"/>
      <c r="S168" s="437"/>
      <c r="T168" s="437"/>
    </row>
    <row r="169" spans="1:20" s="697" customFormat="1" ht="12.75" customHeight="1" x14ac:dyDescent="0.2">
      <c r="A169" s="437"/>
      <c r="B169" s="414"/>
      <c r="C169" s="38"/>
      <c r="D169" s="38"/>
      <c r="E169" s="1515" t="str">
        <f>Translations!$B$1189</f>
        <v>Emisijas</v>
      </c>
      <c r="F169" s="1275"/>
      <c r="G169" s="1275"/>
      <c r="H169" s="53" t="str">
        <f>D_Emissions!H95</f>
        <v>Vienība</v>
      </c>
      <c r="I169" s="412">
        <f>D_Emissions!I95</f>
        <v>2019</v>
      </c>
      <c r="J169" s="412">
        <f>D_Emissions!J95</f>
        <v>2020</v>
      </c>
      <c r="K169" s="412">
        <f>D_Emissions!K95</f>
        <v>2021</v>
      </c>
      <c r="L169" s="412">
        <f>D_Emissions!L95</f>
        <v>2022</v>
      </c>
      <c r="M169" s="412">
        <f>D_Emissions!M95</f>
        <v>2023</v>
      </c>
      <c r="N169" s="38"/>
      <c r="O169" s="25"/>
      <c r="P169" s="437"/>
      <c r="Q169" s="437"/>
      <c r="R169" s="437"/>
      <c r="S169" s="437"/>
      <c r="T169" s="437"/>
    </row>
    <row r="170" spans="1:20" s="697" customFormat="1" ht="12.75" customHeight="1" x14ac:dyDescent="0.2">
      <c r="A170" s="437"/>
      <c r="B170" s="414"/>
      <c r="C170" s="38"/>
      <c r="D170" s="38"/>
      <c r="E170" s="1378" t="str">
        <f>D_Emissions!E107</f>
        <v>No kurināmā ielaides koģenerācijas blokā</v>
      </c>
      <c r="F170" s="1541"/>
      <c r="G170" s="1541"/>
      <c r="H170" s="45" t="str">
        <f>D_Emissions!H107</f>
        <v>t CO2 / gads</v>
      </c>
      <c r="I170" s="938" t="str">
        <f>IF(ISBLANK(D_Emissions!I107),"",D_Emissions!I107)</f>
        <v/>
      </c>
      <c r="J170" s="938" t="str">
        <f>IF(ISBLANK(D_Emissions!J107),"",D_Emissions!J107)</f>
        <v/>
      </c>
      <c r="K170" s="938" t="str">
        <f>IF(ISBLANK(D_Emissions!K107),"",D_Emissions!K107)</f>
        <v/>
      </c>
      <c r="L170" s="938" t="str">
        <f>IF(ISBLANK(D_Emissions!L107),"",D_Emissions!L107)</f>
        <v/>
      </c>
      <c r="M170" s="938" t="str">
        <f>IF(ISBLANK(D_Emissions!M107),"",D_Emissions!M107)</f>
        <v/>
      </c>
      <c r="N170" s="38"/>
      <c r="O170" s="25"/>
      <c r="P170" s="437"/>
      <c r="Q170" s="437"/>
      <c r="R170" s="437"/>
      <c r="S170" s="437"/>
      <c r="T170" s="437"/>
    </row>
    <row r="171" spans="1:20" s="697" customFormat="1" ht="12.75" customHeight="1" x14ac:dyDescent="0.2">
      <c r="A171" s="437"/>
      <c r="B171" s="414"/>
      <c r="C171" s="38"/>
      <c r="D171" s="38"/>
      <c r="E171" s="1373" t="str">
        <f>D_Emissions!E108</f>
        <v>No dūmgāzu attīrīšanas</v>
      </c>
      <c r="F171" s="1550"/>
      <c r="G171" s="1550"/>
      <c r="H171" s="48" t="str">
        <f>D_Emissions!H108</f>
        <v>t CO2 / gads</v>
      </c>
      <c r="I171" s="940" t="str">
        <f>IF(ISBLANK(D_Emissions!I108),"",D_Emissions!I108)</f>
        <v/>
      </c>
      <c r="J171" s="940" t="str">
        <f>IF(ISBLANK(D_Emissions!J108),"",D_Emissions!J108)</f>
        <v/>
      </c>
      <c r="K171" s="940" t="str">
        <f>IF(ISBLANK(D_Emissions!K108),"",D_Emissions!K108)</f>
        <v/>
      </c>
      <c r="L171" s="940" t="str">
        <f>IF(ISBLANK(D_Emissions!L108),"",D_Emissions!L108)</f>
        <v/>
      </c>
      <c r="M171" s="940" t="str">
        <f>IF(ISBLANK(D_Emissions!M108),"",D_Emissions!M108)</f>
        <v/>
      </c>
      <c r="N171" s="38"/>
      <c r="O171" s="25"/>
      <c r="P171" s="437"/>
      <c r="Q171" s="437"/>
      <c r="R171" s="437"/>
      <c r="S171" s="437"/>
      <c r="T171" s="437"/>
    </row>
    <row r="172" spans="1:20" s="697" customFormat="1" ht="12.75" customHeight="1" x14ac:dyDescent="0.2">
      <c r="A172" s="437"/>
      <c r="B172" s="414"/>
      <c r="C172" s="38"/>
      <c r="D172" s="38"/>
      <c r="E172" s="1516" t="str">
        <f>D_Emissions!E109</f>
        <v>Kopējās emisijas</v>
      </c>
      <c r="F172" s="1517"/>
      <c r="G172" s="1517"/>
      <c r="H172" s="66" t="str">
        <f>D_Emissions!H109</f>
        <v>t CO2 / gads</v>
      </c>
      <c r="I172" s="937" t="str">
        <f>D_Emissions!I109</f>
        <v/>
      </c>
      <c r="J172" s="937" t="str">
        <f>D_Emissions!J109</f>
        <v/>
      </c>
      <c r="K172" s="937" t="str">
        <f>D_Emissions!K109</f>
        <v/>
      </c>
      <c r="L172" s="937" t="str">
        <f>D_Emissions!L109</f>
        <v/>
      </c>
      <c r="M172" s="937" t="str">
        <f>D_Emissions!M109</f>
        <v/>
      </c>
      <c r="N172" s="38"/>
      <c r="O172" s="25"/>
      <c r="P172" s="437"/>
      <c r="Q172" s="437"/>
      <c r="R172" s="437"/>
      <c r="S172" s="437"/>
      <c r="T172" s="437"/>
    </row>
    <row r="173" spans="1:20" s="697" customFormat="1" ht="5.0999999999999996" customHeight="1" x14ac:dyDescent="0.2">
      <c r="A173" s="437"/>
      <c r="B173" s="414"/>
      <c r="C173" s="38"/>
      <c r="D173" s="38"/>
      <c r="N173" s="38"/>
      <c r="O173" s="25"/>
      <c r="P173" s="437"/>
      <c r="Q173" s="437"/>
      <c r="R173" s="437"/>
      <c r="S173" s="437"/>
      <c r="T173" s="437"/>
    </row>
    <row r="174" spans="1:20" s="697" customFormat="1" ht="12.75" customHeight="1" x14ac:dyDescent="0.2">
      <c r="A174" s="437"/>
      <c r="B174" s="414"/>
      <c r="C174" s="38"/>
      <c r="D174" s="38"/>
      <c r="E174" s="1515" t="str">
        <f>Translations!$B$1190</f>
        <v>Lietderība</v>
      </c>
      <c r="F174" s="1275"/>
      <c r="G174" s="1275"/>
      <c r="H174" s="53" t="str">
        <f>D_Emissions!H116</f>
        <v>Vienība</v>
      </c>
      <c r="I174" s="412">
        <f>D_Emissions!I116</f>
        <v>2019</v>
      </c>
      <c r="J174" s="412">
        <f>D_Emissions!J116</f>
        <v>2020</v>
      </c>
      <c r="K174" s="412">
        <f>D_Emissions!K116</f>
        <v>2021</v>
      </c>
      <c r="L174" s="412">
        <f>D_Emissions!L116</f>
        <v>2022</v>
      </c>
      <c r="M174" s="412">
        <f>D_Emissions!M116</f>
        <v>2023</v>
      </c>
      <c r="N174" s="38"/>
      <c r="O174" s="25"/>
      <c r="P174" s="437"/>
      <c r="Q174" s="437"/>
      <c r="R174" s="437"/>
      <c r="S174" s="437"/>
      <c r="T174" s="437"/>
    </row>
    <row r="175" spans="1:20" s="697" customFormat="1" ht="12.75" customHeight="1" x14ac:dyDescent="0.2">
      <c r="A175" s="437"/>
      <c r="B175" s="414"/>
      <c r="C175" s="38"/>
      <c r="D175" s="38"/>
      <c r="E175" s="1378" t="str">
        <f>D_Emissions!E117</f>
        <v>Siltuma ražošana</v>
      </c>
      <c r="F175" s="1541"/>
      <c r="G175" s="1541"/>
      <c r="H175" s="827" t="str">
        <f>D_Emissions!H117</f>
        <v>-</v>
      </c>
      <c r="I175" s="828" t="str">
        <f>D_Emissions!I117</f>
        <v/>
      </c>
      <c r="J175" s="828" t="str">
        <f>D_Emissions!J117</f>
        <v/>
      </c>
      <c r="K175" s="828" t="str">
        <f>D_Emissions!K117</f>
        <v/>
      </c>
      <c r="L175" s="828" t="str">
        <f>D_Emissions!L117</f>
        <v/>
      </c>
      <c r="M175" s="828" t="str">
        <f>D_Emissions!M117</f>
        <v/>
      </c>
      <c r="N175" s="414"/>
      <c r="O175" s="25"/>
      <c r="P175" s="437"/>
      <c r="Q175" s="437"/>
      <c r="R175" s="437"/>
      <c r="S175" s="437"/>
      <c r="T175" s="437"/>
    </row>
    <row r="176" spans="1:20" s="697" customFormat="1" ht="12.75" customHeight="1" x14ac:dyDescent="0.2">
      <c r="A176" s="437"/>
      <c r="B176" s="414"/>
      <c r="C176" s="38"/>
      <c r="D176" s="38"/>
      <c r="E176" s="1373" t="str">
        <f>D_Emissions!E118</f>
        <v>Elektroenerģijas ražošana</v>
      </c>
      <c r="F176" s="1550"/>
      <c r="G176" s="1550"/>
      <c r="H176" s="829" t="str">
        <f>D_Emissions!H118</f>
        <v>-</v>
      </c>
      <c r="I176" s="830" t="str">
        <f>D_Emissions!I118</f>
        <v/>
      </c>
      <c r="J176" s="830" t="str">
        <f>D_Emissions!J118</f>
        <v/>
      </c>
      <c r="K176" s="830" t="str">
        <f>D_Emissions!K118</f>
        <v/>
      </c>
      <c r="L176" s="830" t="str">
        <f>D_Emissions!L118</f>
        <v/>
      </c>
      <c r="M176" s="830" t="str">
        <f>D_Emissions!M118</f>
        <v/>
      </c>
      <c r="N176" s="38"/>
      <c r="O176" s="25"/>
      <c r="P176" s="437"/>
      <c r="Q176" s="437"/>
      <c r="R176" s="437"/>
      <c r="S176" s="437"/>
      <c r="T176" s="437"/>
    </row>
    <row r="177" spans="1:20" s="697" customFormat="1" ht="12.75" customHeight="1" x14ac:dyDescent="0.2">
      <c r="A177" s="437"/>
      <c r="B177" s="414"/>
      <c r="C177" s="38"/>
      <c r="D177" s="38"/>
      <c r="E177" s="1378" t="str">
        <f>Translations!$B$1191</f>
        <v>Siltuma ražošana (references)</v>
      </c>
      <c r="F177" s="1541"/>
      <c r="G177" s="1541"/>
      <c r="H177" s="827" t="str">
        <f>D_Emissions!H126</f>
        <v>-</v>
      </c>
      <c r="I177" s="831" t="str">
        <f>IF(ISBLANK(D_Emissions!I126),"",D_Emissions!I126)</f>
        <v/>
      </c>
      <c r="J177" s="831" t="str">
        <f>IF(ISBLANK(D_Emissions!J126),"",D_Emissions!J126)</f>
        <v/>
      </c>
      <c r="K177" s="831" t="str">
        <f>IF(ISBLANK(D_Emissions!K126),"",D_Emissions!K126)</f>
        <v/>
      </c>
      <c r="L177" s="831" t="str">
        <f>IF(ISBLANK(D_Emissions!L126),"",D_Emissions!L126)</f>
        <v/>
      </c>
      <c r="M177" s="831" t="str">
        <f>IF(ISBLANK(D_Emissions!M126),"",D_Emissions!M126)</f>
        <v/>
      </c>
      <c r="N177" s="38"/>
      <c r="O177" s="25"/>
      <c r="P177" s="437"/>
      <c r="Q177" s="437"/>
      <c r="R177" s="437"/>
      <c r="S177" s="437"/>
      <c r="T177" s="437"/>
    </row>
    <row r="178" spans="1:20" s="697" customFormat="1" ht="12.75" customHeight="1" x14ac:dyDescent="0.2">
      <c r="A178" s="437"/>
      <c r="B178" s="414"/>
      <c r="C178" s="38"/>
      <c r="D178" s="38"/>
      <c r="E178" s="1373" t="str">
        <f>Translations!$B$1192</f>
        <v>Elektroenerģijas ražošana (references)</v>
      </c>
      <c r="F178" s="1550"/>
      <c r="G178" s="1550"/>
      <c r="H178" s="829" t="str">
        <f>D_Emissions!H127</f>
        <v>-</v>
      </c>
      <c r="I178" s="832" t="str">
        <f>IF(ISBLANK(D_Emissions!I127),"",D_Emissions!I127)</f>
        <v/>
      </c>
      <c r="J178" s="832" t="str">
        <f>IF(ISBLANK(D_Emissions!J127),"",D_Emissions!J127)</f>
        <v/>
      </c>
      <c r="K178" s="832" t="str">
        <f>IF(ISBLANK(D_Emissions!K127),"",D_Emissions!K127)</f>
        <v/>
      </c>
      <c r="L178" s="832" t="str">
        <f>IF(ISBLANK(D_Emissions!L127),"",D_Emissions!L127)</f>
        <v/>
      </c>
      <c r="M178" s="832" t="str">
        <f>IF(ISBLANK(D_Emissions!M127),"",D_Emissions!M127)</f>
        <v/>
      </c>
      <c r="N178" s="38"/>
      <c r="O178" s="25"/>
      <c r="P178" s="437"/>
      <c r="Q178" s="437"/>
      <c r="R178" s="437"/>
      <c r="S178" s="437"/>
      <c r="T178" s="437"/>
    </row>
    <row r="179" spans="1:20" s="697" customFormat="1" ht="5.0999999999999996" customHeight="1" x14ac:dyDescent="0.2">
      <c r="A179" s="437"/>
      <c r="B179" s="414"/>
      <c r="C179" s="38"/>
      <c r="D179" s="38"/>
      <c r="E179" s="38"/>
      <c r="F179" s="38"/>
      <c r="G179" s="38"/>
      <c r="H179" s="38"/>
      <c r="I179" s="38"/>
      <c r="J179" s="38"/>
      <c r="K179" s="38"/>
      <c r="L179" s="38"/>
      <c r="M179" s="38"/>
      <c r="N179" s="38"/>
      <c r="O179" s="25"/>
      <c r="P179" s="437"/>
      <c r="Q179" s="437"/>
      <c r="R179" s="437"/>
      <c r="S179" s="437"/>
      <c r="T179" s="437"/>
    </row>
    <row r="180" spans="1:20" s="697" customFormat="1" ht="12.75" customHeight="1" x14ac:dyDescent="0.2">
      <c r="A180" s="437"/>
      <c r="B180" s="414"/>
      <c r="C180" s="38"/>
      <c r="D180" s="38"/>
      <c r="E180" s="1515" t="str">
        <f>Translations!$B$1193</f>
        <v>Rezultāti</v>
      </c>
      <c r="F180" s="1275"/>
      <c r="G180" s="1275"/>
      <c r="H180" s="53" t="str">
        <f>D_Emissions!H179</f>
        <v>Vienība</v>
      </c>
      <c r="I180" s="412">
        <f>D_Emissions!I179</f>
        <v>2019</v>
      </c>
      <c r="J180" s="412">
        <f>D_Emissions!J179</f>
        <v>2020</v>
      </c>
      <c r="K180" s="412">
        <f>D_Emissions!K179</f>
        <v>2021</v>
      </c>
      <c r="L180" s="412">
        <f>D_Emissions!L179</f>
        <v>2022</v>
      </c>
      <c r="M180" s="412">
        <f>D_Emissions!M179</f>
        <v>2023</v>
      </c>
      <c r="N180" s="38"/>
      <c r="O180" s="25"/>
      <c r="P180" s="437"/>
      <c r="Q180" s="437"/>
      <c r="R180" s="437"/>
      <c r="S180" s="437"/>
      <c r="T180" s="437"/>
    </row>
    <row r="181" spans="1:20" s="697" customFormat="1" ht="12.75" customHeight="1" x14ac:dyDescent="0.2">
      <c r="A181" s="437"/>
      <c r="B181" s="414"/>
      <c r="C181" s="38"/>
      <c r="D181" s="38"/>
      <c r="E181" s="1953" t="str">
        <f>D_Emissions!E134</f>
        <v>Emisijas, kas attiecināmas uz siltuma izlaidi</v>
      </c>
      <c r="F181" s="1953"/>
      <c r="G181" s="1953"/>
      <c r="H181" s="609" t="str">
        <f>D_Emissions!H134</f>
        <v>t CO2 / gads</v>
      </c>
      <c r="I181" s="944" t="str">
        <f>D_Emissions!I134</f>
        <v/>
      </c>
      <c r="J181" s="944" t="str">
        <f>D_Emissions!J134</f>
        <v/>
      </c>
      <c r="K181" s="944" t="str">
        <f>D_Emissions!K134</f>
        <v/>
      </c>
      <c r="L181" s="944" t="str">
        <f>D_Emissions!L134</f>
        <v/>
      </c>
      <c r="M181" s="944" t="str">
        <f>D_Emissions!M134</f>
        <v/>
      </c>
      <c r="N181" s="38"/>
      <c r="O181" s="25"/>
      <c r="P181" s="437"/>
      <c r="Q181" s="437"/>
      <c r="R181" s="437"/>
      <c r="S181" s="437"/>
      <c r="T181" s="437"/>
    </row>
    <row r="182" spans="1:20" s="697" customFormat="1" ht="12.75" customHeight="1" x14ac:dyDescent="0.2">
      <c r="A182" s="437"/>
      <c r="B182" s="414"/>
      <c r="C182" s="38"/>
      <c r="D182" s="38"/>
      <c r="E182" s="1516" t="str">
        <f>D_Emissions!E135</f>
        <v>Emisijas faktors, siltums</v>
      </c>
      <c r="F182" s="1517"/>
      <c r="G182" s="1517"/>
      <c r="H182" s="66" t="str">
        <f>D_Emissions!H135</f>
        <v>t CO2 / TJ</v>
      </c>
      <c r="I182" s="937" t="str">
        <f>D_Emissions!I135</f>
        <v/>
      </c>
      <c r="J182" s="937" t="str">
        <f>D_Emissions!J135</f>
        <v/>
      </c>
      <c r="K182" s="937" t="str">
        <f>D_Emissions!K135</f>
        <v/>
      </c>
      <c r="L182" s="937" t="str">
        <f>D_Emissions!L135</f>
        <v/>
      </c>
      <c r="M182" s="937" t="str">
        <f>D_Emissions!M135</f>
        <v/>
      </c>
      <c r="N182" s="414"/>
      <c r="O182" s="25"/>
      <c r="P182" s="437"/>
      <c r="Q182" s="437"/>
      <c r="R182" s="437"/>
      <c r="S182" s="437"/>
      <c r="T182" s="437"/>
    </row>
    <row r="183" spans="1:20" s="697" customFormat="1" ht="5.0999999999999996" customHeight="1" x14ac:dyDescent="0.2">
      <c r="A183" s="437"/>
      <c r="B183" s="414"/>
      <c r="C183" s="38"/>
      <c r="D183" s="38"/>
      <c r="E183" s="38"/>
      <c r="F183" s="38"/>
      <c r="G183" s="38"/>
      <c r="H183" s="38"/>
      <c r="I183" s="38"/>
      <c r="J183" s="38"/>
      <c r="K183" s="38"/>
      <c r="L183" s="38"/>
      <c r="M183" s="38"/>
      <c r="N183" s="38"/>
      <c r="O183" s="25"/>
      <c r="P183" s="437"/>
      <c r="Q183" s="437"/>
      <c r="R183" s="437"/>
      <c r="S183" s="437"/>
      <c r="T183" s="437"/>
    </row>
    <row r="184" spans="1:20" s="697" customFormat="1" ht="12.75" customHeight="1" x14ac:dyDescent="0.2">
      <c r="A184" s="437"/>
      <c r="B184" s="414"/>
      <c r="C184" s="38"/>
      <c r="D184" s="38"/>
      <c r="E184" s="1378" t="str">
        <f>D_Emissions!E140</f>
        <v>Kurināmā ielaide siltuma ražošanai</v>
      </c>
      <c r="F184" s="1541"/>
      <c r="G184" s="1541"/>
      <c r="H184" s="45" t="str">
        <f>D_Emissions!H140</f>
        <v>TJ / gads</v>
      </c>
      <c r="I184" s="938" t="str">
        <f>D_Emissions!I140</f>
        <v/>
      </c>
      <c r="J184" s="938" t="str">
        <f>D_Emissions!J140</f>
        <v/>
      </c>
      <c r="K184" s="938" t="str">
        <f>D_Emissions!K140</f>
        <v/>
      </c>
      <c r="L184" s="938" t="str">
        <f>D_Emissions!L140</f>
        <v/>
      </c>
      <c r="M184" s="938" t="str">
        <f>D_Emissions!M140</f>
        <v/>
      </c>
      <c r="N184" s="414"/>
      <c r="O184" s="25"/>
      <c r="P184" s="437"/>
      <c r="Q184" s="437"/>
      <c r="R184" s="437"/>
      <c r="S184" s="437"/>
      <c r="T184" s="437"/>
    </row>
    <row r="185" spans="1:20" s="697" customFormat="1" ht="12.75" customHeight="1" x14ac:dyDescent="0.2">
      <c r="A185" s="437"/>
      <c r="B185" s="414"/>
      <c r="C185" s="38"/>
      <c r="D185" s="38"/>
      <c r="E185" s="1373" t="str">
        <f>D_Emissions!E141</f>
        <v>Kurināmā ielaide elektroenerģijas ražošanai</v>
      </c>
      <c r="F185" s="1550"/>
      <c r="G185" s="1550"/>
      <c r="H185" s="48" t="str">
        <f>D_Emissions!H141</f>
        <v>TJ / gads</v>
      </c>
      <c r="I185" s="940" t="str">
        <f>D_Emissions!I141</f>
        <v/>
      </c>
      <c r="J185" s="940" t="str">
        <f>D_Emissions!J141</f>
        <v/>
      </c>
      <c r="K185" s="940" t="str">
        <f>D_Emissions!K141</f>
        <v/>
      </c>
      <c r="L185" s="940" t="str">
        <f>D_Emissions!L141</f>
        <v/>
      </c>
      <c r="M185" s="940" t="str">
        <f>D_Emissions!M141</f>
        <v/>
      </c>
      <c r="N185" s="38"/>
      <c r="O185" s="25"/>
      <c r="P185" s="437"/>
      <c r="Q185" s="437"/>
      <c r="R185" s="437"/>
      <c r="S185" s="437"/>
      <c r="T185" s="437"/>
    </row>
    <row r="186" spans="1:20" s="697" customFormat="1" ht="12.75" customHeight="1" x14ac:dyDescent="0.2">
      <c r="A186" s="437"/>
      <c r="B186" s="414"/>
      <c r="C186" s="21"/>
      <c r="D186" s="21"/>
      <c r="E186" s="21"/>
      <c r="F186" s="21"/>
      <c r="G186" s="21"/>
      <c r="H186" s="21"/>
      <c r="I186" s="21"/>
      <c r="J186" s="21"/>
      <c r="K186" s="21"/>
      <c r="L186" s="21"/>
      <c r="M186" s="25"/>
      <c r="N186" s="25"/>
      <c r="O186" s="25"/>
      <c r="P186" s="437"/>
      <c r="Q186" s="437"/>
      <c r="R186" s="437"/>
      <c r="S186" s="437"/>
      <c r="T186" s="437"/>
    </row>
    <row r="187" spans="1:20" s="697" customFormat="1" ht="12.75" customHeight="1" x14ac:dyDescent="0.2">
      <c r="A187" s="437"/>
      <c r="B187" s="414"/>
      <c r="C187" s="21"/>
      <c r="D187" s="32" t="s">
        <v>339</v>
      </c>
      <c r="E187" s="1325" t="str">
        <f>Translations!$B$1194</f>
        <v>Koģenerācijas rīks 2</v>
      </c>
      <c r="F187" s="1325"/>
      <c r="G187" s="1325"/>
      <c r="H187" s="1325"/>
      <c r="I187" s="1325"/>
      <c r="J187" s="1325"/>
      <c r="K187" s="1325"/>
      <c r="L187" s="1489"/>
      <c r="M187" s="1208" t="str">
        <f>M162</f>
        <v/>
      </c>
      <c r="N187" s="457"/>
      <c r="O187" s="25"/>
      <c r="P187" s="437"/>
      <c r="Q187" s="437"/>
      <c r="R187" s="437"/>
      <c r="S187" s="437"/>
      <c r="T187" s="437"/>
    </row>
    <row r="188" spans="1:20" s="697" customFormat="1" ht="5.0999999999999996" customHeight="1" x14ac:dyDescent="0.2">
      <c r="A188" s="437"/>
      <c r="B188" s="414"/>
      <c r="C188" s="38"/>
      <c r="D188" s="38"/>
      <c r="E188" s="38"/>
      <c r="F188" s="38"/>
      <c r="G188" s="38"/>
      <c r="H188" s="38"/>
      <c r="I188" s="38"/>
      <c r="J188" s="38"/>
      <c r="K188" s="38"/>
      <c r="L188" s="38"/>
      <c r="M188" s="38"/>
      <c r="N188" s="38"/>
      <c r="O188" s="25"/>
      <c r="P188" s="437"/>
      <c r="Q188" s="437"/>
      <c r="R188" s="437"/>
      <c r="S188" s="437"/>
      <c r="T188" s="437"/>
    </row>
    <row r="189" spans="1:20" s="697" customFormat="1" ht="12.75" customHeight="1" x14ac:dyDescent="0.2">
      <c r="A189" s="437"/>
      <c r="B189" s="414"/>
      <c r="C189" s="38"/>
      <c r="D189" s="38"/>
      <c r="E189" s="1515" t="str">
        <f>Translations!$B$1188</f>
        <v>Enerģijas bilance</v>
      </c>
      <c r="F189" s="1275"/>
      <c r="G189" s="1275"/>
      <c r="H189" s="53" t="str">
        <f>D_Emissions!H148</f>
        <v>Vienība</v>
      </c>
      <c r="I189" s="412">
        <f>D_Emissions!I148</f>
        <v>2019</v>
      </c>
      <c r="J189" s="412">
        <f>D_Emissions!J148</f>
        <v>2020</v>
      </c>
      <c r="K189" s="412">
        <f>D_Emissions!K148</f>
        <v>2021</v>
      </c>
      <c r="L189" s="412">
        <f>D_Emissions!L148</f>
        <v>2022</v>
      </c>
      <c r="M189" s="412">
        <f>D_Emissions!M148</f>
        <v>2023</v>
      </c>
      <c r="N189" s="38"/>
      <c r="O189" s="25"/>
      <c r="P189" s="437"/>
      <c r="Q189" s="437"/>
      <c r="R189" s="437"/>
      <c r="S189" s="437"/>
      <c r="T189" s="437"/>
    </row>
    <row r="190" spans="1:20" s="697" customFormat="1" ht="12.75" customHeight="1" x14ac:dyDescent="0.2">
      <c r="A190" s="437"/>
      <c r="B190" s="414"/>
      <c r="C190" s="38"/>
      <c r="D190" s="38"/>
      <c r="E190" s="1516" t="str">
        <f>D_Emissions!E149</f>
        <v>Kurināmā ielaide koģenerācijas blokā</v>
      </c>
      <c r="F190" s="1517"/>
      <c r="G190" s="1517"/>
      <c r="H190" s="66" t="str">
        <f>D_Emissions!H149</f>
        <v>TJ / gads</v>
      </c>
      <c r="I190" s="937" t="str">
        <f>IF(ISBLANK(D_Emissions!I149),"",D_Emissions!I149)</f>
        <v/>
      </c>
      <c r="J190" s="937" t="str">
        <f>IF(ISBLANK(D_Emissions!J149),"",D_Emissions!J149)</f>
        <v/>
      </c>
      <c r="K190" s="937" t="str">
        <f>IF(ISBLANK(D_Emissions!K149),"",D_Emissions!K149)</f>
        <v/>
      </c>
      <c r="L190" s="937" t="str">
        <f>IF(ISBLANK(D_Emissions!L149),"",D_Emissions!L149)</f>
        <v/>
      </c>
      <c r="M190" s="937" t="str">
        <f>IF(ISBLANK(D_Emissions!M149),"",D_Emissions!M149)</f>
        <v/>
      </c>
      <c r="N190" s="38"/>
      <c r="O190" s="25"/>
      <c r="P190" s="437"/>
      <c r="Q190" s="437"/>
      <c r="R190" s="437"/>
      <c r="S190" s="437"/>
      <c r="T190" s="437"/>
    </row>
    <row r="191" spans="1:20" s="697" customFormat="1" ht="12.75" customHeight="1" x14ac:dyDescent="0.2">
      <c r="A191" s="437"/>
      <c r="B191" s="414"/>
      <c r="C191" s="38"/>
      <c r="D191" s="38"/>
      <c r="E191" s="1378" t="str">
        <f>D_Emissions!E153</f>
        <v>Koģenerācijas bloka siltuma izlaide</v>
      </c>
      <c r="F191" s="1541"/>
      <c r="G191" s="1541"/>
      <c r="H191" s="45" t="str">
        <f>D_Emissions!H153</f>
        <v>TJ / gads</v>
      </c>
      <c r="I191" s="938" t="str">
        <f>IF(ISBLANK(D_Emissions!I153),"",D_Emissions!I153)</f>
        <v/>
      </c>
      <c r="J191" s="938" t="str">
        <f>IF(ISBLANK(D_Emissions!J153),"",D_Emissions!J153)</f>
        <v/>
      </c>
      <c r="K191" s="938" t="str">
        <f>IF(ISBLANK(D_Emissions!K153),"",D_Emissions!K153)</f>
        <v/>
      </c>
      <c r="L191" s="938" t="str">
        <f>IF(ISBLANK(D_Emissions!L153),"",D_Emissions!L153)</f>
        <v/>
      </c>
      <c r="M191" s="938" t="str">
        <f>IF(ISBLANK(D_Emissions!M153),"",D_Emissions!M153)</f>
        <v/>
      </c>
      <c r="N191" s="38"/>
      <c r="O191" s="25"/>
      <c r="P191" s="437"/>
      <c r="Q191" s="437"/>
      <c r="R191" s="437"/>
      <c r="S191" s="437"/>
      <c r="T191" s="437"/>
    </row>
    <row r="192" spans="1:20" s="697" customFormat="1" ht="12.75" customHeight="1" x14ac:dyDescent="0.2">
      <c r="A192" s="437"/>
      <c r="B192" s="414"/>
      <c r="C192" s="38"/>
      <c r="D192" s="38"/>
      <c r="E192" s="1373" t="str">
        <f>D_Emissions!E158</f>
        <v>Koģenerācijas bloka elektroenerģijas izlaide</v>
      </c>
      <c r="F192" s="1550"/>
      <c r="G192" s="1550"/>
      <c r="H192" s="48" t="str">
        <f>D_Emissions!H158</f>
        <v>TJ / gads</v>
      </c>
      <c r="I192" s="940" t="str">
        <f>IF(ISBLANK(D_Emissions!I158),"",D_Emissions!I158)</f>
        <v/>
      </c>
      <c r="J192" s="940" t="str">
        <f>IF(ISBLANK(D_Emissions!J158),"",D_Emissions!J158)</f>
        <v/>
      </c>
      <c r="K192" s="940" t="str">
        <f>IF(ISBLANK(D_Emissions!K158),"",D_Emissions!K158)</f>
        <v/>
      </c>
      <c r="L192" s="940" t="str">
        <f>IF(ISBLANK(D_Emissions!L158),"",D_Emissions!L158)</f>
        <v/>
      </c>
      <c r="M192" s="940" t="str">
        <f>IF(ISBLANK(D_Emissions!M158),"",D_Emissions!M158)</f>
        <v/>
      </c>
      <c r="N192" s="38"/>
      <c r="O192" s="25"/>
      <c r="P192" s="437"/>
      <c r="Q192" s="437"/>
      <c r="R192" s="437"/>
      <c r="S192" s="437"/>
      <c r="T192" s="437"/>
    </row>
    <row r="193" spans="1:20" s="697" customFormat="1" ht="5.0999999999999996" customHeight="1" x14ac:dyDescent="0.2">
      <c r="A193" s="437"/>
      <c r="B193" s="414"/>
      <c r="C193" s="38"/>
      <c r="D193" s="38"/>
      <c r="E193" s="38"/>
      <c r="F193" s="38"/>
      <c r="G193" s="38"/>
      <c r="H193" s="38"/>
      <c r="I193" s="38"/>
      <c r="J193" s="38"/>
      <c r="K193" s="38"/>
      <c r="L193" s="38"/>
      <c r="M193" s="38"/>
      <c r="N193" s="38"/>
      <c r="O193" s="25"/>
      <c r="P193" s="437"/>
      <c r="Q193" s="437"/>
      <c r="R193" s="437"/>
      <c r="S193" s="437"/>
      <c r="T193" s="437"/>
    </row>
    <row r="194" spans="1:20" s="697" customFormat="1" ht="12.75" customHeight="1" x14ac:dyDescent="0.2">
      <c r="A194" s="437"/>
      <c r="B194" s="414"/>
      <c r="C194" s="21"/>
      <c r="D194" s="34"/>
      <c r="E194" s="1515" t="str">
        <f>Translations!$B$1189</f>
        <v>Emisijas</v>
      </c>
      <c r="F194" s="1275"/>
      <c r="G194" s="1275"/>
      <c r="H194" s="53" t="str">
        <f>D_Emissions!H161</f>
        <v>Vienība</v>
      </c>
      <c r="I194" s="412">
        <f>D_Emissions!I161</f>
        <v>2019</v>
      </c>
      <c r="J194" s="412">
        <f>D_Emissions!J161</f>
        <v>2020</v>
      </c>
      <c r="K194" s="412">
        <f>D_Emissions!K161</f>
        <v>2021</v>
      </c>
      <c r="L194" s="412">
        <f>D_Emissions!L161</f>
        <v>2022</v>
      </c>
      <c r="M194" s="412">
        <f>D_Emissions!M161</f>
        <v>2023</v>
      </c>
      <c r="N194" s="457"/>
      <c r="O194" s="25"/>
      <c r="P194" s="437"/>
      <c r="Q194" s="437"/>
      <c r="R194" s="437"/>
      <c r="S194" s="437"/>
      <c r="T194" s="437"/>
    </row>
    <row r="195" spans="1:20" s="697" customFormat="1" ht="12.75" customHeight="1" x14ac:dyDescent="0.2">
      <c r="A195" s="437"/>
      <c r="B195" s="414"/>
      <c r="C195" s="38"/>
      <c r="D195" s="38"/>
      <c r="E195" s="1378" t="str">
        <f>D_Emissions!E162</f>
        <v>No kurināmā ielaides koģenerācijas blokā</v>
      </c>
      <c r="F195" s="1541"/>
      <c r="G195" s="1541"/>
      <c r="H195" s="45" t="str">
        <f>D_Emissions!H162</f>
        <v>t CO2 / gads</v>
      </c>
      <c r="I195" s="938" t="str">
        <f>IF(ISBLANK(D_Emissions!I162),"",D_Emissions!I162)</f>
        <v/>
      </c>
      <c r="J195" s="938" t="str">
        <f>IF(ISBLANK(D_Emissions!J162),"",D_Emissions!J162)</f>
        <v/>
      </c>
      <c r="K195" s="938" t="str">
        <f>IF(ISBLANK(D_Emissions!K162),"",D_Emissions!K162)</f>
        <v/>
      </c>
      <c r="L195" s="938" t="str">
        <f>IF(ISBLANK(D_Emissions!L162),"",D_Emissions!L162)</f>
        <v/>
      </c>
      <c r="M195" s="938" t="str">
        <f>IF(ISBLANK(D_Emissions!M162),"",D_Emissions!M162)</f>
        <v/>
      </c>
      <c r="N195" s="38"/>
      <c r="O195" s="25"/>
      <c r="P195" s="437"/>
      <c r="Q195" s="437"/>
      <c r="R195" s="437"/>
      <c r="S195" s="437"/>
      <c r="T195" s="437"/>
    </row>
    <row r="196" spans="1:20" s="697" customFormat="1" ht="12.75" customHeight="1" x14ac:dyDescent="0.2">
      <c r="A196" s="437"/>
      <c r="B196" s="414"/>
      <c r="C196" s="38"/>
      <c r="D196" s="38"/>
      <c r="E196" s="1373" t="str">
        <f>D_Emissions!E163</f>
        <v>No dūmgāzu attīrīšanas</v>
      </c>
      <c r="F196" s="1550"/>
      <c r="G196" s="1550"/>
      <c r="H196" s="48" t="str">
        <f>D_Emissions!H163</f>
        <v>t CO2 / gads</v>
      </c>
      <c r="I196" s="940" t="str">
        <f>IF(ISBLANK(D_Emissions!I163),"",D_Emissions!I163)</f>
        <v/>
      </c>
      <c r="J196" s="940" t="str">
        <f>IF(ISBLANK(D_Emissions!J163),"",D_Emissions!J163)</f>
        <v/>
      </c>
      <c r="K196" s="940" t="str">
        <f>IF(ISBLANK(D_Emissions!K163),"",D_Emissions!K163)</f>
        <v/>
      </c>
      <c r="L196" s="940" t="str">
        <f>IF(ISBLANK(D_Emissions!L163),"",D_Emissions!L163)</f>
        <v/>
      </c>
      <c r="M196" s="940" t="str">
        <f>IF(ISBLANK(D_Emissions!M163),"",D_Emissions!M163)</f>
        <v/>
      </c>
      <c r="N196" s="38"/>
      <c r="O196" s="25"/>
      <c r="P196" s="437"/>
      <c r="Q196" s="437"/>
      <c r="R196" s="437"/>
      <c r="S196" s="437"/>
      <c r="T196" s="437"/>
    </row>
    <row r="197" spans="1:20" s="697" customFormat="1" ht="12.75" customHeight="1" x14ac:dyDescent="0.2">
      <c r="A197" s="437"/>
      <c r="B197" s="414"/>
      <c r="C197" s="38"/>
      <c r="D197" s="38"/>
      <c r="E197" s="1516" t="str">
        <f>D_Emissions!E164</f>
        <v>Kopējās emisijas</v>
      </c>
      <c r="F197" s="1517"/>
      <c r="G197" s="1517"/>
      <c r="H197" s="66" t="str">
        <f>D_Emissions!H164</f>
        <v>t CO2 / gads</v>
      </c>
      <c r="I197" s="937" t="str">
        <f>D_Emissions!I164</f>
        <v/>
      </c>
      <c r="J197" s="937" t="str">
        <f>D_Emissions!J164</f>
        <v/>
      </c>
      <c r="K197" s="937" t="str">
        <f>D_Emissions!K164</f>
        <v/>
      </c>
      <c r="L197" s="937" t="str">
        <f>D_Emissions!L164</f>
        <v/>
      </c>
      <c r="M197" s="937" t="str">
        <f>D_Emissions!M164</f>
        <v/>
      </c>
      <c r="N197" s="38"/>
      <c r="O197" s="25"/>
      <c r="P197" s="437"/>
      <c r="Q197" s="437"/>
      <c r="R197" s="437"/>
      <c r="S197" s="437"/>
      <c r="T197" s="437"/>
    </row>
    <row r="198" spans="1:20" s="697" customFormat="1" ht="5.0999999999999996" customHeight="1" x14ac:dyDescent="0.2">
      <c r="A198" s="437"/>
      <c r="B198" s="414"/>
      <c r="C198" s="38"/>
      <c r="D198" s="38"/>
      <c r="N198" s="38"/>
      <c r="O198" s="25"/>
      <c r="P198" s="437"/>
      <c r="Q198" s="437"/>
      <c r="R198" s="437"/>
      <c r="S198" s="437"/>
      <c r="T198" s="437"/>
    </row>
    <row r="199" spans="1:20" s="697" customFormat="1" ht="12.75" customHeight="1" x14ac:dyDescent="0.2">
      <c r="A199" s="437"/>
      <c r="B199" s="414"/>
      <c r="C199" s="38"/>
      <c r="D199" s="38"/>
      <c r="E199" s="1515" t="str">
        <f>Translations!$B$1190</f>
        <v>Lietderība</v>
      </c>
      <c r="F199" s="1275"/>
      <c r="G199" s="1275"/>
      <c r="H199" s="53" t="str">
        <f>D_Emissions!H169</f>
        <v>Vienība</v>
      </c>
      <c r="I199" s="412">
        <f>D_Emissions!I169</f>
        <v>2019</v>
      </c>
      <c r="J199" s="412">
        <f>D_Emissions!J169</f>
        <v>2020</v>
      </c>
      <c r="K199" s="412">
        <f>D_Emissions!K169</f>
        <v>2021</v>
      </c>
      <c r="L199" s="412">
        <f>D_Emissions!L169</f>
        <v>2022</v>
      </c>
      <c r="M199" s="412">
        <f>D_Emissions!M169</f>
        <v>2023</v>
      </c>
      <c r="N199" s="38"/>
      <c r="O199" s="25"/>
      <c r="P199" s="437"/>
      <c r="Q199" s="437"/>
      <c r="R199" s="437"/>
      <c r="S199" s="437"/>
      <c r="T199" s="437"/>
    </row>
    <row r="200" spans="1:20" s="697" customFormat="1" ht="12.75" customHeight="1" x14ac:dyDescent="0.2">
      <c r="A200" s="437"/>
      <c r="B200" s="414"/>
      <c r="C200" s="38"/>
      <c r="D200" s="38"/>
      <c r="E200" s="1378" t="str">
        <f>D_Emissions!E170</f>
        <v>Siltuma ražošana</v>
      </c>
      <c r="F200" s="1541"/>
      <c r="G200" s="1541"/>
      <c r="H200" s="827" t="str">
        <f>D_Emissions!H170</f>
        <v>-</v>
      </c>
      <c r="I200" s="828" t="str">
        <f>D_Emissions!I170</f>
        <v/>
      </c>
      <c r="J200" s="828" t="str">
        <f>D_Emissions!J170</f>
        <v/>
      </c>
      <c r="K200" s="828" t="str">
        <f>D_Emissions!K170</f>
        <v/>
      </c>
      <c r="L200" s="828" t="str">
        <f>D_Emissions!L170</f>
        <v/>
      </c>
      <c r="M200" s="828" t="str">
        <f>D_Emissions!M170</f>
        <v/>
      </c>
      <c r="N200" s="414"/>
      <c r="O200" s="25"/>
      <c r="P200" s="437"/>
      <c r="Q200" s="437"/>
      <c r="R200" s="437"/>
      <c r="S200" s="437"/>
      <c r="T200" s="437"/>
    </row>
    <row r="201" spans="1:20" s="697" customFormat="1" ht="12.75" customHeight="1" x14ac:dyDescent="0.2">
      <c r="A201" s="437"/>
      <c r="B201" s="414"/>
      <c r="C201" s="38"/>
      <c r="D201" s="38"/>
      <c r="E201" s="1373" t="str">
        <f>D_Emissions!E171</f>
        <v>Elektroenerģijas ražošana</v>
      </c>
      <c r="F201" s="1550"/>
      <c r="G201" s="1550"/>
      <c r="H201" s="829" t="str">
        <f>D_Emissions!H171</f>
        <v>-</v>
      </c>
      <c r="I201" s="830" t="str">
        <f>D_Emissions!I171</f>
        <v/>
      </c>
      <c r="J201" s="830" t="str">
        <f>D_Emissions!J171</f>
        <v/>
      </c>
      <c r="K201" s="830" t="str">
        <f>D_Emissions!K171</f>
        <v/>
      </c>
      <c r="L201" s="830" t="str">
        <f>D_Emissions!L171</f>
        <v/>
      </c>
      <c r="M201" s="830" t="str">
        <f>D_Emissions!M171</f>
        <v/>
      </c>
      <c r="N201" s="38"/>
      <c r="O201" s="25"/>
      <c r="P201" s="437"/>
      <c r="Q201" s="437"/>
      <c r="R201" s="437"/>
      <c r="S201" s="437"/>
      <c r="T201" s="437"/>
    </row>
    <row r="202" spans="1:20" s="697" customFormat="1" ht="12.75" customHeight="1" x14ac:dyDescent="0.2">
      <c r="A202" s="437"/>
      <c r="B202" s="414"/>
      <c r="C202" s="38"/>
      <c r="D202" s="38"/>
      <c r="E202" s="1378" t="str">
        <f>Translations!$B$1191</f>
        <v>Siltuma ražošana (references)</v>
      </c>
      <c r="F202" s="1541"/>
      <c r="G202" s="1541"/>
      <c r="H202" s="827" t="str">
        <f>D_Emissions!H175</f>
        <v>-</v>
      </c>
      <c r="I202" s="831" t="str">
        <f>IF(ISBLANK(D_Emissions!I175),"",D_Emissions!I175)</f>
        <v/>
      </c>
      <c r="J202" s="831" t="str">
        <f>IF(ISBLANK(D_Emissions!J175),"",D_Emissions!J175)</f>
        <v/>
      </c>
      <c r="K202" s="831" t="str">
        <f>IF(ISBLANK(D_Emissions!K175),"",D_Emissions!K175)</f>
        <v/>
      </c>
      <c r="L202" s="831" t="str">
        <f>IF(ISBLANK(D_Emissions!L175),"",D_Emissions!L175)</f>
        <v/>
      </c>
      <c r="M202" s="831" t="str">
        <f>IF(ISBLANK(D_Emissions!M175),"",D_Emissions!M175)</f>
        <v/>
      </c>
      <c r="N202" s="38"/>
      <c r="O202" s="25"/>
      <c r="P202" s="437"/>
      <c r="Q202" s="437"/>
      <c r="R202" s="437"/>
      <c r="S202" s="437"/>
      <c r="T202" s="437"/>
    </row>
    <row r="203" spans="1:20" s="697" customFormat="1" ht="12.75" customHeight="1" x14ac:dyDescent="0.2">
      <c r="A203" s="437"/>
      <c r="B203" s="414"/>
      <c r="C203" s="38"/>
      <c r="D203" s="38"/>
      <c r="E203" s="1373" t="str">
        <f>Translations!$B$1192</f>
        <v>Elektroenerģijas ražošana (references)</v>
      </c>
      <c r="F203" s="1550"/>
      <c r="G203" s="1550"/>
      <c r="H203" s="829" t="str">
        <f>D_Emissions!H176</f>
        <v>-</v>
      </c>
      <c r="I203" s="832" t="str">
        <f>IF(ISBLANK(D_Emissions!I176),"",D_Emissions!I176)</f>
        <v/>
      </c>
      <c r="J203" s="832" t="str">
        <f>IF(ISBLANK(D_Emissions!J176),"",D_Emissions!J176)</f>
        <v/>
      </c>
      <c r="K203" s="832" t="str">
        <f>IF(ISBLANK(D_Emissions!K176),"",D_Emissions!K176)</f>
        <v/>
      </c>
      <c r="L203" s="832" t="str">
        <f>IF(ISBLANK(D_Emissions!L176),"",D_Emissions!L176)</f>
        <v/>
      </c>
      <c r="M203" s="832" t="str">
        <f>IF(ISBLANK(D_Emissions!M176),"",D_Emissions!M176)</f>
        <v/>
      </c>
      <c r="N203" s="38"/>
      <c r="O203" s="25"/>
      <c r="P203" s="437"/>
      <c r="Q203" s="437"/>
      <c r="R203" s="437"/>
      <c r="S203" s="437"/>
      <c r="T203" s="437"/>
    </row>
    <row r="204" spans="1:20" s="697" customFormat="1" ht="5.0999999999999996" customHeight="1" x14ac:dyDescent="0.2">
      <c r="A204" s="437"/>
      <c r="B204" s="414"/>
      <c r="C204" s="38"/>
      <c r="D204" s="38"/>
      <c r="E204" s="38"/>
      <c r="F204" s="38"/>
      <c r="G204" s="38"/>
      <c r="H204" s="38"/>
      <c r="I204" s="38"/>
      <c r="J204" s="38"/>
      <c r="K204" s="38"/>
      <c r="L204" s="38"/>
      <c r="M204" s="38"/>
      <c r="N204" s="38"/>
      <c r="O204" s="25"/>
      <c r="P204" s="437"/>
      <c r="Q204" s="437"/>
      <c r="R204" s="437"/>
      <c r="S204" s="437"/>
      <c r="T204" s="437"/>
    </row>
    <row r="205" spans="1:20" s="697" customFormat="1" ht="12.75" customHeight="1" x14ac:dyDescent="0.2">
      <c r="A205" s="437"/>
      <c r="B205" s="414"/>
      <c r="C205" s="38"/>
      <c r="D205" s="38"/>
      <c r="E205" s="1515" t="str">
        <f>Translations!$B$1193</f>
        <v>Rezultāti</v>
      </c>
      <c r="F205" s="1275"/>
      <c r="G205" s="1275"/>
      <c r="H205" s="53" t="str">
        <f>D_Emissions!H179</f>
        <v>Vienība</v>
      </c>
      <c r="I205" s="412">
        <f>D_Emissions!I179</f>
        <v>2019</v>
      </c>
      <c r="J205" s="412">
        <f>D_Emissions!J179</f>
        <v>2020</v>
      </c>
      <c r="K205" s="412">
        <f>D_Emissions!K179</f>
        <v>2021</v>
      </c>
      <c r="L205" s="412">
        <f>D_Emissions!L179</f>
        <v>2022</v>
      </c>
      <c r="M205" s="412">
        <f>D_Emissions!M179</f>
        <v>2023</v>
      </c>
      <c r="N205" s="38"/>
      <c r="O205" s="25"/>
      <c r="P205" s="437"/>
      <c r="Q205" s="437"/>
      <c r="R205" s="437"/>
      <c r="S205" s="437"/>
      <c r="T205" s="437"/>
    </row>
    <row r="206" spans="1:20" s="697" customFormat="1" ht="12.75" customHeight="1" x14ac:dyDescent="0.2">
      <c r="A206" s="437"/>
      <c r="B206" s="414"/>
      <c r="C206" s="38"/>
      <c r="D206" s="38"/>
      <c r="E206" s="1953" t="str">
        <f>D_Emissions!E180</f>
        <v>Emisijas, kas attiecināmas uz siltuma izlaidi</v>
      </c>
      <c r="F206" s="1953"/>
      <c r="G206" s="1953"/>
      <c r="H206" s="609" t="str">
        <f>D_Emissions!H180</f>
        <v>t CO2 / gads</v>
      </c>
      <c r="I206" s="944" t="str">
        <f>D_Emissions!I180</f>
        <v/>
      </c>
      <c r="J206" s="944" t="str">
        <f>D_Emissions!J180</f>
        <v/>
      </c>
      <c r="K206" s="944" t="str">
        <f>D_Emissions!K180</f>
        <v/>
      </c>
      <c r="L206" s="944" t="str">
        <f>D_Emissions!L180</f>
        <v/>
      </c>
      <c r="M206" s="944" t="str">
        <f>D_Emissions!M180</f>
        <v/>
      </c>
      <c r="N206" s="38"/>
      <c r="O206" s="25"/>
      <c r="P206" s="437"/>
      <c r="Q206" s="437"/>
      <c r="R206" s="437"/>
      <c r="S206" s="437"/>
      <c r="T206" s="437"/>
    </row>
    <row r="207" spans="1:20" s="697" customFormat="1" ht="12.75" customHeight="1" x14ac:dyDescent="0.2">
      <c r="A207" s="437"/>
      <c r="B207" s="414"/>
      <c r="C207" s="38"/>
      <c r="D207" s="38"/>
      <c r="E207" s="1516" t="str">
        <f>D_Emissions!E181</f>
        <v>Emisijas faktors, siltums</v>
      </c>
      <c r="F207" s="1517"/>
      <c r="G207" s="1517"/>
      <c r="H207" s="66" t="str">
        <f>D_Emissions!H181</f>
        <v>t CO2 / TJ</v>
      </c>
      <c r="I207" s="937" t="str">
        <f>D_Emissions!I181</f>
        <v/>
      </c>
      <c r="J207" s="937" t="str">
        <f>D_Emissions!J181</f>
        <v/>
      </c>
      <c r="K207" s="937" t="str">
        <f>D_Emissions!K181</f>
        <v/>
      </c>
      <c r="L207" s="937" t="str">
        <f>D_Emissions!L181</f>
        <v/>
      </c>
      <c r="M207" s="937" t="str">
        <f>D_Emissions!M181</f>
        <v/>
      </c>
      <c r="N207" s="414"/>
      <c r="O207" s="25"/>
      <c r="P207" s="437"/>
      <c r="Q207" s="437"/>
      <c r="R207" s="437"/>
      <c r="S207" s="437"/>
      <c r="T207" s="437"/>
    </row>
    <row r="208" spans="1:20" s="697" customFormat="1" ht="5.0999999999999996" customHeight="1" x14ac:dyDescent="0.2">
      <c r="A208" s="437"/>
      <c r="B208" s="414"/>
      <c r="C208" s="38"/>
      <c r="D208" s="38"/>
      <c r="E208" s="38"/>
      <c r="F208" s="38"/>
      <c r="G208" s="38"/>
      <c r="H208" s="38"/>
      <c r="I208" s="38"/>
      <c r="J208" s="38"/>
      <c r="K208" s="38"/>
      <c r="L208" s="38"/>
      <c r="M208" s="38"/>
      <c r="N208" s="38"/>
      <c r="O208" s="25"/>
      <c r="P208" s="437"/>
      <c r="Q208" s="437"/>
      <c r="R208" s="437"/>
      <c r="S208" s="437"/>
      <c r="T208" s="437"/>
    </row>
    <row r="209" spans="1:20" s="697" customFormat="1" ht="12.75" customHeight="1" x14ac:dyDescent="0.2">
      <c r="A209" s="437"/>
      <c r="B209" s="414"/>
      <c r="C209" s="38"/>
      <c r="D209" s="38"/>
      <c r="E209" s="1378" t="str">
        <f>D_Emissions!E185</f>
        <v>Kurināmā ielaide siltuma ražošanai</v>
      </c>
      <c r="F209" s="1541"/>
      <c r="G209" s="1541"/>
      <c r="H209" s="45" t="str">
        <f>D_Emissions!H185</f>
        <v>TJ / gads</v>
      </c>
      <c r="I209" s="938" t="str">
        <f>D_Emissions!I185</f>
        <v/>
      </c>
      <c r="J209" s="938" t="str">
        <f>D_Emissions!J185</f>
        <v/>
      </c>
      <c r="K209" s="938" t="str">
        <f>D_Emissions!K185</f>
        <v/>
      </c>
      <c r="L209" s="938" t="str">
        <f>D_Emissions!L185</f>
        <v/>
      </c>
      <c r="M209" s="938" t="str">
        <f>D_Emissions!M185</f>
        <v/>
      </c>
      <c r="N209" s="414"/>
      <c r="O209" s="25"/>
      <c r="P209" s="437"/>
      <c r="Q209" s="437"/>
      <c r="R209" s="437"/>
      <c r="S209" s="437"/>
      <c r="T209" s="437"/>
    </row>
    <row r="210" spans="1:20" s="697" customFormat="1" ht="12.75" customHeight="1" x14ac:dyDescent="0.2">
      <c r="A210" s="437"/>
      <c r="B210" s="414"/>
      <c r="C210" s="38"/>
      <c r="D210" s="38"/>
      <c r="E210" s="1373" t="str">
        <f>D_Emissions!E186</f>
        <v>Kurināmā ielaide elektroenerģijas ražošanai</v>
      </c>
      <c r="F210" s="1550"/>
      <c r="G210" s="1550"/>
      <c r="H210" s="48" t="str">
        <f>D_Emissions!H186</f>
        <v>TJ / gads</v>
      </c>
      <c r="I210" s="940" t="str">
        <f>D_Emissions!I186</f>
        <v/>
      </c>
      <c r="J210" s="940" t="str">
        <f>D_Emissions!J186</f>
        <v/>
      </c>
      <c r="K210" s="940" t="str">
        <f>D_Emissions!K186</f>
        <v/>
      </c>
      <c r="L210" s="940" t="str">
        <f>D_Emissions!L186</f>
        <v/>
      </c>
      <c r="M210" s="940" t="str">
        <f>D_Emissions!M186</f>
        <v/>
      </c>
      <c r="N210" s="38"/>
      <c r="O210" s="25"/>
      <c r="P210" s="437"/>
      <c r="Q210" s="437"/>
      <c r="R210" s="437"/>
      <c r="S210" s="437"/>
      <c r="T210" s="437"/>
    </row>
    <row r="211" spans="1:20" s="697" customFormat="1" ht="12.75" customHeight="1" x14ac:dyDescent="0.2">
      <c r="A211" s="437"/>
      <c r="B211" s="414"/>
      <c r="C211" s="414"/>
      <c r="D211" s="414"/>
      <c r="E211" s="414"/>
      <c r="F211" s="414"/>
      <c r="G211" s="414"/>
      <c r="H211" s="414"/>
      <c r="I211" s="414"/>
      <c r="J211" s="414"/>
      <c r="K211" s="414"/>
      <c r="L211" s="414"/>
      <c r="M211" s="414"/>
      <c r="N211" s="414"/>
      <c r="O211" s="25"/>
      <c r="P211" s="437"/>
      <c r="Q211" s="437"/>
      <c r="R211" s="437"/>
      <c r="S211" s="437"/>
      <c r="T211" s="437"/>
    </row>
    <row r="212" spans="1:20" s="697" customFormat="1" ht="15" x14ac:dyDescent="0.25">
      <c r="A212" s="437"/>
      <c r="B212" s="414"/>
      <c r="C212" s="36">
        <v>4</v>
      </c>
      <c r="D212" s="1318" t="str">
        <f>Translations!$B$1195</f>
        <v>Atlikumgāzu rīks (atlikumgāzes, uz ko neattiecas produktu līmeņatzīmes) — D lapas IV sadaļa</v>
      </c>
      <c r="E212" s="1251"/>
      <c r="F212" s="1251"/>
      <c r="G212" s="1251"/>
      <c r="H212" s="1251"/>
      <c r="I212" s="1251"/>
      <c r="J212" s="1251"/>
      <c r="K212" s="1251"/>
      <c r="L212" s="1251"/>
      <c r="M212" s="1251"/>
      <c r="N212" s="1251"/>
      <c r="O212" s="25"/>
      <c r="P212" s="437"/>
      <c r="Q212" s="437"/>
      <c r="R212" s="437"/>
      <c r="S212" s="437"/>
      <c r="T212" s="437"/>
    </row>
    <row r="213" spans="1:20" s="697" customFormat="1" ht="5.0999999999999996" customHeight="1" x14ac:dyDescent="0.2">
      <c r="A213" s="437"/>
      <c r="B213" s="21"/>
      <c r="C213" s="21"/>
      <c r="D213" s="23"/>
      <c r="E213" s="23"/>
      <c r="F213" s="23"/>
      <c r="G213" s="23"/>
      <c r="H213" s="23"/>
      <c r="I213" s="23"/>
      <c r="J213" s="23"/>
      <c r="K213" s="23"/>
      <c r="L213" s="23"/>
      <c r="M213" s="44"/>
      <c r="N213" s="44"/>
      <c r="O213" s="25"/>
      <c r="P213" s="26"/>
      <c r="Q213" s="199"/>
      <c r="R213" s="437"/>
      <c r="S213" s="437"/>
      <c r="T213" s="437"/>
    </row>
    <row r="214" spans="1:20" s="697" customFormat="1" ht="12.75" customHeight="1" x14ac:dyDescent="0.2">
      <c r="A214" s="437"/>
      <c r="B214" s="414"/>
      <c r="C214" s="21"/>
      <c r="D214" s="32" t="s">
        <v>165</v>
      </c>
      <c r="E214" s="1250" t="str">
        <f>D_Emissions!E204</f>
        <v>Šī sadaļa attiecas uz šāda veida procesa emisiju apakšiekārtu:</v>
      </c>
      <c r="F214" s="1250"/>
      <c r="G214" s="1250"/>
      <c r="H214" s="1250"/>
      <c r="I214" s="1250"/>
      <c r="J214" s="1250"/>
      <c r="K214" s="1524"/>
      <c r="L214" s="1954" t="str">
        <f>IF(ISBLANK(D_Emissions!L204),"",D_Emissions!L204)</f>
        <v/>
      </c>
      <c r="M214" s="1955"/>
      <c r="N214" s="1956"/>
      <c r="O214" s="25"/>
      <c r="P214" s="437"/>
      <c r="Q214" s="437"/>
      <c r="R214" s="437"/>
      <c r="S214" s="437"/>
      <c r="T214" s="437"/>
    </row>
    <row r="215" spans="1:20" s="697" customFormat="1" ht="12.75" customHeight="1" x14ac:dyDescent="0.2">
      <c r="A215" s="437"/>
      <c r="B215" s="414"/>
      <c r="C215" s="21"/>
      <c r="D215" s="32"/>
      <c r="E215" s="1250" t="str">
        <f>D_Emissions!E210</f>
        <v>Atlikumgāzes veids:</v>
      </c>
      <c r="F215" s="1251"/>
      <c r="G215" s="1328"/>
      <c r="H215" s="1916" t="str">
        <f>IF(ISBLANK(D_Emissions!H210),"",D_Emissions!H210)</f>
        <v/>
      </c>
      <c r="I215" s="1949"/>
      <c r="J215" s="1949"/>
      <c r="K215" s="1949"/>
      <c r="L215" s="1949"/>
      <c r="M215" s="1949"/>
      <c r="N215" s="1950"/>
      <c r="O215" s="25"/>
      <c r="P215" s="437"/>
      <c r="Q215" s="437"/>
      <c r="R215" s="437"/>
      <c r="S215" s="437"/>
      <c r="T215" s="437"/>
    </row>
    <row r="216" spans="1:20" s="697" customFormat="1" ht="12.75" customHeight="1" x14ac:dyDescent="0.2">
      <c r="A216" s="437"/>
      <c r="B216" s="414"/>
      <c r="C216" s="38"/>
      <c r="D216" s="38"/>
      <c r="E216" s="43"/>
      <c r="F216" s="40"/>
      <c r="G216" s="40"/>
      <c r="H216" s="53" t="str">
        <f>Translations!$B$1196</f>
        <v>Vienība</v>
      </c>
      <c r="I216" s="412">
        <v>2014</v>
      </c>
      <c r="J216" s="412">
        <v>2015</v>
      </c>
      <c r="K216" s="412">
        <v>2016</v>
      </c>
      <c r="L216" s="412">
        <v>2017</v>
      </c>
      <c r="M216" s="412">
        <v>2018</v>
      </c>
      <c r="N216" s="25"/>
      <c r="O216" s="25"/>
      <c r="P216" s="437"/>
      <c r="Q216" s="437"/>
      <c r="R216" s="437"/>
      <c r="S216" s="437"/>
      <c r="T216" s="437"/>
    </row>
    <row r="217" spans="1:20" s="697" customFormat="1" ht="12.75" customHeight="1" x14ac:dyDescent="0.2">
      <c r="A217" s="437"/>
      <c r="B217" s="414"/>
      <c r="C217" s="38"/>
      <c r="D217" s="38"/>
      <c r="E217" s="1517" t="str">
        <f>D_Emissions!E219</f>
        <v>Nekoriģētas procesa emisijas</v>
      </c>
      <c r="F217" s="1517"/>
      <c r="G217" s="1517"/>
      <c r="H217" s="66" t="str">
        <f>D_Emissions!H219</f>
        <v>t CO2e/gads</v>
      </c>
      <c r="I217" s="1215" t="str">
        <f>IF(ISBLANK(D_Emissions!I219),"",D_Emissions!I219)</f>
        <v/>
      </c>
      <c r="J217" s="1215" t="str">
        <f>IF(ISBLANK(D_Emissions!J219),"",D_Emissions!J219)</f>
        <v/>
      </c>
      <c r="K217" s="1215" t="str">
        <f>IF(ISBLANK(D_Emissions!K219),"",D_Emissions!K219)</f>
        <v/>
      </c>
      <c r="L217" s="1215" t="str">
        <f>IF(ISBLANK(D_Emissions!L219),"",D_Emissions!L219)</f>
        <v/>
      </c>
      <c r="M217" s="1215" t="str">
        <f>IF(ISBLANK(D_Emissions!M219),"",D_Emissions!M219)</f>
        <v/>
      </c>
      <c r="N217" s="25"/>
      <c r="O217" s="25"/>
      <c r="P217" s="437"/>
      <c r="Q217" s="437"/>
      <c r="R217" s="437"/>
      <c r="S217" s="437"/>
      <c r="T217" s="437"/>
    </row>
    <row r="218" spans="1:20" s="697" customFormat="1" ht="12.75" customHeight="1" x14ac:dyDescent="0.2">
      <c r="A218" s="437"/>
      <c r="B218" s="414"/>
      <c r="C218" s="38"/>
      <c r="D218" s="38"/>
      <c r="E218" s="1517" t="str">
        <f>Translations!$B$462</f>
        <v>Emisijas no atlikumgāzēm</v>
      </c>
      <c r="F218" s="1517"/>
      <c r="G218" s="1517"/>
      <c r="H218" s="66" t="str">
        <f>D_Emissions!H225</f>
        <v>t CO2e/gads</v>
      </c>
      <c r="I218" s="1215" t="str">
        <f>IF(ISBLANK(D_Emissions!I225),"",D_Emissions!I225)</f>
        <v/>
      </c>
      <c r="J218" s="1215" t="str">
        <f>IF(ISBLANK(D_Emissions!J225),"",D_Emissions!J225)</f>
        <v/>
      </c>
      <c r="K218" s="1215" t="str">
        <f>IF(ISBLANK(D_Emissions!K225),"",D_Emissions!K225)</f>
        <v/>
      </c>
      <c r="L218" s="1215" t="str">
        <f>IF(ISBLANK(D_Emissions!L225),"",D_Emissions!L225)</f>
        <v/>
      </c>
      <c r="M218" s="1215" t="str">
        <f>IF(ISBLANK(D_Emissions!M225),"",D_Emissions!M225)</f>
        <v/>
      </c>
      <c r="N218" s="25"/>
      <c r="O218" s="25"/>
      <c r="P218" s="437"/>
      <c r="Q218" s="437"/>
      <c r="R218" s="437"/>
      <c r="S218" s="437"/>
      <c r="T218" s="437"/>
    </row>
    <row r="219" spans="1:20" s="697" customFormat="1" ht="12.75" customHeight="1" x14ac:dyDescent="0.2">
      <c r="A219" s="437"/>
      <c r="B219" s="414"/>
      <c r="C219" s="38"/>
      <c r="D219" s="38"/>
      <c r="E219" s="1517" t="str">
        <f>Translations!$B$467</f>
        <v>Atlikumgāzes daudzums gadā</v>
      </c>
      <c r="F219" s="1517"/>
      <c r="G219" s="1517"/>
      <c r="H219" s="833" t="str">
        <f>IF(ISBLANK(D_Emissions!H232),"",D_Emissions!H232)</f>
        <v/>
      </c>
      <c r="I219" s="1215" t="str">
        <f>IF(ISBLANK(D_Emissions!I232),"",D_Emissions!I232)</f>
        <v/>
      </c>
      <c r="J219" s="1215" t="str">
        <f>IF(ISBLANK(D_Emissions!J232),"",D_Emissions!J232)</f>
        <v/>
      </c>
      <c r="K219" s="1215" t="str">
        <f>IF(ISBLANK(D_Emissions!K232),"",D_Emissions!K232)</f>
        <v/>
      </c>
      <c r="L219" s="1215" t="str">
        <f>IF(ISBLANK(D_Emissions!L232),"",D_Emissions!L232)</f>
        <v/>
      </c>
      <c r="M219" s="1215" t="str">
        <f>IF(ISBLANK(D_Emissions!M232),"",D_Emissions!M232)</f>
        <v/>
      </c>
      <c r="N219" s="38"/>
      <c r="O219" s="25"/>
      <c r="P219" s="437"/>
      <c r="Q219" s="437"/>
      <c r="R219" s="437"/>
      <c r="S219" s="437"/>
      <c r="T219" s="437"/>
    </row>
    <row r="220" spans="1:20" s="697" customFormat="1" ht="12.75" customHeight="1" x14ac:dyDescent="0.2">
      <c r="A220" s="437"/>
      <c r="B220" s="414"/>
      <c r="C220" s="38"/>
      <c r="D220" s="38"/>
      <c r="E220" s="1517" t="str">
        <f>D_Emissions!E237</f>
        <v>Zemākā siltumspēja</v>
      </c>
      <c r="F220" s="1517"/>
      <c r="G220" s="1517"/>
      <c r="H220" s="833" t="str">
        <f>D_Emissions!H237</f>
        <v>GJ / Vienība</v>
      </c>
      <c r="I220" s="826" t="str">
        <f>IF(ISBLANK(D_Emissions!I237),"",D_Emissions!I237)</f>
        <v/>
      </c>
      <c r="J220" s="826" t="str">
        <f>IF(ISBLANK(D_Emissions!J237),"",D_Emissions!J237)</f>
        <v/>
      </c>
      <c r="K220" s="826" t="str">
        <f>IF(ISBLANK(D_Emissions!K237),"",D_Emissions!K237)</f>
        <v/>
      </c>
      <c r="L220" s="826" t="str">
        <f>IF(ISBLANK(D_Emissions!L237),"",D_Emissions!L237)</f>
        <v/>
      </c>
      <c r="M220" s="826" t="str">
        <f>IF(ISBLANK(D_Emissions!M237),"",D_Emissions!M237)</f>
        <v/>
      </c>
      <c r="N220" s="38"/>
      <c r="O220" s="25"/>
      <c r="P220" s="437"/>
      <c r="Q220" s="437"/>
      <c r="R220" s="437"/>
      <c r="S220" s="437"/>
      <c r="T220" s="437"/>
    </row>
    <row r="221" spans="1:20" s="697" customFormat="1" ht="12.75" customHeight="1" x14ac:dyDescent="0.2">
      <c r="A221" s="437"/>
      <c r="B221" s="414"/>
      <c r="C221" s="38"/>
      <c r="D221" s="38"/>
      <c r="E221" s="1953" t="str">
        <f>Translations!$B$478</f>
        <v>Atskaitījums par atlikumgāzēm</v>
      </c>
      <c r="F221" s="1953"/>
      <c r="G221" s="1953"/>
      <c r="H221" s="609" t="str">
        <f>D_Emissions!H246</f>
        <v>t CO2 / gads</v>
      </c>
      <c r="I221" s="1216" t="str">
        <f>D_Emissions!I246</f>
        <v/>
      </c>
      <c r="J221" s="1216" t="str">
        <f>D_Emissions!J246</f>
        <v/>
      </c>
      <c r="K221" s="1216" t="str">
        <f>D_Emissions!K246</f>
        <v/>
      </c>
      <c r="L221" s="1216" t="str">
        <f>D_Emissions!L246</f>
        <v/>
      </c>
      <c r="M221" s="1216" t="str">
        <f>D_Emissions!M246</f>
        <v/>
      </c>
      <c r="N221" s="38"/>
      <c r="O221" s="25"/>
      <c r="P221" s="437"/>
      <c r="Q221" s="437"/>
      <c r="R221" s="437"/>
      <c r="S221" s="437"/>
      <c r="T221" s="437"/>
    </row>
    <row r="222" spans="1:20" s="697" customFormat="1" ht="12.75" customHeight="1" x14ac:dyDescent="0.2">
      <c r="A222" s="437"/>
      <c r="B222" s="414"/>
      <c r="C222" s="38"/>
      <c r="D222" s="38"/>
      <c r="E222" s="1953" t="str">
        <f>D_Emissions!E253</f>
        <v>Atlikumgāzu rīka rezultāts:</v>
      </c>
      <c r="F222" s="1953"/>
      <c r="G222" s="1953"/>
      <c r="H222" s="71" t="str">
        <f>D_Emissions!H253</f>
        <v>t CO2 / gads</v>
      </c>
      <c r="I222" s="1216" t="str">
        <f>D_Emissions!I253</f>
        <v/>
      </c>
      <c r="J222" s="1216" t="str">
        <f>D_Emissions!J253</f>
        <v/>
      </c>
      <c r="K222" s="1216" t="str">
        <f>D_Emissions!K253</f>
        <v/>
      </c>
      <c r="L222" s="1216" t="str">
        <f>D_Emissions!L253</f>
        <v/>
      </c>
      <c r="M222" s="1216" t="str">
        <f>D_Emissions!M253</f>
        <v/>
      </c>
      <c r="N222" s="38"/>
      <c r="O222" s="25"/>
      <c r="P222" s="437"/>
      <c r="Q222" s="437"/>
      <c r="R222" s="437"/>
      <c r="S222" s="437"/>
      <c r="T222" s="437"/>
    </row>
    <row r="223" spans="1:20" s="697" customFormat="1" ht="5.0999999999999996" customHeight="1" x14ac:dyDescent="0.2">
      <c r="A223" s="437"/>
      <c r="B223" s="414"/>
      <c r="C223" s="38"/>
      <c r="D223" s="38"/>
      <c r="E223" s="38"/>
      <c r="F223" s="38"/>
      <c r="G223" s="38"/>
      <c r="H223" s="38"/>
      <c r="I223" s="38"/>
      <c r="J223" s="38"/>
      <c r="K223" s="38"/>
      <c r="L223" s="38"/>
      <c r="M223" s="38"/>
      <c r="N223" s="38"/>
      <c r="O223" s="25"/>
      <c r="P223" s="437"/>
      <c r="Q223" s="437"/>
      <c r="R223" s="437"/>
      <c r="S223" s="437"/>
      <c r="T223" s="437"/>
    </row>
    <row r="224" spans="1:20" s="697" customFormat="1" ht="12.75" customHeight="1" x14ac:dyDescent="0.2">
      <c r="A224" s="437"/>
      <c r="B224" s="414"/>
      <c r="C224" s="38"/>
      <c r="D224" s="38"/>
      <c r="E224" s="1521" t="str">
        <f>D_Emissions!E240</f>
        <v>Elektroenerģijas ražošanas references lietderība:</v>
      </c>
      <c r="F224" s="1521"/>
      <c r="G224" s="1521"/>
      <c r="H224" s="1521"/>
      <c r="I224" s="143"/>
      <c r="J224" s="143" t="str">
        <f>D_Emissions!J240</f>
        <v>izmantojot dabasgāzi:</v>
      </c>
      <c r="K224" s="821">
        <f>IF(ISBLANK(D_Emissions!K240),"",D_Emissions!K240)</f>
        <v>0.52500000000000002</v>
      </c>
      <c r="L224" s="49"/>
      <c r="M224" s="143" t="str">
        <f>D_Emissions!M240</f>
        <v>izmantojot atlikumgāzes:</v>
      </c>
      <c r="N224" s="821">
        <f>IF(ISBLANK(D_Emissions!N240),"",D_Emissions!N240)</f>
        <v>0.35</v>
      </c>
      <c r="O224" s="25"/>
      <c r="P224" s="437"/>
      <c r="Q224" s="437"/>
      <c r="R224" s="437"/>
      <c r="S224" s="437"/>
      <c r="T224" s="437"/>
    </row>
    <row r="225" spans="1:20" s="697" customFormat="1" ht="12.75" customHeight="1" x14ac:dyDescent="0.2">
      <c r="A225" s="437"/>
      <c r="B225" s="414"/>
      <c r="C225" s="21"/>
      <c r="D225" s="21"/>
      <c r="E225" s="21"/>
      <c r="F225" s="21"/>
      <c r="G225" s="21"/>
      <c r="H225" s="21"/>
      <c r="I225" s="21"/>
      <c r="J225" s="21"/>
      <c r="K225" s="21"/>
      <c r="L225" s="21"/>
      <c r="M225" s="25"/>
      <c r="N225" s="25"/>
      <c r="O225" s="25"/>
      <c r="P225" s="437"/>
      <c r="Q225" s="437"/>
      <c r="R225" s="437"/>
      <c r="S225" s="437"/>
      <c r="T225" s="437"/>
    </row>
    <row r="226" spans="1:20" s="697" customFormat="1" ht="12.75" customHeight="1" x14ac:dyDescent="0.2">
      <c r="A226" s="437"/>
      <c r="B226" s="414"/>
      <c r="C226" s="21"/>
      <c r="D226" s="32" t="s">
        <v>339</v>
      </c>
      <c r="E226" s="1250" t="str">
        <f>D_Emissions!E260</f>
        <v>Šī sadaļa attiecas uz šāda veida procesa emisiju apakšiekārtu:</v>
      </c>
      <c r="F226" s="1250"/>
      <c r="G226" s="1250"/>
      <c r="H226" s="1250"/>
      <c r="I226" s="1250"/>
      <c r="J226" s="1250"/>
      <c r="K226" s="1524"/>
      <c r="L226" s="1954" t="str">
        <f>IF(ISBLANK(D_Emissions!L260),"",D_Emissions!L260)</f>
        <v/>
      </c>
      <c r="M226" s="1955"/>
      <c r="N226" s="1956"/>
      <c r="O226" s="25"/>
      <c r="P226" s="437"/>
      <c r="Q226" s="437"/>
      <c r="R226" s="437"/>
      <c r="S226" s="437"/>
      <c r="T226" s="437"/>
    </row>
    <row r="227" spans="1:20" s="697" customFormat="1" ht="12.75" customHeight="1" x14ac:dyDescent="0.2">
      <c r="A227" s="437"/>
      <c r="B227" s="414"/>
      <c r="C227" s="21"/>
      <c r="D227" s="32"/>
      <c r="E227" s="1250" t="str">
        <f>D_Emissions!E264</f>
        <v>Atlikumgāzes veids:</v>
      </c>
      <c r="F227" s="1251"/>
      <c r="G227" s="1328"/>
      <c r="H227" s="1916" t="str">
        <f>IF(ISBLANK(D_Emissions!H264),"",D_Emissions!H264)</f>
        <v/>
      </c>
      <c r="I227" s="1949"/>
      <c r="J227" s="1949"/>
      <c r="K227" s="1949"/>
      <c r="L227" s="1949"/>
      <c r="M227" s="1949"/>
      <c r="N227" s="1950"/>
      <c r="O227" s="25"/>
      <c r="P227" s="437"/>
      <c r="Q227" s="437"/>
      <c r="R227" s="437"/>
      <c r="S227" s="437"/>
      <c r="T227" s="437"/>
    </row>
    <row r="228" spans="1:20" s="697" customFormat="1" ht="12.75" customHeight="1" x14ac:dyDescent="0.2">
      <c r="A228" s="437"/>
      <c r="B228" s="414"/>
      <c r="C228" s="38"/>
      <c r="D228" s="32"/>
      <c r="E228" s="43"/>
      <c r="F228" s="40"/>
      <c r="G228" s="40"/>
      <c r="H228" s="53" t="str">
        <f>D_Emissions!H271</f>
        <v>Vienība</v>
      </c>
      <c r="I228" s="412">
        <f>D_Emissions!I271</f>
        <v>2019</v>
      </c>
      <c r="J228" s="412">
        <f>D_Emissions!J271</f>
        <v>2020</v>
      </c>
      <c r="K228" s="412">
        <f>D_Emissions!K271</f>
        <v>2021</v>
      </c>
      <c r="L228" s="412">
        <f>D_Emissions!L271</f>
        <v>2022</v>
      </c>
      <c r="M228" s="412">
        <f>D_Emissions!M271</f>
        <v>2023</v>
      </c>
      <c r="N228" s="25"/>
      <c r="O228" s="25"/>
      <c r="P228" s="437"/>
      <c r="Q228" s="437"/>
      <c r="R228" s="437"/>
      <c r="S228" s="437"/>
      <c r="T228" s="437"/>
    </row>
    <row r="229" spans="1:20" s="697" customFormat="1" ht="12.75" customHeight="1" x14ac:dyDescent="0.2">
      <c r="A229" s="437"/>
      <c r="B229" s="414"/>
      <c r="C229" s="38"/>
      <c r="D229" s="38"/>
      <c r="E229" s="1517" t="str">
        <f>D_Emissions!E272</f>
        <v>Nekoriģētas procesa emisijas</v>
      </c>
      <c r="F229" s="1517"/>
      <c r="G229" s="1517"/>
      <c r="H229" s="66" t="str">
        <f>D_Emissions!H272</f>
        <v>t CO2e/gads</v>
      </c>
      <c r="I229" s="1215" t="str">
        <f>IF(ISBLANK(D_Emissions!I272),"",D_Emissions!I272)</f>
        <v/>
      </c>
      <c r="J229" s="1215" t="str">
        <f>IF(ISBLANK(D_Emissions!J272),"",D_Emissions!J272)</f>
        <v/>
      </c>
      <c r="K229" s="1215" t="str">
        <f>IF(ISBLANK(D_Emissions!K272),"",D_Emissions!K272)</f>
        <v/>
      </c>
      <c r="L229" s="1215" t="str">
        <f>IF(ISBLANK(D_Emissions!L272),"",D_Emissions!L272)</f>
        <v/>
      </c>
      <c r="M229" s="1215" t="str">
        <f>IF(ISBLANK(D_Emissions!M272),"",D_Emissions!M272)</f>
        <v/>
      </c>
      <c r="N229" s="25"/>
      <c r="O229" s="25"/>
      <c r="P229" s="437"/>
      <c r="Q229" s="437"/>
      <c r="R229" s="437"/>
      <c r="S229" s="437"/>
      <c r="T229" s="437"/>
    </row>
    <row r="230" spans="1:20" s="697" customFormat="1" ht="12.75" customHeight="1" x14ac:dyDescent="0.2">
      <c r="A230" s="437"/>
      <c r="B230" s="414"/>
      <c r="C230" s="38"/>
      <c r="D230" s="38"/>
      <c r="E230" s="1517" t="str">
        <f>Translations!$B$462</f>
        <v>Emisijas no atlikumgāzēm</v>
      </c>
      <c r="F230" s="1517"/>
      <c r="G230" s="1517"/>
      <c r="H230" s="66" t="str">
        <f>D_Emissions!H277</f>
        <v>t CO2e/gads</v>
      </c>
      <c r="I230" s="1215" t="str">
        <f>IF(ISBLANK(D_Emissions!I277),"",D_Emissions!I277)</f>
        <v/>
      </c>
      <c r="J230" s="1215" t="str">
        <f>IF(ISBLANK(D_Emissions!J277),"",D_Emissions!J277)</f>
        <v/>
      </c>
      <c r="K230" s="1215" t="str">
        <f>IF(ISBLANK(D_Emissions!K277),"",D_Emissions!K277)</f>
        <v/>
      </c>
      <c r="L230" s="1215" t="str">
        <f>IF(ISBLANK(D_Emissions!L277),"",D_Emissions!L277)</f>
        <v/>
      </c>
      <c r="M230" s="1215" t="str">
        <f>IF(ISBLANK(D_Emissions!M277),"",D_Emissions!M277)</f>
        <v/>
      </c>
      <c r="N230" s="25"/>
      <c r="O230" s="25"/>
      <c r="P230" s="437"/>
      <c r="Q230" s="437"/>
      <c r="R230" s="437"/>
      <c r="S230" s="437"/>
      <c r="T230" s="437"/>
    </row>
    <row r="231" spans="1:20" s="697" customFormat="1" ht="12.75" customHeight="1" x14ac:dyDescent="0.2">
      <c r="A231" s="437"/>
      <c r="B231" s="414"/>
      <c r="C231" s="38"/>
      <c r="D231" s="38"/>
      <c r="E231" s="1517" t="str">
        <f>Translations!$B$467</f>
        <v>Atlikumgāzes daudzums gadā</v>
      </c>
      <c r="F231" s="1517"/>
      <c r="G231" s="1517"/>
      <c r="H231" s="833" t="str">
        <f>IF(ISBLANK(D_Emissions!H282),"",D_Emissions!H282)</f>
        <v/>
      </c>
      <c r="I231" s="1215" t="str">
        <f>IF(ISBLANK(D_Emissions!I282),"",D_Emissions!I282)</f>
        <v/>
      </c>
      <c r="J231" s="1215" t="str">
        <f>IF(ISBLANK(D_Emissions!J282),"",D_Emissions!J282)</f>
        <v/>
      </c>
      <c r="K231" s="1215" t="str">
        <f>IF(ISBLANK(D_Emissions!K282),"",D_Emissions!K282)</f>
        <v/>
      </c>
      <c r="L231" s="1215" t="str">
        <f>IF(ISBLANK(D_Emissions!L282),"",D_Emissions!L282)</f>
        <v/>
      </c>
      <c r="M231" s="1215" t="str">
        <f>IF(ISBLANK(D_Emissions!M282),"",D_Emissions!M282)</f>
        <v/>
      </c>
      <c r="N231" s="25"/>
      <c r="O231" s="25"/>
      <c r="P231" s="437"/>
      <c r="Q231" s="437"/>
      <c r="R231" s="437"/>
      <c r="S231" s="437"/>
      <c r="T231" s="437"/>
    </row>
    <row r="232" spans="1:20" s="697" customFormat="1" ht="12.75" customHeight="1" x14ac:dyDescent="0.2">
      <c r="A232" s="437"/>
      <c r="B232" s="414"/>
      <c r="C232" s="38"/>
      <c r="D232" s="38"/>
      <c r="E232" s="1517" t="str">
        <f>D_Emissions!E286</f>
        <v>Zemākā siltumspēja</v>
      </c>
      <c r="F232" s="1517"/>
      <c r="G232" s="1517"/>
      <c r="H232" s="833" t="str">
        <f>D_Emissions!H286</f>
        <v>GJ / Vienība</v>
      </c>
      <c r="I232" s="826" t="str">
        <f>IF(ISBLANK(D_Emissions!I286),"",D_Emissions!I286)</f>
        <v/>
      </c>
      <c r="J232" s="826" t="str">
        <f>IF(ISBLANK(D_Emissions!J286),"",D_Emissions!J286)</f>
        <v/>
      </c>
      <c r="K232" s="826" t="str">
        <f>IF(ISBLANK(D_Emissions!K286),"",D_Emissions!K286)</f>
        <v/>
      </c>
      <c r="L232" s="826" t="str">
        <f>IF(ISBLANK(D_Emissions!L286),"",D_Emissions!L286)</f>
        <v/>
      </c>
      <c r="M232" s="826" t="str">
        <f>IF(ISBLANK(D_Emissions!M286),"",D_Emissions!M286)</f>
        <v/>
      </c>
      <c r="N232" s="25"/>
      <c r="O232" s="25"/>
      <c r="P232" s="437"/>
      <c r="Q232" s="437"/>
      <c r="R232" s="437"/>
      <c r="S232" s="437"/>
      <c r="T232" s="437"/>
    </row>
    <row r="233" spans="1:20" s="697" customFormat="1" ht="12.75" customHeight="1" x14ac:dyDescent="0.2">
      <c r="A233" s="437"/>
      <c r="B233" s="414"/>
      <c r="C233" s="38"/>
      <c r="D233" s="38"/>
      <c r="E233" s="1953" t="str">
        <f>Translations!$B$478</f>
        <v>Atskaitījums par atlikumgāzēm</v>
      </c>
      <c r="F233" s="1953"/>
      <c r="G233" s="1953"/>
      <c r="H233" s="609" t="str">
        <f>D_Emissions!H296</f>
        <v>t CO2 / gads</v>
      </c>
      <c r="I233" s="1216" t="str">
        <f>D_Emissions!I296</f>
        <v/>
      </c>
      <c r="J233" s="1216" t="str">
        <f>D_Emissions!J296</f>
        <v/>
      </c>
      <c r="K233" s="1216" t="str">
        <f>D_Emissions!K296</f>
        <v/>
      </c>
      <c r="L233" s="1216" t="str">
        <f>D_Emissions!L296</f>
        <v/>
      </c>
      <c r="M233" s="1216" t="str">
        <f>D_Emissions!M296</f>
        <v/>
      </c>
      <c r="N233" s="25"/>
      <c r="O233" s="25"/>
      <c r="P233" s="437"/>
      <c r="Q233" s="437"/>
      <c r="R233" s="437"/>
      <c r="S233" s="437"/>
      <c r="T233" s="437"/>
    </row>
    <row r="234" spans="1:20" s="697" customFormat="1" ht="12.75" customHeight="1" x14ac:dyDescent="0.2">
      <c r="A234" s="437"/>
      <c r="B234" s="414"/>
      <c r="C234" s="38"/>
      <c r="D234" s="38"/>
      <c r="E234" s="1953" t="str">
        <f>D_Emissions!E301</f>
        <v>Atlikumgāzu rīka rezultāts:</v>
      </c>
      <c r="F234" s="1953"/>
      <c r="G234" s="1953"/>
      <c r="H234" s="71" t="str">
        <f>D_Emissions!H301</f>
        <v>t CO2 / gads</v>
      </c>
      <c r="I234" s="1216" t="str">
        <f>D_Emissions!I301</f>
        <v/>
      </c>
      <c r="J234" s="1216" t="str">
        <f>D_Emissions!J301</f>
        <v/>
      </c>
      <c r="K234" s="1216" t="str">
        <f>D_Emissions!K301</f>
        <v/>
      </c>
      <c r="L234" s="1216" t="str">
        <f>D_Emissions!L301</f>
        <v/>
      </c>
      <c r="M234" s="1216" t="str">
        <f>D_Emissions!M301</f>
        <v/>
      </c>
      <c r="N234" s="25"/>
      <c r="O234" s="25"/>
      <c r="P234" s="437"/>
      <c r="Q234" s="437"/>
      <c r="R234" s="437"/>
      <c r="S234" s="437"/>
      <c r="T234" s="437"/>
    </row>
    <row r="235" spans="1:20" s="697" customFormat="1" ht="5.0999999999999996" customHeight="1" x14ac:dyDescent="0.2">
      <c r="A235" s="437"/>
      <c r="B235" s="414"/>
      <c r="C235" s="21"/>
      <c r="D235" s="21"/>
      <c r="E235" s="21"/>
      <c r="F235" s="21"/>
      <c r="G235" s="21"/>
      <c r="H235" s="21"/>
      <c r="I235" s="21"/>
      <c r="J235" s="21"/>
      <c r="K235" s="21"/>
      <c r="L235" s="21"/>
      <c r="M235" s="25"/>
      <c r="N235" s="25"/>
      <c r="O235" s="25"/>
      <c r="P235" s="437"/>
      <c r="Q235" s="437"/>
      <c r="R235" s="437"/>
      <c r="S235" s="437"/>
      <c r="T235" s="437"/>
    </row>
    <row r="236" spans="1:20" s="697" customFormat="1" ht="12.75" customHeight="1" x14ac:dyDescent="0.2">
      <c r="A236" s="437"/>
      <c r="B236" s="414"/>
      <c r="C236" s="38"/>
      <c r="D236" s="38"/>
      <c r="E236" s="1521" t="str">
        <f>D_Emissions!E290</f>
        <v>Elektroenerģijas ražošanas references lietderība:</v>
      </c>
      <c r="F236" s="1521"/>
      <c r="G236" s="1521"/>
      <c r="H236" s="1521"/>
      <c r="I236" s="143"/>
      <c r="J236" s="143" t="str">
        <f>D_Emissions!J290</f>
        <v>izmantojot dabasgāzi:</v>
      </c>
      <c r="K236" s="821">
        <f>IF(ISBLANK(D_Emissions!K290),"",D_Emissions!K290)</f>
        <v>0.52500000000000002</v>
      </c>
      <c r="L236" s="49"/>
      <c r="M236" s="143" t="str">
        <f>D_Emissions!M290</f>
        <v>izmantojot atlikumgāzes:</v>
      </c>
      <c r="N236" s="821">
        <f>IF(ISBLANK(D_Emissions!N290),"",D_Emissions!N290)</f>
        <v>0.35</v>
      </c>
      <c r="O236" s="25"/>
      <c r="P236" s="437"/>
      <c r="Q236" s="437"/>
      <c r="R236" s="437"/>
      <c r="S236" s="437"/>
      <c r="T236" s="437"/>
    </row>
    <row r="237" spans="1:20" s="697" customFormat="1" ht="12.75" customHeight="1" x14ac:dyDescent="0.2">
      <c r="A237" s="437"/>
      <c r="B237" s="414"/>
      <c r="C237" s="414"/>
      <c r="D237" s="414"/>
      <c r="E237" s="414"/>
      <c r="F237" s="414"/>
      <c r="G237" s="414"/>
      <c r="H237" s="414"/>
      <c r="I237" s="414"/>
      <c r="J237" s="414"/>
      <c r="K237" s="414"/>
      <c r="L237" s="414"/>
      <c r="M237" s="414"/>
      <c r="N237" s="414"/>
      <c r="O237" s="25"/>
      <c r="P237" s="437"/>
      <c r="Q237" s="437"/>
      <c r="R237" s="437"/>
      <c r="S237" s="437"/>
      <c r="T237" s="437"/>
    </row>
    <row r="238" spans="1:20" s="697" customFormat="1" ht="15" x14ac:dyDescent="0.25">
      <c r="A238" s="437"/>
      <c r="B238" s="414"/>
      <c r="C238" s="36">
        <v>5</v>
      </c>
      <c r="D238" s="1318" t="str">
        <f>Translations!$B$1722</f>
        <v>Enerģijas ielaide — sadalījumā pa izmantojuma kategorijām (E lapas I sadaļa)</v>
      </c>
      <c r="E238" s="1251"/>
      <c r="F238" s="1251"/>
      <c r="G238" s="1251"/>
      <c r="H238" s="1251"/>
      <c r="I238" s="1251"/>
      <c r="J238" s="1251"/>
      <c r="K238" s="1251"/>
      <c r="L238" s="1251"/>
      <c r="M238" s="1251"/>
      <c r="N238" s="1251"/>
      <c r="O238" s="25"/>
      <c r="P238" s="437"/>
      <c r="Q238" s="437"/>
      <c r="R238" s="437"/>
      <c r="S238" s="437"/>
      <c r="T238" s="437"/>
    </row>
    <row r="239" spans="1:20" s="697" customFormat="1" ht="5.0999999999999996" customHeight="1" x14ac:dyDescent="0.2">
      <c r="A239" s="437"/>
      <c r="B239" s="21"/>
      <c r="C239" s="21"/>
      <c r="D239" s="21"/>
      <c r="E239" s="21"/>
      <c r="F239" s="21"/>
      <c r="G239" s="21"/>
      <c r="H239" s="21"/>
      <c r="I239" s="21"/>
      <c r="J239" s="21"/>
      <c r="K239" s="21"/>
      <c r="L239" s="21"/>
      <c r="M239" s="25"/>
      <c r="N239" s="25"/>
      <c r="O239" s="25"/>
      <c r="P239" s="437"/>
      <c r="Q239" s="437"/>
      <c r="R239" s="437"/>
      <c r="S239" s="437"/>
      <c r="T239" s="437"/>
    </row>
    <row r="240" spans="1:20" s="697" customFormat="1" x14ac:dyDescent="0.2">
      <c r="A240" s="452"/>
      <c r="B240" s="414"/>
      <c r="C240" s="414"/>
      <c r="D240" s="414"/>
      <c r="E240" s="1568" t="str">
        <f>E_EnergyFlows!E52</f>
        <v>Kurināmo ielaides izmantojuma veids</v>
      </c>
      <c r="F240" s="1569"/>
      <c r="G240" s="1569"/>
      <c r="H240" s="446" t="str">
        <f>E_EnergyFlows!H52</f>
        <v>Vienība</v>
      </c>
      <c r="I240" s="412">
        <f>E_EnergyFlows!I52</f>
        <v>2019</v>
      </c>
      <c r="J240" s="412">
        <f>E_EnergyFlows!J52</f>
        <v>2020</v>
      </c>
      <c r="K240" s="412">
        <f>E_EnergyFlows!K52</f>
        <v>2021</v>
      </c>
      <c r="L240" s="412">
        <f>E_EnergyFlows!L52</f>
        <v>2022</v>
      </c>
      <c r="M240" s="412">
        <f>E_EnergyFlows!M52</f>
        <v>2023</v>
      </c>
      <c r="N240" s="414"/>
      <c r="O240" s="25"/>
      <c r="P240" s="437"/>
      <c r="Q240" s="437"/>
      <c r="R240" s="437"/>
      <c r="S240" s="437"/>
      <c r="T240" s="437"/>
    </row>
    <row r="241" spans="1:20" s="697" customFormat="1" x14ac:dyDescent="0.2">
      <c r="A241" s="452"/>
      <c r="B241" s="414"/>
      <c r="C241" s="414"/>
      <c r="D241" s="440"/>
      <c r="E241" s="1627" t="str">
        <f>E_EnergyFlows!E54</f>
        <v>Enerģijas ielaide izmērāma siltuma ražošanai</v>
      </c>
      <c r="F241" s="1627"/>
      <c r="G241" s="1627"/>
      <c r="H241" s="66" t="str">
        <f t="shared" ref="H241:H273" si="11">EUconst_TJpa</f>
        <v>TJ / gads</v>
      </c>
      <c r="I241" s="482" t="str">
        <f>IF(ISNUMBER(CTRL_InputMethodFuelDistribution),IF(CTRL_InputMethodFuelDistribution=1,IF(ISNUMBER(E_EnergyFlows!I43),E_EnergyFlows!I43,""),E_EnergyFlows!I54),"")</f>
        <v/>
      </c>
      <c r="J241" s="482" t="str">
        <f>IF(ISNUMBER(CTRL_InputMethodFuelDistribution),IF(CTRL_InputMethodFuelDistribution=1,IF(ISNUMBER(E_EnergyFlows!J43),E_EnergyFlows!J43,""),E_EnergyFlows!J54),"")</f>
        <v/>
      </c>
      <c r="K241" s="482" t="str">
        <f>IF(ISNUMBER(CTRL_InputMethodFuelDistribution),IF(CTRL_InputMethodFuelDistribution=1,IF(ISNUMBER(E_EnergyFlows!K43),E_EnergyFlows!K43,""),E_EnergyFlows!K54),"")</f>
        <v/>
      </c>
      <c r="L241" s="482" t="str">
        <f>IF(ISNUMBER(CTRL_InputMethodFuelDistribution),IF(CTRL_InputMethodFuelDistribution=1,IF(ISNUMBER(E_EnergyFlows!L43),E_EnergyFlows!L43,""),E_EnergyFlows!L54),"")</f>
        <v/>
      </c>
      <c r="M241" s="482" t="str">
        <f>IF(ISNUMBER(CTRL_InputMethodFuelDistribution),IF(CTRL_InputMethodFuelDistribution=1,IF(ISNUMBER(E_EnergyFlows!M43),E_EnergyFlows!M43,""),E_EnergyFlows!M54),"")</f>
        <v/>
      </c>
      <c r="N241" s="414"/>
      <c r="O241" s="25"/>
      <c r="P241" s="437"/>
      <c r="Q241" s="437"/>
      <c r="R241" s="437"/>
      <c r="S241" s="437"/>
      <c r="T241" s="437"/>
    </row>
    <row r="242" spans="1:20" s="697" customFormat="1" x14ac:dyDescent="0.2">
      <c r="A242" s="452"/>
      <c r="B242" s="414"/>
      <c r="C242" s="414"/>
      <c r="D242" s="440"/>
      <c r="E242" s="1958" t="str">
        <f>E_EnergyFlows!E58</f>
        <v>Enerģijas ielaide elektroenerģijas ražošanai</v>
      </c>
      <c r="F242" s="1958"/>
      <c r="G242" s="1958"/>
      <c r="H242" s="66" t="str">
        <f t="shared" si="11"/>
        <v>TJ / gads</v>
      </c>
      <c r="I242" s="753" t="str">
        <f>IF(ISNUMBER(CTRL_InputMethodFuelDistribution),IF(CTRL_InputMethodFuelDistribution=1,IF(ISNUMBER(E_EnergyFlows!I47),E_EnergyFlows!I47,""),E_EnergyFlows!I58),"")</f>
        <v/>
      </c>
      <c r="J242" s="753" t="str">
        <f>IF(ISNUMBER(CTRL_InputMethodFuelDistribution),IF(CTRL_InputMethodFuelDistribution=1,IF(ISNUMBER(E_EnergyFlows!J47),E_EnergyFlows!J47,""),E_EnergyFlows!J58),"")</f>
        <v/>
      </c>
      <c r="K242" s="753" t="str">
        <f>IF(ISNUMBER(CTRL_InputMethodFuelDistribution),IF(CTRL_InputMethodFuelDistribution=1,IF(ISNUMBER(E_EnergyFlows!K47),E_EnergyFlows!K47,""),E_EnergyFlows!K58),"")</f>
        <v/>
      </c>
      <c r="L242" s="753" t="str">
        <f>IF(ISNUMBER(CTRL_InputMethodFuelDistribution),IF(CTRL_InputMethodFuelDistribution=1,IF(ISNUMBER(E_EnergyFlows!L47),E_EnergyFlows!L47,""),E_EnergyFlows!L58),"")</f>
        <v/>
      </c>
      <c r="M242" s="753" t="str">
        <f>IF(ISNUMBER(CTRL_InputMethodFuelDistribution),IF(CTRL_InputMethodFuelDistribution=1,IF(ISNUMBER(E_EnergyFlows!M47),E_EnergyFlows!M47,""),E_EnergyFlows!M58),"")</f>
        <v/>
      </c>
      <c r="N242" s="414"/>
      <c r="O242" s="25"/>
      <c r="P242" s="437"/>
      <c r="Q242" s="437"/>
      <c r="R242" s="437"/>
      <c r="S242" s="437"/>
      <c r="T242" s="437"/>
    </row>
    <row r="243" spans="1:20" s="697" customFormat="1" ht="13.5" customHeight="1" thickBot="1" x14ac:dyDescent="0.25">
      <c r="A243" s="452"/>
      <c r="B243" s="414"/>
      <c r="C243" s="414"/>
      <c r="D243" s="440"/>
      <c r="E243" s="1957" t="str">
        <f>E_EnergyFlows!E53</f>
        <v>Enerģijas ielaide produkta LA apakšiekārtās</v>
      </c>
      <c r="F243" s="1957"/>
      <c r="G243" s="1957"/>
      <c r="H243" s="847" t="str">
        <f t="shared" si="11"/>
        <v>TJ / gads</v>
      </c>
      <c r="I243" s="848" t="str">
        <f>IF(ISNUMBER(CTRL_InputMethodFuelDistribution),IF(CTRL_InputMethodFuelDistribution=1,IF(ISNUMBER(E_EnergyFlows!I42),E_EnergyFlows!I42,""),E_EnergyFlows!I53),"")</f>
        <v/>
      </c>
      <c r="J243" s="848" t="str">
        <f>IF(ISNUMBER(CTRL_InputMethodFuelDistribution),IF(CTRL_InputMethodFuelDistribution=1,IF(ISNUMBER(E_EnergyFlows!J42),E_EnergyFlows!J42,""),E_EnergyFlows!J53),"")</f>
        <v/>
      </c>
      <c r="K243" s="848" t="str">
        <f>IF(ISNUMBER(CTRL_InputMethodFuelDistribution),IF(CTRL_InputMethodFuelDistribution=1,IF(ISNUMBER(E_EnergyFlows!K42),E_EnergyFlows!K42,""),E_EnergyFlows!K53),"")</f>
        <v/>
      </c>
      <c r="L243" s="848" t="str">
        <f>IF(ISNUMBER(CTRL_InputMethodFuelDistribution),IF(CTRL_InputMethodFuelDistribution=1,IF(ISNUMBER(E_EnergyFlows!L42),E_EnergyFlows!L42,""),E_EnergyFlows!L53),"")</f>
        <v/>
      </c>
      <c r="M243" s="848" t="str">
        <f>IF(ISNUMBER(CTRL_InputMethodFuelDistribution),IF(CTRL_InputMethodFuelDistribution=1,IF(ISNUMBER(E_EnergyFlows!M42),E_EnergyFlows!M42,""),E_EnergyFlows!M53),"")</f>
        <v/>
      </c>
      <c r="N243" s="414"/>
      <c r="O243" s="25"/>
      <c r="P243" s="437"/>
      <c r="Q243" s="437"/>
      <c r="R243" s="437"/>
      <c r="S243" s="437"/>
      <c r="T243" s="437"/>
    </row>
    <row r="244" spans="1:20" s="697" customFormat="1" x14ac:dyDescent="0.2">
      <c r="A244" s="452"/>
      <c r="B244" s="414"/>
      <c r="C244" s="414"/>
      <c r="D244" s="440"/>
      <c r="E244" s="1951" t="str">
        <f>E_EnergyFlows!E55</f>
        <v>Kurināmā līmeņatzīmes apakšiekārta (OEP | bez OIM)</v>
      </c>
      <c r="F244" s="1952"/>
      <c r="G244" s="1952"/>
      <c r="H244" s="1154" t="str">
        <f t="shared" si="11"/>
        <v>TJ / gads</v>
      </c>
      <c r="I244" s="754" t="str">
        <f>IF(ISNUMBER(CTRL_InputMethodFuelDistribution),IF(CTRL_InputMethodFuelDistribution=1,IF(ISNUMBER(E_EnergyFlows!I44),E_EnergyFlows!I44,""),E_EnergyFlows!I55),"")</f>
        <v/>
      </c>
      <c r="J244" s="754" t="str">
        <f>IF(ISNUMBER(CTRL_InputMethodFuelDistribution),IF(CTRL_InputMethodFuelDistribution=1,IF(ISNUMBER(E_EnergyFlows!J44),E_EnergyFlows!J44,""),E_EnergyFlows!J55),"")</f>
        <v/>
      </c>
      <c r="K244" s="754" t="str">
        <f>IF(ISNUMBER(CTRL_InputMethodFuelDistribution),IF(CTRL_InputMethodFuelDistribution=1,IF(ISNUMBER(E_EnergyFlows!K44),E_EnergyFlows!K44,""),E_EnergyFlows!K55),"")</f>
        <v/>
      </c>
      <c r="L244" s="754" t="str">
        <f>IF(ISNUMBER(CTRL_InputMethodFuelDistribution),IF(CTRL_InputMethodFuelDistribution=1,IF(ISNUMBER(E_EnergyFlows!L44),E_EnergyFlows!L44,""),E_EnergyFlows!L55),"")</f>
        <v/>
      </c>
      <c r="M244" s="755" t="str">
        <f>IF(ISNUMBER(CTRL_InputMethodFuelDistribution),IF(CTRL_InputMethodFuelDistribution=1,IF(ISNUMBER(E_EnergyFlows!M44),E_EnergyFlows!M44,""),E_EnergyFlows!M55),"")</f>
        <v/>
      </c>
      <c r="N244" s="414"/>
      <c r="O244" s="25"/>
      <c r="P244" s="437"/>
      <c r="Q244" s="437"/>
      <c r="R244" s="437"/>
      <c r="S244" s="437"/>
      <c r="T244" s="437"/>
    </row>
    <row r="245" spans="1:20" s="697" customFormat="1" ht="12.75" customHeight="1" x14ac:dyDescent="0.2">
      <c r="A245" s="452"/>
      <c r="B245" s="414"/>
      <c r="C245" s="414"/>
      <c r="D245" s="440"/>
      <c r="E245" s="1974" t="str">
        <f>E_EnergyFlows!E56</f>
        <v>Kurināmā līmeņatzīmes apakšiekārta (bez OEP | bez OIM)</v>
      </c>
      <c r="F245" s="1975"/>
      <c r="G245" s="1975"/>
      <c r="H245" s="46" t="str">
        <f t="shared" si="11"/>
        <v>TJ / gads</v>
      </c>
      <c r="I245" s="1155" t="str">
        <f>IF(ISNUMBER(CTRL_InputMethodFuelDistribution),IF(CTRL_InputMethodFuelDistribution=1,IF(ISNUMBER(E_EnergyFlows!I45),E_EnergyFlows!I45,""),E_EnergyFlows!I56),"")</f>
        <v/>
      </c>
      <c r="J245" s="1155" t="str">
        <f>IF(ISNUMBER(CTRL_InputMethodFuelDistribution),IF(CTRL_InputMethodFuelDistribution=1,IF(ISNUMBER(E_EnergyFlows!J45),E_EnergyFlows!J45,""),E_EnergyFlows!J56),"")</f>
        <v/>
      </c>
      <c r="K245" s="1155" t="str">
        <f>IF(ISNUMBER(CTRL_InputMethodFuelDistribution),IF(CTRL_InputMethodFuelDistribution=1,IF(ISNUMBER(E_EnergyFlows!K45),E_EnergyFlows!K45,""),E_EnergyFlows!K56),"")</f>
        <v/>
      </c>
      <c r="L245" s="1155" t="str">
        <f>IF(ISNUMBER(CTRL_InputMethodFuelDistribution),IF(CTRL_InputMethodFuelDistribution=1,IF(ISNUMBER(E_EnergyFlows!L45),E_EnergyFlows!L45,""),E_EnergyFlows!L56),"")</f>
        <v/>
      </c>
      <c r="M245" s="1156" t="str">
        <f>IF(ISNUMBER(CTRL_InputMethodFuelDistribution),IF(CTRL_InputMethodFuelDistribution=1,IF(ISNUMBER(E_EnergyFlows!M45),E_EnergyFlows!M45,""),E_EnergyFlows!M56),"")</f>
        <v/>
      </c>
      <c r="N245" s="414"/>
      <c r="O245" s="25"/>
      <c r="P245" s="437"/>
      <c r="Q245" s="437"/>
      <c r="R245" s="437"/>
      <c r="S245" s="437"/>
      <c r="T245" s="437"/>
    </row>
    <row r="246" spans="1:20" s="697" customFormat="1" ht="13.5" thickBot="1" x14ac:dyDescent="0.25">
      <c r="A246" s="452"/>
      <c r="B246" s="414"/>
      <c r="C246" s="414"/>
      <c r="D246" s="440"/>
      <c r="E246" s="1944" t="str">
        <f>E_EnergyFlows!E57</f>
        <v>Kurināmā līmeņatzīmes apakšiekārta (OEP | OIM)</v>
      </c>
      <c r="F246" s="1945"/>
      <c r="G246" s="1945"/>
      <c r="H246" s="1157" t="str">
        <f t="shared" si="11"/>
        <v>TJ / gads</v>
      </c>
      <c r="I246" s="331" t="str">
        <f>IF(ISNUMBER(CTRL_InputMethodFuelDistribution),IF(CTRL_InputMethodFuelDistribution=1,IF(ISNUMBER(E_EnergyFlows!I46),E_EnergyFlows!I46,""),E_EnergyFlows!I57),"")</f>
        <v/>
      </c>
      <c r="J246" s="331" t="str">
        <f>IF(ISNUMBER(CTRL_InputMethodFuelDistribution),IF(CTRL_InputMethodFuelDistribution=1,IF(ISNUMBER(E_EnergyFlows!J46),E_EnergyFlows!J46,""),E_EnergyFlows!J57),"")</f>
        <v/>
      </c>
      <c r="K246" s="331" t="str">
        <f>IF(ISNUMBER(CTRL_InputMethodFuelDistribution),IF(CTRL_InputMethodFuelDistribution=1,IF(ISNUMBER(E_EnergyFlows!K46),E_EnergyFlows!K46,""),E_EnergyFlows!K57),"")</f>
        <v/>
      </c>
      <c r="L246" s="331" t="str">
        <f>IF(ISNUMBER(CTRL_InputMethodFuelDistribution),IF(CTRL_InputMethodFuelDistribution=1,IF(ISNUMBER(E_EnergyFlows!L46),E_EnergyFlows!L46,""),E_EnergyFlows!L57),"")</f>
        <v/>
      </c>
      <c r="M246" s="756" t="str">
        <f>IF(ISNUMBER(CTRL_InputMethodFuelDistribution),IF(CTRL_InputMethodFuelDistribution=1,IF(ISNUMBER(E_EnergyFlows!M46),E_EnergyFlows!M46,""),E_EnergyFlows!M57),"")</f>
        <v/>
      </c>
      <c r="N246" s="414"/>
      <c r="O246" s="25"/>
      <c r="P246" s="437"/>
      <c r="Q246" s="437"/>
      <c r="R246" s="437"/>
      <c r="S246" s="437"/>
      <c r="T246" s="437"/>
    </row>
    <row r="247" spans="1:20" s="697" customFormat="1" x14ac:dyDescent="0.2">
      <c r="A247" s="452"/>
      <c r="B247" s="414"/>
      <c r="C247" s="414"/>
      <c r="D247" s="440"/>
      <c r="E247" s="1625" t="str">
        <f>E_EnergyFlows!E59</f>
        <v>Atlikums</v>
      </c>
      <c r="F247" s="1625"/>
      <c r="G247" s="1625"/>
      <c r="H247" s="60" t="str">
        <f t="shared" si="11"/>
        <v>TJ / gads</v>
      </c>
      <c r="I247" s="753" t="str">
        <f>IF(ISNUMBER(CTRL_InputMethodFuelDistribution),IF(CTRL_InputMethodFuelDistribution=1,IF(ISNUMBER(E_EnergyFlows!I48),E_EnergyFlows!I48,""),E_EnergyFlows!I59),"")</f>
        <v/>
      </c>
      <c r="J247" s="753" t="str">
        <f>IF(ISNUMBER(CTRL_InputMethodFuelDistribution),IF(CTRL_InputMethodFuelDistribution=1,IF(ISNUMBER(E_EnergyFlows!J48),E_EnergyFlows!J48,""),E_EnergyFlows!J59),"")</f>
        <v/>
      </c>
      <c r="K247" s="753" t="str">
        <f>IF(ISNUMBER(CTRL_InputMethodFuelDistribution),IF(CTRL_InputMethodFuelDistribution=1,IF(ISNUMBER(E_EnergyFlows!K48),E_EnergyFlows!K48,""),E_EnergyFlows!K59),"")</f>
        <v/>
      </c>
      <c r="L247" s="753" t="str">
        <f>IF(ISNUMBER(CTRL_InputMethodFuelDistribution),IF(CTRL_InputMethodFuelDistribution=1,IF(ISNUMBER(E_EnergyFlows!L48),E_EnergyFlows!L48,""),E_EnergyFlows!L59),"")</f>
        <v/>
      </c>
      <c r="M247" s="753" t="str">
        <f>IF(ISNUMBER(CTRL_InputMethodFuelDistribution),IF(CTRL_InputMethodFuelDistribution=1,IF(ISNUMBER(E_EnergyFlows!M48),E_EnergyFlows!M48,""),E_EnergyFlows!M59),"")</f>
        <v/>
      </c>
      <c r="N247" s="414"/>
      <c r="O247" s="25"/>
      <c r="P247" s="437"/>
      <c r="Q247" s="437"/>
      <c r="R247" s="437"/>
      <c r="S247" s="437"/>
      <c r="T247" s="437"/>
    </row>
    <row r="248" spans="1:20" s="697" customFormat="1" ht="5.0999999999999996" customHeight="1" x14ac:dyDescent="0.2">
      <c r="A248" s="452"/>
      <c r="B248" s="414"/>
      <c r="C248" s="414"/>
      <c r="D248" s="440"/>
      <c r="E248" s="440"/>
      <c r="F248" s="440"/>
      <c r="G248" s="440"/>
      <c r="H248" s="440"/>
      <c r="I248" s="440"/>
      <c r="J248" s="440"/>
      <c r="K248" s="440"/>
      <c r="L248" s="440"/>
      <c r="M248" s="440"/>
      <c r="N248" s="414"/>
      <c r="O248" s="25"/>
      <c r="P248" s="437"/>
      <c r="Q248" s="437"/>
      <c r="R248" s="437"/>
      <c r="S248" s="437"/>
      <c r="T248" s="437"/>
    </row>
    <row r="249" spans="1:20" s="697" customFormat="1" ht="12.75" customHeight="1" x14ac:dyDescent="0.2">
      <c r="A249" s="452"/>
      <c r="B249" s="414"/>
      <c r="C249" s="414"/>
      <c r="D249" s="414"/>
      <c r="E249" s="62" t="str">
        <f>Translations!$B$1723</f>
        <v>Enerģijas ielaide katrā apakšiekārtā no F un G lapas:</v>
      </c>
      <c r="F249" s="414"/>
      <c r="G249" s="414"/>
      <c r="H249" s="414"/>
      <c r="I249" s="414"/>
      <c r="J249" s="414"/>
      <c r="K249" s="414"/>
      <c r="L249" s="414"/>
      <c r="M249" s="414"/>
      <c r="N249" s="414"/>
      <c r="O249" s="25"/>
      <c r="P249" s="437"/>
      <c r="Q249" s="437"/>
      <c r="R249" s="437"/>
      <c r="S249" s="437"/>
      <c r="T249" s="437"/>
    </row>
    <row r="250" spans="1:20" s="697" customFormat="1" ht="12.75" customHeight="1" x14ac:dyDescent="0.2">
      <c r="A250" s="437"/>
      <c r="B250" s="414"/>
      <c r="C250" s="414"/>
      <c r="D250" s="414"/>
      <c r="E250" s="1598" t="str">
        <f t="shared" ref="E250:E266" si="12">E138</f>
        <v/>
      </c>
      <c r="F250" s="1598"/>
      <c r="G250" s="1598"/>
      <c r="H250" s="45" t="str">
        <f t="shared" si="11"/>
        <v>TJ / gads</v>
      </c>
      <c r="I250" s="922" t="str">
        <f t="shared" ref="I250:I266" si="13">IF($E250="","",INDEX(I$525:I$1537,MATCH($P250,$P$525:$P$1537,0)))</f>
        <v/>
      </c>
      <c r="J250" s="922" t="str">
        <f t="shared" ref="J250:M266" si="14">IF($E250="","",INDEX(J$525:J$1537,MATCH($P250,$P$525:$P$1537,0)))</f>
        <v/>
      </c>
      <c r="K250" s="922" t="str">
        <f t="shared" si="14"/>
        <v/>
      </c>
      <c r="L250" s="922" t="str">
        <f t="shared" si="14"/>
        <v/>
      </c>
      <c r="M250" s="922" t="str">
        <f t="shared" si="14"/>
        <v/>
      </c>
      <c r="N250" s="414"/>
      <c r="O250" s="25"/>
      <c r="P250" s="367" t="str">
        <f t="shared" ref="P250:P266" si="15">EUconst_CNTR_FuelInput &amp; E250</f>
        <v>FuelInput_</v>
      </c>
      <c r="Q250" s="437"/>
      <c r="R250" s="437"/>
      <c r="S250" s="437"/>
      <c r="T250" s="437"/>
    </row>
    <row r="251" spans="1:20" s="697" customFormat="1" ht="12.75" customHeight="1" x14ac:dyDescent="0.2">
      <c r="A251" s="437"/>
      <c r="B251" s="414"/>
      <c r="C251" s="414"/>
      <c r="D251" s="414"/>
      <c r="E251" s="1571" t="str">
        <f t="shared" si="12"/>
        <v/>
      </c>
      <c r="F251" s="1571"/>
      <c r="G251" s="1571"/>
      <c r="H251" s="46" t="str">
        <f t="shared" si="11"/>
        <v>TJ / gads</v>
      </c>
      <c r="I251" s="591" t="str">
        <f t="shared" si="13"/>
        <v/>
      </c>
      <c r="J251" s="591" t="str">
        <f t="shared" si="14"/>
        <v/>
      </c>
      <c r="K251" s="591" t="str">
        <f t="shared" si="14"/>
        <v/>
      </c>
      <c r="L251" s="591" t="str">
        <f t="shared" si="14"/>
        <v/>
      </c>
      <c r="M251" s="591" t="str">
        <f t="shared" si="14"/>
        <v/>
      </c>
      <c r="N251" s="414"/>
      <c r="O251" s="25"/>
      <c r="P251" s="367" t="str">
        <f t="shared" si="15"/>
        <v>FuelInput_</v>
      </c>
      <c r="Q251" s="437"/>
      <c r="R251" s="437"/>
      <c r="S251" s="437"/>
      <c r="T251" s="437"/>
    </row>
    <row r="252" spans="1:20" s="697" customFormat="1" ht="12.75" customHeight="1" x14ac:dyDescent="0.2">
      <c r="A252" s="437"/>
      <c r="B252" s="414"/>
      <c r="C252" s="414"/>
      <c r="D252" s="414"/>
      <c r="E252" s="1571" t="str">
        <f t="shared" si="12"/>
        <v/>
      </c>
      <c r="F252" s="1571"/>
      <c r="G252" s="1571"/>
      <c r="H252" s="46" t="str">
        <f t="shared" si="11"/>
        <v>TJ / gads</v>
      </c>
      <c r="I252" s="591" t="str">
        <f t="shared" si="13"/>
        <v/>
      </c>
      <c r="J252" s="591" t="str">
        <f t="shared" si="14"/>
        <v/>
      </c>
      <c r="K252" s="591" t="str">
        <f t="shared" si="14"/>
        <v/>
      </c>
      <c r="L252" s="591" t="str">
        <f t="shared" si="14"/>
        <v/>
      </c>
      <c r="M252" s="591" t="str">
        <f t="shared" si="14"/>
        <v/>
      </c>
      <c r="N252" s="414"/>
      <c r="O252" s="25"/>
      <c r="P252" s="367" t="str">
        <f t="shared" si="15"/>
        <v>FuelInput_</v>
      </c>
      <c r="Q252" s="437"/>
      <c r="R252" s="437"/>
      <c r="S252" s="437"/>
      <c r="T252" s="437"/>
    </row>
    <row r="253" spans="1:20" s="697" customFormat="1" ht="12.75" customHeight="1" x14ac:dyDescent="0.2">
      <c r="A253" s="437"/>
      <c r="B253" s="414"/>
      <c r="C253" s="414"/>
      <c r="D253" s="414"/>
      <c r="E253" s="1571" t="str">
        <f t="shared" si="12"/>
        <v/>
      </c>
      <c r="F253" s="1571"/>
      <c r="G253" s="1571"/>
      <c r="H253" s="46" t="str">
        <f t="shared" si="11"/>
        <v>TJ / gads</v>
      </c>
      <c r="I253" s="591" t="str">
        <f t="shared" si="13"/>
        <v/>
      </c>
      <c r="J253" s="591" t="str">
        <f t="shared" si="14"/>
        <v/>
      </c>
      <c r="K253" s="591" t="str">
        <f t="shared" si="14"/>
        <v/>
      </c>
      <c r="L253" s="591" t="str">
        <f t="shared" si="14"/>
        <v/>
      </c>
      <c r="M253" s="591" t="str">
        <f t="shared" si="14"/>
        <v/>
      </c>
      <c r="N253" s="414"/>
      <c r="O253" s="25"/>
      <c r="P253" s="367" t="str">
        <f t="shared" si="15"/>
        <v>FuelInput_</v>
      </c>
      <c r="Q253" s="437"/>
      <c r="R253" s="437"/>
      <c r="S253" s="437"/>
      <c r="T253" s="437"/>
    </row>
    <row r="254" spans="1:20" s="697" customFormat="1" ht="12.75" customHeight="1" x14ac:dyDescent="0.2">
      <c r="A254" s="437"/>
      <c r="B254" s="414"/>
      <c r="C254" s="414"/>
      <c r="D254" s="414"/>
      <c r="E254" s="1571" t="str">
        <f t="shared" si="12"/>
        <v/>
      </c>
      <c r="F254" s="1571"/>
      <c r="G254" s="1571"/>
      <c r="H254" s="46" t="str">
        <f t="shared" si="11"/>
        <v>TJ / gads</v>
      </c>
      <c r="I254" s="591" t="str">
        <f t="shared" si="13"/>
        <v/>
      </c>
      <c r="J254" s="591" t="str">
        <f t="shared" si="14"/>
        <v/>
      </c>
      <c r="K254" s="591" t="str">
        <f t="shared" si="14"/>
        <v/>
      </c>
      <c r="L254" s="591" t="str">
        <f t="shared" si="14"/>
        <v/>
      </c>
      <c r="M254" s="591" t="str">
        <f t="shared" si="14"/>
        <v/>
      </c>
      <c r="N254" s="414"/>
      <c r="O254" s="25"/>
      <c r="P254" s="367" t="str">
        <f t="shared" si="15"/>
        <v>FuelInput_</v>
      </c>
      <c r="Q254" s="437"/>
      <c r="R254" s="437"/>
      <c r="S254" s="437"/>
      <c r="T254" s="437"/>
    </row>
    <row r="255" spans="1:20" s="697" customFormat="1" ht="12.75" customHeight="1" x14ac:dyDescent="0.2">
      <c r="A255" s="437"/>
      <c r="B255" s="414"/>
      <c r="C255" s="414"/>
      <c r="D255" s="414"/>
      <c r="E255" s="1571" t="str">
        <f t="shared" si="12"/>
        <v/>
      </c>
      <c r="F255" s="1571"/>
      <c r="G255" s="1571"/>
      <c r="H255" s="46" t="str">
        <f t="shared" si="11"/>
        <v>TJ / gads</v>
      </c>
      <c r="I255" s="591" t="str">
        <f t="shared" si="13"/>
        <v/>
      </c>
      <c r="J255" s="591" t="str">
        <f t="shared" si="14"/>
        <v/>
      </c>
      <c r="K255" s="591" t="str">
        <f t="shared" si="14"/>
        <v/>
      </c>
      <c r="L255" s="591" t="str">
        <f t="shared" si="14"/>
        <v/>
      </c>
      <c r="M255" s="591" t="str">
        <f t="shared" si="14"/>
        <v/>
      </c>
      <c r="N255" s="414"/>
      <c r="O255" s="25"/>
      <c r="P255" s="367" t="str">
        <f t="shared" si="15"/>
        <v>FuelInput_</v>
      </c>
      <c r="Q255" s="437"/>
      <c r="R255" s="437"/>
      <c r="S255" s="437"/>
      <c r="T255" s="437"/>
    </row>
    <row r="256" spans="1:20" s="697" customFormat="1" ht="12.75" customHeight="1" x14ac:dyDescent="0.2">
      <c r="A256" s="437"/>
      <c r="B256" s="414"/>
      <c r="C256" s="414"/>
      <c r="D256" s="414"/>
      <c r="E256" s="1571" t="str">
        <f t="shared" si="12"/>
        <v/>
      </c>
      <c r="F256" s="1571"/>
      <c r="G256" s="1571"/>
      <c r="H256" s="46" t="str">
        <f t="shared" si="11"/>
        <v>TJ / gads</v>
      </c>
      <c r="I256" s="591" t="str">
        <f t="shared" si="13"/>
        <v/>
      </c>
      <c r="J256" s="591" t="str">
        <f t="shared" si="14"/>
        <v/>
      </c>
      <c r="K256" s="591" t="str">
        <f t="shared" si="14"/>
        <v/>
      </c>
      <c r="L256" s="591" t="str">
        <f t="shared" si="14"/>
        <v/>
      </c>
      <c r="M256" s="591" t="str">
        <f t="shared" si="14"/>
        <v/>
      </c>
      <c r="N256" s="414"/>
      <c r="O256" s="25"/>
      <c r="P256" s="367" t="str">
        <f t="shared" si="15"/>
        <v>FuelInput_</v>
      </c>
      <c r="Q256" s="437"/>
      <c r="R256" s="437"/>
      <c r="S256" s="437"/>
      <c r="T256" s="437"/>
    </row>
    <row r="257" spans="1:20" s="697" customFormat="1" ht="12.75" customHeight="1" x14ac:dyDescent="0.2">
      <c r="A257" s="437"/>
      <c r="B257" s="414"/>
      <c r="C257" s="414"/>
      <c r="D257" s="414"/>
      <c r="E257" s="1571" t="str">
        <f t="shared" si="12"/>
        <v/>
      </c>
      <c r="F257" s="1571"/>
      <c r="G257" s="1571"/>
      <c r="H257" s="46" t="str">
        <f t="shared" si="11"/>
        <v>TJ / gads</v>
      </c>
      <c r="I257" s="591" t="str">
        <f t="shared" si="13"/>
        <v/>
      </c>
      <c r="J257" s="591" t="str">
        <f t="shared" si="14"/>
        <v/>
      </c>
      <c r="K257" s="591" t="str">
        <f t="shared" si="14"/>
        <v/>
      </c>
      <c r="L257" s="591" t="str">
        <f t="shared" si="14"/>
        <v/>
      </c>
      <c r="M257" s="591" t="str">
        <f t="shared" si="14"/>
        <v/>
      </c>
      <c r="N257" s="414"/>
      <c r="O257" s="25"/>
      <c r="P257" s="367" t="str">
        <f t="shared" si="15"/>
        <v>FuelInput_</v>
      </c>
      <c r="Q257" s="437"/>
      <c r="R257" s="437"/>
      <c r="S257" s="437"/>
      <c r="T257" s="437"/>
    </row>
    <row r="258" spans="1:20" s="697" customFormat="1" ht="12.75" customHeight="1" x14ac:dyDescent="0.2">
      <c r="A258" s="437"/>
      <c r="B258" s="414"/>
      <c r="C258" s="414"/>
      <c r="D258" s="414"/>
      <c r="E258" s="1571" t="str">
        <f t="shared" si="12"/>
        <v/>
      </c>
      <c r="F258" s="1571"/>
      <c r="G258" s="1571"/>
      <c r="H258" s="46" t="str">
        <f t="shared" si="11"/>
        <v>TJ / gads</v>
      </c>
      <c r="I258" s="591" t="str">
        <f t="shared" si="13"/>
        <v/>
      </c>
      <c r="J258" s="591" t="str">
        <f t="shared" si="14"/>
        <v/>
      </c>
      <c r="K258" s="591" t="str">
        <f t="shared" si="14"/>
        <v/>
      </c>
      <c r="L258" s="591" t="str">
        <f t="shared" si="14"/>
        <v/>
      </c>
      <c r="M258" s="591" t="str">
        <f t="shared" si="14"/>
        <v/>
      </c>
      <c r="N258" s="414"/>
      <c r="O258" s="25"/>
      <c r="P258" s="367" t="str">
        <f t="shared" si="15"/>
        <v>FuelInput_</v>
      </c>
      <c r="Q258" s="437"/>
      <c r="R258" s="437"/>
      <c r="S258" s="437"/>
      <c r="T258" s="437"/>
    </row>
    <row r="259" spans="1:20" s="697" customFormat="1" ht="12.75" customHeight="1" x14ac:dyDescent="0.2">
      <c r="A259" s="437"/>
      <c r="B259" s="414"/>
      <c r="C259" s="414"/>
      <c r="D259" s="414"/>
      <c r="E259" s="1595" t="str">
        <f t="shared" si="12"/>
        <v/>
      </c>
      <c r="F259" s="1595"/>
      <c r="G259" s="1595"/>
      <c r="H259" s="48" t="str">
        <f t="shared" si="11"/>
        <v>TJ / gads</v>
      </c>
      <c r="I259" s="923" t="str">
        <f t="shared" si="13"/>
        <v/>
      </c>
      <c r="J259" s="923" t="str">
        <f t="shared" si="14"/>
        <v/>
      </c>
      <c r="K259" s="923" t="str">
        <f t="shared" si="14"/>
        <v/>
      </c>
      <c r="L259" s="923" t="str">
        <f t="shared" si="14"/>
        <v/>
      </c>
      <c r="M259" s="923" t="str">
        <f t="shared" si="14"/>
        <v/>
      </c>
      <c r="N259" s="414"/>
      <c r="O259" s="25"/>
      <c r="P259" s="367" t="str">
        <f t="shared" si="15"/>
        <v>FuelInput_</v>
      </c>
      <c r="Q259" s="437"/>
      <c r="R259" s="437"/>
      <c r="S259" s="437"/>
      <c r="T259" s="437"/>
    </row>
    <row r="260" spans="1:20" s="697" customFormat="1" ht="12.75" customHeight="1" x14ac:dyDescent="0.2">
      <c r="A260" s="437"/>
      <c r="B260" s="414"/>
      <c r="C260" s="414"/>
      <c r="D260" s="414"/>
      <c r="E260" s="1541" t="str">
        <f t="shared" si="12"/>
        <v>Siltuma līmeņatzīmes apakšiekārta, OEP | bez OIM)</v>
      </c>
      <c r="F260" s="1541"/>
      <c r="G260" s="1541"/>
      <c r="H260" s="449" t="str">
        <f t="shared" si="11"/>
        <v>TJ / gads</v>
      </c>
      <c r="I260" s="922" t="str">
        <f t="shared" si="13"/>
        <v/>
      </c>
      <c r="J260" s="922" t="str">
        <f t="shared" si="14"/>
        <v/>
      </c>
      <c r="K260" s="922" t="str">
        <f t="shared" si="14"/>
        <v/>
      </c>
      <c r="L260" s="922" t="str">
        <f t="shared" si="14"/>
        <v/>
      </c>
      <c r="M260" s="922" t="str">
        <f t="shared" si="14"/>
        <v/>
      </c>
      <c r="N260" s="414"/>
      <c r="O260" s="25"/>
      <c r="P260" s="367" t="str">
        <f t="shared" si="15"/>
        <v>FuelInput_Siltuma līmeņatzīmes apakšiekārta, OEP | bez OIM)</v>
      </c>
      <c r="Q260" s="437"/>
      <c r="R260" s="437"/>
      <c r="S260" s="437"/>
      <c r="T260" s="437"/>
    </row>
    <row r="261" spans="1:20" s="697" customFormat="1" ht="12.75" customHeight="1" x14ac:dyDescent="0.2">
      <c r="A261" s="437"/>
      <c r="B261" s="414"/>
      <c r="C261" s="414"/>
      <c r="D261" s="414"/>
      <c r="E261" s="1547" t="str">
        <f t="shared" si="12"/>
        <v>Siltuma līmeņatzīmes apakšiekārta (bez OEP | bez OIM)</v>
      </c>
      <c r="F261" s="1547"/>
      <c r="G261" s="1547"/>
      <c r="H261" s="450" t="str">
        <f t="shared" si="11"/>
        <v>TJ / gads</v>
      </c>
      <c r="I261" s="591" t="str">
        <f t="shared" si="13"/>
        <v/>
      </c>
      <c r="J261" s="591" t="str">
        <f t="shared" si="14"/>
        <v/>
      </c>
      <c r="K261" s="591" t="str">
        <f t="shared" si="14"/>
        <v/>
      </c>
      <c r="L261" s="591" t="str">
        <f t="shared" si="14"/>
        <v/>
      </c>
      <c r="M261" s="591" t="str">
        <f t="shared" si="14"/>
        <v/>
      </c>
      <c r="N261" s="414"/>
      <c r="O261" s="25"/>
      <c r="P261" s="367" t="str">
        <f t="shared" si="15"/>
        <v>FuelInput_Siltuma līmeņatzīmes apakšiekārta (bez OEP | bez OIM)</v>
      </c>
      <c r="Q261" s="437"/>
      <c r="R261" s="437"/>
      <c r="S261" s="437"/>
      <c r="T261" s="437"/>
    </row>
    <row r="262" spans="1:20" s="697" customFormat="1" ht="12.75" customHeight="1" x14ac:dyDescent="0.2">
      <c r="A262" s="437"/>
      <c r="B262" s="414"/>
      <c r="C262" s="414"/>
      <c r="D262" s="414"/>
      <c r="E262" s="1547" t="str">
        <f t="shared" si="12"/>
        <v>Siltuma līmeņatzīmes apakšiekārta, OEP | OIM)</v>
      </c>
      <c r="F262" s="1547"/>
      <c r="G262" s="1547"/>
      <c r="H262" s="450" t="str">
        <f t="shared" si="11"/>
        <v>TJ / gads</v>
      </c>
      <c r="I262" s="591" t="str">
        <f t="shared" si="13"/>
        <v/>
      </c>
      <c r="J262" s="591" t="str">
        <f t="shared" si="14"/>
        <v/>
      </c>
      <c r="K262" s="591" t="str">
        <f t="shared" si="14"/>
        <v/>
      </c>
      <c r="L262" s="591" t="str">
        <f t="shared" si="14"/>
        <v/>
      </c>
      <c r="M262" s="591" t="str">
        <f t="shared" si="14"/>
        <v/>
      </c>
      <c r="N262" s="414"/>
      <c r="O262" s="25"/>
      <c r="P262" s="367" t="str">
        <f t="shared" si="15"/>
        <v>FuelInput_Siltuma līmeņatzīmes apakšiekārta, OEP | OIM)</v>
      </c>
      <c r="Q262" s="437"/>
      <c r="R262" s="437"/>
      <c r="S262" s="437"/>
      <c r="T262" s="437"/>
    </row>
    <row r="263" spans="1:20" s="697" customFormat="1" ht="12.75" customHeight="1" x14ac:dyDescent="0.2">
      <c r="A263" s="437"/>
      <c r="B263" s="414"/>
      <c r="C263" s="414"/>
      <c r="D263" s="414"/>
      <c r="E263" s="1547" t="str">
        <f t="shared" si="12"/>
        <v>Centralizētās siltumapgādes apakšiekārta</v>
      </c>
      <c r="F263" s="1547"/>
      <c r="G263" s="1547"/>
      <c r="H263" s="450" t="str">
        <f t="shared" si="11"/>
        <v>TJ / gads</v>
      </c>
      <c r="I263" s="591" t="str">
        <f t="shared" si="13"/>
        <v/>
      </c>
      <c r="J263" s="591" t="str">
        <f t="shared" si="14"/>
        <v/>
      </c>
      <c r="K263" s="591" t="str">
        <f t="shared" si="14"/>
        <v/>
      </c>
      <c r="L263" s="591" t="str">
        <f t="shared" si="14"/>
        <v/>
      </c>
      <c r="M263" s="591" t="str">
        <f t="shared" si="14"/>
        <v/>
      </c>
      <c r="N263" s="414"/>
      <c r="O263" s="25"/>
      <c r="P263" s="367" t="str">
        <f t="shared" si="15"/>
        <v>FuelInput_Centralizētās siltumapgādes apakšiekārta</v>
      </c>
      <c r="Q263" s="437"/>
      <c r="R263" s="437"/>
      <c r="S263" s="437"/>
      <c r="T263" s="437"/>
    </row>
    <row r="264" spans="1:20" s="697" customFormat="1" ht="12.75" customHeight="1" x14ac:dyDescent="0.2">
      <c r="A264" s="437"/>
      <c r="B264" s="414"/>
      <c r="C264" s="414"/>
      <c r="D264" s="414"/>
      <c r="E264" s="1547" t="str">
        <f t="shared" si="12"/>
        <v>Kurināmā līmeņatzīmes apakšiekārta (OEP | bez OIM)</v>
      </c>
      <c r="F264" s="1547"/>
      <c r="G264" s="1547"/>
      <c r="H264" s="450" t="str">
        <f t="shared" si="11"/>
        <v>TJ / gads</v>
      </c>
      <c r="I264" s="591" t="str">
        <f t="shared" si="13"/>
        <v/>
      </c>
      <c r="J264" s="591" t="str">
        <f t="shared" si="14"/>
        <v/>
      </c>
      <c r="K264" s="591" t="str">
        <f t="shared" si="14"/>
        <v/>
      </c>
      <c r="L264" s="591" t="str">
        <f t="shared" si="14"/>
        <v/>
      </c>
      <c r="M264" s="591" t="str">
        <f t="shared" si="14"/>
        <v/>
      </c>
      <c r="N264" s="414"/>
      <c r="O264" s="25"/>
      <c r="P264" s="367" t="str">
        <f t="shared" si="15"/>
        <v>FuelInput_Kurināmā līmeņatzīmes apakšiekārta (OEP | bez OIM)</v>
      </c>
      <c r="Q264" s="437"/>
      <c r="R264" s="437"/>
      <c r="S264" s="437"/>
      <c r="T264" s="437"/>
    </row>
    <row r="265" spans="1:20" s="697" customFormat="1" ht="12.75" customHeight="1" x14ac:dyDescent="0.2">
      <c r="A265" s="437"/>
      <c r="B265" s="414"/>
      <c r="C265" s="414"/>
      <c r="D265" s="414"/>
      <c r="E265" s="1547" t="str">
        <f t="shared" si="12"/>
        <v>Kurināmā līmeņatzīmes apakšiekārta (bez OEP | bez OIM)</v>
      </c>
      <c r="F265" s="1547"/>
      <c r="G265" s="1547"/>
      <c r="H265" s="450" t="str">
        <f t="shared" si="11"/>
        <v>TJ / gads</v>
      </c>
      <c r="I265" s="591" t="str">
        <f t="shared" si="13"/>
        <v/>
      </c>
      <c r="J265" s="591" t="str">
        <f t="shared" si="14"/>
        <v/>
      </c>
      <c r="K265" s="591" t="str">
        <f t="shared" si="14"/>
        <v/>
      </c>
      <c r="L265" s="591" t="str">
        <f t="shared" si="14"/>
        <v/>
      </c>
      <c r="M265" s="591" t="str">
        <f t="shared" si="14"/>
        <v/>
      </c>
      <c r="N265" s="414"/>
      <c r="O265" s="25"/>
      <c r="P265" s="367" t="str">
        <f t="shared" si="15"/>
        <v>FuelInput_Kurināmā līmeņatzīmes apakšiekārta (bez OEP | bez OIM)</v>
      </c>
      <c r="Q265" s="437"/>
      <c r="R265" s="437"/>
      <c r="S265" s="437"/>
      <c r="T265" s="437"/>
    </row>
    <row r="266" spans="1:20" s="697" customFormat="1" ht="12.75" customHeight="1" x14ac:dyDescent="0.2">
      <c r="A266" s="437"/>
      <c r="B266" s="414"/>
      <c r="C266" s="414"/>
      <c r="D266" s="414"/>
      <c r="E266" s="1550" t="str">
        <f t="shared" si="12"/>
        <v>Kurināmā līmeņatzīmes apakšiekārta (OEP | OIM)</v>
      </c>
      <c r="F266" s="1550"/>
      <c r="G266" s="1550"/>
      <c r="H266" s="451" t="str">
        <f t="shared" si="11"/>
        <v>TJ / gads</v>
      </c>
      <c r="I266" s="923" t="str">
        <f t="shared" si="13"/>
        <v/>
      </c>
      <c r="J266" s="923" t="str">
        <f t="shared" si="14"/>
        <v/>
      </c>
      <c r="K266" s="923" t="str">
        <f t="shared" si="14"/>
        <v/>
      </c>
      <c r="L266" s="923" t="str">
        <f t="shared" si="14"/>
        <v/>
      </c>
      <c r="M266" s="923" t="str">
        <f t="shared" si="14"/>
        <v/>
      </c>
      <c r="N266" s="414"/>
      <c r="O266" s="25"/>
      <c r="P266" s="367" t="str">
        <f t="shared" si="15"/>
        <v>FuelInput_Kurināmā līmeņatzīmes apakšiekārta (OEP | OIM)</v>
      </c>
      <c r="Q266" s="437"/>
      <c r="R266" s="437"/>
      <c r="S266" s="437"/>
      <c r="T266" s="437"/>
    </row>
    <row r="267" spans="1:20" s="697" customFormat="1" ht="12.75" customHeight="1" x14ac:dyDescent="0.2">
      <c r="A267" s="437"/>
      <c r="B267" s="414"/>
      <c r="C267" s="414"/>
      <c r="D267" s="414"/>
      <c r="E267" s="414"/>
      <c r="F267" s="414"/>
      <c r="G267" s="414"/>
      <c r="H267" s="414"/>
      <c r="I267" s="414"/>
      <c r="J267" s="414"/>
      <c r="K267" s="414"/>
      <c r="L267" s="414"/>
      <c r="M267" s="414"/>
      <c r="N267" s="414"/>
      <c r="O267" s="25"/>
      <c r="P267" s="437"/>
      <c r="Q267" s="437"/>
      <c r="R267" s="437"/>
      <c r="S267" s="437"/>
      <c r="T267" s="437"/>
    </row>
    <row r="268" spans="1:20" s="697" customFormat="1" ht="15" x14ac:dyDescent="0.25">
      <c r="A268" s="437"/>
      <c r="B268" s="414"/>
      <c r="C268" s="36">
        <v>6</v>
      </c>
      <c r="D268" s="1318" t="str">
        <f>Translations!$B$1199</f>
        <v>Izmērāmā siltuma aprēķins (E lapas II sadaļa)</v>
      </c>
      <c r="E268" s="1251"/>
      <c r="F268" s="1251"/>
      <c r="G268" s="1251"/>
      <c r="H268" s="1251"/>
      <c r="I268" s="1251"/>
      <c r="J268" s="1251"/>
      <c r="K268" s="1251"/>
      <c r="L268" s="1251"/>
      <c r="M268" s="1251"/>
      <c r="N268" s="1251"/>
      <c r="O268" s="25"/>
      <c r="P268" s="437"/>
      <c r="Q268" s="437"/>
      <c r="R268" s="437"/>
      <c r="S268" s="437"/>
      <c r="T268" s="437"/>
    </row>
    <row r="269" spans="1:20" s="697" customFormat="1" ht="5.0999999999999996" customHeight="1" x14ac:dyDescent="0.2">
      <c r="A269" s="437"/>
      <c r="B269" s="21"/>
      <c r="C269" s="21"/>
      <c r="D269" s="21"/>
      <c r="E269" s="21"/>
      <c r="F269" s="21"/>
      <c r="G269" s="21"/>
      <c r="H269" s="21"/>
      <c r="I269" s="21"/>
      <c r="J269" s="21"/>
      <c r="K269" s="21"/>
      <c r="L269" s="21"/>
      <c r="M269" s="25"/>
      <c r="N269" s="25"/>
      <c r="O269" s="25"/>
      <c r="P269" s="437"/>
      <c r="Q269" s="437"/>
      <c r="R269" s="437"/>
      <c r="S269" s="437"/>
      <c r="T269" s="437"/>
    </row>
    <row r="270" spans="1:20" x14ac:dyDescent="0.2">
      <c r="A270" s="445"/>
      <c r="B270" s="21"/>
      <c r="C270" s="32"/>
      <c r="D270" s="32" t="str">
        <f>E_EnergyFlows!D91</f>
        <v>(a)</v>
      </c>
      <c r="E270" s="1557" t="str">
        <f>E_EnergyFlows!E91</f>
        <v>Iekārtā saražotā izmērāmā siltuma kopējais neto daudzums:</v>
      </c>
      <c r="F270" s="1558"/>
      <c r="G270" s="1558"/>
      <c r="H270" s="1558"/>
      <c r="I270" s="1558"/>
      <c r="J270" s="1558"/>
      <c r="K270" s="1558"/>
      <c r="L270" s="1558"/>
      <c r="M270" s="1558"/>
      <c r="N270" s="1558"/>
      <c r="O270" s="25"/>
      <c r="P270" s="624"/>
      <c r="Q270" s="445"/>
      <c r="R270" s="445"/>
      <c r="S270" s="445"/>
      <c r="T270" s="437"/>
    </row>
    <row r="271" spans="1:20" x14ac:dyDescent="0.2">
      <c r="A271" s="445"/>
      <c r="B271" s="38"/>
      <c r="C271" s="38"/>
      <c r="D271" s="38"/>
      <c r="E271" s="43"/>
      <c r="F271" s="40"/>
      <c r="G271" s="40"/>
      <c r="H271" s="52" t="str">
        <f>E_EnergyFlows!H95</f>
        <v>Vienība</v>
      </c>
      <c r="I271" s="412">
        <f>E_EnergyFlows!I95</f>
        <v>2019</v>
      </c>
      <c r="J271" s="412">
        <f>E_EnergyFlows!J95</f>
        <v>2020</v>
      </c>
      <c r="K271" s="412">
        <f>E_EnergyFlows!K95</f>
        <v>2021</v>
      </c>
      <c r="L271" s="412">
        <f>E_EnergyFlows!L95</f>
        <v>2022</v>
      </c>
      <c r="M271" s="412">
        <f>E_EnergyFlows!M95</f>
        <v>2023</v>
      </c>
      <c r="N271" s="25"/>
      <c r="O271" s="25"/>
      <c r="P271" s="445"/>
      <c r="Q271" s="445"/>
      <c r="R271" s="445"/>
      <c r="S271" s="445"/>
      <c r="T271" s="437"/>
    </row>
    <row r="272" spans="1:20" x14ac:dyDescent="0.2">
      <c r="A272" s="445"/>
      <c r="B272" s="38"/>
      <c r="C272" s="38"/>
      <c r="D272" s="38"/>
      <c r="E272" s="1574" t="str">
        <f>E_EnergyFlows!E96</f>
        <v>Saražotais izmērāmais siltums</v>
      </c>
      <c r="F272" s="1574"/>
      <c r="G272" s="1574"/>
      <c r="H272" s="66" t="str">
        <f>E_EnergyFlows!H96</f>
        <v>TJ / gads</v>
      </c>
      <c r="I272" s="937" t="str">
        <f>IF(ISBLANK(E_EnergyFlows!I96),"",E_EnergyFlows!I96)</f>
        <v/>
      </c>
      <c r="J272" s="448" t="str">
        <f>IF(ISBLANK(E_EnergyFlows!J96),"",E_EnergyFlows!J96)</f>
        <v/>
      </c>
      <c r="K272" s="448" t="str">
        <f>IF(ISBLANK(E_EnergyFlows!K96),"",E_EnergyFlows!K96)</f>
        <v/>
      </c>
      <c r="L272" s="448" t="str">
        <f>IF(ISBLANK(E_EnergyFlows!L96),"",E_EnergyFlows!L96)</f>
        <v/>
      </c>
      <c r="M272" s="448" t="str">
        <f>IF(ISBLANK(E_EnergyFlows!M96),"",E_EnergyFlows!M96)</f>
        <v/>
      </c>
      <c r="N272" s="25"/>
      <c r="O272" s="25"/>
      <c r="P272" s="445"/>
      <c r="Q272" s="445"/>
      <c r="R272" s="445"/>
      <c r="S272" s="445"/>
      <c r="T272" s="437"/>
    </row>
    <row r="273" spans="1:20" s="697" customFormat="1" x14ac:dyDescent="0.2">
      <c r="A273" s="452"/>
      <c r="B273" s="414"/>
      <c r="C273" s="414"/>
      <c r="D273" s="440"/>
      <c r="E273" s="1648" t="str">
        <f>Translations!$B$1645</f>
        <v>Papildpozīcija: no kurināmā LA eksportētais siltums</v>
      </c>
      <c r="F273" s="1648"/>
      <c r="G273" s="1648"/>
      <c r="H273" s="60" t="str">
        <f t="shared" si="11"/>
        <v>TJ / gads</v>
      </c>
      <c r="I273" s="753" t="str">
        <f>IF(E_EnergyFlows!I97="","",E_EnergyFlows!I97)</f>
        <v/>
      </c>
      <c r="J273" s="753" t="str">
        <f>IF(E_EnergyFlows!J97="","",E_EnergyFlows!J97)</f>
        <v/>
      </c>
      <c r="K273" s="753" t="str">
        <f>IF(E_EnergyFlows!K97="","",E_EnergyFlows!K97)</f>
        <v/>
      </c>
      <c r="L273" s="753" t="str">
        <f>IF(E_EnergyFlows!L97="","",E_EnergyFlows!L97)</f>
        <v/>
      </c>
      <c r="M273" s="753" t="str">
        <f>IF(E_EnergyFlows!M97="","",E_EnergyFlows!M97)</f>
        <v/>
      </c>
      <c r="N273" s="414"/>
      <c r="O273" s="25"/>
      <c r="P273" s="437"/>
      <c r="Q273" s="437"/>
      <c r="R273" s="437"/>
      <c r="S273" s="437"/>
      <c r="T273" s="437"/>
    </row>
    <row r="274" spans="1:20" ht="5.0999999999999996" customHeight="1" x14ac:dyDescent="0.2">
      <c r="A274" s="445"/>
      <c r="B274" s="21"/>
      <c r="C274" s="21"/>
      <c r="D274" s="21"/>
      <c r="E274" s="21"/>
      <c r="F274" s="21"/>
      <c r="G274" s="21"/>
      <c r="H274" s="21"/>
      <c r="I274" s="21"/>
      <c r="J274" s="21"/>
      <c r="K274" s="21"/>
      <c r="L274" s="21"/>
      <c r="M274" s="21"/>
      <c r="N274" s="21"/>
      <c r="O274" s="25"/>
      <c r="P274" s="624"/>
      <c r="Q274" s="445"/>
      <c r="R274" s="445"/>
      <c r="S274" s="445"/>
      <c r="T274" s="437"/>
    </row>
    <row r="275" spans="1:20" x14ac:dyDescent="0.2">
      <c r="A275" s="445"/>
      <c r="B275" s="21"/>
      <c r="C275" s="32"/>
      <c r="D275" s="32" t="str">
        <f>E_EnergyFlows!D99</f>
        <v>(b)</v>
      </c>
      <c r="E275" s="1557" t="str">
        <f>E_EnergyFlows!E99</f>
        <v>No elektroenerģijas saražots izmērāmais siltums</v>
      </c>
      <c r="F275" s="1558"/>
      <c r="G275" s="1558"/>
      <c r="H275" s="1558"/>
      <c r="I275" s="1558"/>
      <c r="J275" s="1558"/>
      <c r="K275" s="1558"/>
      <c r="L275" s="1558"/>
      <c r="M275" s="1558"/>
      <c r="N275" s="1558"/>
      <c r="O275" s="25"/>
      <c r="P275" s="624"/>
      <c r="Q275" s="445"/>
      <c r="R275" s="445"/>
      <c r="S275" s="445"/>
      <c r="T275" s="437"/>
    </row>
    <row r="276" spans="1:20" x14ac:dyDescent="0.2">
      <c r="A276" s="445"/>
      <c r="B276" s="38"/>
      <c r="C276" s="38"/>
      <c r="D276" s="38"/>
      <c r="E276" s="1554" t="str">
        <f>E_EnergyFlows!E102</f>
        <v>Siltums no elektroenerģijas</v>
      </c>
      <c r="F276" s="1574"/>
      <c r="G276" s="1574"/>
      <c r="H276" s="66" t="str">
        <f>E_EnergyFlows!H102</f>
        <v>TJ / gads</v>
      </c>
      <c r="I276" s="937" t="str">
        <f>IF(ISBLANK(E_EnergyFlows!I102),"",E_EnergyFlows!I102)</f>
        <v/>
      </c>
      <c r="J276" s="448" t="str">
        <f>IF(ISBLANK(E_EnergyFlows!J102),"",E_EnergyFlows!J102)</f>
        <v/>
      </c>
      <c r="K276" s="448" t="str">
        <f>IF(ISBLANK(E_EnergyFlows!K102),"",E_EnergyFlows!K102)</f>
        <v/>
      </c>
      <c r="L276" s="448" t="str">
        <f>IF(ISBLANK(E_EnergyFlows!L102),"",E_EnergyFlows!L102)</f>
        <v/>
      </c>
      <c r="M276" s="448" t="str">
        <f>IF(ISBLANK(E_EnergyFlows!M102),"",E_EnergyFlows!M102)</f>
        <v/>
      </c>
      <c r="N276" s="25"/>
      <c r="O276" s="25"/>
      <c r="P276" s="445"/>
      <c r="Q276" s="445"/>
      <c r="R276" s="445"/>
      <c r="S276" s="445"/>
      <c r="T276" s="437"/>
    </row>
    <row r="277" spans="1:20" ht="5.0999999999999996" customHeight="1" x14ac:dyDescent="0.2">
      <c r="A277" s="445"/>
      <c r="B277" s="21"/>
      <c r="C277" s="21"/>
      <c r="D277" s="21"/>
      <c r="E277" s="21"/>
      <c r="F277" s="21"/>
      <c r="G277" s="21"/>
      <c r="H277" s="21"/>
      <c r="I277" s="21"/>
      <c r="J277" s="21"/>
      <c r="K277" s="21"/>
      <c r="L277" s="21"/>
      <c r="M277" s="21"/>
      <c r="N277" s="21"/>
      <c r="O277" s="25"/>
      <c r="P277" s="624"/>
      <c r="Q277" s="445"/>
      <c r="R277" s="445"/>
      <c r="S277" s="445"/>
      <c r="T277" s="437"/>
    </row>
    <row r="278" spans="1:20" x14ac:dyDescent="0.2">
      <c r="A278" s="445"/>
      <c r="B278" s="21"/>
      <c r="C278" s="32"/>
      <c r="D278" s="32" t="str">
        <f>E_EnergyFlows!D104</f>
        <v>(c)</v>
      </c>
      <c r="E278" s="1557" t="str">
        <f>E_EnergyFlows!E104</f>
        <v>Izmērāmais siltums, kas importēts no ES ETS aptvertām iekārtām:</v>
      </c>
      <c r="F278" s="1558"/>
      <c r="G278" s="1558"/>
      <c r="H278" s="1558"/>
      <c r="I278" s="1558"/>
      <c r="J278" s="1558"/>
      <c r="K278" s="1558"/>
      <c r="L278" s="1558"/>
      <c r="M278" s="1558"/>
      <c r="N278" s="1558"/>
      <c r="O278" s="25"/>
      <c r="P278" s="624"/>
      <c r="Q278" s="445"/>
      <c r="R278" s="445"/>
      <c r="S278" s="445"/>
      <c r="T278" s="437"/>
    </row>
    <row r="279" spans="1:20" x14ac:dyDescent="0.2">
      <c r="A279" s="445"/>
      <c r="B279" s="38"/>
      <c r="C279" s="38"/>
      <c r="D279" s="38"/>
      <c r="E279" s="1570" t="str">
        <f>E_EnergyFlows!E107</f>
        <v>Iekārtas nosaukums</v>
      </c>
      <c r="F279" s="1573"/>
      <c r="G279" s="1573"/>
      <c r="H279" s="52" t="str">
        <f>E_EnergyFlows!H107</f>
        <v>Vienība</v>
      </c>
      <c r="I279" s="412">
        <f>E_EnergyFlows!I107</f>
        <v>2019</v>
      </c>
      <c r="J279" s="412">
        <f>E_EnergyFlows!J107</f>
        <v>2020</v>
      </c>
      <c r="K279" s="412">
        <f>E_EnergyFlows!K107</f>
        <v>2021</v>
      </c>
      <c r="L279" s="412">
        <f>E_EnergyFlows!L107</f>
        <v>2022</v>
      </c>
      <c r="M279" s="412">
        <f>E_EnergyFlows!M107</f>
        <v>2023</v>
      </c>
      <c r="N279" s="44"/>
      <c r="O279" s="25"/>
      <c r="P279" s="445"/>
      <c r="Q279" s="445"/>
      <c r="R279" s="445"/>
      <c r="S279" s="445"/>
      <c r="T279" s="437"/>
    </row>
    <row r="280" spans="1:20" x14ac:dyDescent="0.2">
      <c r="A280" s="445"/>
      <c r="B280" s="38"/>
      <c r="C280" s="212"/>
      <c r="D280" s="212"/>
      <c r="E280" s="1900" t="str">
        <f>IF(ISBLANK(E_EnergyFlows!E108),"",E_EnergyFlows!E108)</f>
        <v/>
      </c>
      <c r="F280" s="1900"/>
      <c r="G280" s="1900"/>
      <c r="H280" s="55" t="str">
        <f>E_EnergyFlows!H108</f>
        <v>TJ / gads</v>
      </c>
      <c r="I280" s="938" t="str">
        <f>IF(ISBLANK(E_EnergyFlows!I108),"",E_EnergyFlows!I108)</f>
        <v/>
      </c>
      <c r="J280" s="699" t="str">
        <f>IF(ISBLANK(E_EnergyFlows!J108),"",E_EnergyFlows!J108)</f>
        <v/>
      </c>
      <c r="K280" s="699" t="str">
        <f>IF(ISBLANK(E_EnergyFlows!K108),"",E_EnergyFlows!K108)</f>
        <v/>
      </c>
      <c r="L280" s="699" t="str">
        <f>IF(ISBLANK(E_EnergyFlows!L108),"",E_EnergyFlows!L108)</f>
        <v/>
      </c>
      <c r="M280" s="699" t="str">
        <f>IF(ISBLANK(E_EnergyFlows!M108),"",E_EnergyFlows!M108)</f>
        <v/>
      </c>
      <c r="N280" s="25"/>
      <c r="O280" s="25"/>
      <c r="P280" s="445"/>
      <c r="Q280" s="445"/>
      <c r="R280" s="445"/>
      <c r="S280" s="445"/>
      <c r="T280" s="437"/>
    </row>
    <row r="281" spans="1:20" x14ac:dyDescent="0.2">
      <c r="A281" s="445"/>
      <c r="B281" s="38"/>
      <c r="C281" s="212"/>
      <c r="D281" s="212"/>
      <c r="E281" s="1901" t="str">
        <f>IF(ISBLANK(E_EnergyFlows!E109),"",E_EnergyFlows!E109)</f>
        <v/>
      </c>
      <c r="F281" s="1901"/>
      <c r="G281" s="1901"/>
      <c r="H281" s="56" t="str">
        <f>E_EnergyFlows!H109</f>
        <v>TJ / gads</v>
      </c>
      <c r="I281" s="939" t="str">
        <f>IF(ISBLANK(E_EnergyFlows!I109),"",E_EnergyFlows!I109)</f>
        <v/>
      </c>
      <c r="J281" s="521" t="str">
        <f>IF(ISBLANK(E_EnergyFlows!J109),"",E_EnergyFlows!J109)</f>
        <v/>
      </c>
      <c r="K281" s="521" t="str">
        <f>IF(ISBLANK(E_EnergyFlows!K109),"",E_EnergyFlows!K109)</f>
        <v/>
      </c>
      <c r="L281" s="521" t="str">
        <f>IF(ISBLANK(E_EnergyFlows!L109),"",E_EnergyFlows!L109)</f>
        <v/>
      </c>
      <c r="M281" s="521" t="str">
        <f>IF(ISBLANK(E_EnergyFlows!M109),"",E_EnergyFlows!M109)</f>
        <v/>
      </c>
      <c r="N281" s="25"/>
      <c r="O281" s="25"/>
      <c r="P281" s="445"/>
      <c r="Q281" s="445"/>
      <c r="R281" s="445"/>
      <c r="S281" s="445"/>
      <c r="T281" s="437"/>
    </row>
    <row r="282" spans="1:20" x14ac:dyDescent="0.2">
      <c r="A282" s="445"/>
      <c r="B282" s="38"/>
      <c r="C282" s="212"/>
      <c r="D282" s="212"/>
      <c r="E282" s="1902" t="str">
        <f>IF(ISBLANK(E_EnergyFlows!E110),"",E_EnergyFlows!E110)</f>
        <v/>
      </c>
      <c r="F282" s="1902"/>
      <c r="G282" s="1902"/>
      <c r="H282" s="59" t="str">
        <f>E_EnergyFlows!H110</f>
        <v>TJ / gads</v>
      </c>
      <c r="I282" s="940" t="str">
        <f>IF(ISBLANK(E_EnergyFlows!I110),"",E_EnergyFlows!I110)</f>
        <v/>
      </c>
      <c r="J282" s="700" t="str">
        <f>IF(ISBLANK(E_EnergyFlows!J110),"",E_EnergyFlows!J110)</f>
        <v/>
      </c>
      <c r="K282" s="700" t="str">
        <f>IF(ISBLANK(E_EnergyFlows!K110),"",E_EnergyFlows!K110)</f>
        <v/>
      </c>
      <c r="L282" s="700" t="str">
        <f>IF(ISBLANK(E_EnergyFlows!L110),"",E_EnergyFlows!L110)</f>
        <v/>
      </c>
      <c r="M282" s="700" t="str">
        <f>IF(ISBLANK(E_EnergyFlows!M110),"",E_EnergyFlows!M110)</f>
        <v/>
      </c>
      <c r="N282" s="25"/>
      <c r="O282" s="25"/>
      <c r="P282" s="445"/>
      <c r="Q282" s="445"/>
      <c r="R282" s="445"/>
      <c r="S282" s="445"/>
      <c r="T282" s="437"/>
    </row>
    <row r="283" spans="1:20" x14ac:dyDescent="0.2">
      <c r="A283" s="445"/>
      <c r="B283" s="38"/>
      <c r="C283" s="212"/>
      <c r="D283" s="212"/>
      <c r="E283" s="1574" t="str">
        <f>E_EnergyFlows!E111</f>
        <v>Starpsumma</v>
      </c>
      <c r="F283" s="1574"/>
      <c r="G283" s="1574"/>
      <c r="H283" s="70" t="str">
        <f>E_EnergyFlows!H111</f>
        <v>TJ / gads</v>
      </c>
      <c r="I283" s="937" t="str">
        <f>E_EnergyFlows!I111</f>
        <v/>
      </c>
      <c r="J283" s="328" t="str">
        <f>E_EnergyFlows!J111</f>
        <v/>
      </c>
      <c r="K283" s="328" t="str">
        <f>E_EnergyFlows!K111</f>
        <v/>
      </c>
      <c r="L283" s="328" t="str">
        <f>E_EnergyFlows!L111</f>
        <v/>
      </c>
      <c r="M283" s="328" t="str">
        <f>E_EnergyFlows!M111</f>
        <v/>
      </c>
      <c r="N283" s="25"/>
      <c r="O283" s="25"/>
      <c r="P283" s="445"/>
      <c r="Q283" s="445"/>
      <c r="R283" s="445"/>
      <c r="S283" s="445"/>
      <c r="T283" s="437"/>
    </row>
    <row r="284" spans="1:20" ht="5.0999999999999996" customHeight="1" x14ac:dyDescent="0.2">
      <c r="A284" s="445"/>
      <c r="B284" s="21"/>
      <c r="C284" s="21"/>
      <c r="D284" s="21"/>
      <c r="E284" s="21"/>
      <c r="F284" s="21"/>
      <c r="G284" s="21"/>
      <c r="H284" s="21"/>
      <c r="I284" s="21"/>
      <c r="J284" s="21"/>
      <c r="K284" s="21"/>
      <c r="L284" s="21"/>
      <c r="M284" s="21"/>
      <c r="N284" s="21"/>
      <c r="O284" s="25"/>
      <c r="P284" s="624"/>
      <c r="Q284" s="445"/>
      <c r="R284" s="445"/>
      <c r="S284" s="445"/>
      <c r="T284" s="437"/>
    </row>
    <row r="285" spans="1:20" x14ac:dyDescent="0.2">
      <c r="A285" s="445"/>
      <c r="B285" s="21"/>
      <c r="C285" s="32"/>
      <c r="D285" s="32" t="str">
        <f>E_EnergyFlows!D113</f>
        <v>(d)</v>
      </c>
      <c r="E285" s="1557" t="str">
        <f>E_EnergyFlows!E113</f>
        <v>Izmērāmais siltums, kas importēts no ES ETS neaptvertām iekārtām un vienībām (kas nekvalificējas siltuma līmeņatzīmei):</v>
      </c>
      <c r="F285" s="1558"/>
      <c r="G285" s="1558"/>
      <c r="H285" s="1558"/>
      <c r="I285" s="1558"/>
      <c r="J285" s="1558"/>
      <c r="K285" s="1558"/>
      <c r="L285" s="1558"/>
      <c r="M285" s="1558"/>
      <c r="N285" s="1558"/>
      <c r="O285" s="25"/>
      <c r="P285" s="624"/>
      <c r="Q285" s="445"/>
      <c r="R285" s="445"/>
      <c r="S285" s="445"/>
      <c r="T285" s="437"/>
    </row>
    <row r="286" spans="1:20" x14ac:dyDescent="0.2">
      <c r="A286" s="445"/>
      <c r="B286" s="38"/>
      <c r="C286" s="38"/>
      <c r="D286" s="38"/>
      <c r="E286" s="1570" t="str">
        <f>E_EnergyFlows!E116</f>
        <v>Iekārtas vai vienības nosaukums</v>
      </c>
      <c r="F286" s="1573"/>
      <c r="G286" s="1573"/>
      <c r="H286" s="52" t="str">
        <f>E_EnergyFlows!H116</f>
        <v>Vienība</v>
      </c>
      <c r="I286" s="412">
        <f>E_EnergyFlows!I116</f>
        <v>2019</v>
      </c>
      <c r="J286" s="412">
        <f>E_EnergyFlows!J116</f>
        <v>2020</v>
      </c>
      <c r="K286" s="412">
        <f>E_EnergyFlows!K116</f>
        <v>2021</v>
      </c>
      <c r="L286" s="412">
        <f>E_EnergyFlows!L116</f>
        <v>2022</v>
      </c>
      <c r="M286" s="412">
        <f>E_EnergyFlows!M116</f>
        <v>2023</v>
      </c>
      <c r="N286" s="25"/>
      <c r="O286" s="25"/>
      <c r="P286" s="445"/>
      <c r="Q286" s="445"/>
      <c r="R286" s="445"/>
      <c r="S286" s="445"/>
      <c r="T286" s="437"/>
    </row>
    <row r="287" spans="1:20" x14ac:dyDescent="0.2">
      <c r="A287" s="445"/>
      <c r="B287" s="38"/>
      <c r="C287" s="212"/>
      <c r="D287" s="212"/>
      <c r="E287" s="1900" t="str">
        <f>IF(ISBLANK(E_EnergyFlows!E117),"",E_EnergyFlows!E117)</f>
        <v/>
      </c>
      <c r="F287" s="1900"/>
      <c r="G287" s="1900"/>
      <c r="H287" s="55" t="str">
        <f>E_EnergyFlows!H117</f>
        <v>TJ / gads</v>
      </c>
      <c r="I287" s="938" t="str">
        <f>IF(ISBLANK(E_EnergyFlows!I117),"",E_EnergyFlows!I117)</f>
        <v/>
      </c>
      <c r="J287" s="699" t="str">
        <f>IF(ISBLANK(E_EnergyFlows!J117),"",E_EnergyFlows!J117)</f>
        <v/>
      </c>
      <c r="K287" s="699" t="str">
        <f>IF(ISBLANK(E_EnergyFlows!K117),"",E_EnergyFlows!K117)</f>
        <v/>
      </c>
      <c r="L287" s="699" t="str">
        <f>IF(ISBLANK(E_EnergyFlows!L117),"",E_EnergyFlows!L117)</f>
        <v/>
      </c>
      <c r="M287" s="849" t="str">
        <f>IF(ISBLANK(E_EnergyFlows!M117),"",E_EnergyFlows!M117)</f>
        <v/>
      </c>
      <c r="N287" s="25"/>
      <c r="O287" s="25"/>
      <c r="P287" s="445"/>
      <c r="Q287" s="445"/>
      <c r="R287" s="445"/>
      <c r="S287" s="445"/>
      <c r="T287" s="437"/>
    </row>
    <row r="288" spans="1:20" x14ac:dyDescent="0.2">
      <c r="A288" s="445"/>
      <c r="B288" s="38"/>
      <c r="C288" s="212"/>
      <c r="D288" s="212"/>
      <c r="E288" s="1901" t="str">
        <f>IF(ISBLANK(E_EnergyFlows!E118),"",E_EnergyFlows!E118)</f>
        <v/>
      </c>
      <c r="F288" s="1901"/>
      <c r="G288" s="1901"/>
      <c r="H288" s="56" t="str">
        <f>E_EnergyFlows!H118</f>
        <v>TJ / gads</v>
      </c>
      <c r="I288" s="939" t="str">
        <f>IF(ISBLANK(E_EnergyFlows!I118),"",E_EnergyFlows!I118)</f>
        <v/>
      </c>
      <c r="J288" s="521" t="str">
        <f>IF(ISBLANK(E_EnergyFlows!J118),"",E_EnergyFlows!J118)</f>
        <v/>
      </c>
      <c r="K288" s="521" t="str">
        <f>IF(ISBLANK(E_EnergyFlows!K118),"",E_EnergyFlows!K118)</f>
        <v/>
      </c>
      <c r="L288" s="521" t="str">
        <f>IF(ISBLANK(E_EnergyFlows!L118),"",E_EnergyFlows!L118)</f>
        <v/>
      </c>
      <c r="M288" s="850" t="str">
        <f>IF(ISBLANK(E_EnergyFlows!M118),"",E_EnergyFlows!M118)</f>
        <v/>
      </c>
      <c r="N288" s="25"/>
      <c r="O288" s="25"/>
      <c r="P288" s="445"/>
      <c r="Q288" s="445"/>
      <c r="R288" s="445"/>
      <c r="S288" s="445"/>
      <c r="T288" s="437"/>
    </row>
    <row r="289" spans="1:20" x14ac:dyDescent="0.2">
      <c r="A289" s="445"/>
      <c r="B289" s="38"/>
      <c r="C289" s="212"/>
      <c r="D289" s="212"/>
      <c r="E289" s="1902" t="str">
        <f>IF(ISBLANK(E_EnergyFlows!E119),"",E_EnergyFlows!E119)</f>
        <v/>
      </c>
      <c r="F289" s="1902"/>
      <c r="G289" s="1902"/>
      <c r="H289" s="59" t="str">
        <f>E_EnergyFlows!H119</f>
        <v>TJ / gads</v>
      </c>
      <c r="I289" s="940" t="str">
        <f>IF(ISBLANK(E_EnergyFlows!I119),"",E_EnergyFlows!I119)</f>
        <v/>
      </c>
      <c r="J289" s="700" t="str">
        <f>IF(ISBLANK(E_EnergyFlows!J119),"",E_EnergyFlows!J119)</f>
        <v/>
      </c>
      <c r="K289" s="700" t="str">
        <f>IF(ISBLANK(E_EnergyFlows!K119),"",E_EnergyFlows!K119)</f>
        <v/>
      </c>
      <c r="L289" s="700" t="str">
        <f>IF(ISBLANK(E_EnergyFlows!L119),"",E_EnergyFlows!L119)</f>
        <v/>
      </c>
      <c r="M289" s="851" t="str">
        <f>IF(ISBLANK(E_EnergyFlows!M119),"",E_EnergyFlows!M119)</f>
        <v/>
      </c>
      <c r="N289" s="25"/>
      <c r="O289" s="25"/>
      <c r="P289" s="445"/>
      <c r="Q289" s="445"/>
      <c r="R289" s="445"/>
      <c r="S289" s="445"/>
      <c r="T289" s="437"/>
    </row>
    <row r="290" spans="1:20" x14ac:dyDescent="0.2">
      <c r="A290" s="445"/>
      <c r="B290" s="38"/>
      <c r="C290" s="212"/>
      <c r="D290" s="212"/>
      <c r="E290" s="1574" t="str">
        <f>E_EnergyFlows!E120</f>
        <v>Starpsumma</v>
      </c>
      <c r="F290" s="1574"/>
      <c r="G290" s="1574"/>
      <c r="H290" s="70" t="str">
        <f>E_EnergyFlows!H120</f>
        <v>TJ / gads</v>
      </c>
      <c r="I290" s="937" t="str">
        <f>E_EnergyFlows!I120</f>
        <v/>
      </c>
      <c r="J290" s="328" t="str">
        <f>E_EnergyFlows!J120</f>
        <v/>
      </c>
      <c r="K290" s="328" t="str">
        <f>E_EnergyFlows!K120</f>
        <v/>
      </c>
      <c r="L290" s="328" t="str">
        <f>E_EnergyFlows!L120</f>
        <v/>
      </c>
      <c r="M290" s="327" t="str">
        <f>E_EnergyFlows!M120</f>
        <v/>
      </c>
      <c r="N290" s="25"/>
      <c r="O290" s="25"/>
      <c r="P290" s="445"/>
      <c r="Q290" s="445"/>
      <c r="R290" s="445"/>
      <c r="S290" s="445"/>
      <c r="T290" s="437"/>
    </row>
    <row r="291" spans="1:20" ht="5.0999999999999996" customHeight="1" x14ac:dyDescent="0.2">
      <c r="A291" s="445"/>
      <c r="B291" s="21"/>
      <c r="C291" s="21"/>
      <c r="D291" s="21"/>
      <c r="E291" s="21"/>
      <c r="F291" s="21"/>
      <c r="G291" s="21"/>
      <c r="H291" s="21"/>
      <c r="I291" s="21"/>
      <c r="J291" s="21"/>
      <c r="K291" s="21"/>
      <c r="L291" s="21"/>
      <c r="M291" s="21"/>
      <c r="N291" s="21"/>
      <c r="O291" s="25"/>
      <c r="P291" s="624"/>
      <c r="Q291" s="445"/>
      <c r="R291" s="445"/>
      <c r="S291" s="445"/>
      <c r="T291" s="437"/>
    </row>
    <row r="292" spans="1:20" x14ac:dyDescent="0.2">
      <c r="A292" s="445"/>
      <c r="B292" s="21"/>
      <c r="C292" s="32"/>
      <c r="D292" s="32" t="str">
        <f>E_EnergyFlows!D122</f>
        <v>(e)</v>
      </c>
      <c r="E292" s="1568" t="str">
        <f>E_EnergyFlows!E122</f>
        <v>Iekārtā pieejamā izmērāmā siltuma summārais daudzums (=a+c+d)</v>
      </c>
      <c r="F292" s="1569"/>
      <c r="G292" s="1569"/>
      <c r="H292" s="1569"/>
      <c r="I292" s="1569"/>
      <c r="J292" s="1569"/>
      <c r="K292" s="1569"/>
      <c r="L292" s="1569"/>
      <c r="M292" s="1569"/>
      <c r="N292" s="1569"/>
      <c r="O292" s="25"/>
      <c r="P292" s="624"/>
      <c r="Q292" s="445"/>
      <c r="R292" s="445"/>
      <c r="S292" s="445"/>
      <c r="T292" s="437"/>
    </row>
    <row r="293" spans="1:20" x14ac:dyDescent="0.2">
      <c r="A293" s="445"/>
      <c r="B293" s="38"/>
      <c r="C293" s="38"/>
      <c r="D293" s="38"/>
      <c r="E293" s="1574" t="str">
        <f>E_EnergyFlows!E123</f>
        <v>Kopējais izmērāmais siltums</v>
      </c>
      <c r="F293" s="1574"/>
      <c r="G293" s="1574"/>
      <c r="H293" s="70" t="str">
        <f>E_EnergyFlows!H123</f>
        <v>TJ / gads</v>
      </c>
      <c r="I293" s="937" t="str">
        <f>E_EnergyFlows!I123</f>
        <v/>
      </c>
      <c r="J293" s="328" t="str">
        <f>E_EnergyFlows!J123</f>
        <v/>
      </c>
      <c r="K293" s="328" t="str">
        <f>E_EnergyFlows!K123</f>
        <v/>
      </c>
      <c r="L293" s="328" t="str">
        <f>E_EnergyFlows!L123</f>
        <v/>
      </c>
      <c r="M293" s="328" t="str">
        <f>E_EnergyFlows!M123</f>
        <v/>
      </c>
      <c r="N293" s="25"/>
      <c r="O293" s="25"/>
      <c r="P293" s="445"/>
      <c r="Q293" s="445"/>
      <c r="R293" s="445"/>
      <c r="S293" s="445"/>
      <c r="T293" s="437"/>
    </row>
    <row r="294" spans="1:20" ht="5.0999999999999996" customHeight="1" x14ac:dyDescent="0.2">
      <c r="A294" s="445"/>
      <c r="B294" s="21"/>
      <c r="C294" s="21"/>
      <c r="D294" s="21"/>
      <c r="E294" s="21"/>
      <c r="F294" s="21"/>
      <c r="G294" s="21"/>
      <c r="H294" s="21"/>
      <c r="I294" s="21"/>
      <c r="J294" s="21"/>
      <c r="K294" s="21"/>
      <c r="L294" s="21"/>
      <c r="M294" s="21"/>
      <c r="N294" s="21"/>
      <c r="O294" s="25"/>
      <c r="P294" s="624"/>
      <c r="Q294" s="445"/>
      <c r="R294" s="445"/>
      <c r="S294" s="445"/>
      <c r="T294" s="437"/>
    </row>
    <row r="295" spans="1:20" x14ac:dyDescent="0.2">
      <c r="A295" s="445"/>
      <c r="B295" s="21"/>
      <c r="C295" s="32"/>
      <c r="D295" s="32" t="str">
        <f>E_EnergyFlows!D125</f>
        <v>(f)</v>
      </c>
      <c r="E295" s="1557" t="str">
        <f>E_EnergyFlows!E125</f>
        <v>ETS siltuma attiecība pret kopējo siltumu</v>
      </c>
      <c r="F295" s="1558"/>
      <c r="G295" s="1558"/>
      <c r="H295" s="1558"/>
      <c r="I295" s="1558"/>
      <c r="J295" s="1558"/>
      <c r="K295" s="1558"/>
      <c r="L295" s="1558"/>
      <c r="M295" s="1558"/>
      <c r="N295" s="1558"/>
      <c r="O295" s="25"/>
      <c r="P295" s="624"/>
      <c r="Q295" s="445"/>
      <c r="R295" s="445"/>
      <c r="S295" s="445"/>
      <c r="T295" s="437"/>
    </row>
    <row r="296" spans="1:20" x14ac:dyDescent="0.2">
      <c r="A296" s="445"/>
      <c r="B296" s="38"/>
      <c r="C296" s="38"/>
      <c r="D296" s="38"/>
      <c r="E296" s="1574" t="str">
        <f>E_EnergyFlows!E129</f>
        <v>Siltuma ielaides attiecība (a+c) / (a+c+d):</v>
      </c>
      <c r="F296" s="1574"/>
      <c r="G296" s="1574"/>
      <c r="H296" s="70" t="str">
        <f>E_EnergyFlows!H129</f>
        <v>%</v>
      </c>
      <c r="I296" s="941" t="str">
        <f>E_EnergyFlows!I129</f>
        <v/>
      </c>
      <c r="J296" s="325" t="str">
        <f>E_EnergyFlows!J129</f>
        <v/>
      </c>
      <c r="K296" s="325" t="str">
        <f>E_EnergyFlows!K129</f>
        <v/>
      </c>
      <c r="L296" s="325" t="str">
        <f>E_EnergyFlows!L129</f>
        <v/>
      </c>
      <c r="M296" s="325" t="str">
        <f>E_EnergyFlows!M129</f>
        <v/>
      </c>
      <c r="N296" s="21"/>
      <c r="O296" s="25"/>
      <c r="P296" s="445"/>
      <c r="Q296" s="445"/>
      <c r="R296" s="445"/>
      <c r="S296" s="445"/>
      <c r="T296" s="437"/>
    </row>
    <row r="297" spans="1:20" ht="5.0999999999999996" customHeight="1" x14ac:dyDescent="0.2">
      <c r="A297" s="445"/>
      <c r="B297" s="21"/>
      <c r="C297" s="21"/>
      <c r="D297" s="21"/>
      <c r="E297" s="21"/>
      <c r="F297" s="21"/>
      <c r="G297" s="21"/>
      <c r="H297" s="21"/>
      <c r="I297" s="21"/>
      <c r="J297" s="21"/>
      <c r="K297" s="21"/>
      <c r="L297" s="21"/>
      <c r="M297" s="21"/>
      <c r="N297" s="21"/>
      <c r="O297" s="25"/>
      <c r="P297" s="624"/>
      <c r="Q297" s="445"/>
      <c r="R297" s="445"/>
      <c r="S297" s="445"/>
      <c r="T297" s="437"/>
    </row>
    <row r="298" spans="1:20" x14ac:dyDescent="0.2">
      <c r="A298" s="445"/>
      <c r="B298" s="21"/>
      <c r="C298" s="32"/>
      <c r="D298" s="32" t="str">
        <f>E_EnergyFlows!D136</f>
        <v>(g)</v>
      </c>
      <c r="E298" s="1557" t="str">
        <f>E_EnergyFlows!E136</f>
        <v>Izmērāmais siltums, kas iekārtā patērēts elektroenerģijas ražošanai (nekvalificējas siltuma līmeņatzīmei):</v>
      </c>
      <c r="F298" s="1558"/>
      <c r="G298" s="1558"/>
      <c r="H298" s="1558"/>
      <c r="I298" s="1558"/>
      <c r="J298" s="1558"/>
      <c r="K298" s="1558"/>
      <c r="L298" s="1558"/>
      <c r="M298" s="1558"/>
      <c r="N298" s="1558"/>
      <c r="O298" s="25"/>
      <c r="P298" s="624"/>
      <c r="Q298" s="445"/>
      <c r="R298" s="445"/>
      <c r="S298" s="445"/>
      <c r="T298" s="437"/>
    </row>
    <row r="299" spans="1:20" x14ac:dyDescent="0.2">
      <c r="A299" s="445"/>
      <c r="B299" s="38"/>
      <c r="C299" s="38"/>
      <c r="D299" s="38"/>
      <c r="E299" s="43"/>
      <c r="F299" s="40"/>
      <c r="G299" s="40"/>
      <c r="H299" s="52"/>
      <c r="I299" s="412">
        <f>E_EnergyFlows!I139</f>
        <v>2019</v>
      </c>
      <c r="J299" s="412">
        <f>E_EnergyFlows!J139</f>
        <v>2020</v>
      </c>
      <c r="K299" s="412">
        <f>E_EnergyFlows!K139</f>
        <v>2021</v>
      </c>
      <c r="L299" s="412">
        <f>E_EnergyFlows!L139</f>
        <v>2022</v>
      </c>
      <c r="M299" s="412">
        <f>E_EnergyFlows!M139</f>
        <v>2023</v>
      </c>
      <c r="N299" s="25"/>
      <c r="O299" s="25"/>
      <c r="P299" s="445"/>
      <c r="Q299" s="445"/>
      <c r="R299" s="445"/>
      <c r="S299" s="445"/>
      <c r="T299" s="437"/>
    </row>
    <row r="300" spans="1:20" x14ac:dyDescent="0.2">
      <c r="A300" s="445"/>
      <c r="B300" s="38"/>
      <c r="C300" s="212"/>
      <c r="D300" s="212"/>
      <c r="E300" s="1574" t="str">
        <f>E_EnergyFlows!E140</f>
        <v>Elektroenerģijas ražošanai izmantotais siltums</v>
      </c>
      <c r="F300" s="1574"/>
      <c r="G300" s="1574"/>
      <c r="H300" s="70" t="str">
        <f>E_EnergyFlows!H140</f>
        <v>TJ / gads</v>
      </c>
      <c r="I300" s="937" t="str">
        <f>IF(ISBLANK(E_EnergyFlows!I140),"",E_EnergyFlows!I140)</f>
        <v/>
      </c>
      <c r="J300" s="448" t="str">
        <f>IF(ISBLANK(E_EnergyFlows!J140),"",E_EnergyFlows!J140)</f>
        <v/>
      </c>
      <c r="K300" s="448" t="str">
        <f>IF(ISBLANK(E_EnergyFlows!K140),"",E_EnergyFlows!K140)</f>
        <v/>
      </c>
      <c r="L300" s="448" t="str">
        <f>IF(ISBLANK(E_EnergyFlows!L140),"",E_EnergyFlows!L140)</f>
        <v/>
      </c>
      <c r="M300" s="448" t="str">
        <f>IF(ISBLANK(E_EnergyFlows!M140),"",E_EnergyFlows!M140)</f>
        <v/>
      </c>
      <c r="N300" s="25"/>
      <c r="O300" s="25"/>
      <c r="P300" s="624"/>
      <c r="Q300" s="624"/>
      <c r="R300" s="624"/>
      <c r="S300" s="624"/>
      <c r="T300" s="437"/>
    </row>
    <row r="301" spans="1:20" x14ac:dyDescent="0.2">
      <c r="A301" s="445"/>
      <c r="B301" s="38"/>
      <c r="C301" s="212"/>
      <c r="D301" s="212"/>
      <c r="E301" s="1574" t="str">
        <f>E_EnergyFlows!E141</f>
        <v>Siltuma daudzums no ETS neaptvertiem avotiem</v>
      </c>
      <c r="F301" s="1574"/>
      <c r="G301" s="1574"/>
      <c r="H301" s="211" t="str">
        <f>E_EnergyFlows!H141</f>
        <v>TJ / gads</v>
      </c>
      <c r="I301" s="941" t="str">
        <f>E_EnergyFlows!I141</f>
        <v/>
      </c>
      <c r="J301" s="325" t="str">
        <f>E_EnergyFlows!J141</f>
        <v/>
      </c>
      <c r="K301" s="325" t="str">
        <f>E_EnergyFlows!K141</f>
        <v/>
      </c>
      <c r="L301" s="325" t="str">
        <f>E_EnergyFlows!L141</f>
        <v/>
      </c>
      <c r="M301" s="325" t="str">
        <f>E_EnergyFlows!M141</f>
        <v/>
      </c>
      <c r="N301" s="25"/>
      <c r="O301" s="25"/>
      <c r="P301" s="624"/>
      <c r="Q301" s="624"/>
      <c r="R301" s="624"/>
      <c r="S301" s="624"/>
      <c r="T301" s="437"/>
    </row>
    <row r="302" spans="1:20" x14ac:dyDescent="0.2">
      <c r="A302" s="445"/>
      <c r="B302" s="38"/>
      <c r="C302" s="212"/>
      <c r="D302" s="212"/>
      <c r="E302" s="1574" t="str">
        <f>E_EnergyFlows!E142</f>
        <v>Manuāla datu ievade, kas anulē ii. apakšpunktā redzamos datus</v>
      </c>
      <c r="F302" s="1574"/>
      <c r="G302" s="1574"/>
      <c r="H302" s="211" t="str">
        <f>E_EnergyFlows!H142</f>
        <v>TJ / gads</v>
      </c>
      <c r="I302" s="937" t="str">
        <f>IF(ISBLANK(E_EnergyFlows!I142),"",E_EnergyFlows!I142)</f>
        <v/>
      </c>
      <c r="J302" s="448" t="str">
        <f>IF(ISBLANK(E_EnergyFlows!J142),"",E_EnergyFlows!J142)</f>
        <v/>
      </c>
      <c r="K302" s="448" t="str">
        <f>IF(ISBLANK(E_EnergyFlows!K142),"",E_EnergyFlows!K142)</f>
        <v/>
      </c>
      <c r="L302" s="448" t="str">
        <f>IF(ISBLANK(E_EnergyFlows!L142),"",E_EnergyFlows!L142)</f>
        <v/>
      </c>
      <c r="M302" s="448" t="str">
        <f>IF(ISBLANK(E_EnergyFlows!M142),"",E_EnergyFlows!M142)</f>
        <v/>
      </c>
      <c r="N302" s="25"/>
      <c r="O302" s="25"/>
      <c r="P302" s="624"/>
      <c r="Q302" s="624"/>
      <c r="R302" s="624"/>
      <c r="S302" s="624"/>
      <c r="T302" s="437"/>
    </row>
    <row r="303" spans="1:20" ht="5.0999999999999996" customHeight="1" x14ac:dyDescent="0.2">
      <c r="A303" s="445"/>
      <c r="B303" s="21"/>
      <c r="C303" s="21"/>
      <c r="D303" s="21"/>
      <c r="E303" s="21"/>
      <c r="F303" s="21"/>
      <c r="G303" s="21"/>
      <c r="H303" s="21"/>
      <c r="I303" s="21"/>
      <c r="J303" s="21"/>
      <c r="K303" s="21"/>
      <c r="L303" s="21"/>
      <c r="M303" s="21"/>
      <c r="N303" s="21"/>
      <c r="O303" s="25"/>
      <c r="P303" s="624"/>
      <c r="Q303" s="624"/>
      <c r="R303" s="624"/>
      <c r="S303" s="624"/>
      <c r="T303" s="437"/>
    </row>
    <row r="304" spans="1:20" x14ac:dyDescent="0.2">
      <c r="A304" s="445"/>
      <c r="B304" s="21"/>
      <c r="C304" s="32"/>
      <c r="D304" s="32" t="str">
        <f>E_EnergyFlows!D144</f>
        <v>(h)</v>
      </c>
      <c r="E304" s="1557" t="str">
        <f>E_EnergyFlows!E144</f>
        <v>Izmērāmais siltums, kas iekārtā patērēts produkta līmeņatzīmes apakšiekārtām (nekvalificējas siltuma līmeņatzīmei):</v>
      </c>
      <c r="F304" s="1558"/>
      <c r="G304" s="1558"/>
      <c r="H304" s="1558"/>
      <c r="I304" s="1558"/>
      <c r="J304" s="1558"/>
      <c r="K304" s="1558"/>
      <c r="L304" s="1558"/>
      <c r="M304" s="1558"/>
      <c r="N304" s="1558"/>
      <c r="O304" s="25"/>
      <c r="P304" s="624"/>
      <c r="Q304" s="624"/>
      <c r="R304" s="624"/>
      <c r="S304" s="624"/>
      <c r="T304" s="437"/>
    </row>
    <row r="305" spans="1:20" x14ac:dyDescent="0.2">
      <c r="A305" s="445"/>
      <c r="B305" s="38"/>
      <c r="C305" s="38"/>
      <c r="D305" s="38"/>
      <c r="E305" s="43"/>
      <c r="F305" s="40"/>
      <c r="G305" s="40"/>
      <c r="H305" s="52" t="str">
        <f>E_EnergyFlows!H147</f>
        <v>Vienība</v>
      </c>
      <c r="I305" s="412">
        <f>E_EnergyFlows!I147</f>
        <v>2019</v>
      </c>
      <c r="J305" s="412">
        <f>E_EnergyFlows!J147</f>
        <v>2020</v>
      </c>
      <c r="K305" s="412">
        <f>E_EnergyFlows!K147</f>
        <v>2021</v>
      </c>
      <c r="L305" s="412">
        <f>E_EnergyFlows!L147</f>
        <v>2022</v>
      </c>
      <c r="M305" s="412">
        <f>E_EnergyFlows!M147</f>
        <v>2023</v>
      </c>
      <c r="N305" s="25"/>
      <c r="O305" s="25"/>
      <c r="P305" s="624"/>
      <c r="Q305" s="624"/>
      <c r="R305" s="624"/>
      <c r="S305" s="624"/>
      <c r="T305" s="437"/>
    </row>
    <row r="306" spans="1:20" ht="12.75" customHeight="1" x14ac:dyDescent="0.2">
      <c r="A306" s="445"/>
      <c r="B306" s="38"/>
      <c r="C306" s="38"/>
      <c r="D306" s="440"/>
      <c r="E306" s="1571" t="str">
        <f>E_EnergyFlows!E148</f>
        <v/>
      </c>
      <c r="F306" s="1571"/>
      <c r="G306" s="1571"/>
      <c r="H306" s="449" t="str">
        <f>E_EnergyFlows!H148</f>
        <v>TJ / gads</v>
      </c>
      <c r="I306" s="938" t="str">
        <f>IF(ISBLANK(E_EnergyFlows!I148),"",E_EnergyFlows!I148)</f>
        <v/>
      </c>
      <c r="J306" s="699" t="str">
        <f>IF(ISBLANK(E_EnergyFlows!J148),"",E_EnergyFlows!J148)</f>
        <v/>
      </c>
      <c r="K306" s="699" t="str">
        <f>IF(ISBLANK(E_EnergyFlows!K148),"",E_EnergyFlows!K148)</f>
        <v/>
      </c>
      <c r="L306" s="699" t="str">
        <f>IF(ISBLANK(E_EnergyFlows!L148),"",E_EnergyFlows!L148)</f>
        <v/>
      </c>
      <c r="M306" s="699" t="str">
        <f>IF(ISBLANK(E_EnergyFlows!M148),"",E_EnergyFlows!M148)</f>
        <v/>
      </c>
      <c r="N306" s="25"/>
      <c r="O306" s="25"/>
      <c r="P306" s="624"/>
      <c r="Q306" s="624"/>
      <c r="R306" s="624"/>
      <c r="S306" s="624"/>
      <c r="T306" s="437"/>
    </row>
    <row r="307" spans="1:20" x14ac:dyDescent="0.2">
      <c r="A307" s="445"/>
      <c r="B307" s="38"/>
      <c r="C307" s="38"/>
      <c r="D307" s="440"/>
      <c r="E307" s="1571" t="str">
        <f>E_EnergyFlows!E149</f>
        <v/>
      </c>
      <c r="F307" s="1571"/>
      <c r="G307" s="1571"/>
      <c r="H307" s="450" t="str">
        <f>E_EnergyFlows!H149</f>
        <v>TJ / gads</v>
      </c>
      <c r="I307" s="939" t="str">
        <f>IF(ISBLANK(E_EnergyFlows!I149),"",E_EnergyFlows!I149)</f>
        <v/>
      </c>
      <c r="J307" s="521" t="str">
        <f>IF(ISBLANK(E_EnergyFlows!J149),"",E_EnergyFlows!J149)</f>
        <v/>
      </c>
      <c r="K307" s="521" t="str">
        <f>IF(ISBLANK(E_EnergyFlows!K149),"",E_EnergyFlows!K149)</f>
        <v/>
      </c>
      <c r="L307" s="521" t="str">
        <f>IF(ISBLANK(E_EnergyFlows!L149),"",E_EnergyFlows!L149)</f>
        <v/>
      </c>
      <c r="M307" s="521" t="str">
        <f>IF(ISBLANK(E_EnergyFlows!M149),"",E_EnergyFlows!M149)</f>
        <v/>
      </c>
      <c r="N307" s="25"/>
      <c r="O307" s="25"/>
      <c r="P307" s="624"/>
      <c r="Q307" s="624"/>
      <c r="R307" s="624"/>
      <c r="S307" s="624"/>
      <c r="T307" s="437"/>
    </row>
    <row r="308" spans="1:20" ht="12.75" customHeight="1" x14ac:dyDescent="0.2">
      <c r="A308" s="445"/>
      <c r="B308" s="38"/>
      <c r="C308" s="38"/>
      <c r="D308" s="440"/>
      <c r="E308" s="1571" t="str">
        <f>E_EnergyFlows!E150</f>
        <v/>
      </c>
      <c r="F308" s="1571"/>
      <c r="G308" s="1571"/>
      <c r="H308" s="450" t="str">
        <f>E_EnergyFlows!H150</f>
        <v>TJ / gads</v>
      </c>
      <c r="I308" s="939" t="str">
        <f>IF(ISBLANK(E_EnergyFlows!I150),"",E_EnergyFlows!I150)</f>
        <v/>
      </c>
      <c r="J308" s="521" t="str">
        <f>IF(ISBLANK(E_EnergyFlows!J150),"",E_EnergyFlows!J150)</f>
        <v/>
      </c>
      <c r="K308" s="521" t="str">
        <f>IF(ISBLANK(E_EnergyFlows!K150),"",E_EnergyFlows!K150)</f>
        <v/>
      </c>
      <c r="L308" s="521" t="str">
        <f>IF(ISBLANK(E_EnergyFlows!L150),"",E_EnergyFlows!L150)</f>
        <v/>
      </c>
      <c r="M308" s="521" t="str">
        <f>IF(ISBLANK(E_EnergyFlows!M150),"",E_EnergyFlows!M150)</f>
        <v/>
      </c>
      <c r="N308" s="25"/>
      <c r="O308" s="25"/>
      <c r="P308" s="624"/>
      <c r="Q308" s="624"/>
      <c r="R308" s="624"/>
      <c r="S308" s="624"/>
      <c r="T308" s="437"/>
    </row>
    <row r="309" spans="1:20" x14ac:dyDescent="0.2">
      <c r="A309" s="445"/>
      <c r="B309" s="38"/>
      <c r="C309" s="38"/>
      <c r="D309" s="440"/>
      <c r="E309" s="1571" t="str">
        <f>E_EnergyFlows!E151</f>
        <v/>
      </c>
      <c r="F309" s="1571"/>
      <c r="G309" s="1571"/>
      <c r="H309" s="450" t="str">
        <f>E_EnergyFlows!H151</f>
        <v>TJ / gads</v>
      </c>
      <c r="I309" s="939" t="str">
        <f>IF(ISBLANK(E_EnergyFlows!I151),"",E_EnergyFlows!I151)</f>
        <v/>
      </c>
      <c r="J309" s="521" t="str">
        <f>IF(ISBLANK(E_EnergyFlows!J151),"",E_EnergyFlows!J151)</f>
        <v/>
      </c>
      <c r="K309" s="521" t="str">
        <f>IF(ISBLANK(E_EnergyFlows!K151),"",E_EnergyFlows!K151)</f>
        <v/>
      </c>
      <c r="L309" s="521" t="str">
        <f>IF(ISBLANK(E_EnergyFlows!L151),"",E_EnergyFlows!L151)</f>
        <v/>
      </c>
      <c r="M309" s="521" t="str">
        <f>IF(ISBLANK(E_EnergyFlows!M151),"",E_EnergyFlows!M151)</f>
        <v/>
      </c>
      <c r="N309" s="25"/>
      <c r="O309" s="25"/>
      <c r="P309" s="624"/>
      <c r="Q309" s="624"/>
      <c r="R309" s="624"/>
      <c r="S309" s="624"/>
      <c r="T309" s="437"/>
    </row>
    <row r="310" spans="1:20" x14ac:dyDescent="0.2">
      <c r="A310" s="445"/>
      <c r="B310" s="38"/>
      <c r="C310" s="38"/>
      <c r="D310" s="440"/>
      <c r="E310" s="1571" t="str">
        <f>E_EnergyFlows!E152</f>
        <v/>
      </c>
      <c r="F310" s="1571"/>
      <c r="G310" s="1571"/>
      <c r="H310" s="450" t="str">
        <f>E_EnergyFlows!H152</f>
        <v>TJ / gads</v>
      </c>
      <c r="I310" s="939" t="str">
        <f>IF(ISBLANK(E_EnergyFlows!I152),"",E_EnergyFlows!I152)</f>
        <v/>
      </c>
      <c r="J310" s="521" t="str">
        <f>IF(ISBLANK(E_EnergyFlows!J152),"",E_EnergyFlows!J152)</f>
        <v/>
      </c>
      <c r="K310" s="521" t="str">
        <f>IF(ISBLANK(E_EnergyFlows!K152),"",E_EnergyFlows!K152)</f>
        <v/>
      </c>
      <c r="L310" s="521" t="str">
        <f>IF(ISBLANK(E_EnergyFlows!L152),"",E_EnergyFlows!L152)</f>
        <v/>
      </c>
      <c r="M310" s="521" t="str">
        <f>IF(ISBLANK(E_EnergyFlows!M152),"",E_EnergyFlows!M152)</f>
        <v/>
      </c>
      <c r="N310" s="25"/>
      <c r="O310" s="25"/>
      <c r="P310" s="624"/>
      <c r="Q310" s="624"/>
      <c r="R310" s="624"/>
      <c r="S310" s="624"/>
      <c r="T310" s="437"/>
    </row>
    <row r="311" spans="1:20" x14ac:dyDescent="0.2">
      <c r="A311" s="445"/>
      <c r="B311" s="38"/>
      <c r="C311" s="38"/>
      <c r="D311" s="440"/>
      <c r="E311" s="1571" t="str">
        <f>E_EnergyFlows!E153</f>
        <v/>
      </c>
      <c r="F311" s="1571"/>
      <c r="G311" s="1571"/>
      <c r="H311" s="450" t="str">
        <f>E_EnergyFlows!H153</f>
        <v>TJ / gads</v>
      </c>
      <c r="I311" s="939" t="str">
        <f>IF(ISBLANK(E_EnergyFlows!I153),"",E_EnergyFlows!I153)</f>
        <v/>
      </c>
      <c r="J311" s="521" t="str">
        <f>IF(ISBLANK(E_EnergyFlows!J153),"",E_EnergyFlows!J153)</f>
        <v/>
      </c>
      <c r="K311" s="521" t="str">
        <f>IF(ISBLANK(E_EnergyFlows!K153),"",E_EnergyFlows!K153)</f>
        <v/>
      </c>
      <c r="L311" s="521" t="str">
        <f>IF(ISBLANK(E_EnergyFlows!L153),"",E_EnergyFlows!L153)</f>
        <v/>
      </c>
      <c r="M311" s="521" t="str">
        <f>IF(ISBLANK(E_EnergyFlows!M153),"",E_EnergyFlows!M153)</f>
        <v/>
      </c>
      <c r="N311" s="25"/>
      <c r="O311" s="25"/>
      <c r="P311" s="624"/>
      <c r="Q311" s="624"/>
      <c r="R311" s="624"/>
      <c r="S311" s="624"/>
      <c r="T311" s="437"/>
    </row>
    <row r="312" spans="1:20" x14ac:dyDescent="0.2">
      <c r="A312" s="445"/>
      <c r="B312" s="38"/>
      <c r="C312" s="38"/>
      <c r="D312" s="440"/>
      <c r="E312" s="1571" t="str">
        <f>E_EnergyFlows!E154</f>
        <v/>
      </c>
      <c r="F312" s="1571"/>
      <c r="G312" s="1571"/>
      <c r="H312" s="450" t="str">
        <f>E_EnergyFlows!H154</f>
        <v>TJ / gads</v>
      </c>
      <c r="I312" s="939" t="str">
        <f>IF(ISBLANK(E_EnergyFlows!I154),"",E_EnergyFlows!I154)</f>
        <v/>
      </c>
      <c r="J312" s="521" t="str">
        <f>IF(ISBLANK(E_EnergyFlows!J154),"",E_EnergyFlows!J154)</f>
        <v/>
      </c>
      <c r="K312" s="521" t="str">
        <f>IF(ISBLANK(E_EnergyFlows!K154),"",E_EnergyFlows!K154)</f>
        <v/>
      </c>
      <c r="L312" s="521" t="str">
        <f>IF(ISBLANK(E_EnergyFlows!L154),"",E_EnergyFlows!L154)</f>
        <v/>
      </c>
      <c r="M312" s="521" t="str">
        <f>IF(ISBLANK(E_EnergyFlows!M154),"",E_EnergyFlows!M154)</f>
        <v/>
      </c>
      <c r="N312" s="25"/>
      <c r="O312" s="25"/>
      <c r="P312" s="624"/>
      <c r="Q312" s="624"/>
      <c r="R312" s="624"/>
      <c r="S312" s="624"/>
      <c r="T312" s="437"/>
    </row>
    <row r="313" spans="1:20" x14ac:dyDescent="0.2">
      <c r="A313" s="445"/>
      <c r="B313" s="38"/>
      <c r="C313" s="38"/>
      <c r="D313" s="440"/>
      <c r="E313" s="1571" t="str">
        <f>E_EnergyFlows!E155</f>
        <v/>
      </c>
      <c r="F313" s="1571"/>
      <c r="G313" s="1571"/>
      <c r="H313" s="450" t="str">
        <f>E_EnergyFlows!H155</f>
        <v>TJ / gads</v>
      </c>
      <c r="I313" s="939" t="str">
        <f>IF(ISBLANK(E_EnergyFlows!I155),"",E_EnergyFlows!I155)</f>
        <v/>
      </c>
      <c r="J313" s="521" t="str">
        <f>IF(ISBLANK(E_EnergyFlows!J155),"",E_EnergyFlows!J155)</f>
        <v/>
      </c>
      <c r="K313" s="521" t="str">
        <f>IF(ISBLANK(E_EnergyFlows!K155),"",E_EnergyFlows!K155)</f>
        <v/>
      </c>
      <c r="L313" s="521" t="str">
        <f>IF(ISBLANK(E_EnergyFlows!L155),"",E_EnergyFlows!L155)</f>
        <v/>
      </c>
      <c r="M313" s="521" t="str">
        <f>IF(ISBLANK(E_EnergyFlows!M155),"",E_EnergyFlows!M155)</f>
        <v/>
      </c>
      <c r="N313" s="25"/>
      <c r="O313" s="25"/>
      <c r="P313" s="624"/>
      <c r="Q313" s="624"/>
      <c r="R313" s="624"/>
      <c r="S313" s="624"/>
      <c r="T313" s="437"/>
    </row>
    <row r="314" spans="1:20" x14ac:dyDescent="0.2">
      <c r="A314" s="445"/>
      <c r="B314" s="38"/>
      <c r="C314" s="38"/>
      <c r="D314" s="440"/>
      <c r="E314" s="1571" t="str">
        <f>E_EnergyFlows!E156</f>
        <v/>
      </c>
      <c r="F314" s="1571"/>
      <c r="G314" s="1571"/>
      <c r="H314" s="450" t="str">
        <f>E_EnergyFlows!H156</f>
        <v>TJ / gads</v>
      </c>
      <c r="I314" s="939" t="str">
        <f>IF(ISBLANK(E_EnergyFlows!I156),"",E_EnergyFlows!I156)</f>
        <v/>
      </c>
      <c r="J314" s="521" t="str">
        <f>IF(ISBLANK(E_EnergyFlows!J156),"",E_EnergyFlows!J156)</f>
        <v/>
      </c>
      <c r="K314" s="521" t="str">
        <f>IF(ISBLANK(E_EnergyFlows!K156),"",E_EnergyFlows!K156)</f>
        <v/>
      </c>
      <c r="L314" s="521" t="str">
        <f>IF(ISBLANK(E_EnergyFlows!L156),"",E_EnergyFlows!L156)</f>
        <v/>
      </c>
      <c r="M314" s="521" t="str">
        <f>IF(ISBLANK(E_EnergyFlows!M156),"",E_EnergyFlows!M156)</f>
        <v/>
      </c>
      <c r="N314" s="25"/>
      <c r="O314" s="25"/>
      <c r="P314" s="624"/>
      <c r="Q314" s="624"/>
      <c r="R314" s="624"/>
      <c r="S314" s="624"/>
      <c r="T314" s="437"/>
    </row>
    <row r="315" spans="1:20" x14ac:dyDescent="0.2">
      <c r="A315" s="445"/>
      <c r="B315" s="38"/>
      <c r="C315" s="38"/>
      <c r="D315" s="440"/>
      <c r="E315" s="1595" t="str">
        <f>E_EnergyFlows!E157</f>
        <v/>
      </c>
      <c r="F315" s="1595"/>
      <c r="G315" s="1595"/>
      <c r="H315" s="451" t="str">
        <f>E_EnergyFlows!H157</f>
        <v>TJ / gads</v>
      </c>
      <c r="I315" s="940" t="str">
        <f>IF(ISBLANK(E_EnergyFlows!I157),"",E_EnergyFlows!I157)</f>
        <v/>
      </c>
      <c r="J315" s="700" t="str">
        <f>IF(ISBLANK(E_EnergyFlows!J157),"",E_EnergyFlows!J157)</f>
        <v/>
      </c>
      <c r="K315" s="700" t="str">
        <f>IF(ISBLANK(E_EnergyFlows!K157),"",E_EnergyFlows!K157)</f>
        <v/>
      </c>
      <c r="L315" s="700" t="str">
        <f>IF(ISBLANK(E_EnergyFlows!L157),"",E_EnergyFlows!L157)</f>
        <v/>
      </c>
      <c r="M315" s="700" t="str">
        <f>IF(ISBLANK(E_EnergyFlows!M157),"",E_EnergyFlows!M157)</f>
        <v/>
      </c>
      <c r="N315" s="25"/>
      <c r="O315" s="25"/>
      <c r="P315" s="624"/>
      <c r="Q315" s="624"/>
      <c r="R315" s="624"/>
      <c r="S315" s="624"/>
      <c r="T315" s="437"/>
    </row>
    <row r="316" spans="1:20" ht="12.75" customHeight="1" x14ac:dyDescent="0.2">
      <c r="A316" s="445"/>
      <c r="B316" s="38"/>
      <c r="C316" s="212"/>
      <c r="D316" s="440"/>
      <c r="E316" s="1574" t="str">
        <f>E_EnergyFlows!E158</f>
        <v>Starpsumma</v>
      </c>
      <c r="F316" s="1574"/>
      <c r="G316" s="1574"/>
      <c r="H316" s="59" t="str">
        <f>E_EnergyFlows!H158</f>
        <v>TJ / gads</v>
      </c>
      <c r="I316" s="937" t="str">
        <f>E_EnergyFlows!I158</f>
        <v/>
      </c>
      <c r="J316" s="448" t="str">
        <f>E_EnergyFlows!J158</f>
        <v/>
      </c>
      <c r="K316" s="448" t="str">
        <f>E_EnergyFlows!K158</f>
        <v/>
      </c>
      <c r="L316" s="448" t="str">
        <f>E_EnergyFlows!L158</f>
        <v/>
      </c>
      <c r="M316" s="448" t="str">
        <f>E_EnergyFlows!M158</f>
        <v/>
      </c>
      <c r="N316" s="25"/>
      <c r="O316" s="25"/>
      <c r="P316" s="624"/>
      <c r="Q316" s="624"/>
      <c r="R316" s="624"/>
      <c r="S316" s="624"/>
      <c r="T316" s="437"/>
    </row>
    <row r="317" spans="1:20" ht="5.0999999999999996" customHeight="1" x14ac:dyDescent="0.2">
      <c r="A317" s="445"/>
      <c r="B317" s="21"/>
      <c r="C317" s="21"/>
      <c r="D317" s="21"/>
      <c r="E317" s="21"/>
      <c r="F317" s="21"/>
      <c r="G317" s="21"/>
      <c r="H317" s="21"/>
      <c r="I317" s="21"/>
      <c r="J317" s="21"/>
      <c r="K317" s="21"/>
      <c r="L317" s="21"/>
      <c r="M317" s="21"/>
      <c r="N317" s="21"/>
      <c r="O317" s="25"/>
      <c r="P317" s="624"/>
      <c r="Q317" s="624"/>
      <c r="R317" s="624"/>
      <c r="S317" s="624"/>
      <c r="T317" s="437"/>
    </row>
    <row r="318" spans="1:20" x14ac:dyDescent="0.2">
      <c r="A318" s="445"/>
      <c r="B318" s="38"/>
      <c r="C318" s="38"/>
      <c r="D318" s="38"/>
      <c r="E318" s="1570" t="str">
        <f>E_EnergyFlows!E160</f>
        <v>Lapā “F_ProductBM” ievadītās vērtības:</v>
      </c>
      <c r="F318" s="1573"/>
      <c r="G318" s="1573"/>
      <c r="H318" s="1573"/>
      <c r="I318" s="1573"/>
      <c r="J318" s="1573"/>
      <c r="K318" s="1573"/>
      <c r="L318" s="1573"/>
      <c r="M318" s="1573"/>
      <c r="N318" s="1569"/>
      <c r="O318" s="25"/>
      <c r="P318" s="624"/>
      <c r="Q318" s="624"/>
      <c r="R318" s="624"/>
      <c r="S318" s="624"/>
      <c r="T318" s="437"/>
    </row>
    <row r="319" spans="1:20" x14ac:dyDescent="0.2">
      <c r="A319" s="445"/>
      <c r="B319" s="38"/>
      <c r="C319" s="212"/>
      <c r="D319" s="440"/>
      <c r="E319" s="1574" t="str">
        <f>E_EnergyFlows!E161</f>
        <v>Siltuma daudzums no ETS neaptvertiem avotiem</v>
      </c>
      <c r="F319" s="1574"/>
      <c r="G319" s="1574"/>
      <c r="H319" s="211" t="str">
        <f>E_EnergyFlows!H161</f>
        <v>TJ / gads</v>
      </c>
      <c r="I319" s="941" t="str">
        <f>E_EnergyFlows!I161</f>
        <v/>
      </c>
      <c r="J319" s="325" t="str">
        <f>E_EnergyFlows!J161</f>
        <v/>
      </c>
      <c r="K319" s="325" t="str">
        <f>E_EnergyFlows!K161</f>
        <v/>
      </c>
      <c r="L319" s="325" t="str">
        <f>E_EnergyFlows!L161</f>
        <v/>
      </c>
      <c r="M319" s="325" t="str">
        <f>E_EnergyFlows!M161</f>
        <v/>
      </c>
      <c r="N319" s="44"/>
      <c r="O319" s="25"/>
      <c r="P319" s="445"/>
      <c r="Q319" s="445"/>
      <c r="R319" s="445"/>
      <c r="S319" s="445"/>
      <c r="T319" s="437"/>
    </row>
    <row r="320" spans="1:20" ht="5.0999999999999996" customHeight="1" x14ac:dyDescent="0.2">
      <c r="A320" s="445"/>
      <c r="B320" s="21"/>
      <c r="C320" s="21"/>
      <c r="D320" s="21"/>
      <c r="E320" s="21"/>
      <c r="F320" s="21"/>
      <c r="G320" s="21"/>
      <c r="H320" s="21"/>
      <c r="I320" s="21"/>
      <c r="J320" s="21"/>
      <c r="K320" s="21"/>
      <c r="L320" s="21"/>
      <c r="M320" s="21"/>
      <c r="N320" s="25"/>
      <c r="O320" s="25"/>
      <c r="P320" s="624"/>
      <c r="Q320" s="445"/>
      <c r="R320" s="445"/>
      <c r="S320" s="445"/>
      <c r="T320" s="437"/>
    </row>
    <row r="321" spans="1:20" x14ac:dyDescent="0.2">
      <c r="A321" s="445"/>
      <c r="B321" s="38"/>
      <c r="C321" s="38"/>
      <c r="D321" s="38"/>
      <c r="E321" s="1570" t="str">
        <f>E_EnergyFlows!E167</f>
        <v>ETS neaptvertais siltums, kas norādīts lapā “F_ProductBM”, salīdzinājumā ar kopējo siltuma daudzumu visām produktu līmeņatzīmēm:</v>
      </c>
      <c r="F321" s="1573"/>
      <c r="G321" s="1573"/>
      <c r="H321" s="1573"/>
      <c r="I321" s="1573"/>
      <c r="J321" s="1573"/>
      <c r="K321" s="1573"/>
      <c r="L321" s="1573"/>
      <c r="M321" s="1573"/>
      <c r="N321" s="1569"/>
      <c r="O321" s="25"/>
      <c r="P321" s="445"/>
      <c r="Q321" s="445"/>
      <c r="R321" s="445"/>
      <c r="S321" s="445"/>
      <c r="T321" s="437"/>
    </row>
    <row r="322" spans="1:20" x14ac:dyDescent="0.2">
      <c r="A322" s="445"/>
      <c r="B322" s="38"/>
      <c r="C322" s="212"/>
      <c r="D322" s="440"/>
      <c r="E322" s="1554" t="str">
        <f>E_EnergyFlows!E168</f>
        <v>xii. apakšpunkts attiecībā pret xi. apakšpunktu:</v>
      </c>
      <c r="F322" s="1574"/>
      <c r="G322" s="1574"/>
      <c r="H322" s="70" t="str">
        <f>E_EnergyFlows!H168</f>
        <v>%</v>
      </c>
      <c r="I322" s="941" t="str">
        <f>E_EnergyFlows!I168</f>
        <v/>
      </c>
      <c r="J322" s="325" t="str">
        <f>E_EnergyFlows!J168</f>
        <v/>
      </c>
      <c r="K322" s="325" t="str">
        <f>E_EnergyFlows!K168</f>
        <v/>
      </c>
      <c r="L322" s="325" t="str">
        <f>E_EnergyFlows!L168</f>
        <v/>
      </c>
      <c r="M322" s="325" t="str">
        <f>E_EnergyFlows!M168</f>
        <v/>
      </c>
      <c r="N322" s="44"/>
      <c r="O322" s="25"/>
      <c r="P322" s="445"/>
      <c r="Q322" s="445"/>
      <c r="R322" s="445"/>
      <c r="S322" s="445"/>
      <c r="T322" s="437"/>
    </row>
    <row r="323" spans="1:20" ht="5.0999999999999996" customHeight="1" x14ac:dyDescent="0.2">
      <c r="A323" s="445"/>
      <c r="B323" s="21"/>
      <c r="C323" s="359"/>
      <c r="D323" s="359"/>
      <c r="E323" s="21"/>
      <c r="F323" s="21"/>
      <c r="G323" s="21"/>
      <c r="H323" s="21"/>
      <c r="I323" s="21"/>
      <c r="J323" s="21"/>
      <c r="K323" s="21"/>
      <c r="L323" s="21"/>
      <c r="M323" s="21"/>
      <c r="N323" s="21"/>
      <c r="O323" s="25"/>
      <c r="P323" s="624"/>
      <c r="Q323" s="445"/>
      <c r="R323" s="445"/>
      <c r="S323" s="445"/>
      <c r="T323" s="437"/>
    </row>
    <row r="324" spans="1:20" x14ac:dyDescent="0.2">
      <c r="A324" s="445"/>
      <c r="B324" s="38"/>
      <c r="C324" s="212"/>
      <c r="D324" s="212"/>
      <c r="E324" s="1570" t="str">
        <f>E_EnergyFlows!E170</f>
        <v>ETS neaptvertais siltums, kas norādīts lapā “F_ProductBM”, salīdzinājumā ar kopējo ETS neaptvertā siltuma importu, kas norādīts c) punktā:</v>
      </c>
      <c r="F324" s="1573"/>
      <c r="G324" s="1573"/>
      <c r="H324" s="1573"/>
      <c r="I324" s="1573"/>
      <c r="J324" s="1573"/>
      <c r="K324" s="1573"/>
      <c r="L324" s="1573"/>
      <c r="M324" s="1573"/>
      <c r="N324" s="1569"/>
      <c r="O324" s="25"/>
      <c r="P324" s="445"/>
      <c r="Q324" s="445"/>
      <c r="R324" s="445"/>
      <c r="S324" s="445"/>
      <c r="T324" s="437"/>
    </row>
    <row r="325" spans="1:20" x14ac:dyDescent="0.2">
      <c r="A325" s="445"/>
      <c r="B325" s="38"/>
      <c r="C325" s="212"/>
      <c r="D325" s="440"/>
      <c r="E325" s="1554" t="str">
        <f>E_EnergyFlows!E171</f>
        <v>xii. apakšpunkts attiecībā pret c) punktu:</v>
      </c>
      <c r="F325" s="1574"/>
      <c r="G325" s="1574"/>
      <c r="H325" s="70" t="str">
        <f>E_EnergyFlows!H171</f>
        <v>%</v>
      </c>
      <c r="I325" s="941" t="str">
        <f>E_EnergyFlows!I171</f>
        <v/>
      </c>
      <c r="J325" s="325" t="str">
        <f>E_EnergyFlows!J171</f>
        <v/>
      </c>
      <c r="K325" s="325" t="str">
        <f>E_EnergyFlows!K171</f>
        <v/>
      </c>
      <c r="L325" s="325" t="str">
        <f>E_EnergyFlows!L171</f>
        <v/>
      </c>
      <c r="M325" s="325" t="str">
        <f>E_EnergyFlows!M171</f>
        <v/>
      </c>
      <c r="N325" s="44"/>
      <c r="O325" s="25"/>
      <c r="P325" s="445"/>
      <c r="Q325" s="445"/>
      <c r="R325" s="445"/>
      <c r="S325" s="445"/>
      <c r="T325" s="437"/>
    </row>
    <row r="326" spans="1:20" ht="5.0999999999999996" customHeight="1" x14ac:dyDescent="0.2">
      <c r="A326" s="445"/>
      <c r="B326" s="38"/>
      <c r="C326" s="38"/>
      <c r="D326" s="38"/>
      <c r="E326" s="38"/>
      <c r="F326" s="38"/>
      <c r="G326" s="38"/>
      <c r="H326" s="38"/>
      <c r="I326" s="38"/>
      <c r="J326" s="38"/>
      <c r="K326" s="38"/>
      <c r="L326" s="38"/>
      <c r="M326" s="38"/>
      <c r="N326" s="38"/>
      <c r="O326" s="25"/>
      <c r="P326" s="445"/>
      <c r="Q326" s="445"/>
      <c r="R326" s="445"/>
      <c r="S326" s="445"/>
      <c r="T326" s="437"/>
    </row>
    <row r="327" spans="1:20" x14ac:dyDescent="0.2">
      <c r="A327" s="445"/>
      <c r="B327" s="38"/>
      <c r="C327" s="32"/>
      <c r="D327" s="32" t="str">
        <f>E_EnergyFlows!D173</f>
        <v>(i)</v>
      </c>
      <c r="E327" s="1575" t="str">
        <f>E_EnergyFlows!E173</f>
        <v>Uz ETS iekārtām eksportētais siltums (nekvalificējas siltuma līmeņatzīmei):</v>
      </c>
      <c r="F327" s="1558"/>
      <c r="G327" s="1558"/>
      <c r="H327" s="1558"/>
      <c r="I327" s="1558"/>
      <c r="J327" s="1558"/>
      <c r="K327" s="1558"/>
      <c r="L327" s="1558"/>
      <c r="M327" s="1558"/>
      <c r="N327" s="1558"/>
      <c r="O327" s="25"/>
      <c r="P327" s="445"/>
      <c r="Q327" s="445"/>
      <c r="R327" s="445"/>
      <c r="S327" s="445"/>
      <c r="T327" s="437"/>
    </row>
    <row r="328" spans="1:20" x14ac:dyDescent="0.2">
      <c r="A328" s="445"/>
      <c r="B328" s="38"/>
      <c r="C328" s="38"/>
      <c r="D328" s="38"/>
      <c r="E328" s="1570" t="str">
        <f>E_EnergyFlows!E176</f>
        <v>Iekārtas nosaukums</v>
      </c>
      <c r="F328" s="1573"/>
      <c r="G328" s="1573"/>
      <c r="H328" s="52" t="str">
        <f>E_EnergyFlows!H176</f>
        <v>Vienība</v>
      </c>
      <c r="I328" s="447">
        <f>E_EnergyFlows!I176</f>
        <v>2019</v>
      </c>
      <c r="J328" s="447">
        <f>E_EnergyFlows!J176</f>
        <v>2020</v>
      </c>
      <c r="K328" s="447">
        <f>E_EnergyFlows!K176</f>
        <v>2021</v>
      </c>
      <c r="L328" s="447">
        <f>E_EnergyFlows!L176</f>
        <v>2022</v>
      </c>
      <c r="M328" s="447">
        <f>E_EnergyFlows!M176</f>
        <v>2023</v>
      </c>
      <c r="N328" s="25"/>
      <c r="O328" s="25"/>
      <c r="P328" s="445"/>
      <c r="Q328" s="445"/>
      <c r="R328" s="445"/>
      <c r="S328" s="445"/>
      <c r="T328" s="437"/>
    </row>
    <row r="329" spans="1:20" x14ac:dyDescent="0.2">
      <c r="A329" s="445"/>
      <c r="B329" s="38"/>
      <c r="C329" s="212"/>
      <c r="D329" s="212"/>
      <c r="E329" s="1903" t="str">
        <f>IF(ISBLANK(E_EnergyFlows!E177),"",E_EnergyFlows!E177)</f>
        <v/>
      </c>
      <c r="F329" s="1903"/>
      <c r="G329" s="1903"/>
      <c r="H329" s="58" t="str">
        <f>E_EnergyFlows!H177</f>
        <v>TJ / gads</v>
      </c>
      <c r="I329" s="942" t="str">
        <f>IF(ISBLANK(E_EnergyFlows!I177),"",E_EnergyFlows!I177)</f>
        <v/>
      </c>
      <c r="J329" s="852" t="str">
        <f>IF(ISBLANK(E_EnergyFlows!J177),"",E_EnergyFlows!J177)</f>
        <v/>
      </c>
      <c r="K329" s="852" t="str">
        <f>IF(ISBLANK(E_EnergyFlows!K177),"",E_EnergyFlows!K177)</f>
        <v/>
      </c>
      <c r="L329" s="852" t="str">
        <f>IF(ISBLANK(E_EnergyFlows!L177),"",E_EnergyFlows!L177)</f>
        <v/>
      </c>
      <c r="M329" s="852" t="str">
        <f>IF(ISBLANK(E_EnergyFlows!M177),"",E_EnergyFlows!M177)</f>
        <v/>
      </c>
      <c r="N329" s="25"/>
      <c r="O329" s="25"/>
      <c r="P329" s="445"/>
      <c r="Q329" s="445"/>
      <c r="R329" s="445"/>
      <c r="S329" s="445"/>
      <c r="T329" s="437"/>
    </row>
    <row r="330" spans="1:20" x14ac:dyDescent="0.2">
      <c r="A330" s="445"/>
      <c r="B330" s="38"/>
      <c r="C330" s="212"/>
      <c r="D330" s="212"/>
      <c r="E330" s="1901" t="str">
        <f>IF(ISBLANK(E_EnergyFlows!E178),"",E_EnergyFlows!E178)</f>
        <v/>
      </c>
      <c r="F330" s="1901"/>
      <c r="G330" s="1901"/>
      <c r="H330" s="56" t="str">
        <f>E_EnergyFlows!H178</f>
        <v>TJ / gads</v>
      </c>
      <c r="I330" s="939" t="str">
        <f>IF(ISBLANK(E_EnergyFlows!I178),"",E_EnergyFlows!I178)</f>
        <v/>
      </c>
      <c r="J330" s="521" t="str">
        <f>IF(ISBLANK(E_EnergyFlows!J178),"",E_EnergyFlows!J178)</f>
        <v/>
      </c>
      <c r="K330" s="521" t="str">
        <f>IF(ISBLANK(E_EnergyFlows!K178),"",E_EnergyFlows!K178)</f>
        <v/>
      </c>
      <c r="L330" s="521" t="str">
        <f>IF(ISBLANK(E_EnergyFlows!L178),"",E_EnergyFlows!L178)</f>
        <v/>
      </c>
      <c r="M330" s="521" t="str">
        <f>IF(ISBLANK(E_EnergyFlows!M178),"",E_EnergyFlows!M178)</f>
        <v/>
      </c>
      <c r="N330" s="25"/>
      <c r="O330" s="25"/>
      <c r="P330" s="445"/>
      <c r="Q330" s="445"/>
      <c r="R330" s="445"/>
      <c r="S330" s="445"/>
      <c r="T330" s="437"/>
    </row>
    <row r="331" spans="1:20" x14ac:dyDescent="0.2">
      <c r="A331" s="445"/>
      <c r="B331" s="38"/>
      <c r="C331" s="212"/>
      <c r="D331" s="212"/>
      <c r="E331" s="1901" t="str">
        <f>IF(ISBLANK(E_EnergyFlows!E179),"",E_EnergyFlows!E179)</f>
        <v/>
      </c>
      <c r="F331" s="1901"/>
      <c r="G331" s="1901"/>
      <c r="H331" s="56" t="str">
        <f>E_EnergyFlows!H179</f>
        <v>TJ / gads</v>
      </c>
      <c r="I331" s="939" t="str">
        <f>IF(ISBLANK(E_EnergyFlows!I179),"",E_EnergyFlows!I179)</f>
        <v/>
      </c>
      <c r="J331" s="521" t="str">
        <f>IF(ISBLANK(E_EnergyFlows!J179),"",E_EnergyFlows!J179)</f>
        <v/>
      </c>
      <c r="K331" s="521" t="str">
        <f>IF(ISBLANK(E_EnergyFlows!K179),"",E_EnergyFlows!K179)</f>
        <v/>
      </c>
      <c r="L331" s="521" t="str">
        <f>IF(ISBLANK(E_EnergyFlows!L179),"",E_EnergyFlows!L179)</f>
        <v/>
      </c>
      <c r="M331" s="521" t="str">
        <f>IF(ISBLANK(E_EnergyFlows!M179),"",E_EnergyFlows!M179)</f>
        <v/>
      </c>
      <c r="N331" s="25"/>
      <c r="O331" s="25"/>
      <c r="P331" s="445"/>
      <c r="Q331" s="445"/>
      <c r="R331" s="445"/>
      <c r="S331" s="445"/>
      <c r="T331" s="437"/>
    </row>
    <row r="332" spans="1:20" x14ac:dyDescent="0.2">
      <c r="A332" s="445"/>
      <c r="B332" s="38"/>
      <c r="C332" s="212"/>
      <c r="D332" s="212"/>
      <c r="E332" s="1901" t="str">
        <f>IF(ISBLANK(E_EnergyFlows!E180),"",E_EnergyFlows!E180)</f>
        <v/>
      </c>
      <c r="F332" s="1901"/>
      <c r="G332" s="1901"/>
      <c r="H332" s="56" t="str">
        <f>E_EnergyFlows!H180</f>
        <v>TJ / gads</v>
      </c>
      <c r="I332" s="939" t="str">
        <f>IF(ISBLANK(E_EnergyFlows!I180),"",E_EnergyFlows!I180)</f>
        <v/>
      </c>
      <c r="J332" s="521" t="str">
        <f>IF(ISBLANK(E_EnergyFlows!J180),"",E_EnergyFlows!J180)</f>
        <v/>
      </c>
      <c r="K332" s="521" t="str">
        <f>IF(ISBLANK(E_EnergyFlows!K180),"",E_EnergyFlows!K180)</f>
        <v/>
      </c>
      <c r="L332" s="521" t="str">
        <f>IF(ISBLANK(E_EnergyFlows!L180),"",E_EnergyFlows!L180)</f>
        <v/>
      </c>
      <c r="M332" s="521" t="str">
        <f>IF(ISBLANK(E_EnergyFlows!M180),"",E_EnergyFlows!M180)</f>
        <v/>
      </c>
      <c r="N332" s="25"/>
      <c r="O332" s="25"/>
      <c r="P332" s="445"/>
      <c r="Q332" s="445"/>
      <c r="R332" s="445"/>
      <c r="S332" s="445"/>
      <c r="T332" s="437"/>
    </row>
    <row r="333" spans="1:20" x14ac:dyDescent="0.2">
      <c r="A333" s="445"/>
      <c r="B333" s="38"/>
      <c r="C333" s="212"/>
      <c r="D333" s="212"/>
      <c r="E333" s="1902" t="str">
        <f>IF(ISBLANK(E_EnergyFlows!E181),"",E_EnergyFlows!E181)</f>
        <v/>
      </c>
      <c r="F333" s="1902"/>
      <c r="G333" s="1902"/>
      <c r="H333" s="59" t="str">
        <f>E_EnergyFlows!H181</f>
        <v>TJ / gads</v>
      </c>
      <c r="I333" s="940" t="str">
        <f>IF(ISBLANK(E_EnergyFlows!I181),"",E_EnergyFlows!I181)</f>
        <v/>
      </c>
      <c r="J333" s="700" t="str">
        <f>IF(ISBLANK(E_EnergyFlows!J181),"",E_EnergyFlows!J181)</f>
        <v/>
      </c>
      <c r="K333" s="700" t="str">
        <f>IF(ISBLANK(E_EnergyFlows!K181),"",E_EnergyFlows!K181)</f>
        <v/>
      </c>
      <c r="L333" s="700" t="str">
        <f>IF(ISBLANK(E_EnergyFlows!L181),"",E_EnergyFlows!L181)</f>
        <v/>
      </c>
      <c r="M333" s="700" t="str">
        <f>IF(ISBLANK(E_EnergyFlows!M181),"",E_EnergyFlows!M181)</f>
        <v/>
      </c>
      <c r="N333" s="25"/>
      <c r="O333" s="25"/>
      <c r="P333" s="445"/>
      <c r="Q333" s="445"/>
      <c r="R333" s="445"/>
      <c r="S333" s="445"/>
      <c r="T333" s="437"/>
    </row>
    <row r="334" spans="1:20" x14ac:dyDescent="0.2">
      <c r="A334" s="445"/>
      <c r="B334" s="38"/>
      <c r="C334" s="212"/>
      <c r="D334" s="212"/>
      <c r="E334" s="1574" t="str">
        <f>E_EnergyFlows!E182</f>
        <v>Kopējais uz ETS iekārtām eksportētais siltums</v>
      </c>
      <c r="F334" s="1574"/>
      <c r="G334" s="1574"/>
      <c r="H334" s="69" t="str">
        <f>E_EnergyFlows!H182</f>
        <v>TJ / gads</v>
      </c>
      <c r="I334" s="943" t="str">
        <f>E_EnergyFlows!I182</f>
        <v/>
      </c>
      <c r="J334" s="326" t="str">
        <f>E_EnergyFlows!J182</f>
        <v/>
      </c>
      <c r="K334" s="326" t="str">
        <f>E_EnergyFlows!K182</f>
        <v/>
      </c>
      <c r="L334" s="326" t="str">
        <f>E_EnergyFlows!L182</f>
        <v/>
      </c>
      <c r="M334" s="326" t="str">
        <f>E_EnergyFlows!M182</f>
        <v/>
      </c>
      <c r="N334" s="25"/>
      <c r="O334" s="25"/>
      <c r="P334" s="445"/>
      <c r="Q334" s="445"/>
      <c r="R334" s="445"/>
      <c r="S334" s="445"/>
      <c r="T334" s="437"/>
    </row>
    <row r="335" spans="1:20" ht="5.0999999999999996" customHeight="1" x14ac:dyDescent="0.2">
      <c r="A335" s="445"/>
      <c r="B335" s="21"/>
      <c r="C335" s="21"/>
      <c r="D335" s="21"/>
      <c r="E335" s="21"/>
      <c r="F335" s="21"/>
      <c r="G335" s="21"/>
      <c r="H335" s="21"/>
      <c r="I335" s="21"/>
      <c r="J335" s="21"/>
      <c r="K335" s="21"/>
      <c r="L335" s="21"/>
      <c r="M335" s="21"/>
      <c r="N335" s="21"/>
      <c r="O335" s="25"/>
      <c r="P335" s="624"/>
      <c r="Q335" s="445"/>
      <c r="R335" s="445"/>
      <c r="S335" s="445"/>
      <c r="T335" s="437"/>
    </row>
    <row r="336" spans="1:20" x14ac:dyDescent="0.2">
      <c r="A336" s="445"/>
      <c r="B336" s="21"/>
      <c r="C336" s="32"/>
      <c r="D336" s="32" t="str">
        <f>E_EnergyFlows!D186</f>
        <v>(j)</v>
      </c>
      <c r="E336" s="1557" t="str">
        <f>E_EnergyFlows!E186</f>
        <v>Starpsumma: atlikušais kopējais izmērāmais siltums, kas potenciāli pieder pie siltuma līmeņatzīmes apakšiekārtām (=e-g-h-i):</v>
      </c>
      <c r="F336" s="1558"/>
      <c r="G336" s="1558"/>
      <c r="H336" s="1558"/>
      <c r="I336" s="1558"/>
      <c r="J336" s="1558"/>
      <c r="K336" s="1558"/>
      <c r="L336" s="1558"/>
      <c r="M336" s="1558"/>
      <c r="N336" s="1558"/>
      <c r="O336" s="25"/>
      <c r="P336" s="624"/>
      <c r="Q336" s="445"/>
      <c r="R336" s="445"/>
      <c r="S336" s="445"/>
      <c r="T336" s="437"/>
    </row>
    <row r="337" spans="1:20" ht="5.0999999999999996" customHeight="1" x14ac:dyDescent="0.2">
      <c r="A337" s="445"/>
      <c r="B337" s="21"/>
      <c r="C337" s="21"/>
      <c r="D337" s="21"/>
      <c r="E337" s="21"/>
      <c r="F337" s="21"/>
      <c r="G337" s="21"/>
      <c r="H337" s="21"/>
      <c r="I337" s="21"/>
      <c r="J337" s="21"/>
      <c r="K337" s="21"/>
      <c r="L337" s="21"/>
      <c r="M337" s="21"/>
      <c r="N337" s="21"/>
      <c r="O337" s="25"/>
      <c r="P337" s="624"/>
      <c r="Q337" s="445"/>
      <c r="R337" s="445"/>
      <c r="S337" s="445"/>
      <c r="T337" s="437"/>
    </row>
    <row r="338" spans="1:20" x14ac:dyDescent="0.2">
      <c r="A338" s="445"/>
      <c r="B338" s="38"/>
      <c r="C338" s="38"/>
      <c r="D338" s="38"/>
      <c r="E338" s="43"/>
      <c r="F338" s="40"/>
      <c r="G338" s="40"/>
      <c r="H338" s="52" t="str">
        <f>E_EnergyFlows!H188</f>
        <v>Vienība</v>
      </c>
      <c r="I338" s="412">
        <f>E_EnergyFlows!I188</f>
        <v>2019</v>
      </c>
      <c r="J338" s="412">
        <f>E_EnergyFlows!J188</f>
        <v>2020</v>
      </c>
      <c r="K338" s="412">
        <f>E_EnergyFlows!K188</f>
        <v>2021</v>
      </c>
      <c r="L338" s="412">
        <f>E_EnergyFlows!L188</f>
        <v>2022</v>
      </c>
      <c r="M338" s="412">
        <f>E_EnergyFlows!M188</f>
        <v>2023</v>
      </c>
      <c r="N338" s="25"/>
      <c r="O338" s="25"/>
      <c r="P338" s="445"/>
      <c r="Q338" s="445"/>
      <c r="R338" s="445"/>
      <c r="S338" s="445"/>
      <c r="T338" s="437"/>
    </row>
    <row r="339" spans="1:20" x14ac:dyDescent="0.2">
      <c r="A339" s="445"/>
      <c r="B339" s="38"/>
      <c r="C339" s="212"/>
      <c r="D339" s="212"/>
      <c r="E339" s="1554" t="str">
        <f>E_EnergyFlows!E189</f>
        <v>Starpsumma:</v>
      </c>
      <c r="F339" s="1555"/>
      <c r="G339" s="1555"/>
      <c r="H339" s="70" t="str">
        <f>E_EnergyFlows!H189</f>
        <v>TJ / gads</v>
      </c>
      <c r="I339" s="937" t="str">
        <f>E_EnergyFlows!I189</f>
        <v/>
      </c>
      <c r="J339" s="328" t="str">
        <f>E_EnergyFlows!J189</f>
        <v/>
      </c>
      <c r="K339" s="328" t="str">
        <f>E_EnergyFlows!K189</f>
        <v/>
      </c>
      <c r="L339" s="328" t="str">
        <f>E_EnergyFlows!L189</f>
        <v/>
      </c>
      <c r="M339" s="328" t="str">
        <f>E_EnergyFlows!M189</f>
        <v/>
      </c>
      <c r="N339" s="25"/>
      <c r="O339" s="25"/>
      <c r="P339" s="445"/>
      <c r="Q339" s="445"/>
      <c r="R339" s="445"/>
      <c r="S339" s="445"/>
      <c r="T339" s="437"/>
    </row>
    <row r="340" spans="1:20" ht="5.0999999999999996" customHeight="1" x14ac:dyDescent="0.2">
      <c r="A340" s="445"/>
      <c r="B340" s="21"/>
      <c r="C340" s="21"/>
      <c r="D340" s="21"/>
      <c r="E340" s="21"/>
      <c r="F340" s="21"/>
      <c r="G340" s="21"/>
      <c r="H340" s="21"/>
      <c r="I340" s="21"/>
      <c r="J340" s="21"/>
      <c r="K340" s="21"/>
      <c r="L340" s="21"/>
      <c r="M340" s="21"/>
      <c r="N340" s="21"/>
      <c r="O340" s="25"/>
      <c r="P340" s="624"/>
      <c r="Q340" s="445"/>
      <c r="R340" s="445"/>
      <c r="S340" s="445"/>
      <c r="T340" s="437"/>
    </row>
    <row r="341" spans="1:20" x14ac:dyDescent="0.2">
      <c r="A341" s="445"/>
      <c r="B341" s="38"/>
      <c r="C341" s="212"/>
      <c r="D341" s="212"/>
      <c r="E341" s="1585" t="str">
        <f>E_EnergyFlows!E193</f>
        <v>Pēc izcelsmes kvalificējas:</v>
      </c>
      <c r="F341" s="1586"/>
      <c r="G341" s="1586"/>
      <c r="H341" s="55" t="str">
        <f>E_EnergyFlows!H193</f>
        <v>TJ / gads</v>
      </c>
      <c r="I341" s="938" t="str">
        <f>E_EnergyFlows!I193</f>
        <v/>
      </c>
      <c r="J341" s="344" t="str">
        <f>E_EnergyFlows!J193</f>
        <v/>
      </c>
      <c r="K341" s="344" t="str">
        <f>E_EnergyFlows!K193</f>
        <v/>
      </c>
      <c r="L341" s="344" t="str">
        <f>E_EnergyFlows!L193</f>
        <v/>
      </c>
      <c r="M341" s="344" t="str">
        <f>E_EnergyFlows!M193</f>
        <v/>
      </c>
      <c r="N341" s="44"/>
      <c r="O341" s="25"/>
      <c r="P341" s="445"/>
      <c r="Q341" s="445"/>
      <c r="R341" s="445"/>
      <c r="S341" s="445"/>
      <c r="T341" s="437"/>
    </row>
    <row r="342" spans="1:20" x14ac:dyDescent="0.2">
      <c r="A342" s="445"/>
      <c r="B342" s="38"/>
      <c r="C342" s="212"/>
      <c r="D342" s="212"/>
      <c r="E342" s="1607" t="str">
        <f>E_EnergyFlows!E194</f>
        <v>Pēc izcelsmes nekvalificējas:</v>
      </c>
      <c r="F342" s="1608"/>
      <c r="G342" s="1608"/>
      <c r="H342" s="59" t="str">
        <f>E_EnergyFlows!H194</f>
        <v>TJ / gads</v>
      </c>
      <c r="I342" s="940" t="str">
        <f>E_EnergyFlows!I194</f>
        <v/>
      </c>
      <c r="J342" s="343" t="str">
        <f>E_EnergyFlows!J194</f>
        <v/>
      </c>
      <c r="K342" s="343" t="str">
        <f>E_EnergyFlows!K194</f>
        <v/>
      </c>
      <c r="L342" s="343" t="str">
        <f>E_EnergyFlows!L194</f>
        <v/>
      </c>
      <c r="M342" s="343" t="str">
        <f>E_EnergyFlows!M194</f>
        <v/>
      </c>
      <c r="N342" s="25"/>
      <c r="O342" s="25"/>
      <c r="P342" s="445"/>
      <c r="Q342" s="445"/>
      <c r="R342" s="445"/>
      <c r="S342" s="445"/>
      <c r="T342" s="437"/>
    </row>
    <row r="343" spans="1:20" ht="5.0999999999999996" customHeight="1" x14ac:dyDescent="0.2">
      <c r="A343" s="445"/>
      <c r="B343" s="38"/>
      <c r="C343" s="38"/>
      <c r="D343" s="38"/>
      <c r="E343" s="38"/>
      <c r="F343" s="38"/>
      <c r="G343" s="38"/>
      <c r="H343" s="38"/>
      <c r="I343" s="38"/>
      <c r="J343" s="38"/>
      <c r="K343" s="38"/>
      <c r="L343" s="38"/>
      <c r="M343" s="38"/>
      <c r="N343" s="38"/>
      <c r="O343" s="25"/>
      <c r="P343" s="445"/>
      <c r="Q343" s="445"/>
      <c r="R343" s="445"/>
      <c r="S343" s="445"/>
      <c r="T343" s="437"/>
    </row>
    <row r="344" spans="1:20" x14ac:dyDescent="0.2">
      <c r="A344" s="445"/>
      <c r="B344" s="21"/>
      <c r="C344" s="32"/>
      <c r="D344" s="32" t="str">
        <f>E_EnergyFlows!D196</f>
        <v>(k)</v>
      </c>
      <c r="E344" s="1568" t="str">
        <f>E_EnergyFlows!E196</f>
        <v>j) punktā aprēķinātā atlikušā siltuma kvalificējamības attiecība:</v>
      </c>
      <c r="F344" s="1569"/>
      <c r="G344" s="1569"/>
      <c r="H344" s="1569"/>
      <c r="I344" s="1569"/>
      <c r="J344" s="1569"/>
      <c r="K344" s="1569"/>
      <c r="L344" s="1569"/>
      <c r="M344" s="1569"/>
      <c r="N344" s="1569"/>
      <c r="O344" s="25"/>
      <c r="P344" s="624"/>
      <c r="Q344" s="445"/>
      <c r="R344" s="445"/>
      <c r="S344" s="445"/>
      <c r="T344" s="437"/>
    </row>
    <row r="345" spans="1:20" x14ac:dyDescent="0.2">
      <c r="A345" s="445"/>
      <c r="B345" s="38"/>
      <c r="C345" s="212"/>
      <c r="D345" s="212"/>
      <c r="E345" s="1606" t="str">
        <f>E_EnergyFlows!E197</f>
        <v>koriģētā kvalificējamības attiecība (=(j).ii / (j).i):</v>
      </c>
      <c r="F345" s="1606"/>
      <c r="G345" s="1606"/>
      <c r="H345" s="609" t="str">
        <f>E_EnergyFlows!H197</f>
        <v>%</v>
      </c>
      <c r="I345" s="944" t="str">
        <f>E_EnergyFlows!I197</f>
        <v/>
      </c>
      <c r="J345" s="324" t="str">
        <f>E_EnergyFlows!J197</f>
        <v/>
      </c>
      <c r="K345" s="324" t="str">
        <f>E_EnergyFlows!K197</f>
        <v/>
      </c>
      <c r="L345" s="324" t="str">
        <f>E_EnergyFlows!L197</f>
        <v/>
      </c>
      <c r="M345" s="324" t="str">
        <f>E_EnergyFlows!M197</f>
        <v/>
      </c>
      <c r="N345" s="44"/>
      <c r="O345" s="25"/>
      <c r="P345" s="445"/>
      <c r="Q345" s="445"/>
      <c r="R345" s="445"/>
      <c r="S345" s="445"/>
      <c r="T345" s="437"/>
    </row>
    <row r="346" spans="1:20" ht="5.0999999999999996" customHeight="1" x14ac:dyDescent="0.2">
      <c r="A346" s="445"/>
      <c r="B346" s="21"/>
      <c r="C346" s="21"/>
      <c r="D346" s="21"/>
      <c r="E346" s="21"/>
      <c r="F346" s="21"/>
      <c r="G346" s="21"/>
      <c r="H346" s="21"/>
      <c r="I346" s="21"/>
      <c r="J346" s="21"/>
      <c r="K346" s="21"/>
      <c r="L346" s="21"/>
      <c r="M346" s="21"/>
      <c r="N346" s="21"/>
      <c r="O346" s="25"/>
      <c r="P346" s="624"/>
      <c r="Q346" s="445"/>
      <c r="R346" s="445"/>
      <c r="S346" s="445"/>
      <c r="T346" s="437"/>
    </row>
    <row r="347" spans="1:20" x14ac:dyDescent="0.2">
      <c r="A347" s="445"/>
      <c r="B347" s="21"/>
      <c r="C347" s="32"/>
      <c r="D347" s="32" t="str">
        <f>E_EnergyFlows!D199</f>
        <v>(l)</v>
      </c>
      <c r="E347" s="1557" t="str">
        <f>E_EnergyFlows!E199</f>
        <v>Izmērāmā siltuma neto daudzums, kas patērēts iekārtā un izmantots mērķiem, kuri kvalificējas siltuma līmeņatzīmei:</v>
      </c>
      <c r="F347" s="1558"/>
      <c r="G347" s="1558"/>
      <c r="H347" s="1558"/>
      <c r="I347" s="1558"/>
      <c r="J347" s="1558"/>
      <c r="K347" s="1558"/>
      <c r="L347" s="1558"/>
      <c r="M347" s="1558"/>
      <c r="N347" s="1558"/>
      <c r="O347" s="25"/>
      <c r="P347" s="624"/>
      <c r="Q347" s="445"/>
      <c r="R347" s="445"/>
      <c r="S347" s="445"/>
      <c r="T347" s="437"/>
    </row>
    <row r="348" spans="1:20" x14ac:dyDescent="0.2">
      <c r="A348" s="445"/>
      <c r="B348" s="38"/>
      <c r="C348" s="38"/>
      <c r="D348" s="38"/>
      <c r="E348" s="1554" t="str">
        <f>E_EnergyFlows!E201</f>
        <v>Iekārtā patērētais siltums</v>
      </c>
      <c r="F348" s="1555"/>
      <c r="G348" s="1555"/>
      <c r="H348" s="70" t="str">
        <f>E_EnergyFlows!H201</f>
        <v>TJ / gads</v>
      </c>
      <c r="I348" s="937" t="str">
        <f>IF(ISBLANK(E_EnergyFlows!I201),"",E_EnergyFlows!I201)</f>
        <v/>
      </c>
      <c r="J348" s="448" t="str">
        <f>IF(ISBLANK(E_EnergyFlows!J201),"",E_EnergyFlows!J201)</f>
        <v/>
      </c>
      <c r="K348" s="448" t="str">
        <f>IF(ISBLANK(E_EnergyFlows!K201),"",E_EnergyFlows!K201)</f>
        <v/>
      </c>
      <c r="L348" s="448" t="str">
        <f>IF(ISBLANK(E_EnergyFlows!L201),"",E_EnergyFlows!L201)</f>
        <v/>
      </c>
      <c r="M348" s="448" t="str">
        <f>IF(ISBLANK(E_EnergyFlows!M201),"",E_EnergyFlows!M201)</f>
        <v/>
      </c>
      <c r="N348" s="44"/>
      <c r="O348" s="25"/>
      <c r="P348" s="445"/>
      <c r="Q348" s="445"/>
      <c r="R348" s="445"/>
      <c r="S348" s="445"/>
      <c r="T348" s="437"/>
    </row>
    <row r="349" spans="1:20" ht="5.0999999999999996" customHeight="1" x14ac:dyDescent="0.2">
      <c r="A349" s="445"/>
      <c r="B349" s="21"/>
      <c r="C349" s="21"/>
      <c r="D349" s="21"/>
      <c r="E349" s="21"/>
      <c r="F349" s="21"/>
      <c r="G349" s="21"/>
      <c r="H349" s="21"/>
      <c r="I349" s="21"/>
      <c r="J349" s="21"/>
      <c r="K349" s="21"/>
      <c r="L349" s="21"/>
      <c r="M349" s="21"/>
      <c r="N349" s="21"/>
      <c r="O349" s="25"/>
      <c r="P349" s="624"/>
      <c r="Q349" s="445"/>
      <c r="R349" s="445"/>
      <c r="S349" s="445"/>
      <c r="T349" s="437"/>
    </row>
    <row r="350" spans="1:20" x14ac:dyDescent="0.2">
      <c r="A350" s="445"/>
      <c r="B350" s="38"/>
      <c r="C350" s="32"/>
      <c r="D350" s="32" t="str">
        <f>E_EnergyFlows!D203</f>
        <v>(m)</v>
      </c>
      <c r="E350" s="1575" t="str">
        <f>E_EnergyFlows!E203</f>
        <v>Siltums, kas eksportēts uz ES ETS neaptvertām iekārtām vai vienībām (piemēram, centralizētās siltumapgādes tīkliem):</v>
      </c>
      <c r="F350" s="1558"/>
      <c r="G350" s="1558"/>
      <c r="H350" s="1558"/>
      <c r="I350" s="1558"/>
      <c r="J350" s="1558"/>
      <c r="K350" s="1558"/>
      <c r="L350" s="1558"/>
      <c r="M350" s="1558"/>
      <c r="N350" s="1558"/>
      <c r="O350" s="25"/>
      <c r="P350" s="445"/>
      <c r="Q350" s="445"/>
      <c r="R350" s="445"/>
      <c r="S350" s="445"/>
      <c r="T350" s="437"/>
    </row>
    <row r="351" spans="1:20" x14ac:dyDescent="0.2">
      <c r="A351" s="445"/>
      <c r="B351" s="38"/>
      <c r="C351" s="38"/>
      <c r="D351" s="38"/>
      <c r="E351" s="1570" t="str">
        <f>E_EnergyFlows!E206</f>
        <v>Saņēmējas vienības vai iekārtas nosaukums</v>
      </c>
      <c r="F351" s="1573"/>
      <c r="G351" s="1573"/>
      <c r="H351" s="52" t="str">
        <f>E_EnergyFlows!H206</f>
        <v>Vienība</v>
      </c>
      <c r="I351" s="447">
        <f>E_EnergyFlows!I206</f>
        <v>2019</v>
      </c>
      <c r="J351" s="447">
        <f>E_EnergyFlows!J206</f>
        <v>2020</v>
      </c>
      <c r="K351" s="447">
        <f>E_EnergyFlows!K206</f>
        <v>2021</v>
      </c>
      <c r="L351" s="447">
        <f>E_EnergyFlows!L206</f>
        <v>2022</v>
      </c>
      <c r="M351" s="447">
        <f>E_EnergyFlows!M206</f>
        <v>2023</v>
      </c>
      <c r="N351" s="21"/>
      <c r="O351" s="25"/>
      <c r="P351" s="445"/>
      <c r="Q351" s="445"/>
      <c r="R351" s="445"/>
      <c r="S351" s="445"/>
      <c r="T351" s="437"/>
    </row>
    <row r="352" spans="1:20" x14ac:dyDescent="0.2">
      <c r="A352" s="445"/>
      <c r="B352" s="38"/>
      <c r="C352" s="212"/>
      <c r="D352" s="212"/>
      <c r="E352" s="1900" t="str">
        <f>IF(ISBLANK(E_EnergyFlows!E207),"",E_EnergyFlows!E207)</f>
        <v/>
      </c>
      <c r="F352" s="1900"/>
      <c r="G352" s="1900"/>
      <c r="H352" s="56" t="str">
        <f>E_EnergyFlows!H207</f>
        <v>TJ / gads</v>
      </c>
      <c r="I352" s="942" t="str">
        <f>IF(ISBLANK(E_EnergyFlows!I207),"",E_EnergyFlows!I207)</f>
        <v/>
      </c>
      <c r="J352" s="852" t="str">
        <f>IF(ISBLANK(E_EnergyFlows!J207),"",E_EnergyFlows!J207)</f>
        <v/>
      </c>
      <c r="K352" s="852" t="str">
        <f>IF(ISBLANK(E_EnergyFlows!K207),"",E_EnergyFlows!K207)</f>
        <v/>
      </c>
      <c r="L352" s="852" t="str">
        <f>IF(ISBLANK(E_EnergyFlows!L207),"",E_EnergyFlows!L207)</f>
        <v/>
      </c>
      <c r="M352" s="852" t="str">
        <f>IF(ISBLANK(E_EnergyFlows!M207),"",E_EnergyFlows!M207)</f>
        <v/>
      </c>
      <c r="N352" s="25"/>
      <c r="O352" s="25"/>
      <c r="P352" s="445"/>
      <c r="Q352" s="445"/>
      <c r="R352" s="445"/>
      <c r="S352" s="445"/>
      <c r="T352" s="437"/>
    </row>
    <row r="353" spans="1:20" x14ac:dyDescent="0.2">
      <c r="A353" s="445"/>
      <c r="B353" s="38"/>
      <c r="C353" s="212"/>
      <c r="D353" s="212"/>
      <c r="E353" s="1901" t="str">
        <f>IF(ISBLANK(E_EnergyFlows!E208),"",E_EnergyFlows!E208)</f>
        <v/>
      </c>
      <c r="F353" s="1901"/>
      <c r="G353" s="1901"/>
      <c r="H353" s="56" t="str">
        <f>E_EnergyFlows!H208</f>
        <v>TJ / gads</v>
      </c>
      <c r="I353" s="939" t="str">
        <f>IF(ISBLANK(E_EnergyFlows!I208),"",E_EnergyFlows!I208)</f>
        <v/>
      </c>
      <c r="J353" s="521" t="str">
        <f>IF(ISBLANK(E_EnergyFlows!J208),"",E_EnergyFlows!J208)</f>
        <v/>
      </c>
      <c r="K353" s="521" t="str">
        <f>IF(ISBLANK(E_EnergyFlows!K208),"",E_EnergyFlows!K208)</f>
        <v/>
      </c>
      <c r="L353" s="521" t="str">
        <f>IF(ISBLANK(E_EnergyFlows!L208),"",E_EnergyFlows!L208)</f>
        <v/>
      </c>
      <c r="M353" s="521" t="str">
        <f>IF(ISBLANK(E_EnergyFlows!M208),"",E_EnergyFlows!M208)</f>
        <v/>
      </c>
      <c r="N353" s="25"/>
      <c r="O353" s="25"/>
      <c r="P353" s="445"/>
      <c r="Q353" s="445"/>
      <c r="R353" s="445"/>
      <c r="S353" s="445"/>
      <c r="T353" s="437"/>
    </row>
    <row r="354" spans="1:20" x14ac:dyDescent="0.2">
      <c r="A354" s="445"/>
      <c r="B354" s="38"/>
      <c r="C354" s="212"/>
      <c r="D354" s="212"/>
      <c r="E354" s="1901" t="str">
        <f>IF(ISBLANK(E_EnergyFlows!E209),"",E_EnergyFlows!E209)</f>
        <v/>
      </c>
      <c r="F354" s="1901"/>
      <c r="G354" s="1901"/>
      <c r="H354" s="56" t="str">
        <f>E_EnergyFlows!H209</f>
        <v>TJ / gads</v>
      </c>
      <c r="I354" s="939" t="str">
        <f>IF(ISBLANK(E_EnergyFlows!I209),"",E_EnergyFlows!I209)</f>
        <v/>
      </c>
      <c r="J354" s="521" t="str">
        <f>IF(ISBLANK(E_EnergyFlows!J209),"",E_EnergyFlows!J209)</f>
        <v/>
      </c>
      <c r="K354" s="521" t="str">
        <f>IF(ISBLANK(E_EnergyFlows!K209),"",E_EnergyFlows!K209)</f>
        <v/>
      </c>
      <c r="L354" s="521" t="str">
        <f>IF(ISBLANK(E_EnergyFlows!L209),"",E_EnergyFlows!L209)</f>
        <v/>
      </c>
      <c r="M354" s="521" t="str">
        <f>IF(ISBLANK(E_EnergyFlows!M209),"",E_EnergyFlows!M209)</f>
        <v/>
      </c>
      <c r="N354" s="25"/>
      <c r="O354" s="25"/>
      <c r="P354" s="445"/>
      <c r="Q354" s="445"/>
      <c r="R354" s="445"/>
      <c r="S354" s="445"/>
      <c r="T354" s="437"/>
    </row>
    <row r="355" spans="1:20" x14ac:dyDescent="0.2">
      <c r="A355" s="445"/>
      <c r="B355" s="38"/>
      <c r="C355" s="212"/>
      <c r="D355" s="212"/>
      <c r="E355" s="1901" t="str">
        <f>IF(ISBLANK(E_EnergyFlows!E210),"",E_EnergyFlows!E210)</f>
        <v/>
      </c>
      <c r="F355" s="1901"/>
      <c r="G355" s="1901"/>
      <c r="H355" s="56" t="str">
        <f>E_EnergyFlows!H210</f>
        <v>TJ / gads</v>
      </c>
      <c r="I355" s="939" t="str">
        <f>IF(ISBLANK(E_EnergyFlows!I210),"",E_EnergyFlows!I210)</f>
        <v/>
      </c>
      <c r="J355" s="521" t="str">
        <f>IF(ISBLANK(E_EnergyFlows!J210),"",E_EnergyFlows!J210)</f>
        <v/>
      </c>
      <c r="K355" s="521" t="str">
        <f>IF(ISBLANK(E_EnergyFlows!K210),"",E_EnergyFlows!K210)</f>
        <v/>
      </c>
      <c r="L355" s="521" t="str">
        <f>IF(ISBLANK(E_EnergyFlows!L210),"",E_EnergyFlows!L210)</f>
        <v/>
      </c>
      <c r="M355" s="521" t="str">
        <f>IF(ISBLANK(E_EnergyFlows!M210),"",E_EnergyFlows!M210)</f>
        <v/>
      </c>
      <c r="N355" s="25"/>
      <c r="O355" s="25"/>
      <c r="P355" s="445"/>
      <c r="Q355" s="445"/>
      <c r="R355" s="445"/>
      <c r="S355" s="445"/>
      <c r="T355" s="437"/>
    </row>
    <row r="356" spans="1:20" x14ac:dyDescent="0.2">
      <c r="A356" s="445"/>
      <c r="B356" s="38"/>
      <c r="C356" s="212"/>
      <c r="D356" s="212"/>
      <c r="E356" s="1902" t="str">
        <f>IF(ISBLANK(E_EnergyFlows!E211),"",E_EnergyFlows!E211)</f>
        <v/>
      </c>
      <c r="F356" s="1902"/>
      <c r="G356" s="1902"/>
      <c r="H356" s="59" t="str">
        <f>E_EnergyFlows!H211</f>
        <v>TJ / gads</v>
      </c>
      <c r="I356" s="940" t="str">
        <f>IF(ISBLANK(E_EnergyFlows!I211),"",E_EnergyFlows!I211)</f>
        <v/>
      </c>
      <c r="J356" s="700" t="str">
        <f>IF(ISBLANK(E_EnergyFlows!J211),"",E_EnergyFlows!J211)</f>
        <v/>
      </c>
      <c r="K356" s="700" t="str">
        <f>IF(ISBLANK(E_EnergyFlows!K211),"",E_EnergyFlows!K211)</f>
        <v/>
      </c>
      <c r="L356" s="700" t="str">
        <f>IF(ISBLANK(E_EnergyFlows!L211),"",E_EnergyFlows!L211)</f>
        <v/>
      </c>
      <c r="M356" s="700" t="str">
        <f>IF(ISBLANK(E_EnergyFlows!M211),"",E_EnergyFlows!M211)</f>
        <v/>
      </c>
      <c r="N356" s="25"/>
      <c r="O356" s="25"/>
      <c r="P356" s="445"/>
      <c r="Q356" s="445"/>
      <c r="R356" s="445"/>
      <c r="S356" s="445"/>
      <c r="T356" s="437"/>
    </row>
    <row r="357" spans="1:20" x14ac:dyDescent="0.2">
      <c r="A357" s="445"/>
      <c r="B357" s="38"/>
      <c r="C357" s="212"/>
      <c r="D357" s="212"/>
      <c r="E357" s="1574" t="str">
        <f>E_EnergyFlows!E212</f>
        <v>Kopējais uz ES ETS neaptvertām iekārtām vai vienībām eksportētais siltums:</v>
      </c>
      <c r="F357" s="1574"/>
      <c r="G357" s="1574"/>
      <c r="H357" s="69" t="str">
        <f>E_EnergyFlows!H212</f>
        <v>TJ / gads</v>
      </c>
      <c r="I357" s="326" t="str">
        <f>E_EnergyFlows!I212</f>
        <v/>
      </c>
      <c r="J357" s="326" t="str">
        <f>E_EnergyFlows!J212</f>
        <v/>
      </c>
      <c r="K357" s="326" t="str">
        <f>E_EnergyFlows!K212</f>
        <v/>
      </c>
      <c r="L357" s="326" t="str">
        <f>E_EnergyFlows!L212</f>
        <v/>
      </c>
      <c r="M357" s="326" t="str">
        <f>E_EnergyFlows!M212</f>
        <v/>
      </c>
      <c r="N357" s="25"/>
      <c r="O357" s="25"/>
      <c r="P357" s="445"/>
      <c r="Q357" s="445"/>
      <c r="R357" s="445"/>
      <c r="S357" s="445"/>
      <c r="T357" s="437"/>
    </row>
    <row r="358" spans="1:20" ht="5.0999999999999996" customHeight="1" x14ac:dyDescent="0.2">
      <c r="A358" s="445"/>
      <c r="B358" s="21"/>
      <c r="C358" s="21"/>
      <c r="D358" s="21"/>
      <c r="E358" s="21"/>
      <c r="F358" s="21"/>
      <c r="G358" s="21"/>
      <c r="H358" s="21"/>
      <c r="I358" s="21"/>
      <c r="J358" s="21"/>
      <c r="K358" s="21"/>
      <c r="L358" s="21"/>
      <c r="M358" s="21"/>
      <c r="N358" s="21"/>
      <c r="O358" s="25"/>
      <c r="P358" s="624"/>
      <c r="Q358" s="445"/>
      <c r="R358" s="445"/>
      <c r="S358" s="445"/>
      <c r="T358" s="437"/>
    </row>
    <row r="359" spans="1:20" x14ac:dyDescent="0.2">
      <c r="A359" s="445"/>
      <c r="B359" s="38"/>
      <c r="C359" s="32"/>
      <c r="D359" s="32" t="str">
        <f>E_EnergyFlows!D214</f>
        <v>(n)</v>
      </c>
      <c r="E359" s="1575" t="str">
        <f>E_EnergyFlows!E214</f>
        <v>Siltuma zudumi (=j-l-m)</v>
      </c>
      <c r="F359" s="1558"/>
      <c r="G359" s="1558"/>
      <c r="H359" s="1558"/>
      <c r="I359" s="1558"/>
      <c r="J359" s="1558"/>
      <c r="K359" s="1558"/>
      <c r="L359" s="1558"/>
      <c r="M359" s="1558"/>
      <c r="N359" s="1558"/>
      <c r="O359" s="25"/>
      <c r="P359" s="445"/>
      <c r="Q359" s="445"/>
      <c r="R359" s="445"/>
      <c r="S359" s="445"/>
      <c r="T359" s="437"/>
    </row>
    <row r="360" spans="1:20" x14ac:dyDescent="0.2">
      <c r="A360" s="445"/>
      <c r="B360" s="38"/>
      <c r="C360" s="38"/>
      <c r="D360" s="38"/>
      <c r="E360" s="43"/>
      <c r="F360" s="40"/>
      <c r="G360" s="40"/>
      <c r="H360" s="52" t="str">
        <f>E_EnergyFlows!H217</f>
        <v>Vienība</v>
      </c>
      <c r="I360" s="412">
        <f>E_EnergyFlows!I217</f>
        <v>2019</v>
      </c>
      <c r="J360" s="412">
        <f>E_EnergyFlows!J217</f>
        <v>2020</v>
      </c>
      <c r="K360" s="412">
        <f>E_EnergyFlows!K217</f>
        <v>2021</v>
      </c>
      <c r="L360" s="412">
        <f>E_EnergyFlows!L217</f>
        <v>2022</v>
      </c>
      <c r="M360" s="412">
        <f>E_EnergyFlows!M217</f>
        <v>2023</v>
      </c>
      <c r="N360" s="25"/>
      <c r="O360" s="25"/>
      <c r="P360" s="445"/>
      <c r="Q360" s="445"/>
      <c r="R360" s="445"/>
      <c r="S360" s="445"/>
      <c r="T360" s="437"/>
    </row>
    <row r="361" spans="1:20" x14ac:dyDescent="0.2">
      <c r="A361" s="445"/>
      <c r="B361" s="38"/>
      <c r="C361" s="38"/>
      <c r="D361" s="212"/>
      <c r="E361" s="1554" t="str">
        <f>E_EnergyFlows!E218</f>
        <v>Siltuma zudumi (aprēķinātie)</v>
      </c>
      <c r="F361" s="1555"/>
      <c r="G361" s="1555"/>
      <c r="H361" s="70" t="str">
        <f>E_EnergyFlows!H218</f>
        <v>TJ / gads</v>
      </c>
      <c r="I361" s="328" t="str">
        <f>E_EnergyFlows!I218</f>
        <v/>
      </c>
      <c r="J361" s="328" t="str">
        <f>E_EnergyFlows!J218</f>
        <v/>
      </c>
      <c r="K361" s="328" t="str">
        <f>E_EnergyFlows!K218</f>
        <v/>
      </c>
      <c r="L361" s="328" t="str">
        <f>E_EnergyFlows!L218</f>
        <v/>
      </c>
      <c r="M361" s="328" t="str">
        <f>E_EnergyFlows!M218</f>
        <v/>
      </c>
      <c r="N361" s="25"/>
      <c r="O361" s="25"/>
      <c r="P361" s="445"/>
      <c r="Q361" s="445"/>
      <c r="R361" s="445"/>
      <c r="S361" s="445"/>
      <c r="T361" s="437"/>
    </row>
    <row r="362" spans="1:20" x14ac:dyDescent="0.2">
      <c r="A362" s="445"/>
      <c r="B362" s="38"/>
      <c r="C362" s="38"/>
      <c r="D362" s="212"/>
      <c r="E362" s="1554" t="str">
        <f>E_EnergyFlows!E219</f>
        <v>Siltuma zudumi (daļa no pieejamā siltuma = e)</v>
      </c>
      <c r="F362" s="1555"/>
      <c r="G362" s="1555"/>
      <c r="H362" s="70" t="str">
        <f>E_EnergyFlows!H219</f>
        <v>%</v>
      </c>
      <c r="I362" s="328" t="str">
        <f>E_EnergyFlows!I219</f>
        <v/>
      </c>
      <c r="J362" s="328" t="str">
        <f>E_EnergyFlows!J219</f>
        <v/>
      </c>
      <c r="K362" s="328" t="str">
        <f>E_EnergyFlows!K219</f>
        <v/>
      </c>
      <c r="L362" s="328" t="str">
        <f>E_EnergyFlows!L219</f>
        <v/>
      </c>
      <c r="M362" s="328" t="str">
        <f>E_EnergyFlows!M219</f>
        <v/>
      </c>
      <c r="N362" s="25"/>
      <c r="O362" s="25"/>
      <c r="P362" s="445"/>
      <c r="Q362" s="445"/>
      <c r="R362" s="445"/>
      <c r="S362" s="445"/>
      <c r="T362" s="437"/>
    </row>
    <row r="363" spans="1:20" ht="5.0999999999999996" customHeight="1" x14ac:dyDescent="0.2">
      <c r="A363" s="445"/>
      <c r="B363" s="38"/>
      <c r="C363" s="38"/>
      <c r="D363" s="38"/>
      <c r="E363" s="38"/>
      <c r="F363" s="38"/>
      <c r="G363" s="38"/>
      <c r="H363" s="38"/>
      <c r="I363" s="38"/>
      <c r="J363" s="38"/>
      <c r="K363" s="38"/>
      <c r="L363" s="38"/>
      <c r="M363" s="38"/>
      <c r="N363" s="38"/>
      <c r="O363" s="25"/>
      <c r="P363" s="445"/>
      <c r="Q363" s="445"/>
      <c r="R363" s="445"/>
      <c r="S363" s="445"/>
      <c r="T363" s="437"/>
    </row>
    <row r="364" spans="1:20" x14ac:dyDescent="0.2">
      <c r="A364" s="445"/>
      <c r="B364" s="21"/>
      <c r="C364" s="32"/>
      <c r="D364" s="32" t="str">
        <f>E_EnergyFlows!D221</f>
        <v>(o)</v>
      </c>
      <c r="E364" s="1570" t="str">
        <f>E_EnergyFlows!E221</f>
        <v>Kopējais siltuma daudzums, kas potenciāli ir daļa no siltuma līmeņatzīmes vai centralizētās siltumapgādes apakšiekārtām (=l+m):</v>
      </c>
      <c r="F364" s="1573"/>
      <c r="G364" s="1573"/>
      <c r="H364" s="1573"/>
      <c r="I364" s="1573"/>
      <c r="J364" s="1573"/>
      <c r="K364" s="1573"/>
      <c r="L364" s="1573"/>
      <c r="M364" s="1573"/>
      <c r="N364" s="1569"/>
      <c r="O364" s="25"/>
      <c r="P364" s="624"/>
      <c r="Q364" s="445"/>
      <c r="R364" s="445"/>
      <c r="S364" s="445"/>
      <c r="T364" s="437"/>
    </row>
    <row r="365" spans="1:20" x14ac:dyDescent="0.2">
      <c r="A365" s="445"/>
      <c r="B365" s="38"/>
      <c r="C365" s="38"/>
      <c r="D365" s="38"/>
      <c r="E365" s="1554" t="str">
        <f>E_EnergyFlows!E222</f>
        <v>Siltuma līmeņatzīmes apakšiekārtās kopā:</v>
      </c>
      <c r="F365" s="1555"/>
      <c r="G365" s="1555"/>
      <c r="H365" s="70" t="str">
        <f>E_EnergyFlows!H222</f>
        <v>TJ / gads</v>
      </c>
      <c r="I365" s="937" t="str">
        <f>E_EnergyFlows!I222</f>
        <v/>
      </c>
      <c r="J365" s="328" t="str">
        <f>E_EnergyFlows!J222</f>
        <v/>
      </c>
      <c r="K365" s="328" t="str">
        <f>E_EnergyFlows!K222</f>
        <v/>
      </c>
      <c r="L365" s="328" t="str">
        <f>E_EnergyFlows!L222</f>
        <v/>
      </c>
      <c r="M365" s="328" t="str">
        <f>E_EnergyFlows!M222</f>
        <v/>
      </c>
      <c r="N365" s="44"/>
      <c r="O365" s="25"/>
      <c r="P365" s="445"/>
      <c r="Q365" s="445"/>
      <c r="R365" s="445"/>
      <c r="S365" s="445"/>
      <c r="T365" s="437"/>
    </row>
    <row r="366" spans="1:20" ht="5.0999999999999996" customHeight="1" x14ac:dyDescent="0.2">
      <c r="A366" s="445"/>
      <c r="B366" s="21"/>
      <c r="C366" s="21"/>
      <c r="D366" s="21"/>
      <c r="E366" s="21"/>
      <c r="F366" s="21"/>
      <c r="G366" s="21"/>
      <c r="H366" s="21"/>
      <c r="I366" s="21"/>
      <c r="J366" s="21"/>
      <c r="K366" s="21"/>
      <c r="L366" s="21"/>
      <c r="M366" s="21"/>
      <c r="N366" s="21"/>
      <c r="O366" s="25"/>
      <c r="P366" s="624"/>
      <c r="Q366" s="445"/>
      <c r="R366" s="445"/>
      <c r="S366" s="445"/>
      <c r="T366" s="437"/>
    </row>
    <row r="367" spans="1:20" x14ac:dyDescent="0.2">
      <c r="A367" s="445"/>
      <c r="B367" s="21"/>
      <c r="C367" s="32"/>
      <c r="D367" s="32" t="str">
        <f>E_EnergyFlows!D224</f>
        <v>(p)</v>
      </c>
      <c r="E367" s="1557" t="str">
        <f>E_EnergyFlows!E224</f>
        <v>Galīgais rezultāts: siltuma daudzums, kas attiecināms uz siltuma līmeņatzīmes vai centralizētās siltumapgādes apakšiekārtām</v>
      </c>
      <c r="F367" s="1558"/>
      <c r="G367" s="1558"/>
      <c r="H367" s="1558"/>
      <c r="I367" s="1558"/>
      <c r="J367" s="1558"/>
      <c r="K367" s="1558"/>
      <c r="L367" s="1558"/>
      <c r="M367" s="1558"/>
      <c r="N367" s="1558"/>
      <c r="O367" s="25"/>
      <c r="P367" s="624"/>
      <c r="Q367" s="445"/>
      <c r="R367" s="445"/>
      <c r="S367" s="445"/>
      <c r="T367" s="437"/>
    </row>
    <row r="368" spans="1:20" x14ac:dyDescent="0.2">
      <c r="A368" s="445"/>
      <c r="B368" s="38"/>
      <c r="C368" s="38"/>
      <c r="D368" s="38"/>
      <c r="E368" s="43"/>
      <c r="F368" s="40"/>
      <c r="G368" s="40"/>
      <c r="H368" s="52" t="str">
        <f>E_EnergyFlows!H227</f>
        <v>Vienība</v>
      </c>
      <c r="I368" s="412">
        <f>E_EnergyFlows!I227</f>
        <v>2019</v>
      </c>
      <c r="J368" s="412">
        <f>E_EnergyFlows!J227</f>
        <v>2020</v>
      </c>
      <c r="K368" s="412">
        <f>E_EnergyFlows!K227</f>
        <v>2021</v>
      </c>
      <c r="L368" s="412">
        <f>E_EnergyFlows!L227</f>
        <v>2022</v>
      </c>
      <c r="M368" s="412">
        <f>E_EnergyFlows!M227</f>
        <v>2023</v>
      </c>
      <c r="N368" s="25"/>
      <c r="O368" s="25"/>
      <c r="P368" s="445"/>
      <c r="Q368" s="445"/>
      <c r="R368" s="445"/>
      <c r="S368" s="445"/>
      <c r="T368" s="437"/>
    </row>
    <row r="369" spans="1:20" ht="25.5" customHeight="1" x14ac:dyDescent="0.2">
      <c r="A369" s="445"/>
      <c r="B369" s="38"/>
      <c r="C369" s="38"/>
      <c r="D369" s="38"/>
      <c r="E369" s="1516" t="str">
        <f>E_EnergyFlows!E228</f>
        <v>Siltums, kas kvalificējas siltuma līmeņatzīmes apakšiekārtām</v>
      </c>
      <c r="F369" s="1457"/>
      <c r="G369" s="1457"/>
      <c r="H369" s="71" t="str">
        <f>E_EnergyFlows!H228</f>
        <v>TJ / gads</v>
      </c>
      <c r="I369" s="324" t="str">
        <f>E_EnergyFlows!I228</f>
        <v/>
      </c>
      <c r="J369" s="324" t="str">
        <f>E_EnergyFlows!J228</f>
        <v/>
      </c>
      <c r="K369" s="324" t="str">
        <f>E_EnergyFlows!K228</f>
        <v/>
      </c>
      <c r="L369" s="324" t="str">
        <f>E_EnergyFlows!L228</f>
        <v/>
      </c>
      <c r="M369" s="324" t="str">
        <f>E_EnergyFlows!M228</f>
        <v/>
      </c>
      <c r="N369" s="25"/>
      <c r="O369" s="25"/>
      <c r="P369" s="445"/>
      <c r="Q369" s="445"/>
      <c r="R369" s="445"/>
      <c r="S369" s="445"/>
      <c r="T369" s="437"/>
    </row>
    <row r="370" spans="1:20" s="697" customFormat="1" ht="5.0999999999999996" customHeight="1" x14ac:dyDescent="0.2">
      <c r="A370" s="437"/>
      <c r="B370" s="414"/>
      <c r="C370" s="414"/>
      <c r="D370" s="414"/>
      <c r="E370" s="414"/>
      <c r="F370" s="414"/>
      <c r="G370" s="414"/>
      <c r="H370" s="414"/>
      <c r="I370" s="414"/>
      <c r="J370" s="414"/>
      <c r="K370" s="414"/>
      <c r="L370" s="414"/>
      <c r="M370" s="414"/>
      <c r="N370" s="414"/>
      <c r="O370" s="25"/>
      <c r="P370" s="437"/>
      <c r="Q370" s="437"/>
      <c r="R370" s="437"/>
      <c r="S370" s="437"/>
      <c r="T370" s="437"/>
    </row>
    <row r="371" spans="1:20" s="697" customFormat="1" ht="15" x14ac:dyDescent="0.25">
      <c r="A371" s="437"/>
      <c r="B371" s="21"/>
      <c r="C371" s="36"/>
      <c r="D371" s="1594" t="str">
        <f>Translations!$B$1200</f>
        <v>Kopsavilkums par siltuma un centralizētās siltumapgādes apakšiekārtām</v>
      </c>
      <c r="E371" s="1558"/>
      <c r="F371" s="1558"/>
      <c r="G371" s="1558"/>
      <c r="H371" s="1558"/>
      <c r="I371" s="1558"/>
      <c r="J371" s="1558"/>
      <c r="K371" s="1558"/>
      <c r="L371" s="1558"/>
      <c r="M371" s="1558"/>
      <c r="N371" s="1558"/>
      <c r="O371" s="25"/>
      <c r="P371" s="437"/>
      <c r="Q371" s="437"/>
      <c r="R371" s="437"/>
      <c r="S371" s="437"/>
      <c r="T371" s="437"/>
    </row>
    <row r="372" spans="1:20" s="697" customFormat="1" ht="13.5" thickBot="1" x14ac:dyDescent="0.25">
      <c r="A372" s="437"/>
      <c r="B372" s="414"/>
      <c r="C372" s="414"/>
      <c r="D372" s="414"/>
      <c r="E372" s="51"/>
      <c r="F372" s="414"/>
      <c r="G372" s="414"/>
      <c r="H372" s="53" t="str">
        <f>Translations!$B$1196</f>
        <v>Vienība</v>
      </c>
      <c r="I372" s="412">
        <f>I$1652</f>
        <v>2019</v>
      </c>
      <c r="J372" s="412">
        <f>J$1652</f>
        <v>2020</v>
      </c>
      <c r="K372" s="412">
        <f>K$1652</f>
        <v>2021</v>
      </c>
      <c r="L372" s="412">
        <f>L$1652</f>
        <v>2022</v>
      </c>
      <c r="M372" s="412">
        <f>M$1652</f>
        <v>2023</v>
      </c>
      <c r="N372" s="414"/>
      <c r="O372" s="25"/>
      <c r="P372" s="437"/>
      <c r="Q372" s="437"/>
      <c r="R372" s="437"/>
      <c r="S372" s="437"/>
      <c r="T372" s="437"/>
    </row>
    <row r="373" spans="1:20" s="697" customFormat="1" ht="12.75" customHeight="1" x14ac:dyDescent="0.2">
      <c r="A373" s="437"/>
      <c r="B373" s="414"/>
      <c r="C373" s="414"/>
      <c r="D373" s="440"/>
      <c r="E373" s="856" t="str">
        <f>E_EnergyFlows!E412</f>
        <v>Siltuma līmeņatzīmes apakšiekārta, OEP | bez OIM)</v>
      </c>
      <c r="F373" s="857"/>
      <c r="G373" s="857"/>
      <c r="H373" s="858" t="str">
        <f>EUconst_TJpa</f>
        <v>TJ / gads</v>
      </c>
      <c r="I373" s="945" t="str">
        <f>E_EnergyFlows!I412</f>
        <v/>
      </c>
      <c r="J373" s="945" t="str">
        <f>E_EnergyFlows!J412</f>
        <v/>
      </c>
      <c r="K373" s="945" t="str">
        <f>E_EnergyFlows!K412</f>
        <v/>
      </c>
      <c r="L373" s="945" t="str">
        <f>E_EnergyFlows!L412</f>
        <v/>
      </c>
      <c r="M373" s="946" t="str">
        <f>E_EnergyFlows!M412</f>
        <v/>
      </c>
      <c r="N373" s="414"/>
      <c r="O373" s="25"/>
      <c r="P373" s="437"/>
      <c r="Q373" s="437"/>
      <c r="R373" s="437"/>
      <c r="S373" s="437"/>
      <c r="T373" s="437"/>
    </row>
    <row r="374" spans="1:20" s="697" customFormat="1" ht="13.5" customHeight="1" x14ac:dyDescent="0.2">
      <c r="A374" s="437"/>
      <c r="B374" s="414"/>
      <c r="C374" s="414"/>
      <c r="D374" s="440"/>
      <c r="E374" s="853" t="str">
        <f>E_EnergyFlows!E413</f>
        <v>Siltuma līmeņatzīmes apakšiekārta (bez OEP | bez OIM)</v>
      </c>
      <c r="F374" s="854"/>
      <c r="G374" s="854"/>
      <c r="H374" s="855" t="str">
        <f>EUconst_TJpa</f>
        <v>TJ / gads</v>
      </c>
      <c r="I374" s="925" t="str">
        <f>E_EnergyFlows!I413</f>
        <v/>
      </c>
      <c r="J374" s="925" t="str">
        <f>E_EnergyFlows!J413</f>
        <v/>
      </c>
      <c r="K374" s="925" t="str">
        <f>E_EnergyFlows!K413</f>
        <v/>
      </c>
      <c r="L374" s="925" t="str">
        <f>E_EnergyFlows!L413</f>
        <v/>
      </c>
      <c r="M374" s="947" t="str">
        <f>E_EnergyFlows!M413</f>
        <v/>
      </c>
      <c r="N374" s="414"/>
      <c r="O374" s="25"/>
      <c r="P374" s="437"/>
      <c r="Q374" s="437"/>
      <c r="R374" s="437"/>
      <c r="S374" s="437"/>
      <c r="T374" s="437"/>
    </row>
    <row r="375" spans="1:20" s="697" customFormat="1" ht="13.5" customHeight="1" x14ac:dyDescent="0.2">
      <c r="A375" s="437"/>
      <c r="B375" s="414"/>
      <c r="C375" s="414"/>
      <c r="D375" s="440"/>
      <c r="E375" s="853" t="str">
        <f>E_EnergyFlows!E414</f>
        <v>Siltuma līmeņatzīmes apakšiekārta, OEP | OIM)</v>
      </c>
      <c r="F375" s="854"/>
      <c r="G375" s="854"/>
      <c r="H375" s="855" t="str">
        <f>EUconst_TJpa</f>
        <v>TJ / gads</v>
      </c>
      <c r="I375" s="1091" t="str">
        <f>E_EnergyFlows!I414</f>
        <v/>
      </c>
      <c r="J375" s="1091" t="str">
        <f>E_EnergyFlows!J414</f>
        <v/>
      </c>
      <c r="K375" s="1091" t="str">
        <f>E_EnergyFlows!K414</f>
        <v/>
      </c>
      <c r="L375" s="1091" t="str">
        <f>E_EnergyFlows!L414</f>
        <v/>
      </c>
      <c r="M375" s="1092" t="str">
        <f>E_EnergyFlows!M414</f>
        <v/>
      </c>
      <c r="N375" s="414"/>
      <c r="O375" s="25"/>
      <c r="P375" s="437"/>
      <c r="Q375" s="437"/>
      <c r="R375" s="437"/>
      <c r="S375" s="437"/>
      <c r="T375" s="437"/>
    </row>
    <row r="376" spans="1:20" s="697" customFormat="1" ht="12.75" customHeight="1" thickBot="1" x14ac:dyDescent="0.25">
      <c r="A376" s="437"/>
      <c r="B376" s="414"/>
      <c r="C376" s="414"/>
      <c r="D376" s="414"/>
      <c r="E376" s="859" t="str">
        <f>E_EnergyFlows!E415</f>
        <v>Centralizētās siltumapgādes apakšiekārta</v>
      </c>
      <c r="F376" s="860"/>
      <c r="G376" s="860"/>
      <c r="H376" s="861" t="str">
        <f>EUconst_TJpa</f>
        <v>TJ / gads</v>
      </c>
      <c r="I376" s="948" t="str">
        <f>E_EnergyFlows!I415</f>
        <v/>
      </c>
      <c r="J376" s="948" t="str">
        <f>E_EnergyFlows!J415</f>
        <v/>
      </c>
      <c r="K376" s="948" t="str">
        <f>E_EnergyFlows!K415</f>
        <v/>
      </c>
      <c r="L376" s="948" t="str">
        <f>E_EnergyFlows!L415</f>
        <v/>
      </c>
      <c r="M376" s="949" t="str">
        <f>E_EnergyFlows!M415</f>
        <v/>
      </c>
      <c r="N376" s="414"/>
      <c r="O376" s="25"/>
      <c r="P376" s="437"/>
      <c r="Q376" s="437"/>
      <c r="R376" s="437"/>
      <c r="S376" s="437"/>
      <c r="T376" s="437"/>
    </row>
    <row r="377" spans="1:20" s="697" customFormat="1" ht="12.75" customHeight="1" x14ac:dyDescent="0.2">
      <c r="A377" s="437"/>
      <c r="B377" s="414"/>
      <c r="C377" s="414"/>
      <c r="D377" s="414"/>
      <c r="E377" s="414"/>
      <c r="F377" s="414"/>
      <c r="G377" s="414"/>
      <c r="H377" s="414"/>
      <c r="I377" s="414"/>
      <c r="J377" s="414"/>
      <c r="K377" s="414"/>
      <c r="L377" s="414"/>
      <c r="M377" s="414"/>
      <c r="N377" s="414"/>
      <c r="O377" s="25"/>
      <c r="P377" s="437"/>
      <c r="Q377" s="437"/>
      <c r="R377" s="437"/>
      <c r="S377" s="437"/>
      <c r="T377" s="437"/>
    </row>
    <row r="378" spans="1:20" ht="15" customHeight="1" x14ac:dyDescent="0.25">
      <c r="A378" s="445"/>
      <c r="B378" s="21"/>
      <c r="C378" s="36">
        <v>7</v>
      </c>
      <c r="D378" s="1318" t="str">
        <f>E_EnergyFlows!D254</f>
        <v>Pilnīga iekārtas atlikumgāzu bilance</v>
      </c>
      <c r="E378" s="1251"/>
      <c r="F378" s="1251"/>
      <c r="G378" s="1251"/>
      <c r="H378" s="1251"/>
      <c r="I378" s="1251"/>
      <c r="J378" s="1251"/>
      <c r="K378" s="1251"/>
      <c r="L378" s="1251"/>
      <c r="M378" s="1251"/>
      <c r="N378" s="1251"/>
      <c r="O378" s="25"/>
      <c r="P378" s="624"/>
      <c r="Q378" s="445"/>
      <c r="R378" s="445"/>
      <c r="S378" s="445"/>
      <c r="T378" s="437"/>
    </row>
    <row r="379" spans="1:20" ht="5.0999999999999996" customHeight="1" x14ac:dyDescent="0.2">
      <c r="A379" s="445"/>
      <c r="B379" s="21"/>
      <c r="C379" s="21"/>
      <c r="D379" s="21"/>
      <c r="E379" s="21"/>
      <c r="F379" s="21"/>
      <c r="G379" s="21"/>
      <c r="H379" s="21"/>
      <c r="I379" s="21"/>
      <c r="J379" s="21"/>
      <c r="K379" s="21"/>
      <c r="L379" s="21"/>
      <c r="M379" s="21"/>
      <c r="N379" s="21"/>
      <c r="O379" s="25"/>
      <c r="P379" s="624"/>
      <c r="Q379" s="445"/>
      <c r="R379" s="445"/>
      <c r="S379" s="445"/>
      <c r="T379" s="437"/>
    </row>
    <row r="380" spans="1:20" x14ac:dyDescent="0.2">
      <c r="A380" s="445"/>
      <c r="B380" s="21"/>
      <c r="C380" s="32"/>
      <c r="D380" s="32" t="str">
        <f>E_EnergyFlows!D262</f>
        <v>(a)</v>
      </c>
      <c r="E380" s="1557" t="str">
        <f>E_EnergyFlows!E262</f>
        <v>Produkta līmeņatzīmes apakšiekārtas sistēmas robežās radušās atlikumgāzes</v>
      </c>
      <c r="F380" s="1558"/>
      <c r="G380" s="1558"/>
      <c r="H380" s="1558"/>
      <c r="I380" s="1558"/>
      <c r="J380" s="1558"/>
      <c r="K380" s="1558"/>
      <c r="L380" s="1558"/>
      <c r="M380" s="1558"/>
      <c r="N380" s="1558"/>
      <c r="O380" s="25"/>
      <c r="P380" s="624"/>
      <c r="Q380" s="624"/>
      <c r="R380" s="624"/>
      <c r="S380" s="445"/>
      <c r="T380" s="437"/>
    </row>
    <row r="381" spans="1:20" x14ac:dyDescent="0.2">
      <c r="A381" s="445"/>
      <c r="B381" s="38"/>
      <c r="C381" s="38"/>
      <c r="D381" s="38"/>
      <c r="E381" s="1570" t="str">
        <f>E_EnergyFlows!E264</f>
        <v>Apakšiekārta</v>
      </c>
      <c r="F381" s="1573"/>
      <c r="G381" s="1573"/>
      <c r="H381" s="52" t="str">
        <f>E_EnergyFlows!H264</f>
        <v>Vienība</v>
      </c>
      <c r="I381" s="412">
        <f>E_EnergyFlows!I264</f>
        <v>2019</v>
      </c>
      <c r="J381" s="412">
        <f>E_EnergyFlows!J264</f>
        <v>2020</v>
      </c>
      <c r="K381" s="412">
        <f>E_EnergyFlows!K264</f>
        <v>2021</v>
      </c>
      <c r="L381" s="412">
        <f>E_EnergyFlows!L264</f>
        <v>2022</v>
      </c>
      <c r="M381" s="436">
        <f>E_EnergyFlows!M264</f>
        <v>2023</v>
      </c>
      <c r="N381" s="578"/>
      <c r="O381" s="25"/>
      <c r="P381" s="624"/>
      <c r="Q381" s="624"/>
      <c r="R381" s="624"/>
      <c r="S381" s="445"/>
      <c r="T381" s="437"/>
    </row>
    <row r="382" spans="1:20" x14ac:dyDescent="0.2">
      <c r="A382" s="445"/>
      <c r="B382" s="38"/>
      <c r="C382" s="38"/>
      <c r="D382" s="212"/>
      <c r="E382" s="1646" t="str">
        <f>E_EnergyFlows!E265</f>
        <v/>
      </c>
      <c r="F382" s="1646"/>
      <c r="G382" s="1646"/>
      <c r="H382" s="45" t="str">
        <f>E_EnergyFlows!H265</f>
        <v>TJ / gads</v>
      </c>
      <c r="I382" s="699" t="str">
        <f>E_EnergyFlows!I265</f>
        <v/>
      </c>
      <c r="J382" s="699" t="str">
        <f>E_EnergyFlows!J265</f>
        <v/>
      </c>
      <c r="K382" s="699" t="str">
        <f>E_EnergyFlows!K265</f>
        <v/>
      </c>
      <c r="L382" s="699" t="str">
        <f>E_EnergyFlows!L265</f>
        <v/>
      </c>
      <c r="M382" s="699" t="str">
        <f>E_EnergyFlows!M265</f>
        <v/>
      </c>
      <c r="N382" s="25"/>
      <c r="O382" s="25"/>
      <c r="P382" s="624"/>
      <c r="Q382" s="624"/>
      <c r="R382" s="624"/>
      <c r="S382" s="445"/>
      <c r="T382" s="437"/>
    </row>
    <row r="383" spans="1:20" x14ac:dyDescent="0.2">
      <c r="A383" s="445"/>
      <c r="B383" s="38"/>
      <c r="C383" s="38"/>
      <c r="D383" s="212"/>
      <c r="E383" s="1576" t="str">
        <f>E_EnergyFlows!E266</f>
        <v/>
      </c>
      <c r="F383" s="1576"/>
      <c r="G383" s="1576"/>
      <c r="H383" s="46" t="str">
        <f>E_EnergyFlows!H266</f>
        <v>TJ / gads</v>
      </c>
      <c r="I383" s="521" t="str">
        <f>E_EnergyFlows!I266</f>
        <v/>
      </c>
      <c r="J383" s="521" t="str">
        <f>E_EnergyFlows!J266</f>
        <v/>
      </c>
      <c r="K383" s="521" t="str">
        <f>E_EnergyFlows!K266</f>
        <v/>
      </c>
      <c r="L383" s="521" t="str">
        <f>E_EnergyFlows!L266</f>
        <v/>
      </c>
      <c r="M383" s="521" t="str">
        <f>E_EnergyFlows!M266</f>
        <v/>
      </c>
      <c r="N383" s="25"/>
      <c r="O383" s="25"/>
      <c r="P383" s="624"/>
      <c r="Q383" s="624"/>
      <c r="R383" s="624"/>
      <c r="S383" s="445"/>
      <c r="T383" s="437"/>
    </row>
    <row r="384" spans="1:20" x14ac:dyDescent="0.2">
      <c r="A384" s="445"/>
      <c r="B384" s="38"/>
      <c r="C384" s="38"/>
      <c r="D384" s="212"/>
      <c r="E384" s="1576" t="str">
        <f>E_EnergyFlows!E267</f>
        <v/>
      </c>
      <c r="F384" s="1576"/>
      <c r="G384" s="1576"/>
      <c r="H384" s="46" t="str">
        <f>E_EnergyFlows!H267</f>
        <v>TJ / gads</v>
      </c>
      <c r="I384" s="521" t="str">
        <f>E_EnergyFlows!I267</f>
        <v/>
      </c>
      <c r="J384" s="521" t="str">
        <f>E_EnergyFlows!J267</f>
        <v/>
      </c>
      <c r="K384" s="521" t="str">
        <f>E_EnergyFlows!K267</f>
        <v/>
      </c>
      <c r="L384" s="521" t="str">
        <f>E_EnergyFlows!L267</f>
        <v/>
      </c>
      <c r="M384" s="521" t="str">
        <f>E_EnergyFlows!M267</f>
        <v/>
      </c>
      <c r="N384" s="25"/>
      <c r="O384" s="25"/>
      <c r="P384" s="624"/>
      <c r="Q384" s="624"/>
      <c r="R384" s="624"/>
      <c r="S384" s="445"/>
      <c r="T384" s="437"/>
    </row>
    <row r="385" spans="1:20" x14ac:dyDescent="0.2">
      <c r="A385" s="445"/>
      <c r="B385" s="38"/>
      <c r="C385" s="38"/>
      <c r="D385" s="212"/>
      <c r="E385" s="1576" t="str">
        <f>E_EnergyFlows!E268</f>
        <v/>
      </c>
      <c r="F385" s="1576"/>
      <c r="G385" s="1576"/>
      <c r="H385" s="46" t="str">
        <f>E_EnergyFlows!H268</f>
        <v>TJ / gads</v>
      </c>
      <c r="I385" s="521" t="str">
        <f>E_EnergyFlows!I268</f>
        <v/>
      </c>
      <c r="J385" s="521" t="str">
        <f>E_EnergyFlows!J268</f>
        <v/>
      </c>
      <c r="K385" s="521" t="str">
        <f>E_EnergyFlows!K268</f>
        <v/>
      </c>
      <c r="L385" s="521" t="str">
        <f>E_EnergyFlows!L268</f>
        <v/>
      </c>
      <c r="M385" s="521" t="str">
        <f>E_EnergyFlows!M268</f>
        <v/>
      </c>
      <c r="N385" s="25"/>
      <c r="O385" s="25"/>
      <c r="P385" s="624"/>
      <c r="Q385" s="624"/>
      <c r="R385" s="624"/>
      <c r="S385" s="445"/>
      <c r="T385" s="437"/>
    </row>
    <row r="386" spans="1:20" x14ac:dyDescent="0.2">
      <c r="A386" s="445"/>
      <c r="B386" s="38"/>
      <c r="C386" s="38"/>
      <c r="D386" s="440"/>
      <c r="E386" s="1576" t="str">
        <f>E_EnergyFlows!E269</f>
        <v/>
      </c>
      <c r="F386" s="1576"/>
      <c r="G386" s="1576"/>
      <c r="H386" s="46" t="str">
        <f>E_EnergyFlows!H269</f>
        <v>TJ / gads</v>
      </c>
      <c r="I386" s="521" t="str">
        <f>E_EnergyFlows!I269</f>
        <v/>
      </c>
      <c r="J386" s="521" t="str">
        <f>E_EnergyFlows!J269</f>
        <v/>
      </c>
      <c r="K386" s="521" t="str">
        <f>E_EnergyFlows!K269</f>
        <v/>
      </c>
      <c r="L386" s="521" t="str">
        <f>E_EnergyFlows!L269</f>
        <v/>
      </c>
      <c r="M386" s="521" t="str">
        <f>E_EnergyFlows!M269</f>
        <v/>
      </c>
      <c r="N386" s="25"/>
      <c r="O386" s="25"/>
      <c r="P386" s="624"/>
      <c r="Q386" s="624"/>
      <c r="R386" s="624"/>
      <c r="S386" s="445"/>
      <c r="T386" s="437"/>
    </row>
    <row r="387" spans="1:20" x14ac:dyDescent="0.2">
      <c r="A387" s="445"/>
      <c r="B387" s="38"/>
      <c r="C387" s="38"/>
      <c r="D387" s="440"/>
      <c r="E387" s="1576" t="str">
        <f>E_EnergyFlows!E270</f>
        <v/>
      </c>
      <c r="F387" s="1576"/>
      <c r="G387" s="1576"/>
      <c r="H387" s="46" t="str">
        <f>E_EnergyFlows!H270</f>
        <v>TJ / gads</v>
      </c>
      <c r="I387" s="521" t="str">
        <f>E_EnergyFlows!I270</f>
        <v/>
      </c>
      <c r="J387" s="521" t="str">
        <f>E_EnergyFlows!J270</f>
        <v/>
      </c>
      <c r="K387" s="521" t="str">
        <f>E_EnergyFlows!K270</f>
        <v/>
      </c>
      <c r="L387" s="521" t="str">
        <f>E_EnergyFlows!L270</f>
        <v/>
      </c>
      <c r="M387" s="521" t="str">
        <f>E_EnergyFlows!M270</f>
        <v/>
      </c>
      <c r="N387" s="25"/>
      <c r="O387" s="25"/>
      <c r="P387" s="624"/>
      <c r="Q387" s="624"/>
      <c r="R387" s="624"/>
      <c r="S387" s="445"/>
      <c r="T387" s="437"/>
    </row>
    <row r="388" spans="1:20" x14ac:dyDescent="0.2">
      <c r="A388" s="445"/>
      <c r="B388" s="38"/>
      <c r="C388" s="38"/>
      <c r="D388" s="440"/>
      <c r="E388" s="1576" t="str">
        <f>E_EnergyFlows!E271</f>
        <v/>
      </c>
      <c r="F388" s="1576"/>
      <c r="G388" s="1576"/>
      <c r="H388" s="46" t="str">
        <f>E_EnergyFlows!H271</f>
        <v>TJ / gads</v>
      </c>
      <c r="I388" s="521" t="str">
        <f>E_EnergyFlows!I271</f>
        <v/>
      </c>
      <c r="J388" s="521" t="str">
        <f>E_EnergyFlows!J271</f>
        <v/>
      </c>
      <c r="K388" s="521" t="str">
        <f>E_EnergyFlows!K271</f>
        <v/>
      </c>
      <c r="L388" s="521" t="str">
        <f>E_EnergyFlows!L271</f>
        <v/>
      </c>
      <c r="M388" s="521" t="str">
        <f>E_EnergyFlows!M271</f>
        <v/>
      </c>
      <c r="N388" s="25"/>
      <c r="O388" s="25"/>
      <c r="P388" s="624"/>
      <c r="Q388" s="624"/>
      <c r="R388" s="624"/>
      <c r="S388" s="445"/>
      <c r="T388" s="437"/>
    </row>
    <row r="389" spans="1:20" x14ac:dyDescent="0.2">
      <c r="A389" s="445"/>
      <c r="B389" s="38"/>
      <c r="C389" s="38"/>
      <c r="D389" s="440"/>
      <c r="E389" s="1576" t="str">
        <f>E_EnergyFlows!E272</f>
        <v/>
      </c>
      <c r="F389" s="1576"/>
      <c r="G389" s="1576"/>
      <c r="H389" s="46" t="str">
        <f>E_EnergyFlows!H272</f>
        <v>TJ / gads</v>
      </c>
      <c r="I389" s="521" t="str">
        <f>E_EnergyFlows!I272</f>
        <v/>
      </c>
      <c r="J389" s="521" t="str">
        <f>E_EnergyFlows!J272</f>
        <v/>
      </c>
      <c r="K389" s="521" t="str">
        <f>E_EnergyFlows!K272</f>
        <v/>
      </c>
      <c r="L389" s="521" t="str">
        <f>E_EnergyFlows!L272</f>
        <v/>
      </c>
      <c r="M389" s="521" t="str">
        <f>E_EnergyFlows!M272</f>
        <v/>
      </c>
      <c r="N389" s="25"/>
      <c r="O389" s="25"/>
      <c r="P389" s="624"/>
      <c r="Q389" s="624"/>
      <c r="R389" s="624"/>
      <c r="S389" s="445"/>
      <c r="T389" s="437"/>
    </row>
    <row r="390" spans="1:20" x14ac:dyDescent="0.2">
      <c r="A390" s="445"/>
      <c r="B390" s="38"/>
      <c r="C390" s="38"/>
      <c r="D390" s="440"/>
      <c r="E390" s="1576" t="str">
        <f>E_EnergyFlows!E273</f>
        <v/>
      </c>
      <c r="F390" s="1576"/>
      <c r="G390" s="1576"/>
      <c r="H390" s="46" t="str">
        <f>E_EnergyFlows!H273</f>
        <v>TJ / gads</v>
      </c>
      <c r="I390" s="521" t="str">
        <f>E_EnergyFlows!I273</f>
        <v/>
      </c>
      <c r="J390" s="521" t="str">
        <f>E_EnergyFlows!J273</f>
        <v/>
      </c>
      <c r="K390" s="521" t="str">
        <f>E_EnergyFlows!K273</f>
        <v/>
      </c>
      <c r="L390" s="521" t="str">
        <f>E_EnergyFlows!L273</f>
        <v/>
      </c>
      <c r="M390" s="521" t="str">
        <f>E_EnergyFlows!M273</f>
        <v/>
      </c>
      <c r="N390" s="25"/>
      <c r="O390" s="25"/>
      <c r="P390" s="624"/>
      <c r="Q390" s="624"/>
      <c r="R390" s="624"/>
      <c r="S390" s="445"/>
      <c r="T390" s="437"/>
    </row>
    <row r="391" spans="1:20" x14ac:dyDescent="0.2">
      <c r="A391" s="445"/>
      <c r="B391" s="38"/>
      <c r="C391" s="38"/>
      <c r="D391" s="440"/>
      <c r="E391" s="1597" t="str">
        <f>E_EnergyFlows!E274</f>
        <v/>
      </c>
      <c r="F391" s="1597"/>
      <c r="G391" s="1597"/>
      <c r="H391" s="48" t="str">
        <f>E_EnergyFlows!H274</f>
        <v>TJ / gads</v>
      </c>
      <c r="I391" s="700" t="str">
        <f>E_EnergyFlows!I274</f>
        <v/>
      </c>
      <c r="J391" s="700" t="str">
        <f>E_EnergyFlows!J274</f>
        <v/>
      </c>
      <c r="K391" s="700" t="str">
        <f>E_EnergyFlows!K274</f>
        <v/>
      </c>
      <c r="L391" s="700" t="str">
        <f>E_EnergyFlows!L274</f>
        <v/>
      </c>
      <c r="M391" s="700" t="str">
        <f>E_EnergyFlows!M274</f>
        <v/>
      </c>
      <c r="N391" s="25"/>
      <c r="O391" s="25"/>
      <c r="P391" s="624"/>
      <c r="Q391" s="624"/>
      <c r="R391" s="624"/>
      <c r="S391" s="445"/>
      <c r="T391" s="437"/>
    </row>
    <row r="392" spans="1:20" ht="12.75" customHeight="1" x14ac:dyDescent="0.2">
      <c r="A392" s="445"/>
      <c r="B392" s="38"/>
      <c r="C392" s="38"/>
      <c r="D392" s="440"/>
      <c r="E392" s="1574" t="str">
        <f>E_EnergyFlows!E275</f>
        <v>Starpsumma</v>
      </c>
      <c r="F392" s="1574"/>
      <c r="G392" s="1574"/>
      <c r="H392" s="66" t="str">
        <f>E_EnergyFlows!H275</f>
        <v>TJ / gads</v>
      </c>
      <c r="I392" s="328" t="str">
        <f>E_EnergyFlows!I275</f>
        <v/>
      </c>
      <c r="J392" s="328" t="str">
        <f>E_EnergyFlows!J275</f>
        <v/>
      </c>
      <c r="K392" s="328" t="str">
        <f>E_EnergyFlows!K275</f>
        <v/>
      </c>
      <c r="L392" s="328" t="str">
        <f>E_EnergyFlows!L275</f>
        <v/>
      </c>
      <c r="M392" s="328" t="str">
        <f>E_EnergyFlows!M275</f>
        <v/>
      </c>
      <c r="N392" s="25"/>
      <c r="O392" s="25"/>
      <c r="P392" s="624"/>
      <c r="Q392" s="624"/>
      <c r="R392" s="624"/>
      <c r="S392" s="445"/>
      <c r="T392" s="437"/>
    </row>
    <row r="393" spans="1:20" ht="5.0999999999999996" customHeight="1" x14ac:dyDescent="0.2">
      <c r="A393" s="445"/>
      <c r="B393" s="21"/>
      <c r="C393" s="21"/>
      <c r="D393" s="21"/>
      <c r="E393" s="21"/>
      <c r="F393" s="21"/>
      <c r="G393" s="21"/>
      <c r="H393" s="21"/>
      <c r="I393" s="21"/>
      <c r="J393" s="21"/>
      <c r="K393" s="21"/>
      <c r="L393" s="21"/>
      <c r="M393" s="21"/>
      <c r="N393" s="21"/>
      <c r="O393" s="25"/>
      <c r="P393" s="624"/>
      <c r="Q393" s="624"/>
      <c r="R393" s="624"/>
      <c r="S393" s="445"/>
      <c r="T393" s="437"/>
    </row>
    <row r="394" spans="1:20" ht="12.75" customHeight="1" x14ac:dyDescent="0.2">
      <c r="A394" s="445"/>
      <c r="B394" s="21"/>
      <c r="C394" s="32"/>
      <c r="D394" s="32" t="str">
        <f>E_EnergyFlows!D277</f>
        <v>(b)</v>
      </c>
      <c r="E394" s="1557" t="str">
        <f>E_EnergyFlows!E277</f>
        <v>Ārpus produkta līmeņatzīmes apakšiekārtas sistēmas robežām radušās atlikumgāzes</v>
      </c>
      <c r="F394" s="1558"/>
      <c r="G394" s="1558"/>
      <c r="H394" s="1558"/>
      <c r="I394" s="1558"/>
      <c r="J394" s="1558"/>
      <c r="K394" s="1558"/>
      <c r="L394" s="1558"/>
      <c r="M394" s="1558"/>
      <c r="N394" s="1558"/>
      <c r="O394" s="25"/>
      <c r="P394" s="624"/>
      <c r="Q394" s="624"/>
      <c r="R394" s="624"/>
      <c r="S394" s="445"/>
      <c r="T394" s="437"/>
    </row>
    <row r="395" spans="1:20" x14ac:dyDescent="0.2">
      <c r="A395" s="445"/>
      <c r="B395" s="38"/>
      <c r="C395" s="38"/>
      <c r="D395" s="38"/>
      <c r="E395" s="1570" t="str">
        <f>E_EnergyFlows!E280</f>
        <v>no D lapas IV sadaļas</v>
      </c>
      <c r="F395" s="1573"/>
      <c r="G395" s="1573"/>
      <c r="H395" s="52" t="str">
        <f>E_EnergyFlows!H280</f>
        <v>Vienība</v>
      </c>
      <c r="I395" s="412">
        <f>E_EnergyFlows!I280</f>
        <v>2019</v>
      </c>
      <c r="J395" s="412">
        <f>E_EnergyFlows!J280</f>
        <v>2020</v>
      </c>
      <c r="K395" s="412">
        <f>E_EnergyFlows!K280</f>
        <v>2021</v>
      </c>
      <c r="L395" s="412">
        <f>E_EnergyFlows!L280</f>
        <v>2022</v>
      </c>
      <c r="M395" s="436">
        <f>E_EnergyFlows!M280</f>
        <v>2023</v>
      </c>
      <c r="N395" s="578"/>
      <c r="O395" s="25"/>
      <c r="P395" s="624"/>
      <c r="Q395" s="624"/>
      <c r="R395" s="624"/>
      <c r="S395" s="445"/>
      <c r="T395" s="437"/>
    </row>
    <row r="396" spans="1:20" x14ac:dyDescent="0.2">
      <c r="A396" s="445"/>
      <c r="B396" s="38"/>
      <c r="C396" s="38"/>
      <c r="D396" s="212"/>
      <c r="E396" s="1642" t="str">
        <f>E_EnergyFlows!E281</f>
        <v>Atlikumgāze 1</v>
      </c>
      <c r="F396" s="1643"/>
      <c r="G396" s="1643"/>
      <c r="H396" s="45" t="str">
        <f>E_EnergyFlows!H281</f>
        <v>TJ / gads</v>
      </c>
      <c r="I396" s="699" t="str">
        <f>E_EnergyFlows!I281</f>
        <v/>
      </c>
      <c r="J396" s="699" t="str">
        <f>E_EnergyFlows!J281</f>
        <v/>
      </c>
      <c r="K396" s="699" t="str">
        <f>E_EnergyFlows!K281</f>
        <v/>
      </c>
      <c r="L396" s="699" t="str">
        <f>E_EnergyFlows!L281</f>
        <v/>
      </c>
      <c r="M396" s="699" t="str">
        <f>E_EnergyFlows!M281</f>
        <v/>
      </c>
      <c r="N396" s="25"/>
      <c r="O396" s="25"/>
      <c r="P396" s="624"/>
      <c r="Q396" s="624"/>
      <c r="R396" s="624"/>
      <c r="S396" s="445"/>
      <c r="T396" s="437"/>
    </row>
    <row r="397" spans="1:20" x14ac:dyDescent="0.2">
      <c r="A397" s="445"/>
      <c r="B397" s="38"/>
      <c r="C397" s="38"/>
      <c r="D397" s="212"/>
      <c r="E397" s="1644" t="str">
        <f>E_EnergyFlows!E282</f>
        <v>Atlikumgāze 2</v>
      </c>
      <c r="F397" s="1645"/>
      <c r="G397" s="1645"/>
      <c r="H397" s="46" t="str">
        <f>E_EnergyFlows!H282</f>
        <v>TJ / gads</v>
      </c>
      <c r="I397" s="700" t="str">
        <f>E_EnergyFlows!I282</f>
        <v/>
      </c>
      <c r="J397" s="700" t="str">
        <f>E_EnergyFlows!J282</f>
        <v/>
      </c>
      <c r="K397" s="700" t="str">
        <f>E_EnergyFlows!K282</f>
        <v/>
      </c>
      <c r="L397" s="700" t="str">
        <f>E_EnergyFlows!L282</f>
        <v/>
      </c>
      <c r="M397" s="700" t="str">
        <f>E_EnergyFlows!M282</f>
        <v/>
      </c>
      <c r="N397" s="25"/>
      <c r="O397" s="25"/>
      <c r="P397" s="624"/>
      <c r="Q397" s="624"/>
      <c r="R397" s="624"/>
      <c r="S397" s="445"/>
      <c r="T397" s="437"/>
    </row>
    <row r="398" spans="1:20" ht="12.75" customHeight="1" x14ac:dyDescent="0.2">
      <c r="A398" s="445"/>
      <c r="B398" s="38"/>
      <c r="C398" s="38"/>
      <c r="D398" s="440"/>
      <c r="E398" s="1574" t="str">
        <f>E_EnergyFlows!E283</f>
        <v>Starpsumma</v>
      </c>
      <c r="F398" s="1574"/>
      <c r="G398" s="1574"/>
      <c r="H398" s="66" t="str">
        <f>E_EnergyFlows!H283</f>
        <v>TJ / gads</v>
      </c>
      <c r="I398" s="328" t="str">
        <f>E_EnergyFlows!I283</f>
        <v/>
      </c>
      <c r="J398" s="328" t="str">
        <f>E_EnergyFlows!J283</f>
        <v/>
      </c>
      <c r="K398" s="328" t="str">
        <f>E_EnergyFlows!K283</f>
        <v/>
      </c>
      <c r="L398" s="328" t="str">
        <f>E_EnergyFlows!L283</f>
        <v/>
      </c>
      <c r="M398" s="328" t="str">
        <f>E_EnergyFlows!M283</f>
        <v/>
      </c>
      <c r="N398" s="25"/>
      <c r="O398" s="25"/>
      <c r="P398" s="624"/>
      <c r="Q398" s="624"/>
      <c r="R398" s="624"/>
      <c r="S398" s="445"/>
      <c r="T398" s="437"/>
    </row>
    <row r="399" spans="1:20" ht="5.0999999999999996" customHeight="1" x14ac:dyDescent="0.2">
      <c r="A399" s="445"/>
      <c r="B399" s="21"/>
      <c r="C399" s="21"/>
      <c r="D399" s="21"/>
      <c r="E399" s="21"/>
      <c r="F399" s="21"/>
      <c r="G399" s="21"/>
      <c r="H399" s="21"/>
      <c r="I399" s="21"/>
      <c r="J399" s="21"/>
      <c r="K399" s="21"/>
      <c r="L399" s="21"/>
      <c r="M399" s="21"/>
      <c r="N399" s="21"/>
      <c r="O399" s="25"/>
      <c r="P399" s="624"/>
      <c r="Q399" s="624"/>
      <c r="R399" s="624"/>
      <c r="S399" s="445"/>
      <c r="T399" s="437"/>
    </row>
    <row r="400" spans="1:20" ht="12.75" customHeight="1" x14ac:dyDescent="0.2">
      <c r="A400" s="445"/>
      <c r="B400" s="38"/>
      <c r="C400" s="38"/>
      <c r="D400" s="440"/>
      <c r="E400" s="1554" t="str">
        <f>Translations!$B$1724</f>
        <v>Iepriekš norādītie importa daudzumi</v>
      </c>
      <c r="F400" s="1574"/>
      <c r="G400" s="1574"/>
      <c r="H400" s="66" t="str">
        <f>E_EnergyFlows!H285</f>
        <v>TJ / gads</v>
      </c>
      <c r="I400" s="328" t="str">
        <f>IF(ISBLANK(E_EnergyFlows!I285),"",E_EnergyFlows!I285)</f>
        <v/>
      </c>
      <c r="J400" s="328" t="str">
        <f>IF(ISBLANK(E_EnergyFlows!J285),"",E_EnergyFlows!J285)</f>
        <v/>
      </c>
      <c r="K400" s="328" t="str">
        <f>IF(ISBLANK(E_EnergyFlows!K285),"",E_EnergyFlows!K285)</f>
        <v/>
      </c>
      <c r="L400" s="328" t="str">
        <f>IF(ISBLANK(E_EnergyFlows!L285),"",E_EnergyFlows!L285)</f>
        <v/>
      </c>
      <c r="M400" s="328" t="str">
        <f>IF(ISBLANK(E_EnergyFlows!M285),"",E_EnergyFlows!M285)</f>
        <v/>
      </c>
      <c r="N400" s="25"/>
      <c r="O400" s="25"/>
      <c r="P400" s="624"/>
      <c r="Q400" s="624"/>
      <c r="R400" s="624"/>
      <c r="S400" s="445"/>
      <c r="T400" s="437"/>
    </row>
    <row r="401" spans="1:20" ht="5.0999999999999996" customHeight="1" x14ac:dyDescent="0.2">
      <c r="A401" s="445"/>
      <c r="B401" s="21"/>
      <c r="C401" s="21"/>
      <c r="D401" s="21"/>
      <c r="E401" s="21"/>
      <c r="F401" s="21"/>
      <c r="G401" s="21"/>
      <c r="H401" s="21"/>
      <c r="I401" s="21"/>
      <c r="J401" s="21"/>
      <c r="K401" s="21"/>
      <c r="L401" s="21"/>
      <c r="M401" s="21"/>
      <c r="N401" s="21"/>
      <c r="O401" s="25"/>
      <c r="P401" s="624"/>
      <c r="Q401" s="624"/>
      <c r="R401" s="624"/>
      <c r="S401" s="445"/>
      <c r="T401" s="437"/>
    </row>
    <row r="402" spans="1:20" x14ac:dyDescent="0.2">
      <c r="A402" s="445"/>
      <c r="B402" s="21"/>
      <c r="C402" s="32"/>
      <c r="D402" s="32" t="str">
        <f>E_EnergyFlows!D287</f>
        <v>(c)</v>
      </c>
      <c r="E402" s="1568" t="str">
        <f>E_EnergyFlows!E287</f>
        <v>Atlikumgāzu summa (=a+b)</v>
      </c>
      <c r="F402" s="1569"/>
      <c r="G402" s="1569"/>
      <c r="H402" s="1569"/>
      <c r="I402" s="1569"/>
      <c r="J402" s="1569"/>
      <c r="K402" s="1569"/>
      <c r="L402" s="1569"/>
      <c r="M402" s="1569"/>
      <c r="N402" s="1569"/>
      <c r="O402" s="25"/>
      <c r="P402" s="624"/>
      <c r="Q402" s="624"/>
      <c r="R402" s="624"/>
      <c r="S402" s="445"/>
      <c r="T402" s="437"/>
    </row>
    <row r="403" spans="1:20" x14ac:dyDescent="0.2">
      <c r="A403" s="445"/>
      <c r="B403" s="38"/>
      <c r="C403" s="38"/>
      <c r="D403" s="38"/>
      <c r="E403" s="1554" t="str">
        <f>E_EnergyFlows!E288</f>
        <v>Radušās atlikumgāzes</v>
      </c>
      <c r="F403" s="1574"/>
      <c r="G403" s="1574"/>
      <c r="H403" s="70" t="str">
        <f>E_EnergyFlows!H288</f>
        <v>TJ / gads</v>
      </c>
      <c r="I403" s="328" t="str">
        <f>E_EnergyFlows!I288</f>
        <v/>
      </c>
      <c r="J403" s="328" t="str">
        <f>E_EnergyFlows!J288</f>
        <v/>
      </c>
      <c r="K403" s="328" t="str">
        <f>E_EnergyFlows!K288</f>
        <v/>
      </c>
      <c r="L403" s="328" t="str">
        <f>E_EnergyFlows!L288</f>
        <v/>
      </c>
      <c r="M403" s="328" t="str">
        <f>E_EnergyFlows!M288</f>
        <v/>
      </c>
      <c r="N403" s="25"/>
      <c r="O403" s="25"/>
      <c r="P403" s="445"/>
      <c r="Q403" s="445"/>
      <c r="R403" s="445"/>
      <c r="S403" s="445"/>
      <c r="T403" s="437"/>
    </row>
    <row r="404" spans="1:20" ht="5.0999999999999996" customHeight="1" x14ac:dyDescent="0.2">
      <c r="A404" s="445"/>
      <c r="B404" s="38"/>
      <c r="C404" s="38"/>
      <c r="D404" s="38"/>
      <c r="E404" s="38"/>
      <c r="F404" s="38"/>
      <c r="G404" s="38"/>
      <c r="H404" s="38"/>
      <c r="I404" s="38"/>
      <c r="J404" s="38"/>
      <c r="K404" s="38"/>
      <c r="L404" s="38"/>
      <c r="M404" s="38"/>
      <c r="N404" s="38"/>
      <c r="O404" s="25"/>
      <c r="P404" s="445"/>
      <c r="Q404" s="445"/>
      <c r="R404" s="445"/>
      <c r="S404" s="445"/>
      <c r="T404" s="437"/>
    </row>
    <row r="405" spans="1:20" x14ac:dyDescent="0.2">
      <c r="A405" s="445"/>
      <c r="B405" s="21"/>
      <c r="C405" s="32"/>
      <c r="D405" s="32" t="str">
        <f>E_EnergyFlows!D290</f>
        <v>(d)</v>
      </c>
      <c r="E405" s="1557" t="str">
        <f>E_EnergyFlows!E290</f>
        <v>No citām iekārtām vai vienībām importētas atlikumgāzes</v>
      </c>
      <c r="F405" s="1558"/>
      <c r="G405" s="1558"/>
      <c r="H405" s="1558"/>
      <c r="I405" s="1558"/>
      <c r="J405" s="1558"/>
      <c r="K405" s="1558"/>
      <c r="L405" s="1558"/>
      <c r="M405" s="1558"/>
      <c r="N405" s="1558"/>
      <c r="O405" s="25"/>
      <c r="P405" s="624"/>
      <c r="Q405" s="445"/>
      <c r="R405" s="445"/>
      <c r="S405" s="445"/>
      <c r="T405" s="437"/>
    </row>
    <row r="406" spans="1:20" ht="12.75" customHeight="1" x14ac:dyDescent="0.2">
      <c r="A406" s="445"/>
      <c r="B406" s="38"/>
      <c r="C406" s="38"/>
      <c r="D406" s="38"/>
      <c r="E406" s="1570" t="str">
        <f>E_EnergyFlows!E293</f>
        <v>Iekārtas vai vienības nosaukums</v>
      </c>
      <c r="F406" s="1570"/>
      <c r="G406" s="1570"/>
      <c r="H406" s="52" t="str">
        <f>E_EnergyFlows!H293</f>
        <v>Vienība</v>
      </c>
      <c r="I406" s="412">
        <f>E_EnergyFlows!I293</f>
        <v>2019</v>
      </c>
      <c r="J406" s="412">
        <f>E_EnergyFlows!J293</f>
        <v>2020</v>
      </c>
      <c r="K406" s="412">
        <f>E_EnergyFlows!K293</f>
        <v>2021</v>
      </c>
      <c r="L406" s="412">
        <f>E_EnergyFlows!L293</f>
        <v>2022</v>
      </c>
      <c r="M406" s="436">
        <f>E_EnergyFlows!M293</f>
        <v>2023</v>
      </c>
      <c r="N406" s="578"/>
      <c r="O406" s="25"/>
      <c r="P406" s="445"/>
      <c r="Q406" s="445"/>
      <c r="R406" s="445"/>
      <c r="S406" s="445"/>
      <c r="T406" s="437"/>
    </row>
    <row r="407" spans="1:20" x14ac:dyDescent="0.2">
      <c r="A407" s="445"/>
      <c r="B407" s="38"/>
      <c r="C407" s="212"/>
      <c r="D407" s="212"/>
      <c r="E407" s="1900" t="str">
        <f>IF(ISBLANK(E_EnergyFlows!E294),"",E_EnergyFlows!E294)</f>
        <v/>
      </c>
      <c r="F407" s="1900"/>
      <c r="G407" s="1900"/>
      <c r="H407" s="55" t="str">
        <f>E_EnergyFlows!H294</f>
        <v>TJ / gads</v>
      </c>
      <c r="I407" s="699" t="str">
        <f>IF(ISBLANK(E_EnergyFlows!I294),"",E_EnergyFlows!I294)</f>
        <v/>
      </c>
      <c r="J407" s="699" t="str">
        <f>IF(ISBLANK(E_EnergyFlows!J294),"",E_EnergyFlows!J294)</f>
        <v/>
      </c>
      <c r="K407" s="699" t="str">
        <f>IF(ISBLANK(E_EnergyFlows!K294),"",E_EnergyFlows!K294)</f>
        <v/>
      </c>
      <c r="L407" s="699" t="str">
        <f>IF(ISBLANK(E_EnergyFlows!L294),"",E_EnergyFlows!L294)</f>
        <v/>
      </c>
      <c r="M407" s="699" t="str">
        <f>IF(ISBLANK(E_EnergyFlows!M294),"",E_EnergyFlows!M294)</f>
        <v/>
      </c>
      <c r="N407" s="25"/>
      <c r="O407" s="25"/>
      <c r="P407" s="445"/>
      <c r="Q407" s="445"/>
      <c r="R407" s="445"/>
      <c r="S407" s="445"/>
      <c r="T407" s="437"/>
    </row>
    <row r="408" spans="1:20" x14ac:dyDescent="0.2">
      <c r="A408" s="445"/>
      <c r="B408" s="38"/>
      <c r="C408" s="212"/>
      <c r="D408" s="212"/>
      <c r="E408" s="1901" t="str">
        <f>IF(ISBLANK(E_EnergyFlows!E295),"",E_EnergyFlows!E295)</f>
        <v/>
      </c>
      <c r="F408" s="1901"/>
      <c r="G408" s="1901"/>
      <c r="H408" s="56" t="str">
        <f>E_EnergyFlows!H295</f>
        <v>TJ / gads</v>
      </c>
      <c r="I408" s="521" t="str">
        <f>IF(ISBLANK(E_EnergyFlows!I295),"",E_EnergyFlows!I295)</f>
        <v/>
      </c>
      <c r="J408" s="521" t="str">
        <f>IF(ISBLANK(E_EnergyFlows!J295),"",E_EnergyFlows!J295)</f>
        <v/>
      </c>
      <c r="K408" s="521" t="str">
        <f>IF(ISBLANK(E_EnergyFlows!K295),"",E_EnergyFlows!K295)</f>
        <v/>
      </c>
      <c r="L408" s="521" t="str">
        <f>IF(ISBLANK(E_EnergyFlows!L295),"",E_EnergyFlows!L295)</f>
        <v/>
      </c>
      <c r="M408" s="521" t="str">
        <f>IF(ISBLANK(E_EnergyFlows!M295),"",E_EnergyFlows!M295)</f>
        <v/>
      </c>
      <c r="N408" s="25"/>
      <c r="O408" s="25"/>
      <c r="P408" s="445"/>
      <c r="Q408" s="445"/>
      <c r="R408" s="445"/>
      <c r="S408" s="445"/>
      <c r="T408" s="437"/>
    </row>
    <row r="409" spans="1:20" x14ac:dyDescent="0.2">
      <c r="A409" s="445"/>
      <c r="B409" s="38"/>
      <c r="C409" s="212"/>
      <c r="D409" s="212"/>
      <c r="E409" s="1902" t="str">
        <f>IF(ISBLANK(E_EnergyFlows!E296),"",E_EnergyFlows!E296)</f>
        <v/>
      </c>
      <c r="F409" s="1902"/>
      <c r="G409" s="1902"/>
      <c r="H409" s="59" t="str">
        <f>E_EnergyFlows!H296</f>
        <v>TJ / gads</v>
      </c>
      <c r="I409" s="700" t="str">
        <f>IF(ISBLANK(E_EnergyFlows!I296),"",E_EnergyFlows!I296)</f>
        <v/>
      </c>
      <c r="J409" s="700" t="str">
        <f>IF(ISBLANK(E_EnergyFlows!J296),"",E_EnergyFlows!J296)</f>
        <v/>
      </c>
      <c r="K409" s="700" t="str">
        <f>IF(ISBLANK(E_EnergyFlows!K296),"",E_EnergyFlows!K296)</f>
        <v/>
      </c>
      <c r="L409" s="700" t="str">
        <f>IF(ISBLANK(E_EnergyFlows!L296),"",E_EnergyFlows!L296)</f>
        <v/>
      </c>
      <c r="M409" s="700" t="str">
        <f>IF(ISBLANK(E_EnergyFlows!M296),"",E_EnergyFlows!M296)</f>
        <v/>
      </c>
      <c r="N409" s="25"/>
      <c r="O409" s="25"/>
      <c r="P409" s="445"/>
      <c r="Q409" s="445"/>
      <c r="R409" s="445"/>
      <c r="S409" s="445"/>
      <c r="T409" s="437"/>
    </row>
    <row r="410" spans="1:20" x14ac:dyDescent="0.2">
      <c r="A410" s="445"/>
      <c r="B410" s="38"/>
      <c r="C410" s="212"/>
      <c r="D410" s="212"/>
      <c r="E410" s="1574" t="str">
        <f>E_EnergyFlows!E297</f>
        <v>Starpsumma</v>
      </c>
      <c r="F410" s="1574"/>
      <c r="G410" s="1574"/>
      <c r="H410" s="70" t="str">
        <f>E_EnergyFlows!H297</f>
        <v>TJ / gads</v>
      </c>
      <c r="I410" s="328" t="str">
        <f>E_EnergyFlows!I297</f>
        <v/>
      </c>
      <c r="J410" s="328" t="str">
        <f>E_EnergyFlows!J297</f>
        <v/>
      </c>
      <c r="K410" s="328" t="str">
        <f>E_EnergyFlows!K297</f>
        <v/>
      </c>
      <c r="L410" s="328" t="str">
        <f>E_EnergyFlows!L297</f>
        <v/>
      </c>
      <c r="M410" s="328" t="str">
        <f>E_EnergyFlows!M297</f>
        <v/>
      </c>
      <c r="N410" s="25"/>
      <c r="O410" s="25"/>
      <c r="P410" s="445"/>
      <c r="Q410" s="445"/>
      <c r="R410" s="445"/>
      <c r="S410" s="445"/>
      <c r="T410" s="437"/>
    </row>
    <row r="411" spans="1:20" ht="5.0999999999999996" customHeight="1" x14ac:dyDescent="0.2">
      <c r="A411" s="445"/>
      <c r="B411" s="21"/>
      <c r="C411" s="21"/>
      <c r="D411" s="21"/>
      <c r="E411" s="21"/>
      <c r="F411" s="21"/>
      <c r="G411" s="21"/>
      <c r="H411" s="21"/>
      <c r="I411" s="21"/>
      <c r="J411" s="21"/>
      <c r="K411" s="21"/>
      <c r="L411" s="21"/>
      <c r="M411" s="21"/>
      <c r="N411" s="21"/>
      <c r="O411" s="25"/>
      <c r="P411" s="624"/>
      <c r="Q411" s="445"/>
      <c r="R411" s="445"/>
      <c r="S411" s="445"/>
      <c r="T411" s="437"/>
    </row>
    <row r="412" spans="1:20" ht="12.75" customHeight="1" x14ac:dyDescent="0.2">
      <c r="A412" s="445"/>
      <c r="B412" s="21"/>
      <c r="C412" s="32"/>
      <c r="D412" s="32" t="str">
        <f>E_EnergyFlows!D299</f>
        <v>(e)</v>
      </c>
      <c r="E412" s="1557" t="str">
        <f>E_EnergyFlows!E299</f>
        <v>Uz citām iekārtām vai vienībām eksportētas atlikumgāzes</v>
      </c>
      <c r="F412" s="1558"/>
      <c r="G412" s="1558"/>
      <c r="H412" s="1558"/>
      <c r="I412" s="1558"/>
      <c r="J412" s="1558"/>
      <c r="K412" s="1558"/>
      <c r="L412" s="1558"/>
      <c r="M412" s="1558"/>
      <c r="N412" s="1558"/>
      <c r="O412" s="25"/>
      <c r="P412" s="624"/>
      <c r="Q412" s="445"/>
      <c r="R412" s="445"/>
      <c r="S412" s="445"/>
      <c r="T412" s="437"/>
    </row>
    <row r="413" spans="1:20" x14ac:dyDescent="0.2">
      <c r="A413" s="445"/>
      <c r="B413" s="38"/>
      <c r="C413" s="38"/>
      <c r="D413" s="38"/>
      <c r="E413" s="1570" t="str">
        <f>E_EnergyFlows!E301</f>
        <v>Iekārtas vai vienības nosaukums</v>
      </c>
      <c r="F413" s="1573"/>
      <c r="G413" s="1573"/>
      <c r="H413" s="52" t="str">
        <f>E_EnergyFlows!H301</f>
        <v>Vienība</v>
      </c>
      <c r="I413" s="412">
        <f>E_EnergyFlows!I301</f>
        <v>2019</v>
      </c>
      <c r="J413" s="412">
        <f>E_EnergyFlows!J301</f>
        <v>2020</v>
      </c>
      <c r="K413" s="412">
        <f>E_EnergyFlows!K301</f>
        <v>2021</v>
      </c>
      <c r="L413" s="412">
        <f>E_EnergyFlows!L301</f>
        <v>2022</v>
      </c>
      <c r="M413" s="436">
        <f>E_EnergyFlows!M301</f>
        <v>2023</v>
      </c>
      <c r="N413" s="578"/>
      <c r="O413" s="25"/>
      <c r="P413" s="445"/>
      <c r="Q413" s="445"/>
      <c r="R413" s="445"/>
      <c r="S413" s="445"/>
      <c r="T413" s="437"/>
    </row>
    <row r="414" spans="1:20" x14ac:dyDescent="0.2">
      <c r="A414" s="445"/>
      <c r="B414" s="38"/>
      <c r="C414" s="212"/>
      <c r="D414" s="212"/>
      <c r="E414" s="1900" t="str">
        <f>IF(ISBLANK(E_EnergyFlows!E302),"",E_EnergyFlows!E302)</f>
        <v/>
      </c>
      <c r="F414" s="1900"/>
      <c r="G414" s="1900"/>
      <c r="H414" s="55" t="str">
        <f>E_EnergyFlows!H302</f>
        <v>TJ / gads</v>
      </c>
      <c r="I414" s="699" t="str">
        <f>IF(ISBLANK(E_EnergyFlows!I302),"",E_EnergyFlows!I302)</f>
        <v/>
      </c>
      <c r="J414" s="699" t="str">
        <f>IF(ISBLANK(E_EnergyFlows!J302),"",E_EnergyFlows!J302)</f>
        <v/>
      </c>
      <c r="K414" s="699" t="str">
        <f>IF(ISBLANK(E_EnergyFlows!K302),"",E_EnergyFlows!K302)</f>
        <v/>
      </c>
      <c r="L414" s="699" t="str">
        <f>IF(ISBLANK(E_EnergyFlows!L302),"",E_EnergyFlows!L302)</f>
        <v/>
      </c>
      <c r="M414" s="849" t="str">
        <f>IF(ISBLANK(E_EnergyFlows!M302),"",E_EnergyFlows!M302)</f>
        <v/>
      </c>
      <c r="N414" s="25"/>
      <c r="O414" s="25"/>
      <c r="P414" s="445"/>
      <c r="Q414" s="445"/>
      <c r="R414" s="445"/>
      <c r="S414" s="445"/>
      <c r="T414" s="437"/>
    </row>
    <row r="415" spans="1:20" x14ac:dyDescent="0.2">
      <c r="A415" s="445"/>
      <c r="B415" s="38"/>
      <c r="C415" s="212"/>
      <c r="D415" s="212"/>
      <c r="E415" s="1901" t="str">
        <f>IF(ISBLANK(E_EnergyFlows!E303),"",E_EnergyFlows!E303)</f>
        <v/>
      </c>
      <c r="F415" s="1901"/>
      <c r="G415" s="1901"/>
      <c r="H415" s="56" t="str">
        <f>E_EnergyFlows!H303</f>
        <v>TJ / gads</v>
      </c>
      <c r="I415" s="521" t="str">
        <f>IF(ISBLANK(E_EnergyFlows!I303),"",E_EnergyFlows!I303)</f>
        <v/>
      </c>
      <c r="J415" s="521" t="str">
        <f>IF(ISBLANK(E_EnergyFlows!J303),"",E_EnergyFlows!J303)</f>
        <v/>
      </c>
      <c r="K415" s="521" t="str">
        <f>IF(ISBLANK(E_EnergyFlows!K303),"",E_EnergyFlows!K303)</f>
        <v/>
      </c>
      <c r="L415" s="521" t="str">
        <f>IF(ISBLANK(E_EnergyFlows!L303),"",E_EnergyFlows!L303)</f>
        <v/>
      </c>
      <c r="M415" s="850" t="str">
        <f>IF(ISBLANK(E_EnergyFlows!M303),"",E_EnergyFlows!M303)</f>
        <v/>
      </c>
      <c r="N415" s="25"/>
      <c r="O415" s="25"/>
      <c r="P415" s="445"/>
      <c r="Q415" s="445"/>
      <c r="R415" s="445"/>
      <c r="S415" s="445"/>
      <c r="T415" s="437"/>
    </row>
    <row r="416" spans="1:20" x14ac:dyDescent="0.2">
      <c r="A416" s="445"/>
      <c r="B416" s="38"/>
      <c r="C416" s="212"/>
      <c r="D416" s="212"/>
      <c r="E416" s="1902" t="str">
        <f>IF(ISBLANK(E_EnergyFlows!E304),"",E_EnergyFlows!E304)</f>
        <v/>
      </c>
      <c r="F416" s="1902"/>
      <c r="G416" s="1902"/>
      <c r="H416" s="59" t="str">
        <f>E_EnergyFlows!H304</f>
        <v>TJ / gads</v>
      </c>
      <c r="I416" s="700" t="str">
        <f>IF(ISBLANK(E_EnergyFlows!I304),"",E_EnergyFlows!I304)</f>
        <v/>
      </c>
      <c r="J416" s="700" t="str">
        <f>IF(ISBLANK(E_EnergyFlows!J304),"",E_EnergyFlows!J304)</f>
        <v/>
      </c>
      <c r="K416" s="700" t="str">
        <f>IF(ISBLANK(E_EnergyFlows!K304),"",E_EnergyFlows!K304)</f>
        <v/>
      </c>
      <c r="L416" s="700" t="str">
        <f>IF(ISBLANK(E_EnergyFlows!L304),"",E_EnergyFlows!L304)</f>
        <v/>
      </c>
      <c r="M416" s="851" t="str">
        <f>IF(ISBLANK(E_EnergyFlows!M304),"",E_EnergyFlows!M304)</f>
        <v/>
      </c>
      <c r="N416" s="25"/>
      <c r="O416" s="25"/>
      <c r="P416" s="445"/>
      <c r="Q416" s="445"/>
      <c r="R416" s="445"/>
      <c r="S416" s="445"/>
      <c r="T416" s="437"/>
    </row>
    <row r="417" spans="1:20" x14ac:dyDescent="0.2">
      <c r="A417" s="445"/>
      <c r="B417" s="38"/>
      <c r="C417" s="212"/>
      <c r="D417" s="212"/>
      <c r="E417" s="1574" t="str">
        <f>E_EnergyFlows!E305</f>
        <v>Starpsumma</v>
      </c>
      <c r="F417" s="1574"/>
      <c r="G417" s="1574"/>
      <c r="H417" s="70" t="str">
        <f>E_EnergyFlows!H305</f>
        <v>TJ / gads</v>
      </c>
      <c r="I417" s="328" t="str">
        <f>E_EnergyFlows!I305</f>
        <v/>
      </c>
      <c r="J417" s="328" t="str">
        <f>E_EnergyFlows!J305</f>
        <v/>
      </c>
      <c r="K417" s="328" t="str">
        <f>E_EnergyFlows!K305</f>
        <v/>
      </c>
      <c r="L417" s="328" t="str">
        <f>E_EnergyFlows!L305</f>
        <v/>
      </c>
      <c r="M417" s="327" t="str">
        <f>E_EnergyFlows!M305</f>
        <v/>
      </c>
      <c r="N417" s="25"/>
      <c r="O417" s="25"/>
      <c r="P417" s="445"/>
      <c r="Q417" s="445"/>
      <c r="R417" s="445"/>
      <c r="S417" s="445"/>
      <c r="T417" s="437"/>
    </row>
    <row r="418" spans="1:20" ht="5.0999999999999996" customHeight="1" x14ac:dyDescent="0.2">
      <c r="A418" s="445"/>
      <c r="B418" s="21"/>
      <c r="C418" s="21"/>
      <c r="D418" s="21"/>
      <c r="E418" s="21"/>
      <c r="F418" s="21"/>
      <c r="G418" s="21"/>
      <c r="H418" s="21"/>
      <c r="I418" s="21"/>
      <c r="J418" s="21"/>
      <c r="K418" s="21"/>
      <c r="L418" s="21"/>
      <c r="M418" s="21"/>
      <c r="N418" s="21"/>
      <c r="O418" s="25"/>
      <c r="P418" s="624"/>
      <c r="Q418" s="445"/>
      <c r="R418" s="445"/>
      <c r="S418" s="445"/>
      <c r="T418" s="437"/>
    </row>
    <row r="419" spans="1:20" x14ac:dyDescent="0.2">
      <c r="A419" s="445"/>
      <c r="B419" s="21"/>
      <c r="C419" s="32"/>
      <c r="D419" s="32" t="str">
        <f>E_EnergyFlows!D307</f>
        <v>(f)</v>
      </c>
      <c r="E419" s="1568" t="str">
        <f>E_EnergyFlows!E307</f>
        <v>Iekārtā pieejamo atlikumgāzu summa (=c+d-e)</v>
      </c>
      <c r="F419" s="1569"/>
      <c r="G419" s="1569"/>
      <c r="H419" s="1569"/>
      <c r="I419" s="1569"/>
      <c r="J419" s="1569"/>
      <c r="K419" s="1569"/>
      <c r="L419" s="1569"/>
      <c r="M419" s="1569"/>
      <c r="N419" s="1569"/>
      <c r="O419" s="25"/>
      <c r="P419" s="624"/>
      <c r="Q419" s="445"/>
      <c r="R419" s="445"/>
      <c r="S419" s="445"/>
      <c r="T419" s="437"/>
    </row>
    <row r="420" spans="1:20" x14ac:dyDescent="0.2">
      <c r="A420" s="445"/>
      <c r="B420" s="38"/>
      <c r="C420" s="38"/>
      <c r="D420" s="38"/>
      <c r="E420" s="1554" t="str">
        <f>E_EnergyFlows!E308</f>
        <v>Pieejamās atlikumgāzes</v>
      </c>
      <c r="F420" s="1574"/>
      <c r="G420" s="1574"/>
      <c r="H420" s="70" t="str">
        <f>E_EnergyFlows!H308</f>
        <v>TJ / gads</v>
      </c>
      <c r="I420" s="328" t="str">
        <f>E_EnergyFlows!I308</f>
        <v/>
      </c>
      <c r="J420" s="328" t="str">
        <f>E_EnergyFlows!J308</f>
        <v/>
      </c>
      <c r="K420" s="328" t="str">
        <f>E_EnergyFlows!K308</f>
        <v/>
      </c>
      <c r="L420" s="328" t="str">
        <f>E_EnergyFlows!L308</f>
        <v/>
      </c>
      <c r="M420" s="328" t="str">
        <f>E_EnergyFlows!M308</f>
        <v/>
      </c>
      <c r="N420" s="25"/>
      <c r="O420" s="25"/>
      <c r="P420" s="445"/>
      <c r="Q420" s="445"/>
      <c r="R420" s="445"/>
      <c r="S420" s="445"/>
      <c r="T420" s="437"/>
    </row>
    <row r="421" spans="1:20" ht="5.0999999999999996" customHeight="1" x14ac:dyDescent="0.2">
      <c r="A421" s="445"/>
      <c r="B421" s="38"/>
      <c r="C421" s="38"/>
      <c r="D421" s="38"/>
      <c r="E421" s="38"/>
      <c r="F421" s="38"/>
      <c r="G421" s="38"/>
      <c r="H421" s="38"/>
      <c r="I421" s="38"/>
      <c r="J421" s="38"/>
      <c r="K421" s="38"/>
      <c r="L421" s="38"/>
      <c r="M421" s="38"/>
      <c r="N421" s="38"/>
      <c r="O421" s="25"/>
      <c r="P421" s="445"/>
      <c r="Q421" s="445"/>
      <c r="R421" s="445"/>
      <c r="S421" s="445"/>
      <c r="T421" s="437"/>
    </row>
    <row r="422" spans="1:20" x14ac:dyDescent="0.2">
      <c r="A422" s="445"/>
      <c r="B422" s="21"/>
      <c r="C422" s="32"/>
      <c r="D422" s="32" t="str">
        <f>E_EnergyFlows!D310</f>
        <v>(g)</v>
      </c>
      <c r="E422" s="1557" t="str">
        <f>E_EnergyFlows!E310</f>
        <v>Produkta līmeņatzīmes apakšiekārtās patērētās atlikumgāzes</v>
      </c>
      <c r="F422" s="1558"/>
      <c r="G422" s="1558"/>
      <c r="H422" s="1558"/>
      <c r="I422" s="1558"/>
      <c r="J422" s="1558"/>
      <c r="K422" s="1558"/>
      <c r="L422" s="1558"/>
      <c r="M422" s="1558"/>
      <c r="N422" s="1558"/>
      <c r="O422" s="25"/>
      <c r="P422" s="624"/>
      <c r="Q422" s="445"/>
      <c r="R422" s="445"/>
      <c r="S422" s="445"/>
      <c r="T422" s="437"/>
    </row>
    <row r="423" spans="1:20" x14ac:dyDescent="0.2">
      <c r="A423" s="445"/>
      <c r="B423" s="38"/>
      <c r="C423" s="38"/>
      <c r="D423" s="38"/>
      <c r="E423" s="1570" t="str">
        <f>E_EnergyFlows!E312</f>
        <v>Produkta LA apakšiekārtas veids</v>
      </c>
      <c r="F423" s="1573"/>
      <c r="G423" s="1573"/>
      <c r="H423" s="52" t="str">
        <f>E_EnergyFlows!H312</f>
        <v>Vienība</v>
      </c>
      <c r="I423" s="412">
        <f>E_EnergyFlows!I312</f>
        <v>2019</v>
      </c>
      <c r="J423" s="412">
        <f>E_EnergyFlows!J312</f>
        <v>2020</v>
      </c>
      <c r="K423" s="412">
        <f>E_EnergyFlows!K312</f>
        <v>2021</v>
      </c>
      <c r="L423" s="412">
        <f>E_EnergyFlows!L312</f>
        <v>2022</v>
      </c>
      <c r="M423" s="412">
        <f>E_EnergyFlows!M312</f>
        <v>2023</v>
      </c>
      <c r="N423" s="25"/>
      <c r="O423" s="25"/>
      <c r="P423" s="624"/>
      <c r="Q423" s="624"/>
      <c r="R423" s="624"/>
      <c r="S423" s="624"/>
      <c r="T423" s="437"/>
    </row>
    <row r="424" spans="1:20" ht="12.75" customHeight="1" x14ac:dyDescent="0.2">
      <c r="A424" s="445"/>
      <c r="B424" s="38"/>
      <c r="C424" s="38"/>
      <c r="D424" s="440"/>
      <c r="E424" s="1571" t="str">
        <f>E_EnergyFlows!E313</f>
        <v/>
      </c>
      <c r="F424" s="1571"/>
      <c r="G424" s="1571"/>
      <c r="H424" s="449" t="str">
        <f>E_EnergyFlows!H313</f>
        <v>TJ / gads</v>
      </c>
      <c r="I424" s="699" t="str">
        <f>E_EnergyFlows!I313</f>
        <v/>
      </c>
      <c r="J424" s="699" t="str">
        <f>E_EnergyFlows!J313</f>
        <v/>
      </c>
      <c r="K424" s="699" t="str">
        <f>E_EnergyFlows!K313</f>
        <v/>
      </c>
      <c r="L424" s="699" t="str">
        <f>E_EnergyFlows!L313</f>
        <v/>
      </c>
      <c r="M424" s="699" t="str">
        <f>E_EnergyFlows!M313</f>
        <v/>
      </c>
      <c r="N424" s="25"/>
      <c r="O424" s="25"/>
      <c r="P424" s="624"/>
      <c r="Q424" s="624"/>
      <c r="R424" s="624"/>
      <c r="S424" s="624"/>
      <c r="T424" s="437"/>
    </row>
    <row r="425" spans="1:20" x14ac:dyDescent="0.2">
      <c r="A425" s="445"/>
      <c r="B425" s="38"/>
      <c r="C425" s="38"/>
      <c r="D425" s="440"/>
      <c r="E425" s="1571" t="str">
        <f>E_EnergyFlows!E314</f>
        <v/>
      </c>
      <c r="F425" s="1571"/>
      <c r="G425" s="1571"/>
      <c r="H425" s="450" t="str">
        <f>E_EnergyFlows!H314</f>
        <v>TJ / gads</v>
      </c>
      <c r="I425" s="521" t="str">
        <f>E_EnergyFlows!I314</f>
        <v/>
      </c>
      <c r="J425" s="521" t="str">
        <f>E_EnergyFlows!J314</f>
        <v/>
      </c>
      <c r="K425" s="521" t="str">
        <f>E_EnergyFlows!K314</f>
        <v/>
      </c>
      <c r="L425" s="521" t="str">
        <f>E_EnergyFlows!L314</f>
        <v/>
      </c>
      <c r="M425" s="521" t="str">
        <f>E_EnergyFlows!M314</f>
        <v/>
      </c>
      <c r="N425" s="25"/>
      <c r="O425" s="25"/>
      <c r="P425" s="624"/>
      <c r="Q425" s="624"/>
      <c r="R425" s="624"/>
      <c r="S425" s="624"/>
      <c r="T425" s="437"/>
    </row>
    <row r="426" spans="1:20" ht="12.75" customHeight="1" x14ac:dyDescent="0.2">
      <c r="A426" s="445"/>
      <c r="B426" s="38"/>
      <c r="C426" s="38"/>
      <c r="D426" s="440"/>
      <c r="E426" s="1571" t="str">
        <f>E_EnergyFlows!E315</f>
        <v/>
      </c>
      <c r="F426" s="1571"/>
      <c r="G426" s="1571"/>
      <c r="H426" s="450" t="str">
        <f>E_EnergyFlows!H315</f>
        <v>TJ / gads</v>
      </c>
      <c r="I426" s="521" t="str">
        <f>E_EnergyFlows!I315</f>
        <v/>
      </c>
      <c r="J426" s="521" t="str">
        <f>E_EnergyFlows!J315</f>
        <v/>
      </c>
      <c r="K426" s="521" t="str">
        <f>E_EnergyFlows!K315</f>
        <v/>
      </c>
      <c r="L426" s="521" t="str">
        <f>E_EnergyFlows!L315</f>
        <v/>
      </c>
      <c r="M426" s="521" t="str">
        <f>E_EnergyFlows!M315</f>
        <v/>
      </c>
      <c r="N426" s="25"/>
      <c r="O426" s="25"/>
      <c r="P426" s="624"/>
      <c r="Q426" s="624"/>
      <c r="R426" s="624"/>
      <c r="S426" s="624"/>
      <c r="T426" s="437"/>
    </row>
    <row r="427" spans="1:20" x14ac:dyDescent="0.2">
      <c r="A427" s="445"/>
      <c r="B427" s="38"/>
      <c r="C427" s="38"/>
      <c r="D427" s="440"/>
      <c r="E427" s="1571" t="str">
        <f>E_EnergyFlows!E316</f>
        <v/>
      </c>
      <c r="F427" s="1571"/>
      <c r="G427" s="1571"/>
      <c r="H427" s="450" t="str">
        <f>E_EnergyFlows!H316</f>
        <v>TJ / gads</v>
      </c>
      <c r="I427" s="521" t="str">
        <f>E_EnergyFlows!I316</f>
        <v/>
      </c>
      <c r="J427" s="521" t="str">
        <f>E_EnergyFlows!J316</f>
        <v/>
      </c>
      <c r="K427" s="521" t="str">
        <f>E_EnergyFlows!K316</f>
        <v/>
      </c>
      <c r="L427" s="521" t="str">
        <f>E_EnergyFlows!L316</f>
        <v/>
      </c>
      <c r="M427" s="521" t="str">
        <f>E_EnergyFlows!M316</f>
        <v/>
      </c>
      <c r="N427" s="25"/>
      <c r="O427" s="25"/>
      <c r="P427" s="624"/>
      <c r="Q427" s="624"/>
      <c r="R427" s="624"/>
      <c r="S427" s="624"/>
      <c r="T427" s="437"/>
    </row>
    <row r="428" spans="1:20" x14ac:dyDescent="0.2">
      <c r="A428" s="445"/>
      <c r="B428" s="38"/>
      <c r="C428" s="38"/>
      <c r="D428" s="440"/>
      <c r="E428" s="1571" t="str">
        <f>E_EnergyFlows!E317</f>
        <v/>
      </c>
      <c r="F428" s="1571"/>
      <c r="G428" s="1571"/>
      <c r="H428" s="450" t="str">
        <f>E_EnergyFlows!H317</f>
        <v>TJ / gads</v>
      </c>
      <c r="I428" s="521" t="str">
        <f>E_EnergyFlows!I317</f>
        <v/>
      </c>
      <c r="J428" s="521" t="str">
        <f>E_EnergyFlows!J317</f>
        <v/>
      </c>
      <c r="K428" s="521" t="str">
        <f>E_EnergyFlows!K317</f>
        <v/>
      </c>
      <c r="L428" s="521" t="str">
        <f>E_EnergyFlows!L317</f>
        <v/>
      </c>
      <c r="M428" s="521" t="str">
        <f>E_EnergyFlows!M317</f>
        <v/>
      </c>
      <c r="N428" s="25"/>
      <c r="O428" s="25"/>
      <c r="P428" s="624"/>
      <c r="Q428" s="624"/>
      <c r="R428" s="624"/>
      <c r="S428" s="624"/>
      <c r="T428" s="437"/>
    </row>
    <row r="429" spans="1:20" x14ac:dyDescent="0.2">
      <c r="A429" s="445"/>
      <c r="B429" s="38"/>
      <c r="C429" s="38"/>
      <c r="D429" s="440"/>
      <c r="E429" s="1571" t="str">
        <f>E_EnergyFlows!E318</f>
        <v/>
      </c>
      <c r="F429" s="1571"/>
      <c r="G429" s="1571"/>
      <c r="H429" s="450" t="str">
        <f>E_EnergyFlows!H318</f>
        <v>TJ / gads</v>
      </c>
      <c r="I429" s="521" t="str">
        <f>E_EnergyFlows!I318</f>
        <v/>
      </c>
      <c r="J429" s="521" t="str">
        <f>E_EnergyFlows!J318</f>
        <v/>
      </c>
      <c r="K429" s="521" t="str">
        <f>E_EnergyFlows!K318</f>
        <v/>
      </c>
      <c r="L429" s="521" t="str">
        <f>E_EnergyFlows!L318</f>
        <v/>
      </c>
      <c r="M429" s="521" t="str">
        <f>E_EnergyFlows!M318</f>
        <v/>
      </c>
      <c r="N429" s="25"/>
      <c r="O429" s="25"/>
      <c r="P429" s="624"/>
      <c r="Q429" s="624"/>
      <c r="R429" s="624"/>
      <c r="S429" s="624"/>
      <c r="T429" s="437"/>
    </row>
    <row r="430" spans="1:20" x14ac:dyDescent="0.2">
      <c r="A430" s="445"/>
      <c r="B430" s="38"/>
      <c r="C430" s="38"/>
      <c r="D430" s="440"/>
      <c r="E430" s="1571" t="str">
        <f>E_EnergyFlows!E319</f>
        <v/>
      </c>
      <c r="F430" s="1571"/>
      <c r="G430" s="1571"/>
      <c r="H430" s="450" t="str">
        <f>E_EnergyFlows!H319</f>
        <v>TJ / gads</v>
      </c>
      <c r="I430" s="521" t="str">
        <f>E_EnergyFlows!I319</f>
        <v/>
      </c>
      <c r="J430" s="521" t="str">
        <f>E_EnergyFlows!J319</f>
        <v/>
      </c>
      <c r="K430" s="521" t="str">
        <f>E_EnergyFlows!K319</f>
        <v/>
      </c>
      <c r="L430" s="521" t="str">
        <f>E_EnergyFlows!L319</f>
        <v/>
      </c>
      <c r="M430" s="521" t="str">
        <f>E_EnergyFlows!M319</f>
        <v/>
      </c>
      <c r="N430" s="25"/>
      <c r="O430" s="25"/>
      <c r="P430" s="624"/>
      <c r="Q430" s="624"/>
      <c r="R430" s="624"/>
      <c r="S430" s="624"/>
      <c r="T430" s="437"/>
    </row>
    <row r="431" spans="1:20" x14ac:dyDescent="0.2">
      <c r="A431" s="445"/>
      <c r="B431" s="38"/>
      <c r="C431" s="38"/>
      <c r="D431" s="440"/>
      <c r="E431" s="1571" t="str">
        <f>E_EnergyFlows!E320</f>
        <v/>
      </c>
      <c r="F431" s="1571"/>
      <c r="G431" s="1571"/>
      <c r="H431" s="450" t="str">
        <f>E_EnergyFlows!H320</f>
        <v>TJ / gads</v>
      </c>
      <c r="I431" s="521" t="str">
        <f>E_EnergyFlows!I320</f>
        <v/>
      </c>
      <c r="J431" s="521" t="str">
        <f>E_EnergyFlows!J320</f>
        <v/>
      </c>
      <c r="K431" s="521" t="str">
        <f>E_EnergyFlows!K320</f>
        <v/>
      </c>
      <c r="L431" s="521" t="str">
        <f>E_EnergyFlows!L320</f>
        <v/>
      </c>
      <c r="M431" s="521" t="str">
        <f>E_EnergyFlows!M320</f>
        <v/>
      </c>
      <c r="N431" s="25"/>
      <c r="O431" s="25"/>
      <c r="P431" s="624"/>
      <c r="Q431" s="624"/>
      <c r="R431" s="624"/>
      <c r="S431" s="624"/>
      <c r="T431" s="437"/>
    </row>
    <row r="432" spans="1:20" x14ac:dyDescent="0.2">
      <c r="A432" s="445"/>
      <c r="B432" s="38"/>
      <c r="C432" s="38"/>
      <c r="D432" s="440"/>
      <c r="E432" s="1571" t="str">
        <f>E_EnergyFlows!E321</f>
        <v/>
      </c>
      <c r="F432" s="1571"/>
      <c r="G432" s="1571"/>
      <c r="H432" s="450" t="str">
        <f>E_EnergyFlows!H321</f>
        <v>TJ / gads</v>
      </c>
      <c r="I432" s="521" t="str">
        <f>E_EnergyFlows!I321</f>
        <v/>
      </c>
      <c r="J432" s="521" t="str">
        <f>E_EnergyFlows!J321</f>
        <v/>
      </c>
      <c r="K432" s="521" t="str">
        <f>E_EnergyFlows!K321</f>
        <v/>
      </c>
      <c r="L432" s="521" t="str">
        <f>E_EnergyFlows!L321</f>
        <v/>
      </c>
      <c r="M432" s="521" t="str">
        <f>E_EnergyFlows!M321</f>
        <v/>
      </c>
      <c r="N432" s="25"/>
      <c r="O432" s="25"/>
      <c r="P432" s="624"/>
      <c r="Q432" s="624"/>
      <c r="R432" s="624"/>
      <c r="S432" s="624"/>
      <c r="T432" s="437"/>
    </row>
    <row r="433" spans="1:20" x14ac:dyDescent="0.2">
      <c r="A433" s="445"/>
      <c r="B433" s="38"/>
      <c r="C433" s="38"/>
      <c r="D433" s="440"/>
      <c r="E433" s="1595" t="str">
        <f>E_EnergyFlows!E322</f>
        <v/>
      </c>
      <c r="F433" s="1595"/>
      <c r="G433" s="1595"/>
      <c r="H433" s="451" t="str">
        <f>E_EnergyFlows!H322</f>
        <v>TJ / gads</v>
      </c>
      <c r="I433" s="700" t="str">
        <f>E_EnergyFlows!I322</f>
        <v/>
      </c>
      <c r="J433" s="700" t="str">
        <f>E_EnergyFlows!J322</f>
        <v/>
      </c>
      <c r="K433" s="700" t="str">
        <f>E_EnergyFlows!K322</f>
        <v/>
      </c>
      <c r="L433" s="700" t="str">
        <f>E_EnergyFlows!L322</f>
        <v/>
      </c>
      <c r="M433" s="700" t="str">
        <f>E_EnergyFlows!M322</f>
        <v/>
      </c>
      <c r="N433" s="25"/>
      <c r="O433" s="25"/>
      <c r="P433" s="624"/>
      <c r="Q433" s="624"/>
      <c r="R433" s="624"/>
      <c r="S433" s="624"/>
      <c r="T433" s="437"/>
    </row>
    <row r="434" spans="1:20" ht="12.75" customHeight="1" x14ac:dyDescent="0.2">
      <c r="A434" s="445"/>
      <c r="B434" s="38"/>
      <c r="C434" s="212"/>
      <c r="D434" s="440"/>
      <c r="E434" s="1572" t="str">
        <f>E_EnergyFlows!E323</f>
        <v>Starpsumma</v>
      </c>
      <c r="F434" s="1572"/>
      <c r="G434" s="1572"/>
      <c r="H434" s="59" t="str">
        <f>E_EnergyFlows!H323</f>
        <v>TJ / gads</v>
      </c>
      <c r="I434" s="448" t="str">
        <f>E_EnergyFlows!I323</f>
        <v/>
      </c>
      <c r="J434" s="448" t="str">
        <f>E_EnergyFlows!J323</f>
        <v/>
      </c>
      <c r="K434" s="448" t="str">
        <f>E_EnergyFlows!K323</f>
        <v/>
      </c>
      <c r="L434" s="448" t="str">
        <f>E_EnergyFlows!L323</f>
        <v/>
      </c>
      <c r="M434" s="448" t="str">
        <f>E_EnergyFlows!M323</f>
        <v/>
      </c>
      <c r="N434" s="25"/>
      <c r="O434" s="25"/>
      <c r="P434" s="624"/>
      <c r="Q434" s="624"/>
      <c r="R434" s="624"/>
      <c r="S434" s="624"/>
      <c r="T434" s="437"/>
    </row>
    <row r="435" spans="1:20" ht="5.0999999999999996" customHeight="1" x14ac:dyDescent="0.2">
      <c r="A435" s="445"/>
      <c r="B435" s="21"/>
      <c r="C435" s="21"/>
      <c r="D435" s="21"/>
      <c r="E435" s="21"/>
      <c r="F435" s="21"/>
      <c r="G435" s="21"/>
      <c r="H435" s="21"/>
      <c r="I435" s="21"/>
      <c r="J435" s="21"/>
      <c r="K435" s="21"/>
      <c r="L435" s="21"/>
      <c r="M435" s="21"/>
      <c r="N435" s="21"/>
      <c r="O435" s="25"/>
      <c r="P435" s="624"/>
      <c r="Q435" s="624"/>
      <c r="R435" s="624"/>
      <c r="S435" s="624"/>
      <c r="T435" s="437"/>
    </row>
    <row r="436" spans="1:20" x14ac:dyDescent="0.2">
      <c r="A436" s="445"/>
      <c r="B436" s="21"/>
      <c r="C436" s="32"/>
      <c r="D436" s="32" t="str">
        <f>E_EnergyFlows!D325</f>
        <v>(h)</v>
      </c>
      <c r="E436" s="1557" t="str">
        <f>E_EnergyFlows!E325</f>
        <v>Alternatīvajās apakšiekārtās patērētās atlikumgāzes</v>
      </c>
      <c r="F436" s="1558"/>
      <c r="G436" s="1558"/>
      <c r="H436" s="1558"/>
      <c r="I436" s="1558"/>
      <c r="J436" s="1558"/>
      <c r="K436" s="1558"/>
      <c r="L436" s="1558"/>
      <c r="M436" s="1558"/>
      <c r="N436" s="1558"/>
      <c r="O436" s="25"/>
      <c r="P436" s="624"/>
      <c r="Q436" s="624"/>
      <c r="R436" s="624"/>
      <c r="S436" s="624"/>
      <c r="T436" s="437"/>
    </row>
    <row r="437" spans="1:20" x14ac:dyDescent="0.2">
      <c r="A437" s="445"/>
      <c r="B437" s="38"/>
      <c r="C437" s="38"/>
      <c r="D437" s="38"/>
      <c r="E437" s="1568" t="str">
        <f>E_EnergyFlows!E327</f>
        <v>Alternatīvās apakšiekārtas veids</v>
      </c>
      <c r="F437" s="1569"/>
      <c r="G437" s="1569"/>
      <c r="H437" s="446" t="str">
        <f>E_EnergyFlows!H327</f>
        <v>Vienība</v>
      </c>
      <c r="I437" s="412">
        <f>E_EnergyFlows!I327</f>
        <v>2019</v>
      </c>
      <c r="J437" s="412">
        <f>E_EnergyFlows!J327</f>
        <v>2020</v>
      </c>
      <c r="K437" s="412">
        <f>E_EnergyFlows!K327</f>
        <v>2021</v>
      </c>
      <c r="L437" s="412">
        <f>E_EnergyFlows!L327</f>
        <v>2022</v>
      </c>
      <c r="M437" s="436">
        <f>E_EnergyFlows!M327</f>
        <v>2023</v>
      </c>
      <c r="N437" s="498"/>
      <c r="O437" s="25"/>
      <c r="P437" s="624"/>
      <c r="Q437" s="624"/>
      <c r="R437" s="624"/>
      <c r="S437" s="624"/>
      <c r="T437" s="437"/>
    </row>
    <row r="438" spans="1:20" ht="12.75" customHeight="1" x14ac:dyDescent="0.2">
      <c r="B438" s="38"/>
      <c r="C438" s="38"/>
      <c r="D438" s="212"/>
      <c r="E438" s="1541" t="str">
        <f>E_EnergyFlows!E328</f>
        <v>Siltuma līmeņatzīmes apakšiekārta, OEP | bez OIM)</v>
      </c>
      <c r="F438" s="1541"/>
      <c r="G438" s="1541"/>
      <c r="H438" s="449" t="str">
        <f>E_EnergyFlows!H328</f>
        <v>TJ / gads</v>
      </c>
      <c r="I438" s="699" t="str">
        <f>E_EnergyFlows!I328</f>
        <v/>
      </c>
      <c r="J438" s="699" t="str">
        <f>E_EnergyFlows!J328</f>
        <v/>
      </c>
      <c r="K438" s="699" t="str">
        <f>E_EnergyFlows!K328</f>
        <v/>
      </c>
      <c r="L438" s="699" t="str">
        <f>E_EnergyFlows!L328</f>
        <v/>
      </c>
      <c r="M438" s="699" t="str">
        <f>E_EnergyFlows!M328</f>
        <v/>
      </c>
      <c r="N438" s="25"/>
      <c r="O438" s="25"/>
      <c r="P438" s="624"/>
      <c r="Q438" s="624"/>
      <c r="R438" s="624"/>
      <c r="S438" s="624"/>
      <c r="T438" s="437"/>
    </row>
    <row r="439" spans="1:20" ht="12.75" customHeight="1" x14ac:dyDescent="0.2">
      <c r="B439" s="38"/>
      <c r="C439" s="38"/>
      <c r="D439" s="212"/>
      <c r="E439" s="1547" t="str">
        <f>E_EnergyFlows!E329</f>
        <v>Siltuma līmeņatzīmes apakšiekārta (bez OEP | bez OIM)</v>
      </c>
      <c r="F439" s="1547"/>
      <c r="G439" s="1547"/>
      <c r="H439" s="450" t="str">
        <f>E_EnergyFlows!H329</f>
        <v>TJ / gads</v>
      </c>
      <c r="I439" s="521" t="str">
        <f>E_EnergyFlows!I329</f>
        <v/>
      </c>
      <c r="J439" s="521" t="str">
        <f>E_EnergyFlows!J329</f>
        <v/>
      </c>
      <c r="K439" s="521" t="str">
        <f>E_EnergyFlows!K329</f>
        <v/>
      </c>
      <c r="L439" s="521" t="str">
        <f>E_EnergyFlows!L329</f>
        <v/>
      </c>
      <c r="M439" s="521" t="str">
        <f>E_EnergyFlows!M329</f>
        <v/>
      </c>
      <c r="N439" s="25"/>
      <c r="O439" s="25"/>
      <c r="P439" s="624"/>
      <c r="Q439" s="624"/>
      <c r="R439" s="624"/>
      <c r="S439" s="624"/>
      <c r="T439" s="437"/>
    </row>
    <row r="440" spans="1:20" ht="12.75" customHeight="1" x14ac:dyDescent="0.2">
      <c r="B440" s="38"/>
      <c r="C440" s="38"/>
      <c r="D440" s="212"/>
      <c r="E440" s="1547" t="str">
        <f>E_EnergyFlows!E330</f>
        <v>Siltuma līmeņatzīmes apakšiekārta, OEP | OIM)</v>
      </c>
      <c r="F440" s="1547"/>
      <c r="G440" s="1547"/>
      <c r="H440" s="450" t="str">
        <f>E_EnergyFlows!H330</f>
        <v>TJ / gads</v>
      </c>
      <c r="I440" s="521" t="str">
        <f>E_EnergyFlows!I330</f>
        <v/>
      </c>
      <c r="J440" s="521" t="str">
        <f>E_EnergyFlows!J330</f>
        <v/>
      </c>
      <c r="K440" s="521" t="str">
        <f>E_EnergyFlows!K330</f>
        <v/>
      </c>
      <c r="L440" s="521" t="str">
        <f>E_EnergyFlows!L330</f>
        <v/>
      </c>
      <c r="M440" s="521" t="str">
        <f>E_EnergyFlows!M330</f>
        <v/>
      </c>
      <c r="N440" s="25"/>
      <c r="O440" s="25"/>
      <c r="P440" s="624"/>
      <c r="Q440" s="624"/>
      <c r="R440" s="624"/>
      <c r="S440" s="624"/>
      <c r="T440" s="437"/>
    </row>
    <row r="441" spans="1:20" ht="12.75" customHeight="1" x14ac:dyDescent="0.2">
      <c r="B441" s="38"/>
      <c r="C441" s="38"/>
      <c r="D441" s="212"/>
      <c r="E441" s="1547" t="str">
        <f>E_EnergyFlows!E331</f>
        <v>Centralizētās siltumapgādes apakšiekārta</v>
      </c>
      <c r="F441" s="1547"/>
      <c r="G441" s="1547"/>
      <c r="H441" s="450" t="str">
        <f>E_EnergyFlows!H331</f>
        <v>TJ / gads</v>
      </c>
      <c r="I441" s="521" t="str">
        <f>E_EnergyFlows!I331</f>
        <v/>
      </c>
      <c r="J441" s="521" t="str">
        <f>E_EnergyFlows!J331</f>
        <v/>
      </c>
      <c r="K441" s="521" t="str">
        <f>E_EnergyFlows!K331</f>
        <v/>
      </c>
      <c r="L441" s="521" t="str">
        <f>E_EnergyFlows!L331</f>
        <v/>
      </c>
      <c r="M441" s="521" t="str">
        <f>E_EnergyFlows!M331</f>
        <v/>
      </c>
      <c r="N441" s="25"/>
      <c r="O441" s="25"/>
      <c r="P441" s="624"/>
      <c r="Q441" s="624"/>
      <c r="R441" s="624"/>
      <c r="S441" s="624"/>
      <c r="T441" s="437"/>
    </row>
    <row r="442" spans="1:20" ht="12.75" customHeight="1" x14ac:dyDescent="0.2">
      <c r="B442" s="38"/>
      <c r="C442" s="38"/>
      <c r="D442" s="212"/>
      <c r="E442" s="1547" t="str">
        <f>E_EnergyFlows!E332</f>
        <v>Kurināmā līmeņatzīmes apakšiekārta (OEP | bez OIM)</v>
      </c>
      <c r="F442" s="1547"/>
      <c r="G442" s="1547"/>
      <c r="H442" s="450" t="str">
        <f>E_EnergyFlows!H332</f>
        <v>TJ / gads</v>
      </c>
      <c r="I442" s="521" t="str">
        <f>E_EnergyFlows!I332</f>
        <v/>
      </c>
      <c r="J442" s="521" t="str">
        <f>E_EnergyFlows!J332</f>
        <v/>
      </c>
      <c r="K442" s="521" t="str">
        <f>E_EnergyFlows!K332</f>
        <v/>
      </c>
      <c r="L442" s="521" t="str">
        <f>E_EnergyFlows!L332</f>
        <v/>
      </c>
      <c r="M442" s="521" t="str">
        <f>E_EnergyFlows!M332</f>
        <v/>
      </c>
      <c r="N442" s="25"/>
      <c r="O442" s="25"/>
      <c r="P442" s="624"/>
      <c r="Q442" s="624"/>
      <c r="R442" s="624"/>
      <c r="S442" s="624"/>
      <c r="T442" s="437"/>
    </row>
    <row r="443" spans="1:20" ht="12.75" customHeight="1" x14ac:dyDescent="0.2">
      <c r="B443" s="38"/>
      <c r="C443" s="38"/>
      <c r="D443" s="212"/>
      <c r="E443" s="1547" t="str">
        <f>E_EnergyFlows!E333</f>
        <v>Kurināmā līmeņatzīmes apakšiekārta (bez OEP | bez OIM)</v>
      </c>
      <c r="F443" s="1547"/>
      <c r="G443" s="1547"/>
      <c r="H443" s="450" t="str">
        <f>E_EnergyFlows!H333</f>
        <v>TJ / gads</v>
      </c>
      <c r="I443" s="521" t="str">
        <f>E_EnergyFlows!I333</f>
        <v/>
      </c>
      <c r="J443" s="521" t="str">
        <f>E_EnergyFlows!J333</f>
        <v/>
      </c>
      <c r="K443" s="521" t="str">
        <f>E_EnergyFlows!K333</f>
        <v/>
      </c>
      <c r="L443" s="521" t="str">
        <f>E_EnergyFlows!L333</f>
        <v/>
      </c>
      <c r="M443" s="521" t="str">
        <f>E_EnergyFlows!M333</f>
        <v/>
      </c>
      <c r="N443" s="25"/>
      <c r="O443" s="25"/>
      <c r="P443" s="624"/>
      <c r="Q443" s="624"/>
      <c r="R443" s="624"/>
      <c r="S443" s="624"/>
      <c r="T443" s="437"/>
    </row>
    <row r="444" spans="1:20" ht="12.75" customHeight="1" x14ac:dyDescent="0.2">
      <c r="B444" s="38"/>
      <c r="C444" s="38"/>
      <c r="D444" s="440"/>
      <c r="E444" s="1550" t="str">
        <f>E_EnergyFlows!E334</f>
        <v>Kurināmā līmeņatzīmes apakšiekārta (OEP | OIM)</v>
      </c>
      <c r="F444" s="1550"/>
      <c r="G444" s="1550"/>
      <c r="H444" s="451" t="str">
        <f>E_EnergyFlows!H334</f>
        <v>TJ / gads</v>
      </c>
      <c r="I444" s="700" t="str">
        <f>E_EnergyFlows!I334</f>
        <v/>
      </c>
      <c r="J444" s="700" t="str">
        <f>E_EnergyFlows!J334</f>
        <v/>
      </c>
      <c r="K444" s="700" t="str">
        <f>E_EnergyFlows!K334</f>
        <v/>
      </c>
      <c r="L444" s="700" t="str">
        <f>E_EnergyFlows!L334</f>
        <v/>
      </c>
      <c r="M444" s="700" t="str">
        <f>E_EnergyFlows!M334</f>
        <v/>
      </c>
      <c r="N444" s="25"/>
      <c r="O444" s="25"/>
      <c r="P444" s="624"/>
      <c r="Q444" s="624"/>
      <c r="R444" s="624"/>
      <c r="S444" s="624"/>
      <c r="T444" s="437"/>
    </row>
    <row r="445" spans="1:20" ht="12.75" customHeight="1" x14ac:dyDescent="0.2">
      <c r="A445" s="445"/>
      <c r="B445" s="38"/>
      <c r="C445" s="38"/>
      <c r="D445" s="440"/>
      <c r="E445" s="1572" t="str">
        <f>E_EnergyFlows!E335</f>
        <v>Starpsumma</v>
      </c>
      <c r="F445" s="1572"/>
      <c r="G445" s="1572"/>
      <c r="H445" s="60" t="str">
        <f>E_EnergyFlows!H335</f>
        <v>TJ / gads</v>
      </c>
      <c r="I445" s="326" t="str">
        <f>E_EnergyFlows!I335</f>
        <v/>
      </c>
      <c r="J445" s="326" t="str">
        <f>E_EnergyFlows!J335</f>
        <v/>
      </c>
      <c r="K445" s="326" t="str">
        <f>E_EnergyFlows!K335</f>
        <v/>
      </c>
      <c r="L445" s="326" t="str">
        <f>E_EnergyFlows!L335</f>
        <v/>
      </c>
      <c r="M445" s="326" t="str">
        <f>E_EnergyFlows!M335</f>
        <v/>
      </c>
      <c r="N445" s="25"/>
      <c r="O445" s="25"/>
      <c r="P445" s="624"/>
      <c r="Q445" s="624"/>
      <c r="R445" s="624"/>
      <c r="S445" s="624"/>
      <c r="T445" s="437"/>
    </row>
    <row r="446" spans="1:20" ht="5.0999999999999996" customHeight="1" x14ac:dyDescent="0.2">
      <c r="A446" s="445"/>
      <c r="B446" s="38"/>
      <c r="C446" s="38"/>
      <c r="D446" s="38"/>
      <c r="E446" s="414"/>
      <c r="F446" s="38"/>
      <c r="G446" s="38"/>
      <c r="H446" s="38"/>
      <c r="I446" s="38"/>
      <c r="J446" s="38"/>
      <c r="K446" s="38"/>
      <c r="L446" s="38"/>
      <c r="M446" s="38"/>
      <c r="N446" s="38"/>
      <c r="O446" s="25"/>
      <c r="P446" s="624"/>
      <c r="Q446" s="624"/>
      <c r="R446" s="624"/>
      <c r="S446" s="624"/>
      <c r="T446" s="437"/>
    </row>
    <row r="447" spans="1:20" x14ac:dyDescent="0.2">
      <c r="A447" s="445"/>
      <c r="B447" s="21"/>
      <c r="C447" s="32"/>
      <c r="D447" s="32" t="str">
        <f>E_EnergyFlows!D337</f>
        <v>(i)</v>
      </c>
      <c r="E447" s="1557" t="str">
        <f>E_EnergyFlows!E337</f>
        <v>Elektroenerģijas ražošanai patērēto atlikumgāzu daudzums</v>
      </c>
      <c r="F447" s="1558"/>
      <c r="G447" s="1558"/>
      <c r="H447" s="1558"/>
      <c r="I447" s="1558"/>
      <c r="J447" s="1558"/>
      <c r="K447" s="1558"/>
      <c r="L447" s="1558"/>
      <c r="M447" s="1558"/>
      <c r="N447" s="1558"/>
      <c r="O447" s="25"/>
      <c r="P447" s="624"/>
      <c r="Q447" s="624"/>
      <c r="R447" s="624"/>
      <c r="S447" s="624"/>
      <c r="T447" s="437"/>
    </row>
    <row r="448" spans="1:20" x14ac:dyDescent="0.2">
      <c r="A448" s="445"/>
      <c r="B448" s="38"/>
      <c r="C448" s="38"/>
      <c r="D448" s="38"/>
      <c r="E448" s="1554" t="str">
        <f>E_EnergyFlows!E338</f>
        <v>Elektroenerģijai patērētās atlikumgāzes</v>
      </c>
      <c r="F448" s="1555"/>
      <c r="G448" s="1555"/>
      <c r="H448" s="70" t="str">
        <f>E_EnergyFlows!H338</f>
        <v>TJ / gads</v>
      </c>
      <c r="I448" s="448" t="str">
        <f>IF(ISBLANK(E_EnergyFlows!I338),"",E_EnergyFlows!I338)</f>
        <v/>
      </c>
      <c r="J448" s="448" t="str">
        <f>IF(ISBLANK(E_EnergyFlows!J338),"",E_EnergyFlows!J338)</f>
        <v/>
      </c>
      <c r="K448" s="448" t="str">
        <f>IF(ISBLANK(E_EnergyFlows!K338),"",E_EnergyFlows!K338)</f>
        <v/>
      </c>
      <c r="L448" s="448" t="str">
        <f>IF(ISBLANK(E_EnergyFlows!L338),"",E_EnergyFlows!L338)</f>
        <v/>
      </c>
      <c r="M448" s="448" t="str">
        <f>IF(ISBLANK(E_EnergyFlows!M338),"",E_EnergyFlows!M338)</f>
        <v/>
      </c>
      <c r="N448" s="44"/>
      <c r="O448" s="25"/>
      <c r="P448" s="624"/>
      <c r="Q448" s="624"/>
      <c r="R448" s="624"/>
      <c r="S448" s="624"/>
      <c r="T448" s="437"/>
    </row>
    <row r="449" spans="1:20" ht="5.0999999999999996" customHeight="1" x14ac:dyDescent="0.2">
      <c r="A449" s="445"/>
      <c r="B449" s="21"/>
      <c r="C449" s="21"/>
      <c r="D449" s="21"/>
      <c r="E449" s="21"/>
      <c r="F449" s="21"/>
      <c r="G449" s="21"/>
      <c r="H449" s="21"/>
      <c r="I449" s="21"/>
      <c r="J449" s="21"/>
      <c r="K449" s="21"/>
      <c r="L449" s="21"/>
      <c r="M449" s="21"/>
      <c r="N449" s="21"/>
      <c r="O449" s="25"/>
      <c r="P449" s="624"/>
      <c r="Q449" s="624"/>
      <c r="R449" s="624"/>
      <c r="S449" s="624"/>
      <c r="T449" s="437"/>
    </row>
    <row r="450" spans="1:20" ht="12.75" customHeight="1" x14ac:dyDescent="0.2">
      <c r="A450" s="445"/>
      <c r="B450" s="21"/>
      <c r="C450" s="32"/>
      <c r="D450" s="32" t="str">
        <f>E_EnergyFlows!D340</f>
        <v>(j)</v>
      </c>
      <c r="E450" s="1557" t="str">
        <f>E_EnergyFlows!E340</f>
        <v>Lāpā sadedzināto atlikumgāzu daudzums (izņemot to, kas sadedzināts drošības apsvērumu dēļ)</v>
      </c>
      <c r="F450" s="1558"/>
      <c r="G450" s="1558"/>
      <c r="H450" s="1558"/>
      <c r="I450" s="1558"/>
      <c r="J450" s="1558"/>
      <c r="K450" s="1558"/>
      <c r="L450" s="1558"/>
      <c r="M450" s="1558"/>
      <c r="N450" s="1558"/>
      <c r="O450" s="25"/>
      <c r="P450" s="624"/>
      <c r="Q450" s="624"/>
      <c r="R450" s="624"/>
      <c r="S450" s="624"/>
      <c r="T450" s="437"/>
    </row>
    <row r="451" spans="1:20" x14ac:dyDescent="0.2">
      <c r="A451" s="445"/>
      <c r="B451" s="38"/>
      <c r="C451" s="38"/>
      <c r="D451" s="38"/>
      <c r="E451" s="1570" t="str">
        <f>E_EnergyFlows!E343</f>
        <v>Apakšiekārta</v>
      </c>
      <c r="F451" s="1573"/>
      <c r="G451" s="1573"/>
      <c r="H451" s="52" t="str">
        <f>E_EnergyFlows!H343</f>
        <v>Vienība</v>
      </c>
      <c r="I451" s="447">
        <f>E_EnergyFlows!I343</f>
        <v>2019</v>
      </c>
      <c r="J451" s="447">
        <f>E_EnergyFlows!J343</f>
        <v>2020</v>
      </c>
      <c r="K451" s="447">
        <f>E_EnergyFlows!K343</f>
        <v>2021</v>
      </c>
      <c r="L451" s="447">
        <f>E_EnergyFlows!L343</f>
        <v>2022</v>
      </c>
      <c r="M451" s="447">
        <f>E_EnergyFlows!M343</f>
        <v>2023</v>
      </c>
      <c r="N451" s="498"/>
      <c r="O451" s="25"/>
      <c r="P451" s="624"/>
      <c r="Q451" s="624"/>
      <c r="R451" s="624"/>
      <c r="S451" s="624"/>
      <c r="T451" s="437"/>
    </row>
    <row r="452" spans="1:20" ht="12.75" customHeight="1" x14ac:dyDescent="0.2">
      <c r="A452" s="445"/>
      <c r="B452" s="38"/>
      <c r="C452" s="38"/>
      <c r="D452" s="440"/>
      <c r="E452" s="1598" t="str">
        <f>E_EnergyFlows!E344</f>
        <v/>
      </c>
      <c r="F452" s="1598"/>
      <c r="G452" s="1598"/>
      <c r="H452" s="449" t="str">
        <f>E_EnergyFlows!H344</f>
        <v>TJ / gads</v>
      </c>
      <c r="I452" s="699" t="str">
        <f>E_EnergyFlows!I344</f>
        <v/>
      </c>
      <c r="J452" s="699" t="str">
        <f>E_EnergyFlows!J344</f>
        <v/>
      </c>
      <c r="K452" s="699" t="str">
        <f>E_EnergyFlows!K344</f>
        <v/>
      </c>
      <c r="L452" s="699" t="str">
        <f>E_EnergyFlows!L344</f>
        <v/>
      </c>
      <c r="M452" s="699" t="str">
        <f>E_EnergyFlows!M344</f>
        <v/>
      </c>
      <c r="N452" s="25"/>
      <c r="O452" s="25"/>
      <c r="P452" s="624"/>
      <c r="Q452" s="624"/>
      <c r="R452" s="624"/>
      <c r="S452" s="624"/>
      <c r="T452" s="437"/>
    </row>
    <row r="453" spans="1:20" ht="12.75" customHeight="1" x14ac:dyDescent="0.2">
      <c r="A453" s="445"/>
      <c r="B453" s="38"/>
      <c r="C453" s="38"/>
      <c r="D453" s="440"/>
      <c r="E453" s="1571" t="str">
        <f>E_EnergyFlows!E345</f>
        <v/>
      </c>
      <c r="F453" s="1571"/>
      <c r="G453" s="1571"/>
      <c r="H453" s="450" t="str">
        <f>E_EnergyFlows!H345</f>
        <v>TJ / gads</v>
      </c>
      <c r="I453" s="521" t="str">
        <f>E_EnergyFlows!I345</f>
        <v/>
      </c>
      <c r="J453" s="521" t="str">
        <f>E_EnergyFlows!J345</f>
        <v/>
      </c>
      <c r="K453" s="521" t="str">
        <f>E_EnergyFlows!K345</f>
        <v/>
      </c>
      <c r="L453" s="521" t="str">
        <f>E_EnergyFlows!L345</f>
        <v/>
      </c>
      <c r="M453" s="521" t="str">
        <f>E_EnergyFlows!M345</f>
        <v/>
      </c>
      <c r="N453" s="25"/>
      <c r="O453" s="25"/>
      <c r="P453" s="624"/>
      <c r="Q453" s="624"/>
      <c r="R453" s="624"/>
      <c r="S453" s="624"/>
      <c r="T453" s="437"/>
    </row>
    <row r="454" spans="1:20" ht="12.75" customHeight="1" x14ac:dyDescent="0.2">
      <c r="A454" s="445"/>
      <c r="B454" s="38"/>
      <c r="C454" s="38"/>
      <c r="D454" s="440"/>
      <c r="E454" s="1571" t="str">
        <f>E_EnergyFlows!E346</f>
        <v/>
      </c>
      <c r="F454" s="1571"/>
      <c r="G454" s="1571"/>
      <c r="H454" s="450" t="str">
        <f>E_EnergyFlows!H346</f>
        <v>TJ / gads</v>
      </c>
      <c r="I454" s="521" t="str">
        <f>E_EnergyFlows!I346</f>
        <v/>
      </c>
      <c r="J454" s="521" t="str">
        <f>E_EnergyFlows!J346</f>
        <v/>
      </c>
      <c r="K454" s="521" t="str">
        <f>E_EnergyFlows!K346</f>
        <v/>
      </c>
      <c r="L454" s="521" t="str">
        <f>E_EnergyFlows!L346</f>
        <v/>
      </c>
      <c r="M454" s="521" t="str">
        <f>E_EnergyFlows!M346</f>
        <v/>
      </c>
      <c r="N454" s="25"/>
      <c r="O454" s="25"/>
      <c r="P454" s="624"/>
      <c r="Q454" s="624"/>
      <c r="R454" s="624"/>
      <c r="S454" s="624"/>
      <c r="T454" s="437"/>
    </row>
    <row r="455" spans="1:20" ht="12.75" customHeight="1" x14ac:dyDescent="0.2">
      <c r="A455" s="445"/>
      <c r="B455" s="38"/>
      <c r="C455" s="38"/>
      <c r="D455" s="440"/>
      <c r="E455" s="1571" t="str">
        <f>E_EnergyFlows!E347</f>
        <v/>
      </c>
      <c r="F455" s="1571"/>
      <c r="G455" s="1571"/>
      <c r="H455" s="450" t="str">
        <f>E_EnergyFlows!H347</f>
        <v>TJ / gads</v>
      </c>
      <c r="I455" s="521" t="str">
        <f>E_EnergyFlows!I347</f>
        <v/>
      </c>
      <c r="J455" s="521" t="str">
        <f>E_EnergyFlows!J347</f>
        <v/>
      </c>
      <c r="K455" s="521" t="str">
        <f>E_EnergyFlows!K347</f>
        <v/>
      </c>
      <c r="L455" s="521" t="str">
        <f>E_EnergyFlows!L347</f>
        <v/>
      </c>
      <c r="M455" s="521" t="str">
        <f>E_EnergyFlows!M347</f>
        <v/>
      </c>
      <c r="N455" s="25"/>
      <c r="O455" s="25"/>
      <c r="P455" s="624"/>
      <c r="Q455" s="624"/>
      <c r="R455" s="624"/>
      <c r="S455" s="624"/>
      <c r="T455" s="437"/>
    </row>
    <row r="456" spans="1:20" ht="12.75" customHeight="1" x14ac:dyDescent="0.2">
      <c r="A456" s="445"/>
      <c r="B456" s="38"/>
      <c r="C456" s="38"/>
      <c r="D456" s="440"/>
      <c r="E456" s="1571" t="str">
        <f>E_EnergyFlows!E348</f>
        <v/>
      </c>
      <c r="F456" s="1571"/>
      <c r="G456" s="1571"/>
      <c r="H456" s="450" t="str">
        <f>E_EnergyFlows!H348</f>
        <v>TJ / gads</v>
      </c>
      <c r="I456" s="521" t="str">
        <f>E_EnergyFlows!I348</f>
        <v/>
      </c>
      <c r="J456" s="521" t="str">
        <f>E_EnergyFlows!J348</f>
        <v/>
      </c>
      <c r="K456" s="521" t="str">
        <f>E_EnergyFlows!K348</f>
        <v/>
      </c>
      <c r="L456" s="521" t="str">
        <f>E_EnergyFlows!L348</f>
        <v/>
      </c>
      <c r="M456" s="521" t="str">
        <f>E_EnergyFlows!M348</f>
        <v/>
      </c>
      <c r="N456" s="25"/>
      <c r="O456" s="25"/>
      <c r="P456" s="624"/>
      <c r="Q456" s="624"/>
      <c r="R456" s="624"/>
      <c r="S456" s="624"/>
      <c r="T456" s="437"/>
    </row>
    <row r="457" spans="1:20" ht="12.75" customHeight="1" x14ac:dyDescent="0.2">
      <c r="A457" s="445"/>
      <c r="B457" s="38"/>
      <c r="C457" s="38"/>
      <c r="D457" s="440"/>
      <c r="E457" s="1571" t="str">
        <f>E_EnergyFlows!E349</f>
        <v/>
      </c>
      <c r="F457" s="1571"/>
      <c r="G457" s="1571"/>
      <c r="H457" s="450" t="str">
        <f>E_EnergyFlows!H349</f>
        <v>TJ / gads</v>
      </c>
      <c r="I457" s="521" t="str">
        <f>E_EnergyFlows!I349</f>
        <v/>
      </c>
      <c r="J457" s="521" t="str">
        <f>E_EnergyFlows!J349</f>
        <v/>
      </c>
      <c r="K457" s="521" t="str">
        <f>E_EnergyFlows!K349</f>
        <v/>
      </c>
      <c r="L457" s="521" t="str">
        <f>E_EnergyFlows!L349</f>
        <v/>
      </c>
      <c r="M457" s="521" t="str">
        <f>E_EnergyFlows!M349</f>
        <v/>
      </c>
      <c r="N457" s="25"/>
      <c r="O457" s="25"/>
      <c r="P457" s="624"/>
      <c r="Q457" s="624"/>
      <c r="R457" s="624"/>
      <c r="S457" s="624"/>
      <c r="T457" s="437"/>
    </row>
    <row r="458" spans="1:20" ht="12.75" customHeight="1" x14ac:dyDescent="0.2">
      <c r="A458" s="445"/>
      <c r="B458" s="38"/>
      <c r="C458" s="38"/>
      <c r="D458" s="440"/>
      <c r="E458" s="1571" t="str">
        <f>E_EnergyFlows!E350</f>
        <v/>
      </c>
      <c r="F458" s="1571"/>
      <c r="G458" s="1571"/>
      <c r="H458" s="450" t="str">
        <f>E_EnergyFlows!H350</f>
        <v>TJ / gads</v>
      </c>
      <c r="I458" s="521" t="str">
        <f>E_EnergyFlows!I350</f>
        <v/>
      </c>
      <c r="J458" s="521" t="str">
        <f>E_EnergyFlows!J350</f>
        <v/>
      </c>
      <c r="K458" s="521" t="str">
        <f>E_EnergyFlows!K350</f>
        <v/>
      </c>
      <c r="L458" s="521" t="str">
        <f>E_EnergyFlows!L350</f>
        <v/>
      </c>
      <c r="M458" s="521" t="str">
        <f>E_EnergyFlows!M350</f>
        <v/>
      </c>
      <c r="N458" s="25"/>
      <c r="O458" s="25"/>
      <c r="P458" s="624"/>
      <c r="Q458" s="624"/>
      <c r="R458" s="624"/>
      <c r="S458" s="624"/>
      <c r="T458" s="437"/>
    </row>
    <row r="459" spans="1:20" ht="12.75" customHeight="1" x14ac:dyDescent="0.2">
      <c r="A459" s="445"/>
      <c r="B459" s="38"/>
      <c r="C459" s="38"/>
      <c r="D459" s="440"/>
      <c r="E459" s="1571" t="str">
        <f>E_EnergyFlows!E351</f>
        <v/>
      </c>
      <c r="F459" s="1571"/>
      <c r="G459" s="1571"/>
      <c r="H459" s="450" t="str">
        <f>E_EnergyFlows!H351</f>
        <v>TJ / gads</v>
      </c>
      <c r="I459" s="521" t="str">
        <f>E_EnergyFlows!I351</f>
        <v/>
      </c>
      <c r="J459" s="521" t="str">
        <f>E_EnergyFlows!J351</f>
        <v/>
      </c>
      <c r="K459" s="521" t="str">
        <f>E_EnergyFlows!K351</f>
        <v/>
      </c>
      <c r="L459" s="521" t="str">
        <f>E_EnergyFlows!L351</f>
        <v/>
      </c>
      <c r="M459" s="521" t="str">
        <f>E_EnergyFlows!M351</f>
        <v/>
      </c>
      <c r="N459" s="25"/>
      <c r="O459" s="25"/>
      <c r="P459" s="624"/>
      <c r="Q459" s="624"/>
      <c r="R459" s="624"/>
      <c r="S459" s="624"/>
      <c r="T459" s="437"/>
    </row>
    <row r="460" spans="1:20" ht="12.75" customHeight="1" x14ac:dyDescent="0.2">
      <c r="A460" s="445"/>
      <c r="B460" s="38"/>
      <c r="C460" s="38"/>
      <c r="D460" s="440"/>
      <c r="E460" s="1571" t="str">
        <f>E_EnergyFlows!E352</f>
        <v/>
      </c>
      <c r="F460" s="1571"/>
      <c r="G460" s="1571"/>
      <c r="H460" s="450" t="str">
        <f>E_EnergyFlows!H352</f>
        <v>TJ / gads</v>
      </c>
      <c r="I460" s="521" t="str">
        <f>E_EnergyFlows!I352</f>
        <v/>
      </c>
      <c r="J460" s="521" t="str">
        <f>E_EnergyFlows!J352</f>
        <v/>
      </c>
      <c r="K460" s="521" t="str">
        <f>E_EnergyFlows!K352</f>
        <v/>
      </c>
      <c r="L460" s="521" t="str">
        <f>E_EnergyFlows!L352</f>
        <v/>
      </c>
      <c r="M460" s="521" t="str">
        <f>E_EnergyFlows!M352</f>
        <v/>
      </c>
      <c r="N460" s="25"/>
      <c r="O460" s="25"/>
      <c r="P460" s="624"/>
      <c r="Q460" s="624"/>
      <c r="R460" s="624"/>
      <c r="S460" s="624"/>
      <c r="T460" s="437"/>
    </row>
    <row r="461" spans="1:20" ht="12.75" customHeight="1" x14ac:dyDescent="0.2">
      <c r="A461" s="445"/>
      <c r="B461" s="38"/>
      <c r="C461" s="38"/>
      <c r="D461" s="440"/>
      <c r="E461" s="1595" t="str">
        <f>E_EnergyFlows!E353</f>
        <v/>
      </c>
      <c r="F461" s="1595"/>
      <c r="G461" s="1595"/>
      <c r="H461" s="451" t="str">
        <f>E_EnergyFlows!H353</f>
        <v>TJ / gads</v>
      </c>
      <c r="I461" s="700" t="str">
        <f>E_EnergyFlows!I353</f>
        <v/>
      </c>
      <c r="J461" s="700" t="str">
        <f>E_EnergyFlows!J353</f>
        <v/>
      </c>
      <c r="K461" s="700" t="str">
        <f>E_EnergyFlows!K353</f>
        <v/>
      </c>
      <c r="L461" s="700" t="str">
        <f>E_EnergyFlows!L353</f>
        <v/>
      </c>
      <c r="M461" s="700" t="str">
        <f>E_EnergyFlows!M353</f>
        <v/>
      </c>
      <c r="N461" s="25"/>
      <c r="O461" s="25"/>
      <c r="P461" s="624"/>
      <c r="Q461" s="624"/>
      <c r="R461" s="624"/>
      <c r="S461" s="624"/>
      <c r="T461" s="437"/>
    </row>
    <row r="462" spans="1:20" ht="25.5" customHeight="1" x14ac:dyDescent="0.2">
      <c r="A462" s="445"/>
      <c r="B462" s="38"/>
      <c r="C462" s="38"/>
      <c r="D462" s="440"/>
      <c r="E462" s="1625" t="str">
        <f>E_EnergyFlows!E354</f>
        <v>radušās ārpus produkta LA apakšiekārtām</v>
      </c>
      <c r="F462" s="1573"/>
      <c r="G462" s="1573"/>
      <c r="H462" s="69" t="str">
        <f>E_EnergyFlows!H354</f>
        <v>TJ / gads</v>
      </c>
      <c r="I462" s="862" t="str">
        <f>IF(ISBLANK(E_EnergyFlows!I354),"",E_EnergyFlows!I354)</f>
        <v/>
      </c>
      <c r="J462" s="862" t="str">
        <f>IF(ISBLANK(E_EnergyFlows!J354),"",E_EnergyFlows!J354)</f>
        <v/>
      </c>
      <c r="K462" s="862" t="str">
        <f>IF(ISBLANK(E_EnergyFlows!K354),"",E_EnergyFlows!K354)</f>
        <v/>
      </c>
      <c r="L462" s="862" t="str">
        <f>IF(ISBLANK(E_EnergyFlows!L354),"",E_EnergyFlows!L354)</f>
        <v/>
      </c>
      <c r="M462" s="862" t="str">
        <f>IF(ISBLANK(E_EnergyFlows!M354),"",E_EnergyFlows!M354)</f>
        <v/>
      </c>
      <c r="N462" s="44"/>
      <c r="O462" s="25"/>
      <c r="P462" s="624"/>
      <c r="Q462" s="624"/>
      <c r="R462" s="624"/>
      <c r="S462" s="624"/>
      <c r="T462" s="437"/>
    </row>
    <row r="463" spans="1:20" ht="12.75" customHeight="1" x14ac:dyDescent="0.2">
      <c r="A463" s="445"/>
      <c r="B463" s="38"/>
      <c r="C463" s="38"/>
      <c r="D463" s="440"/>
      <c r="E463" s="1572" t="str">
        <f>E_EnergyFlows!E355</f>
        <v>Starpsumma</v>
      </c>
      <c r="F463" s="1572"/>
      <c r="G463" s="1572"/>
      <c r="H463" s="70" t="str">
        <f>E_EnergyFlows!H355</f>
        <v>TJ / gads</v>
      </c>
      <c r="I463" s="328" t="str">
        <f>E_EnergyFlows!I355</f>
        <v/>
      </c>
      <c r="J463" s="328" t="str">
        <f>E_EnergyFlows!J355</f>
        <v/>
      </c>
      <c r="K463" s="328" t="str">
        <f>E_EnergyFlows!K355</f>
        <v/>
      </c>
      <c r="L463" s="328" t="str">
        <f>E_EnergyFlows!L355</f>
        <v/>
      </c>
      <c r="M463" s="328" t="str">
        <f>E_EnergyFlows!M355</f>
        <v/>
      </c>
      <c r="N463" s="44"/>
      <c r="O463" s="25"/>
      <c r="P463" s="624"/>
      <c r="Q463" s="624"/>
      <c r="R463" s="624"/>
      <c r="S463" s="624"/>
      <c r="T463" s="437"/>
    </row>
    <row r="464" spans="1:20" ht="5.0999999999999996" customHeight="1" x14ac:dyDescent="0.2">
      <c r="A464" s="445"/>
      <c r="B464" s="21"/>
      <c r="C464" s="21"/>
      <c r="D464" s="21"/>
      <c r="E464" s="21"/>
      <c r="F464" s="21"/>
      <c r="G464" s="21"/>
      <c r="H464" s="21"/>
      <c r="I464" s="21"/>
      <c r="J464" s="21"/>
      <c r="K464" s="21"/>
      <c r="L464" s="21"/>
      <c r="M464" s="21"/>
      <c r="N464" s="21"/>
      <c r="O464" s="25"/>
      <c r="P464" s="624"/>
      <c r="Q464" s="624"/>
      <c r="R464" s="624"/>
      <c r="S464" s="624"/>
      <c r="T464" s="437"/>
    </row>
    <row r="465" spans="1:20" x14ac:dyDescent="0.2">
      <c r="A465" s="445"/>
      <c r="B465" s="21"/>
      <c r="C465" s="32"/>
      <c r="D465" s="32" t="str">
        <f>E_EnergyFlows!D357</f>
        <v>(k)</v>
      </c>
      <c r="E465" s="1557" t="str">
        <f>E_EnergyFlows!E357</f>
        <v>Atlikumgāzu daudzums, kas patērēts izmērāma siltuma ražošanai UN eksportēts uz citām ES ETS iekārtām</v>
      </c>
      <c r="F465" s="1558"/>
      <c r="G465" s="1558"/>
      <c r="H465" s="1558"/>
      <c r="I465" s="1558"/>
      <c r="J465" s="1558"/>
      <c r="K465" s="1558"/>
      <c r="L465" s="1558"/>
      <c r="M465" s="1558"/>
      <c r="N465" s="1558"/>
      <c r="O465" s="25"/>
      <c r="P465" s="624"/>
      <c r="Q465" s="624"/>
      <c r="R465" s="624"/>
      <c r="S465" s="624"/>
      <c r="T465" s="437"/>
    </row>
    <row r="466" spans="1:20" x14ac:dyDescent="0.2">
      <c r="A466" s="445"/>
      <c r="B466" s="38"/>
      <c r="C466" s="38"/>
      <c r="D466" s="38"/>
      <c r="E466" s="1554" t="str">
        <f>E_EnergyFlows!E359</f>
        <v>Atlikumgāzes uz citām ES ETS siltuma vajadzībām</v>
      </c>
      <c r="F466" s="1555"/>
      <c r="G466" s="1555"/>
      <c r="H466" s="70" t="str">
        <f>E_EnergyFlows!H359</f>
        <v>TJ / gads</v>
      </c>
      <c r="I466" s="448" t="str">
        <f>IF(ISBLANK(E_EnergyFlows!I359),"",E_EnergyFlows!I359)</f>
        <v/>
      </c>
      <c r="J466" s="448" t="str">
        <f>IF(ISBLANK(E_EnergyFlows!J359),"",E_EnergyFlows!J359)</f>
        <v/>
      </c>
      <c r="K466" s="448" t="str">
        <f>IF(ISBLANK(E_EnergyFlows!K359),"",E_EnergyFlows!K359)</f>
        <v/>
      </c>
      <c r="L466" s="448" t="str">
        <f>IF(ISBLANK(E_EnergyFlows!L359),"",E_EnergyFlows!L359)</f>
        <v/>
      </c>
      <c r="M466" s="448" t="str">
        <f>IF(ISBLANK(E_EnergyFlows!M359),"",E_EnergyFlows!M359)</f>
        <v/>
      </c>
      <c r="N466" s="44"/>
      <c r="O466" s="25"/>
      <c r="P466" s="624"/>
      <c r="Q466" s="624"/>
      <c r="R466" s="624"/>
      <c r="S466" s="624"/>
      <c r="T466" s="437"/>
    </row>
    <row r="467" spans="1:20" ht="5.0999999999999996" customHeight="1" x14ac:dyDescent="0.2">
      <c r="A467" s="445"/>
      <c r="B467" s="21"/>
      <c r="C467" s="21"/>
      <c r="D467" s="21"/>
      <c r="E467" s="21"/>
      <c r="F467" s="21"/>
      <c r="G467" s="21"/>
      <c r="H467" s="21"/>
      <c r="I467" s="21"/>
      <c r="J467" s="21"/>
      <c r="K467" s="21"/>
      <c r="L467" s="21"/>
      <c r="M467" s="21"/>
      <c r="N467" s="21"/>
      <c r="O467" s="25"/>
      <c r="P467" s="624"/>
      <c r="Q467" s="624"/>
      <c r="R467" s="624"/>
      <c r="S467" s="624"/>
      <c r="T467" s="437"/>
    </row>
    <row r="468" spans="1:20" ht="12.75" customHeight="1" x14ac:dyDescent="0.2">
      <c r="A468" s="445"/>
      <c r="B468" s="21"/>
      <c r="C468" s="32"/>
      <c r="D468" s="32" t="str">
        <f>E_EnergyFlows!D361</f>
        <v>(l)</v>
      </c>
      <c r="E468" s="1557" t="str">
        <f>E_EnergyFlows!E361</f>
        <v>Ticamības pārbaude</v>
      </c>
      <c r="F468" s="1558"/>
      <c r="G468" s="1558"/>
      <c r="H468" s="1558"/>
      <c r="I468" s="1558"/>
      <c r="J468" s="1558"/>
      <c r="K468" s="1558"/>
      <c r="L468" s="1558"/>
      <c r="M468" s="1558"/>
      <c r="N468" s="1558"/>
      <c r="O468" s="25"/>
      <c r="P468" s="624"/>
      <c r="Q468" s="624"/>
      <c r="R468" s="624"/>
      <c r="S468" s="624"/>
      <c r="T468" s="437"/>
    </row>
    <row r="469" spans="1:20" ht="12.75" customHeight="1" x14ac:dyDescent="0.2">
      <c r="A469" s="445"/>
      <c r="B469" s="38"/>
      <c r="C469" s="38"/>
      <c r="D469" s="212"/>
      <c r="E469" s="1554" t="str">
        <f>E_EnergyFlows!E363</f>
        <v>Starpība (aprēķinātā)</v>
      </c>
      <c r="F469" s="1555"/>
      <c r="G469" s="1555"/>
      <c r="H469" s="70" t="str">
        <f>E_EnergyFlows!H363</f>
        <v>TJ / gads</v>
      </c>
      <c r="I469" s="328" t="str">
        <f>E_EnergyFlows!I363</f>
        <v/>
      </c>
      <c r="J469" s="328" t="str">
        <f>E_EnergyFlows!J363</f>
        <v/>
      </c>
      <c r="K469" s="328" t="str">
        <f>E_EnergyFlows!K363</f>
        <v/>
      </c>
      <c r="L469" s="328" t="str">
        <f>E_EnergyFlows!L363</f>
        <v/>
      </c>
      <c r="M469" s="328" t="str">
        <f>E_EnergyFlows!M363</f>
        <v/>
      </c>
      <c r="N469" s="44"/>
      <c r="O469" s="25"/>
      <c r="P469" s="624"/>
      <c r="Q469" s="624"/>
      <c r="R469" s="624"/>
      <c r="S469" s="624"/>
      <c r="T469" s="437"/>
    </row>
    <row r="470" spans="1:20" ht="12.75" customHeight="1" x14ac:dyDescent="0.2">
      <c r="A470" s="445"/>
      <c r="B470" s="38"/>
      <c r="C470" s="38"/>
      <c r="D470" s="212"/>
      <c r="E470" s="1554" t="str">
        <f>E_EnergyFlows!E364</f>
        <v>Starpība (kā f) daļa)</v>
      </c>
      <c r="F470" s="1555"/>
      <c r="G470" s="1555"/>
      <c r="H470" s="579" t="str">
        <f>E_EnergyFlows!H364</f>
        <v>%</v>
      </c>
      <c r="I470" s="326" t="str">
        <f>E_EnergyFlows!I364</f>
        <v/>
      </c>
      <c r="J470" s="326" t="str">
        <f>E_EnergyFlows!J364</f>
        <v/>
      </c>
      <c r="K470" s="326" t="str">
        <f>E_EnergyFlows!K364</f>
        <v/>
      </c>
      <c r="L470" s="326" t="str">
        <f>E_EnergyFlows!L364</f>
        <v/>
      </c>
      <c r="M470" s="326" t="str">
        <f>E_EnergyFlows!M364</f>
        <v/>
      </c>
      <c r="N470" s="44"/>
      <c r="O470" s="25"/>
      <c r="P470" s="624"/>
      <c r="Q470" s="624"/>
      <c r="R470" s="624"/>
      <c r="S470" s="624"/>
      <c r="T470" s="437"/>
    </row>
    <row r="471" spans="1:20" s="697" customFormat="1" ht="12.75" customHeight="1" x14ac:dyDescent="0.2">
      <c r="A471" s="437"/>
      <c r="B471" s="414"/>
      <c r="C471" s="414"/>
      <c r="D471" s="414"/>
      <c r="E471" s="414"/>
      <c r="F471" s="414"/>
      <c r="G471" s="414"/>
      <c r="H471" s="414"/>
      <c r="I471" s="414"/>
      <c r="J471" s="414"/>
      <c r="K471" s="414"/>
      <c r="L471" s="414"/>
      <c r="M471" s="414"/>
      <c r="N471" s="414"/>
      <c r="O471" s="25"/>
      <c r="P471" s="624"/>
      <c r="Q471" s="624"/>
      <c r="R471" s="624"/>
      <c r="S471" s="624"/>
      <c r="T471" s="437"/>
    </row>
    <row r="472" spans="1:20" ht="15" x14ac:dyDescent="0.25">
      <c r="A472" s="445"/>
      <c r="B472" s="21"/>
      <c r="C472" s="36">
        <v>8</v>
      </c>
      <c r="D472" s="1594" t="str">
        <f>E_EnergyFlows!D368</f>
        <v>Pilnīga iekārtas elektroenerģijas bilance</v>
      </c>
      <c r="E472" s="1558"/>
      <c r="F472" s="1558"/>
      <c r="G472" s="1558"/>
      <c r="H472" s="1558"/>
      <c r="I472" s="1558"/>
      <c r="J472" s="1558"/>
      <c r="K472" s="1558"/>
      <c r="L472" s="1558"/>
      <c r="M472" s="1558"/>
      <c r="N472" s="1558"/>
      <c r="O472" s="25"/>
      <c r="P472" s="624"/>
      <c r="Q472" s="624"/>
      <c r="R472" s="624"/>
      <c r="S472" s="624"/>
      <c r="T472" s="437"/>
    </row>
    <row r="473" spans="1:20" ht="5.0999999999999996" customHeight="1" x14ac:dyDescent="0.2">
      <c r="A473" s="445"/>
      <c r="B473" s="21"/>
      <c r="C473" s="21"/>
      <c r="D473" s="21"/>
      <c r="E473" s="21"/>
      <c r="F473" s="21"/>
      <c r="G473" s="21"/>
      <c r="H473" s="21"/>
      <c r="I473" s="21"/>
      <c r="J473" s="21"/>
      <c r="K473" s="21"/>
      <c r="L473" s="21"/>
      <c r="M473" s="21"/>
      <c r="N473" s="21"/>
      <c r="O473" s="25"/>
      <c r="P473" s="624"/>
      <c r="Q473" s="624"/>
      <c r="R473" s="624"/>
      <c r="S473" s="624"/>
      <c r="T473" s="437"/>
    </row>
    <row r="474" spans="1:20" ht="13.5" customHeight="1" x14ac:dyDescent="0.2">
      <c r="B474" s="38"/>
      <c r="C474" s="38"/>
      <c r="D474" s="32"/>
      <c r="E474" s="1325" t="str">
        <f>E_EnergyFlows!E370</f>
        <v>Vai iekārta ražo elektroenerģiju?</v>
      </c>
      <c r="F474" s="1325"/>
      <c r="G474" s="1325"/>
      <c r="H474" s="1325"/>
      <c r="I474" s="1325"/>
      <c r="J474" s="1325"/>
      <c r="K474" s="1489"/>
      <c r="L474" s="1898" t="str">
        <f>IF(ISBLANK(E_EnergyFlows!M370),"",E_EnergyFlows!M370)</f>
        <v/>
      </c>
      <c r="M474" s="1899"/>
      <c r="N474" s="696"/>
      <c r="O474" s="25"/>
      <c r="P474" s="624"/>
      <c r="Q474" s="624"/>
      <c r="R474" s="624"/>
      <c r="S474" s="624"/>
      <c r="T474" s="437"/>
    </row>
    <row r="475" spans="1:20" ht="5.0999999999999996" customHeight="1" x14ac:dyDescent="0.2">
      <c r="A475" s="445"/>
      <c r="B475" s="21"/>
      <c r="C475" s="21"/>
      <c r="D475" s="32"/>
      <c r="E475" s="1557"/>
      <c r="F475" s="1558"/>
      <c r="G475" s="1558"/>
      <c r="H475" s="1558"/>
      <c r="I475" s="1558"/>
      <c r="J475" s="1558"/>
      <c r="K475" s="1558"/>
      <c r="L475" s="1558"/>
      <c r="M475" s="1558"/>
      <c r="N475" s="1558"/>
      <c r="O475" s="25"/>
      <c r="P475" s="624"/>
      <c r="Q475" s="624"/>
      <c r="R475" s="624"/>
      <c r="S475" s="624"/>
      <c r="T475" s="437"/>
    </row>
    <row r="476" spans="1:20" x14ac:dyDescent="0.2">
      <c r="A476" s="445"/>
      <c r="B476" s="38"/>
      <c r="C476" s="38"/>
      <c r="D476" s="38"/>
      <c r="E476" s="43"/>
      <c r="F476" s="40"/>
      <c r="G476" s="40"/>
      <c r="H476" s="52" t="str">
        <f>E_EnergyFlows!H375</f>
        <v>Vienība</v>
      </c>
      <c r="I476" s="412">
        <f>E_EnergyFlows!I375</f>
        <v>2019</v>
      </c>
      <c r="J476" s="412">
        <f>E_EnergyFlows!J375</f>
        <v>2020</v>
      </c>
      <c r="K476" s="412">
        <f>E_EnergyFlows!K375</f>
        <v>2021</v>
      </c>
      <c r="L476" s="412">
        <f>E_EnergyFlows!L375</f>
        <v>2022</v>
      </c>
      <c r="M476" s="412">
        <f>E_EnergyFlows!M375</f>
        <v>2023</v>
      </c>
      <c r="N476" s="38"/>
      <c r="O476" s="25"/>
      <c r="P476" s="624"/>
      <c r="Q476" s="624"/>
      <c r="R476" s="624"/>
      <c r="S476" s="624"/>
      <c r="T476" s="437"/>
    </row>
    <row r="477" spans="1:20" x14ac:dyDescent="0.2">
      <c r="A477" s="445"/>
      <c r="B477" s="38"/>
      <c r="C477" s="38"/>
      <c r="D477" s="212"/>
      <c r="E477" s="1574" t="str">
        <f>E_EnergyFlows!E376</f>
        <v>Neto elektroenerģija, kas saražota no kurināmā</v>
      </c>
      <c r="F477" s="1574"/>
      <c r="G477" s="1574"/>
      <c r="H477" s="66" t="str">
        <f>E_EnergyFlows!H376</f>
        <v>MWh / gads</v>
      </c>
      <c r="I477" s="448" t="str">
        <f>IF(ISBLANK(E_EnergyFlows!I376),"",E_EnergyFlows!I376)</f>
        <v/>
      </c>
      <c r="J477" s="448" t="str">
        <f>IF(ISBLANK(E_EnergyFlows!J376),"",E_EnergyFlows!J376)</f>
        <v/>
      </c>
      <c r="K477" s="448" t="str">
        <f>IF(ISBLANK(E_EnergyFlows!K376),"",E_EnergyFlows!K376)</f>
        <v/>
      </c>
      <c r="L477" s="448" t="str">
        <f>IF(ISBLANK(E_EnergyFlows!L376),"",E_EnergyFlows!L376)</f>
        <v/>
      </c>
      <c r="M477" s="448" t="str">
        <f>IF(ISBLANK(E_EnergyFlows!M376),"",E_EnergyFlows!M376)</f>
        <v/>
      </c>
      <c r="N477" s="38"/>
      <c r="O477" s="25"/>
      <c r="P477" s="624"/>
      <c r="Q477" s="624"/>
      <c r="R477" s="624"/>
      <c r="S477" s="624"/>
      <c r="T477" s="437"/>
    </row>
    <row r="478" spans="1:20" x14ac:dyDescent="0.2">
      <c r="A478" s="445"/>
      <c r="B478" s="38"/>
      <c r="C478" s="38"/>
      <c r="D478" s="212"/>
      <c r="E478" s="1574" t="str">
        <f>E_EnergyFlows!E377</f>
        <v>Pārējā saražotā elektroenerģija</v>
      </c>
      <c r="F478" s="1574"/>
      <c r="G478" s="1574"/>
      <c r="H478" s="66" t="str">
        <f>E_EnergyFlows!H377</f>
        <v>MWh / gads</v>
      </c>
      <c r="I478" s="448" t="str">
        <f>IF(ISBLANK(E_EnergyFlows!I377),"",E_EnergyFlows!I377)</f>
        <v/>
      </c>
      <c r="J478" s="448" t="str">
        <f>IF(ISBLANK(E_EnergyFlows!J377),"",E_EnergyFlows!J377)</f>
        <v/>
      </c>
      <c r="K478" s="448" t="str">
        <f>IF(ISBLANK(E_EnergyFlows!K377),"",E_EnergyFlows!K377)</f>
        <v/>
      </c>
      <c r="L478" s="448" t="str">
        <f>IF(ISBLANK(E_EnergyFlows!L377),"",E_EnergyFlows!L377)</f>
        <v/>
      </c>
      <c r="M478" s="448" t="str">
        <f>IF(ISBLANK(E_EnergyFlows!M377),"",E_EnergyFlows!M377)</f>
        <v/>
      </c>
      <c r="N478" s="38"/>
      <c r="O478" s="25"/>
      <c r="P478" s="624"/>
      <c r="Q478" s="624"/>
      <c r="R478" s="624"/>
      <c r="S478" s="624"/>
      <c r="T478" s="437"/>
    </row>
    <row r="479" spans="1:20" x14ac:dyDescent="0.2">
      <c r="A479" s="445"/>
      <c r="B479" s="38"/>
      <c r="C479" s="38"/>
      <c r="D479" s="38"/>
      <c r="E479" s="1574" t="str">
        <f>E_EnergyFlows!E380</f>
        <v>Importētā elektroenerģija</v>
      </c>
      <c r="F479" s="1574"/>
      <c r="G479" s="1574"/>
      <c r="H479" s="66" t="str">
        <f>E_EnergyFlows!H380</f>
        <v>MWh / gads</v>
      </c>
      <c r="I479" s="448" t="str">
        <f>IF(ISBLANK(E_EnergyFlows!I380),"",E_EnergyFlows!I380)</f>
        <v/>
      </c>
      <c r="J479" s="448" t="str">
        <f>IF(ISBLANK(E_EnergyFlows!J380),"",E_EnergyFlows!J380)</f>
        <v/>
      </c>
      <c r="K479" s="448" t="str">
        <f>IF(ISBLANK(E_EnergyFlows!K380),"",E_EnergyFlows!K380)</f>
        <v/>
      </c>
      <c r="L479" s="448" t="str">
        <f>IF(ISBLANK(E_EnergyFlows!L380),"",E_EnergyFlows!L380)</f>
        <v/>
      </c>
      <c r="M479" s="448" t="str">
        <f>IF(ISBLANK(E_EnergyFlows!M380),"",E_EnergyFlows!M380)</f>
        <v/>
      </c>
      <c r="N479" s="38"/>
      <c r="O479" s="25"/>
      <c r="P479" s="624"/>
      <c r="Q479" s="624"/>
      <c r="R479" s="624"/>
      <c r="S479" s="624"/>
      <c r="T479" s="437"/>
    </row>
    <row r="480" spans="1:20" x14ac:dyDescent="0.2">
      <c r="A480" s="445"/>
      <c r="B480" s="38"/>
      <c r="C480" s="38"/>
      <c r="D480" s="38"/>
      <c r="E480" s="1574" t="str">
        <f>E_EnergyFlows!E383</f>
        <v>Eksportētā elektroenerģija</v>
      </c>
      <c r="F480" s="1574"/>
      <c r="G480" s="1574"/>
      <c r="H480" s="66" t="str">
        <f>E_EnergyFlows!H383</f>
        <v>MWh / gads</v>
      </c>
      <c r="I480" s="448" t="str">
        <f>IF(ISBLANK(E_EnergyFlows!I383),"",E_EnergyFlows!I383)</f>
        <v/>
      </c>
      <c r="J480" s="448" t="str">
        <f>IF(ISBLANK(E_EnergyFlows!J383),"",E_EnergyFlows!J383)</f>
        <v/>
      </c>
      <c r="K480" s="448" t="str">
        <f>IF(ISBLANK(E_EnergyFlows!K383),"",E_EnergyFlows!K383)</f>
        <v/>
      </c>
      <c r="L480" s="448" t="str">
        <f>IF(ISBLANK(E_EnergyFlows!L383),"",E_EnergyFlows!L383)</f>
        <v/>
      </c>
      <c r="M480" s="448" t="str">
        <f>IF(ISBLANK(E_EnergyFlows!M383),"",E_EnergyFlows!M383)</f>
        <v/>
      </c>
      <c r="N480" s="38"/>
      <c r="O480" s="25"/>
      <c r="P480" s="624"/>
      <c r="Q480" s="624"/>
      <c r="R480" s="624"/>
      <c r="S480" s="624"/>
      <c r="T480" s="437"/>
    </row>
    <row r="481" spans="1:20" x14ac:dyDescent="0.2">
      <c r="A481" s="445"/>
      <c r="B481" s="38"/>
      <c r="C481" s="38"/>
      <c r="D481" s="38"/>
      <c r="E481" s="1574" t="str">
        <f>E_EnergyFlows!E386</f>
        <v>Izmantojamā elektroenerģija</v>
      </c>
      <c r="F481" s="1574"/>
      <c r="G481" s="1574"/>
      <c r="H481" s="66" t="str">
        <f>E_EnergyFlows!H386</f>
        <v>MWh / gads</v>
      </c>
      <c r="I481" s="328" t="str">
        <f>E_EnergyFlows!I386</f>
        <v/>
      </c>
      <c r="J481" s="328" t="str">
        <f>E_EnergyFlows!J386</f>
        <v/>
      </c>
      <c r="K481" s="328" t="str">
        <f>E_EnergyFlows!K386</f>
        <v/>
      </c>
      <c r="L481" s="328" t="str">
        <f>E_EnergyFlows!L386</f>
        <v/>
      </c>
      <c r="M481" s="328" t="str">
        <f>E_EnergyFlows!M386</f>
        <v/>
      </c>
      <c r="N481" s="38"/>
      <c r="O481" s="25"/>
      <c r="P481" s="624"/>
      <c r="Q481" s="624"/>
      <c r="R481" s="624"/>
      <c r="S481" s="624"/>
      <c r="T481" s="437"/>
    </row>
    <row r="482" spans="1:20" x14ac:dyDescent="0.2">
      <c r="A482" s="445"/>
      <c r="B482" s="38"/>
      <c r="C482" s="38"/>
      <c r="D482" s="38"/>
      <c r="E482" s="1574" t="str">
        <f>E_EnergyFlows!E389</f>
        <v>Iekārtā patērētā elektroenerģija</v>
      </c>
      <c r="F482" s="1574"/>
      <c r="G482" s="1574"/>
      <c r="H482" s="66" t="str">
        <f>E_EnergyFlows!H389</f>
        <v>MWh / gads</v>
      </c>
      <c r="I482" s="448" t="str">
        <f>IF(ISBLANK(E_EnergyFlows!I389),"",E_EnergyFlows!I389)</f>
        <v/>
      </c>
      <c r="J482" s="448" t="str">
        <f>IF(ISBLANK(E_EnergyFlows!J389),"",E_EnergyFlows!J389)</f>
        <v/>
      </c>
      <c r="K482" s="448" t="str">
        <f>IF(ISBLANK(E_EnergyFlows!K389),"",E_EnergyFlows!K389)</f>
        <v/>
      </c>
      <c r="L482" s="448" t="str">
        <f>IF(ISBLANK(E_EnergyFlows!L389),"",E_EnergyFlows!L389)</f>
        <v/>
      </c>
      <c r="M482" s="448" t="str">
        <f>IF(ISBLANK(E_EnergyFlows!M389),"",E_EnergyFlows!M389)</f>
        <v/>
      </c>
      <c r="N482" s="38"/>
      <c r="O482" s="25"/>
      <c r="P482" s="624"/>
      <c r="Q482" s="624"/>
      <c r="R482" s="624"/>
      <c r="S482" s="624"/>
      <c r="T482" s="437"/>
    </row>
    <row r="483" spans="1:20" ht="12.75" customHeight="1" x14ac:dyDescent="0.2">
      <c r="B483" s="38"/>
      <c r="C483" s="38"/>
      <c r="D483" s="38"/>
      <c r="E483" s="38"/>
      <c r="F483" s="38"/>
      <c r="G483" s="38"/>
      <c r="H483" s="38"/>
      <c r="I483" s="38"/>
      <c r="J483" s="38"/>
      <c r="K483" s="38"/>
      <c r="L483" s="38"/>
      <c r="M483" s="38"/>
      <c r="N483" s="38"/>
      <c r="O483" s="25"/>
      <c r="P483" s="26"/>
      <c r="Q483" s="26"/>
      <c r="R483" s="26"/>
      <c r="S483" s="26"/>
      <c r="T483" s="26"/>
    </row>
    <row r="484" spans="1:20" s="697" customFormat="1" ht="16.5" thickBot="1" x14ac:dyDescent="0.3">
      <c r="A484" s="437"/>
      <c r="B484" s="21"/>
      <c r="C484" s="30" t="s">
        <v>5</v>
      </c>
      <c r="D484" s="31" t="str">
        <f>Translations!$B$1201</f>
        <v>Apakšiekārtu dati, kas ir relevanti iedales un līmeņatzīmju atjaunināšanas vajadzībām</v>
      </c>
      <c r="E484" s="31"/>
      <c r="F484" s="31"/>
      <c r="G484" s="31"/>
      <c r="H484" s="31"/>
      <c r="I484" s="31"/>
      <c r="J484" s="31"/>
      <c r="K484" s="31"/>
      <c r="L484" s="31"/>
      <c r="M484" s="31"/>
      <c r="N484" s="31"/>
      <c r="O484" s="25"/>
      <c r="P484" s="26"/>
      <c r="Q484" s="26"/>
      <c r="R484" s="26"/>
      <c r="S484" s="26"/>
      <c r="T484" s="26"/>
    </row>
    <row r="485" spans="1:20" s="697" customFormat="1" ht="5.0999999999999996" customHeight="1" x14ac:dyDescent="0.2">
      <c r="A485" s="437"/>
      <c r="B485" s="414"/>
      <c r="C485" s="294"/>
      <c r="D485" s="294"/>
      <c r="E485" s="294"/>
      <c r="F485" s="294"/>
      <c r="G485" s="294"/>
      <c r="H485" s="294"/>
      <c r="I485" s="294"/>
      <c r="J485" s="294"/>
      <c r="K485" s="294"/>
      <c r="L485" s="294"/>
      <c r="M485" s="294"/>
      <c r="N485" s="294"/>
      <c r="O485" s="25"/>
      <c r="P485" s="437"/>
      <c r="Q485" s="437"/>
      <c r="R485" s="437"/>
      <c r="S485" s="437"/>
      <c r="T485" s="26"/>
    </row>
    <row r="486" spans="1:20" s="697" customFormat="1" ht="15" x14ac:dyDescent="0.2">
      <c r="A486" s="437"/>
      <c r="B486" s="414"/>
      <c r="C486" s="414"/>
      <c r="D486" s="1318" t="str">
        <f>Translations!$B$1202</f>
        <v>Orientējošā kvotu skaita aprēķināšana</v>
      </c>
      <c r="E486" s="1318"/>
      <c r="F486" s="1318"/>
      <c r="G486" s="1318"/>
      <c r="H486" s="1318"/>
      <c r="I486" s="1318"/>
      <c r="J486" s="1318"/>
      <c r="K486" s="1318"/>
      <c r="L486" s="1318"/>
      <c r="M486" s="1318"/>
      <c r="N486" s="1318"/>
      <c r="O486" s="25"/>
      <c r="P486" s="437"/>
      <c r="Q486" s="437"/>
      <c r="R486" s="437"/>
      <c r="S486" s="437"/>
      <c r="T486" s="26"/>
    </row>
    <row r="487" spans="1:20" s="697" customFormat="1" ht="5.0999999999999996" customHeight="1" x14ac:dyDescent="0.2">
      <c r="A487" s="437"/>
      <c r="B487" s="414"/>
      <c r="C487" s="23"/>
      <c r="D487" s="23"/>
      <c r="E487" s="23"/>
      <c r="F487" s="23"/>
      <c r="G487" s="23"/>
      <c r="H487" s="23"/>
      <c r="I487" s="23"/>
      <c r="J487" s="23"/>
      <c r="K487" s="23"/>
      <c r="L487" s="23"/>
      <c r="M487" s="23"/>
      <c r="N487" s="23"/>
      <c r="O487" s="25"/>
      <c r="P487" s="437"/>
      <c r="Q487" s="437"/>
      <c r="R487" s="437"/>
      <c r="S487" s="437"/>
      <c r="T487" s="26"/>
    </row>
    <row r="488" spans="1:20" s="697" customFormat="1" ht="12.75" customHeight="1" x14ac:dyDescent="0.2">
      <c r="A488" s="437"/>
      <c r="B488" s="21"/>
      <c r="C488" s="21"/>
      <c r="D488" s="1896" t="str">
        <f>Translations!$B$1203</f>
        <v>Nākamajās tabulās ir lietoti šādi saīsinājumi:</v>
      </c>
      <c r="E488" s="1896"/>
      <c r="F488" s="1896"/>
      <c r="G488" s="1896"/>
      <c r="H488" s="1896"/>
      <c r="I488" s="1896"/>
      <c r="J488" s="1896"/>
      <c r="K488" s="1896"/>
      <c r="L488" s="1896"/>
      <c r="M488" s="1896"/>
      <c r="N488" s="1896"/>
      <c r="O488" s="25"/>
      <c r="P488" s="26"/>
      <c r="Q488" s="437"/>
      <c r="R488" s="437"/>
      <c r="S488" s="437"/>
      <c r="T488" s="437"/>
    </row>
    <row r="489" spans="1:20" s="697" customFormat="1" ht="12.75" customHeight="1" x14ac:dyDescent="0.2">
      <c r="A489" s="437"/>
      <c r="B489" s="21"/>
      <c r="C489" s="21"/>
      <c r="D489" s="1897" t="str">
        <f>Translations!$B$1204</f>
        <v>Pakļauta OEP</v>
      </c>
      <c r="E489" s="1897"/>
      <c r="F489" s="1895" t="str">
        <f>Translations!$B$1205</f>
        <v>Pakļautība oglekļa emisiju pārvirzes riskam. “Patiess” (“True”), ja apakšiekārta tiek izmantota nozarē, kas ir pakļauta nopietnam oglekļa emisiju pārvirzes riskam.</v>
      </c>
      <c r="G489" s="1895"/>
      <c r="H489" s="1895"/>
      <c r="I489" s="1895"/>
      <c r="J489" s="1895"/>
      <c r="K489" s="1895"/>
      <c r="L489" s="1895"/>
      <c r="M489" s="1895"/>
      <c r="N489" s="1895"/>
      <c r="O489" s="25"/>
      <c r="P489" s="26"/>
      <c r="Q489" s="437"/>
      <c r="R489" s="437"/>
      <c r="S489" s="437"/>
      <c r="T489" s="437"/>
    </row>
    <row r="490" spans="1:20" s="697" customFormat="1" ht="12.75" customHeight="1" x14ac:dyDescent="0.2">
      <c r="A490" s="437"/>
      <c r="B490" s="21"/>
      <c r="C490" s="21"/>
      <c r="D490" s="1897" t="s">
        <v>623</v>
      </c>
      <c r="E490" s="1897"/>
      <c r="F490" s="1895" t="str">
        <f>Translations!$B$1725</f>
        <v>OIM aptvērums (Regulas (ES) 2023/956 I pielikums). “True”/“Patiess” nozīmē, ka apakšiekārtai piemēro OIM.</v>
      </c>
      <c r="G490" s="1895"/>
      <c r="H490" s="1895"/>
      <c r="I490" s="1895"/>
      <c r="J490" s="1895"/>
      <c r="K490" s="1895"/>
      <c r="L490" s="1895"/>
      <c r="M490" s="1895"/>
      <c r="N490" s="1895"/>
      <c r="O490" s="25"/>
      <c r="P490" s="26"/>
      <c r="Q490" s="437"/>
      <c r="R490" s="437"/>
      <c r="S490" s="437"/>
      <c r="T490" s="437"/>
    </row>
    <row r="491" spans="1:20" s="697" customFormat="1" ht="12.75" customHeight="1" x14ac:dyDescent="0.2">
      <c r="A491" s="437"/>
      <c r="B491" s="21"/>
      <c r="C491" s="21"/>
      <c r="D491" s="1897" t="str">
        <f>Translations!$B$1206</f>
        <v>LA Nr.</v>
      </c>
      <c r="E491" s="1897"/>
      <c r="F491" s="1895" t="str">
        <f>Translations!$B$1207</f>
        <v>Līmeņatzīmes numurs</v>
      </c>
      <c r="G491" s="1895"/>
      <c r="H491" s="1895"/>
      <c r="I491" s="1895"/>
      <c r="J491" s="1895"/>
      <c r="K491" s="1895"/>
      <c r="L491" s="1895"/>
      <c r="M491" s="1895"/>
      <c r="N491" s="1895"/>
      <c r="O491" s="25"/>
      <c r="P491" s="26"/>
      <c r="Q491" s="437"/>
      <c r="R491" s="437"/>
      <c r="S491" s="437"/>
      <c r="T491" s="437"/>
    </row>
    <row r="492" spans="1:20" s="697" customFormat="1" ht="12.75" customHeight="1" x14ac:dyDescent="0.2">
      <c r="A492" s="437"/>
      <c r="B492" s="21"/>
      <c r="C492" s="21"/>
      <c r="D492" s="1897" t="str">
        <f>Translations!$B$1208</f>
        <v>Ekspl. sākta</v>
      </c>
      <c r="E492" s="1897"/>
      <c r="F492" s="1895" t="str">
        <f>Translations!$B$1209</f>
        <v>Apakšiekārtas ekspluatācijas sākums</v>
      </c>
      <c r="G492" s="1895"/>
      <c r="H492" s="1895"/>
      <c r="I492" s="1895"/>
      <c r="J492" s="1895"/>
      <c r="K492" s="1895"/>
      <c r="L492" s="1895"/>
      <c r="M492" s="1895"/>
      <c r="N492" s="1895"/>
      <c r="O492" s="25"/>
      <c r="P492" s="26"/>
      <c r="Q492" s="437"/>
      <c r="R492" s="437"/>
      <c r="S492" s="437"/>
      <c r="T492" s="437"/>
    </row>
    <row r="493" spans="1:20" s="697" customFormat="1" ht="25.5" customHeight="1" x14ac:dyDescent="0.2">
      <c r="A493" s="437"/>
      <c r="B493" s="21"/>
      <c r="C493" s="21"/>
      <c r="D493" s="1897" t="str">
        <f>Translations!$B$1210</f>
        <v>LA vērtība</v>
      </c>
      <c r="E493" s="1936"/>
      <c r="F493" s="1895" t="str">
        <f>Translations!$B$1211</f>
        <v>Līmeņatzīmes vērtība saskaņā ar FAR I pielikumu. Sākotnējā provizoriskā iedales apjoma vajadzībām izmantotās vērtības ir vai nu orientējošās minimālās, vai maksimālās vērtības, kas zemāk ietvertas katras apakšiekārtas pārskata tabulā.</v>
      </c>
      <c r="G493" s="1895"/>
      <c r="H493" s="1895"/>
      <c r="I493" s="1895"/>
      <c r="J493" s="1895"/>
      <c r="K493" s="1895"/>
      <c r="L493" s="1895"/>
      <c r="M493" s="1895"/>
      <c r="N493" s="1895"/>
      <c r="O493" s="25"/>
      <c r="P493" s="26"/>
      <c r="Q493" s="437"/>
      <c r="R493" s="437"/>
      <c r="S493" s="437"/>
      <c r="T493" s="437"/>
    </row>
    <row r="494" spans="1:20" s="697" customFormat="1" ht="12.75" customHeight="1" x14ac:dyDescent="0.2">
      <c r="A494" s="437"/>
      <c r="B494" s="21"/>
      <c r="C494" s="21"/>
      <c r="D494" s="1897" t="str">
        <f>Translations!$B$1212</f>
        <v>15(7)3?</v>
      </c>
      <c r="E494" s="1897"/>
      <c r="F494" s="1895" t="str">
        <f>Translations!$B$1213</f>
        <v>Vai ir relevanta FAR 15. panta 7. punkta trešā daļa (t. i., vai apakšiekārta bāzlīnijas periodā ir bijusi ekspluatācijā mazāk nekā vienu gadu)?</v>
      </c>
      <c r="G494" s="1895"/>
      <c r="H494" s="1895"/>
      <c r="I494" s="1895"/>
      <c r="J494" s="1895"/>
      <c r="K494" s="1895"/>
      <c r="L494" s="1895"/>
      <c r="M494" s="1895"/>
      <c r="N494" s="1895"/>
      <c r="O494" s="25"/>
      <c r="P494" s="26"/>
      <c r="Q494" s="437"/>
      <c r="R494" s="437"/>
      <c r="S494" s="437"/>
      <c r="T494" s="437"/>
    </row>
    <row r="495" spans="1:20" s="697" customFormat="1" ht="12.75" customHeight="1" x14ac:dyDescent="0.2">
      <c r="A495" s="437"/>
      <c r="B495" s="21"/>
      <c r="C495" s="21"/>
      <c r="D495" s="1897" t="str">
        <f>Translations!$B$1218</f>
        <v>ETS neaptverts siltums</v>
      </c>
      <c r="E495" s="1897"/>
      <c r="F495" s="1895" t="str">
        <f>Translations!$B$1219</f>
        <v>Daudzums, kas atskaitāms no provizoriskā ikgadējā kvotu daudzuma saskaņā ar FAR 21. pantu.</v>
      </c>
      <c r="G495" s="1895"/>
      <c r="H495" s="1895"/>
      <c r="I495" s="1895"/>
      <c r="J495" s="1895"/>
      <c r="K495" s="1895"/>
      <c r="L495" s="1895"/>
      <c r="M495" s="1895"/>
      <c r="N495" s="1895"/>
      <c r="O495" s="25"/>
      <c r="P495" s="26"/>
      <c r="Q495" s="437"/>
      <c r="R495" s="437"/>
      <c r="S495" s="437"/>
      <c r="T495" s="437"/>
    </row>
    <row r="496" spans="1:20" s="697" customFormat="1" ht="25.5" customHeight="1" x14ac:dyDescent="0.2">
      <c r="A496" s="437"/>
      <c r="B496" s="21"/>
      <c r="C496" s="21"/>
      <c r="D496" s="1897" t="str">
        <f>Translations!$B$1220</f>
        <v>AGlāpā</v>
      </c>
      <c r="E496" s="1897"/>
      <c r="F496" s="1895" t="str">
        <f>Translations!$B$1221</f>
        <v>Daudzums, kas saskaņā ar FAR 16. panta 5. punkta otro daļu no 2026. gada atskaitāms no provizoriskā ikgadējā kvotu daudzuma par lāpā sadedzinātām atlikumgāzēm.</v>
      </c>
      <c r="G496" s="1895"/>
      <c r="H496" s="1895"/>
      <c r="I496" s="1895"/>
      <c r="J496" s="1895"/>
      <c r="K496" s="1895"/>
      <c r="L496" s="1895"/>
      <c r="M496" s="1895"/>
      <c r="N496" s="1895"/>
      <c r="O496" s="25"/>
      <c r="P496" s="26"/>
      <c r="Q496" s="437"/>
      <c r="R496" s="437"/>
      <c r="S496" s="437"/>
      <c r="T496" s="437"/>
    </row>
    <row r="497" spans="1:20" s="697" customFormat="1" ht="12.75" customHeight="1" x14ac:dyDescent="0.2">
      <c r="A497" s="437"/>
      <c r="B497" s="21"/>
      <c r="C497" s="21"/>
      <c r="D497" s="1897" t="s">
        <v>550</v>
      </c>
      <c r="E497" s="1897"/>
      <c r="F497" s="1895" t="str">
        <f>Translations!$B$1222</f>
        <v>Daudzums, kas saskaņā ar FAR 19. pantu pieskaitāms provizoriskajam ikgadējam kvotu daudzumam par tvaika krekinga apakšiekārtām.</v>
      </c>
      <c r="G497" s="1895"/>
      <c r="H497" s="1895"/>
      <c r="I497" s="1895"/>
      <c r="J497" s="1895"/>
      <c r="K497" s="1895"/>
      <c r="L497" s="1895"/>
      <c r="M497" s="1895"/>
      <c r="N497" s="1895"/>
      <c r="O497" s="25"/>
      <c r="P497" s="26"/>
      <c r="Q497" s="26"/>
      <c r="R497" s="26"/>
      <c r="S497" s="26"/>
      <c r="T497" s="26"/>
    </row>
    <row r="498" spans="1:20" s="697" customFormat="1" ht="12.75" customHeight="1" x14ac:dyDescent="0.2">
      <c r="A498" s="437"/>
      <c r="B498" s="21"/>
      <c r="C498" s="21"/>
      <c r="D498" s="1897" t="s">
        <v>551</v>
      </c>
      <c r="E498" s="1897"/>
      <c r="F498" s="1895" t="str">
        <f>Translations!$B$1223</f>
        <v>Aprēķina koeficients, ar kuru ņem vērā ar ūdeņradi saistītās emisijas vinilhlorīda monomēra apakšiekārtās saskaņā ar FAR 20. pantu.</v>
      </c>
      <c r="G498" s="1895"/>
      <c r="H498" s="1895"/>
      <c r="I498" s="1895"/>
      <c r="J498" s="1895"/>
      <c r="K498" s="1895"/>
      <c r="L498" s="1895"/>
      <c r="M498" s="1895"/>
      <c r="N498" s="1895"/>
      <c r="O498" s="25"/>
      <c r="P498" s="26"/>
      <c r="Q498" s="26"/>
      <c r="R498" s="26"/>
      <c r="S498" s="26"/>
      <c r="T498" s="26"/>
    </row>
    <row r="499" spans="1:20" s="697" customFormat="1" ht="12.75" customHeight="1" x14ac:dyDescent="0.2">
      <c r="A499" s="437"/>
      <c r="B499" s="21"/>
      <c r="C499" s="21"/>
      <c r="D499" s="1897" t="s">
        <v>625</v>
      </c>
      <c r="E499" s="1897"/>
      <c r="F499" s="1895" t="str">
        <f>Translations!$B$1726</f>
        <v>Bāzlīnijas perioda vēsturisko darbības līmeņu mediāna</v>
      </c>
      <c r="G499" s="1895"/>
      <c r="H499" s="1895"/>
      <c r="I499" s="1895"/>
      <c r="J499" s="1895"/>
      <c r="K499" s="1895"/>
      <c r="L499" s="1895"/>
      <c r="M499" s="1895"/>
      <c r="N499" s="1895"/>
      <c r="O499" s="25"/>
      <c r="P499" s="26"/>
      <c r="Q499" s="437"/>
      <c r="R499" s="437"/>
      <c r="S499" s="437"/>
      <c r="T499" s="437"/>
    </row>
    <row r="500" spans="1:20" s="697" customFormat="1" ht="25.5" customHeight="1" x14ac:dyDescent="0.2">
      <c r="A500" s="437"/>
      <c r="B500" s="21"/>
      <c r="C500" s="21"/>
      <c r="D500" s="1861" t="str">
        <f>Translations!$B$1226</f>
        <v>1. gada prov. ied. apj. (min.)</v>
      </c>
      <c r="E500" s="1861"/>
      <c r="F500" s="1861" t="str">
        <f>Translations!$B$1227</f>
        <v>(Sākotnējais) provizoriskais ikgadējais bez maksas iedalāmo emisijas kvotu skaits par perioda pirmo gadu saskaņā ar FAR 16. panta 6. punktu, t. i., pēc OEP pakļautības faktora piemērošanas, bet pirms lineārā koeficienta vai starpnozaru korekcijas koeficienta piemērošanas.</v>
      </c>
      <c r="G500" s="1861"/>
      <c r="H500" s="1861"/>
      <c r="I500" s="1861"/>
      <c r="J500" s="1861"/>
      <c r="K500" s="1861"/>
      <c r="L500" s="1861"/>
      <c r="M500" s="1861"/>
      <c r="N500" s="1861"/>
      <c r="O500" s="25"/>
      <c r="P500" s="26"/>
      <c r="Q500" s="26"/>
      <c r="R500" s="26"/>
      <c r="S500" s="26"/>
      <c r="T500" s="26"/>
    </row>
    <row r="501" spans="1:20" s="697" customFormat="1" ht="38.25" customHeight="1" x14ac:dyDescent="0.2">
      <c r="A501" s="437"/>
      <c r="B501" s="21"/>
      <c r="C501" s="21"/>
      <c r="D501" s="863"/>
      <c r="F501" s="1896" t="str">
        <f>Translations!$B$1228</f>
        <v>Šis skaitlis ir tikai orientējoša aplēse par “minimālo” provizorisko iedales apjomu, par pamatu ņemot mazāko iespējamo līmeņatzīmes vērtību šai apakšiekārtai. Tāpēc šis skaitlis ir tikai orientējošs un nebūtu jāsaprot kā faktiskā bezmaksas kvotu iedales apjoma priekšnovērtējums; faktisko iedales apjomu noteiks kompetentā iestāde, kad būs pieejamas atjauninātās līmeņatzīmes.</v>
      </c>
      <c r="G501" s="1896"/>
      <c r="H501" s="1896"/>
      <c r="I501" s="1896"/>
      <c r="J501" s="1896"/>
      <c r="K501" s="1896"/>
      <c r="L501" s="1896"/>
      <c r="M501" s="1896"/>
      <c r="N501" s="1896"/>
      <c r="O501" s="25"/>
      <c r="P501" s="26"/>
      <c r="Q501" s="26"/>
      <c r="R501" s="26"/>
      <c r="S501" s="26"/>
      <c r="T501" s="26"/>
    </row>
    <row r="502" spans="1:20" s="1109" customFormat="1" ht="25.5" customHeight="1" x14ac:dyDescent="0.2">
      <c r="A502" s="437"/>
      <c r="B502" s="889"/>
      <c r="C502" s="889"/>
      <c r="D502" s="1895" t="str">
        <f>Translations!$B$1229</f>
        <v>1. gada prov. ied. apj. (maks.)</v>
      </c>
      <c r="E502" s="1895"/>
      <c r="F502" s="1895" t="str">
        <f>Translations!$B$1230</f>
        <v>(Sākotnējais) provizoriskais ikgadējais emisijas kvotu skaits, par pamatu ņemot šīs apakšiekārtas lielāko iespējamo līmeņatzīmes vērtību. Uz to attiecas tā pati atruna, kas uz minimālo vērtību.</v>
      </c>
      <c r="G502" s="1895"/>
      <c r="H502" s="1895"/>
      <c r="I502" s="1895"/>
      <c r="J502" s="1895"/>
      <c r="K502" s="1895"/>
      <c r="L502" s="1895"/>
      <c r="M502" s="1895"/>
      <c r="N502" s="1895"/>
      <c r="O502" s="25"/>
      <c r="P502" s="890"/>
      <c r="Q502" s="888"/>
      <c r="R502" s="888"/>
      <c r="S502" s="888"/>
      <c r="T502" s="888"/>
    </row>
    <row r="503" spans="1:20" s="697" customFormat="1" ht="25.5" customHeight="1" x14ac:dyDescent="0.2">
      <c r="A503" s="437"/>
      <c r="B503" s="21"/>
      <c r="C503" s="21"/>
      <c r="D503" s="1894" t="str">
        <f>Translations!$B$1231</f>
        <v>1. gada prov. ied. apj. (fakt.)</v>
      </c>
      <c r="E503" s="1894"/>
      <c r="F503" s="1894" t="str">
        <f>Translations!$B$1232</f>
        <v>Faktiskais provizoriskais ikgadējais emisijas kvotu skaits, par pamatu ņemot šīs apakšiekārtas faktisko līmeņatzīmes vērtību. Sākotnējo VĪP gadījumā šo vērtību nevar noteikt, to var noteikt tikai vēlākā posmā, kad ir publicētas līmeņatzīmju vērtības par katru iedales periodu.</v>
      </c>
      <c r="G503" s="1894"/>
      <c r="H503" s="1894"/>
      <c r="I503" s="1894"/>
      <c r="J503" s="1894"/>
      <c r="K503" s="1894"/>
      <c r="L503" s="1894"/>
      <c r="M503" s="1894"/>
      <c r="N503" s="1894"/>
      <c r="O503" s="25"/>
      <c r="P503" s="26"/>
      <c r="Q503" s="437"/>
      <c r="R503" s="437"/>
      <c r="S503" s="437"/>
      <c r="T503" s="437"/>
    </row>
    <row r="504" spans="1:20" s="697" customFormat="1" ht="12.75" customHeight="1" thickBot="1" x14ac:dyDescent="0.25">
      <c r="A504" s="437"/>
      <c r="B504" s="21"/>
      <c r="C504" s="21"/>
      <c r="D504" s="414"/>
      <c r="E504" s="414"/>
      <c r="F504" s="414"/>
      <c r="G504" s="414"/>
      <c r="H504" s="414"/>
      <c r="I504" s="414"/>
      <c r="J504" s="414"/>
      <c r="K504" s="414"/>
      <c r="L504" s="414"/>
      <c r="M504" s="414"/>
      <c r="N504" s="414"/>
      <c r="O504" s="25"/>
      <c r="P504" s="26"/>
      <c r="Q504" s="26"/>
      <c r="R504" s="26"/>
      <c r="S504" s="26"/>
      <c r="T504" s="26"/>
    </row>
    <row r="505" spans="1:20" s="697" customFormat="1" ht="75" customHeight="1" thickBot="1" x14ac:dyDescent="0.25">
      <c r="A505" s="437"/>
      <c r="B505" s="21"/>
      <c r="C505" s="21"/>
      <c r="D505" s="1946" t="str">
        <f>Translations!$B$1727</f>
        <v>Atruna. Ievērojiet, ka provizoriskā iedales apjoma vērtības ir tikai orientējošas un tām, kā paskaidrots iepriekš, par pamatu ņemtas minimālās vai maksimālās līmeņatzīmju vērtības. Tomēr, ja provizoriskais iedales apjoms ir atkarīgs arī no siltuma vai kurināmā līmeņatzīmes vērtības (piem., ETS neaptvertais siltums) un arī tās var mainīties atkarībā no savāktajiem datiem, orientējošā vērtība var nebūt pat minimālais vai maksimālais provizoriskais kvotu skaits, bet būt pakļauta vēl tālākām korekcijām.</v>
      </c>
      <c r="E505" s="1947"/>
      <c r="F505" s="1947"/>
      <c r="G505" s="1947"/>
      <c r="H505" s="1947"/>
      <c r="I505" s="1947"/>
      <c r="J505" s="1947"/>
      <c r="K505" s="1947"/>
      <c r="L505" s="1947"/>
      <c r="M505" s="1947"/>
      <c r="N505" s="1948"/>
      <c r="O505" s="25"/>
      <c r="P505" s="26"/>
      <c r="Q505" s="26"/>
      <c r="R505" s="26"/>
      <c r="S505" s="26"/>
      <c r="T505" s="26"/>
    </row>
    <row r="506" spans="1:20" s="697" customFormat="1" ht="13.5" thickBot="1" x14ac:dyDescent="0.25">
      <c r="A506" s="437"/>
      <c r="B506" s="414"/>
      <c r="C506" s="414"/>
      <c r="D506" s="414"/>
      <c r="E506" s="414"/>
      <c r="F506" s="414"/>
      <c r="G506" s="414"/>
      <c r="H506" s="414"/>
      <c r="I506" s="414"/>
      <c r="J506" s="414"/>
      <c r="K506" s="414"/>
      <c r="L506" s="414"/>
      <c r="M506" s="414"/>
      <c r="N506" s="414"/>
      <c r="O506" s="25"/>
      <c r="P506" s="437" t="s">
        <v>498</v>
      </c>
      <c r="Q506" s="437" t="s">
        <v>499</v>
      </c>
      <c r="R506" s="437" t="str">
        <f>Translations!$B$340</f>
        <v>Nosaukums</v>
      </c>
      <c r="S506" s="646" t="s">
        <v>500</v>
      </c>
      <c r="T506" s="26" t="s">
        <v>595</v>
      </c>
    </row>
    <row r="507" spans="1:20" s="697" customFormat="1" ht="15" customHeight="1" thickBot="1" x14ac:dyDescent="0.3">
      <c r="A507" s="437"/>
      <c r="B507" s="414"/>
      <c r="C507" s="36">
        <v>1</v>
      </c>
      <c r="D507" s="1890" t="str">
        <f>CONCATENATE(EUconst_BMSubinst," ",C507, ":")</f>
        <v>Apakšiekārta ar produkta līmeņatzīmi 1:</v>
      </c>
      <c r="E507" s="1890"/>
      <c r="F507" s="1890"/>
      <c r="G507" s="1890"/>
      <c r="H507" s="1891"/>
      <c r="I507" s="1887" t="str">
        <f>IF(INDEX(CNTR_SubInstListIsProdBM,$C507),INDEX(CNTR_SubInstListNames,$C507),"")</f>
        <v/>
      </c>
      <c r="J507" s="1888"/>
      <c r="K507" s="1888"/>
      <c r="L507" s="1888"/>
      <c r="M507" s="1888"/>
      <c r="N507" s="1889"/>
      <c r="O507" s="25"/>
      <c r="P507" s="437"/>
      <c r="Q507" s="904">
        <f>C507</f>
        <v>1</v>
      </c>
      <c r="R507" s="901" t="str">
        <f>I507</f>
        <v/>
      </c>
      <c r="S507" s="903" t="str">
        <f>H510</f>
        <v>NA</v>
      </c>
      <c r="T507" s="902" t="str">
        <f>IF(M521="","",IF(S510=0,0,SUM(M521)/S510))</f>
        <v/>
      </c>
    </row>
    <row r="508" spans="1:20" s="697" customFormat="1" ht="5.0999999999999996" customHeight="1" thickBot="1" x14ac:dyDescent="0.25">
      <c r="A508" s="437"/>
      <c r="B508" s="414"/>
      <c r="C508" s="414"/>
      <c r="D508" s="414"/>
      <c r="E508" s="414"/>
      <c r="F508" s="414"/>
      <c r="G508" s="414"/>
      <c r="H508" s="414"/>
      <c r="I508" s="414"/>
      <c r="J508" s="414"/>
      <c r="K508" s="414"/>
      <c r="L508" s="414"/>
      <c r="M508" s="414"/>
      <c r="N508" s="414"/>
      <c r="O508" s="25"/>
      <c r="P508" s="437"/>
      <c r="Q508" s="437"/>
      <c r="R508" s="437"/>
      <c r="S508" s="437"/>
      <c r="T508" s="26"/>
    </row>
    <row r="509" spans="1:20" s="697" customFormat="1" ht="13.5" thickBot="1" x14ac:dyDescent="0.25">
      <c r="A509" s="437"/>
      <c r="B509" s="414"/>
      <c r="C509" s="414"/>
      <c r="D509" s="414"/>
      <c r="E509" s="414"/>
      <c r="F509" s="414"/>
      <c r="G509" s="414"/>
      <c r="H509" s="647" t="str">
        <f>Translations!$B$1204</f>
        <v>Pakļauta OEP</v>
      </c>
      <c r="I509" s="38"/>
      <c r="J509" s="648" t="str">
        <f>Translations!$B$1208</f>
        <v>Ekspl. sākta</v>
      </c>
      <c r="K509" s="648" t="str">
        <f>Translations!$B$1206</f>
        <v>LA Nr.</v>
      </c>
      <c r="L509" s="812" t="str">
        <f>Translations!$B$1212</f>
        <v>15(7)3?</v>
      </c>
      <c r="M509" s="989" t="str">
        <f>Translations!$B$1234</f>
        <v>LA vērtība (min./maks./fakt.)</v>
      </c>
      <c r="N509" s="990"/>
      <c r="O509" s="25"/>
      <c r="P509" s="437"/>
      <c r="Q509" s="437"/>
      <c r="R509" s="646" t="s">
        <v>641</v>
      </c>
      <c r="S509" s="903" t="str">
        <f>H512</f>
        <v>NA</v>
      </c>
      <c r="T509" s="26"/>
    </row>
    <row r="510" spans="1:20" s="697" customFormat="1" x14ac:dyDescent="0.2">
      <c r="A510" s="437"/>
      <c r="B510" s="414"/>
      <c r="C510" s="414"/>
      <c r="D510" s="414"/>
      <c r="E510" s="649" t="str">
        <f>I507</f>
        <v/>
      </c>
      <c r="F510" s="650"/>
      <c r="G510" s="594"/>
      <c r="H510" s="651" t="str">
        <f>IF(K510=EUconst_NA,EUconst_NA,INDEX(EUconst_BMlistCLstatus,MATCH(K510,EUconst_BMlistMainNumberOfBM,0)))</f>
        <v>NA</v>
      </c>
      <c r="I510" s="38"/>
      <c r="J510" s="846" t="str">
        <f>IF($I507="",EUconst_NA,INDEX(CNTR_SubInstStartDate,MATCH(E510,CNTR_SubInstListNames,0)))</f>
        <v>NA</v>
      </c>
      <c r="K510" s="546" t="str">
        <f>IF($I507="",EUconst_NA,INDEX(EUconst_BMlistMainNumberOfBM,MATCH(E510,EUconst_BMlistNames,0)))</f>
        <v>NA</v>
      </c>
      <c r="L510" s="988" t="str">
        <f>IF(E510="","",INDEX(CNTR_SubInstLess1Year,MATCH(E510,CNTR_SubInstListNames,0)))</f>
        <v/>
      </c>
      <c r="M510" s="991" t="str">
        <f>IF(I507="",EUconst_NA,INDEX(EUconst_BMlistBMvaluesMatrix,MATCH(K510,EUconst_BMlistMainNumberOfBM,0),2))</f>
        <v>NA</v>
      </c>
      <c r="N510" s="992" t="str">
        <f>EUconst_EUA &amp; "/" &amp; H515</f>
        <v>ESK/tonnas</v>
      </c>
      <c r="O510" s="25"/>
      <c r="P510" s="437"/>
      <c r="Q510" s="437"/>
      <c r="R510" s="732" t="s">
        <v>554</v>
      </c>
      <c r="S510" s="815" t="str">
        <f>IF(H510=EUconst_NA,"",IF(H510,1,INDEX(EUconst_CLEFYears,1)))</f>
        <v/>
      </c>
      <c r="T510" s="26"/>
    </row>
    <row r="511" spans="1:20" s="697" customFormat="1" x14ac:dyDescent="0.2">
      <c r="A511" s="437"/>
      <c r="B511" s="414"/>
      <c r="C511" s="414"/>
      <c r="D511" s="414"/>
      <c r="G511" s="648" t="str">
        <f>Translations!$B$1218</f>
        <v>ETS neaptverts siltums</v>
      </c>
      <c r="H511" s="647" t="s">
        <v>623</v>
      </c>
      <c r="I511" s="812" t="str">
        <f>Translations!$B$1220</f>
        <v>AGlāpā</v>
      </c>
      <c r="J511" s="648" t="s">
        <v>550</v>
      </c>
      <c r="K511" s="648" t="s">
        <v>551</v>
      </c>
      <c r="L511" s="38"/>
      <c r="M511" s="991" t="str">
        <f>IF(I507="",EUconst_NA,INDEX(EUconst_BMlistBMvaluesMatrix,MATCH(K510,EUconst_BMlistMainNumberOfBM,0),1))</f>
        <v>NA</v>
      </c>
      <c r="N511" s="992" t="str">
        <f>EUconst_EUA &amp; "/" &amp; H515</f>
        <v>ESK/tonnas</v>
      </c>
      <c r="O511" s="25"/>
      <c r="P511" s="437"/>
      <c r="Q511" s="437"/>
      <c r="R511" s="732" t="s">
        <v>658</v>
      </c>
      <c r="S511" s="1150" t="str">
        <f>IF($I507="",EUconst_NA,INDEX(EUconst_BMlistNumberOfBM,MATCH(I507,EUconst_BMlistNames,0)))</f>
        <v>NA</v>
      </c>
      <c r="T511" s="26"/>
    </row>
    <row r="512" spans="1:20" s="697" customFormat="1" ht="13.5" thickBot="1" x14ac:dyDescent="0.25">
      <c r="A512" s="437"/>
      <c r="B512" s="414"/>
      <c r="C512" s="414"/>
      <c r="D512" s="414"/>
      <c r="E512" s="868" t="str">
        <f>Translations!$B$1235</f>
        <v>Īpaši koeficienti/faktori:</v>
      </c>
      <c r="F512" s="868"/>
      <c r="G512" s="546" t="str">
        <f>IF($I507="","",SUMIF(F_ProductBM!$P:$P,EUconst_CNTR_HEAT&amp;$I507,F_ProductBM!$Q:$Q))</f>
        <v/>
      </c>
      <c r="H512" s="651" t="str">
        <f>IF(S511=EUconst_NA,EUconst_NA,INDEX(EUconst_BMlistCBAMstatus,MATCH(S511,EUconst_BMlistNumberOfBM,0)))</f>
        <v>NA</v>
      </c>
      <c r="I512" s="844" t="str">
        <f>IF(OR($I507="",CNTR_BaselinePeriod&lt;&gt;2),"",SUMIF(F_ProductBM!$P:$P,EUconst_CNTR_WGFlaredEF &amp; I507,F_ProductBM!$R:$R))</f>
        <v/>
      </c>
      <c r="J512" s="546" t="str">
        <f>IF($I507="","",IF($K510=42,SUMIF(H_SpecialBM!$P$9:$P$401,EUconst_CNTR_HVC,H_SpecialBM!$I$9:$I$401),0))</f>
        <v/>
      </c>
      <c r="K512" s="867" t="str">
        <f>IF($I507="","",IF($K510=47,IF(ISNUMBER(INDEX(H_SpecialBM!$Q$9:$Q$401,MATCH(EUconst_CNTR_VCM,H_SpecialBM!$P$9:$P$401,0))),INDEX(H_SpecialBM!$Q$9:$Q$401,MATCH(EUconst_CNTR_VCM,H_SpecialBM!$P$9:$P$401,0)),1),1))</f>
        <v/>
      </c>
      <c r="L512" s="38"/>
      <c r="M512" s="993" t="str">
        <f>IF(I507="",EUconst_NA,IF(EUconst_StatusOfDataCollection,INDEX(EUconst_BMlistBMvaluesMatrix,MATCH(K510,EUconst_BMlistMainNumberOfBM,0),3),""))</f>
        <v>NA</v>
      </c>
      <c r="N512" s="994" t="str">
        <f>EUconst_EUA &amp; "/" &amp; H515</f>
        <v>ESK/tonnas</v>
      </c>
      <c r="O512" s="25"/>
      <c r="P512" s="437"/>
      <c r="Q512" s="437"/>
      <c r="R512" s="732"/>
      <c r="S512" s="866"/>
      <c r="T512" s="26"/>
    </row>
    <row r="513" spans="1:20" s="697" customFormat="1" ht="5.0999999999999996" customHeight="1" x14ac:dyDescent="0.2">
      <c r="A513" s="437"/>
      <c r="B513" s="414"/>
      <c r="C513" s="414"/>
      <c r="D513" s="414"/>
      <c r="E513" s="414"/>
      <c r="F513" s="414"/>
      <c r="G513" s="414"/>
      <c r="H513" s="414"/>
      <c r="I513" s="414"/>
      <c r="J513" s="414"/>
      <c r="K513" s="414"/>
      <c r="L513" s="414"/>
      <c r="M513" s="414"/>
      <c r="N513" s="414"/>
      <c r="O513" s="25"/>
      <c r="P513" s="437"/>
      <c r="Q513" s="437"/>
      <c r="R513" s="437"/>
      <c r="S513" s="437"/>
      <c r="T513" s="26"/>
    </row>
    <row r="514" spans="1:20" s="697" customFormat="1" x14ac:dyDescent="0.2">
      <c r="A514" s="437"/>
      <c r="B514" s="414"/>
      <c r="C514" s="414"/>
      <c r="D514" s="414"/>
      <c r="E514" s="652"/>
      <c r="F514" s="652"/>
      <c r="G514" s="653"/>
      <c r="H514" s="864" t="str">
        <f>EUconst_Unit</f>
        <v>Vienība</v>
      </c>
      <c r="I514" s="447">
        <f>I$1652</f>
        <v>2019</v>
      </c>
      <c r="J514" s="447">
        <f>J$1652</f>
        <v>2020</v>
      </c>
      <c r="K514" s="447">
        <f>K$1652</f>
        <v>2021</v>
      </c>
      <c r="L514" s="447">
        <f>L$1652</f>
        <v>2022</v>
      </c>
      <c r="M514" s="447">
        <f>M$1652</f>
        <v>2023</v>
      </c>
      <c r="N514" s="414"/>
      <c r="O514" s="25"/>
      <c r="P514" s="202" t="s">
        <v>228</v>
      </c>
      <c r="Q514" s="437"/>
      <c r="R514" s="437"/>
      <c r="S514" s="437"/>
      <c r="T514" s="26"/>
    </row>
    <row r="515" spans="1:20" s="697" customFormat="1" x14ac:dyDescent="0.2">
      <c r="A515" s="437"/>
      <c r="B515" s="414"/>
      <c r="C515" s="414"/>
      <c r="D515" s="414"/>
      <c r="E515" s="654" t="str">
        <f>Translations!$B$1236</f>
        <v>Ziņotais HAL (vēsturiskais darbības līmenis)</v>
      </c>
      <c r="F515" s="655"/>
      <c r="G515" s="656"/>
      <c r="H515" s="651" t="str">
        <f>IF(ISNUMBER(K510),INDEX(EUconst_BMlistUnits,MATCH(K510,EUconst_BMlistMainNumberOfBM,0)),EUconst_Tons)</f>
        <v>tonnas</v>
      </c>
      <c r="I515" s="546" t="str">
        <f>IF($I507="","",SUMIF(F_ProductBM!$P$11:$P$1814,$P515,F_ProductBM!I$11:I$1814))</f>
        <v/>
      </c>
      <c r="J515" s="546" t="str">
        <f>IF($I507="","",SUMIF(F_ProductBM!$P$11:$P$1814,$P515,F_ProductBM!J$11:J$1814))</f>
        <v/>
      </c>
      <c r="K515" s="546" t="str">
        <f>IF($I507="","",SUMIF(F_ProductBM!$P$11:$P$1814,$P515,F_ProductBM!K$11:K$1814))</f>
        <v/>
      </c>
      <c r="L515" s="546" t="str">
        <f>IF($I507="","",SUMIF(F_ProductBM!$P$11:$P$1814,$P515,F_ProductBM!L$11:L$1814))</f>
        <v/>
      </c>
      <c r="M515" s="546" t="str">
        <f>IF($I507="","",SUMIF(F_ProductBM!$P$11:$P$1814,$P515,F_ProductBM!M$11:M$1814))</f>
        <v/>
      </c>
      <c r="N515" s="648" t="s">
        <v>625</v>
      </c>
      <c r="O515" s="25"/>
      <c r="P515" s="202" t="str">
        <f>EUconst_CNTR_HAL&amp;I507</f>
        <v>HAL_</v>
      </c>
      <c r="Q515" s="437"/>
      <c r="R515" s="437"/>
      <c r="S515" s="437"/>
      <c r="T515" s="26"/>
    </row>
    <row r="516" spans="1:20" s="697" customFormat="1" x14ac:dyDescent="0.2">
      <c r="A516" s="437"/>
      <c r="B516" s="414"/>
      <c r="C516" s="414"/>
      <c r="D516" s="414"/>
      <c r="E516" s="654" t="str">
        <f>Translations!$B$1237</f>
        <v>HAL aprēķinam izmantotās vērtības:</v>
      </c>
      <c r="F516" s="655"/>
      <c r="G516" s="656"/>
      <c r="H516" s="651" t="str">
        <f>H515</f>
        <v>tonnas</v>
      </c>
      <c r="I516" s="546" t="str">
        <f>IF($I507="","",INDEX(F_ProductBM!S$11:S$1814,MATCH($P516,F_ProductBM!$P$11:$P$1814,0)))</f>
        <v/>
      </c>
      <c r="J516" s="546" t="str">
        <f>IF($I507="","",INDEX(F_ProductBM!T$11:T$1814,MATCH($P516,F_ProductBM!$P$11:$P$1814,0)))</f>
        <v/>
      </c>
      <c r="K516" s="546" t="str">
        <f>IF($I507="","",INDEX(F_ProductBM!U$11:U$1814,MATCH($P516,F_ProductBM!$P$11:$P$1814,0)))</f>
        <v/>
      </c>
      <c r="L516" s="546" t="str">
        <f>IF($I507="","",INDEX(F_ProductBM!V$11:V$1814,MATCH($P516,F_ProductBM!$P$11:$P$1814,0)))</f>
        <v/>
      </c>
      <c r="M516" s="546" t="str">
        <f>IF($I507="","",INDEX(F_ProductBM!W$11:W$1814,MATCH($P516,F_ProductBM!$P$11:$P$1814,0)))</f>
        <v/>
      </c>
      <c r="N516" s="546" t="str">
        <f>IF(OR($I507="",$L510=TRUE),"",IF(COUNT($I516:$M516)&gt;0,MEDIAN($I516:$M516),""))</f>
        <v/>
      </c>
      <c r="O516" s="25"/>
      <c r="P516" s="202" t="str">
        <f>EUconst_CNTR_HAL&amp;I507</f>
        <v>HAL_</v>
      </c>
      <c r="Q516" s="437"/>
      <c r="R516" s="931" t="s">
        <v>604</v>
      </c>
      <c r="S516" s="931" t="s">
        <v>605</v>
      </c>
      <c r="T516" s="931" t="s">
        <v>606</v>
      </c>
    </row>
    <row r="517" spans="1:20" s="697" customFormat="1" ht="5.0999999999999996" customHeight="1" x14ac:dyDescent="0.2">
      <c r="A517" s="437"/>
      <c r="B517" s="414"/>
      <c r="C517" s="414"/>
      <c r="D517" s="414"/>
      <c r="E517" s="865"/>
      <c r="F517" s="865"/>
      <c r="G517" s="865"/>
      <c r="H517" s="865"/>
      <c r="I517" s="865"/>
      <c r="J517" s="865"/>
      <c r="K517" s="865"/>
      <c r="L517" s="865"/>
      <c r="O517" s="25"/>
      <c r="P517" s="437"/>
      <c r="Q517" s="437"/>
      <c r="R517" s="437"/>
      <c r="S517" s="437"/>
      <c r="T517" s="26"/>
    </row>
    <row r="518" spans="1:20" s="697" customFormat="1" x14ac:dyDescent="0.2">
      <c r="A518" s="437"/>
      <c r="B518" s="414"/>
      <c r="C518" s="414"/>
      <c r="D518" s="414"/>
      <c r="E518" s="1892" t="str">
        <f>Translations!$B$689</f>
        <v>Relevantais elektroenerģijas patēriņš</v>
      </c>
      <c r="F518" s="1892"/>
      <c r="G518" s="1892"/>
      <c r="H518" s="1101" t="str">
        <f>EUconst_MWhpa</f>
        <v>MWh / gads</v>
      </c>
      <c r="I518" s="1166" t="str">
        <f>IF($I507="","",IF(INDEX(F_ProductBM!I:I,MATCH($P518,F_ProductBM!$Q:$Q,0))="","",INDEX(F_ProductBM!I:I,MATCH($P518,F_ProductBM!$Q:$Q,0))))</f>
        <v/>
      </c>
      <c r="J518" s="1166" t="str">
        <f>IF($I507="","",IF(INDEX(F_ProductBM!J:J,MATCH($P518,F_ProductBM!$Q:$Q,0))="","",INDEX(F_ProductBM!J:J,MATCH($P518,F_ProductBM!$Q:$Q,0))))</f>
        <v/>
      </c>
      <c r="K518" s="1166" t="str">
        <f>IF($I507="","",IF(INDEX(F_ProductBM!K:K,MATCH($P518,F_ProductBM!$Q:$Q,0))="","",INDEX(F_ProductBM!K:K,MATCH($P518,F_ProductBM!$Q:$Q,0))))</f>
        <v/>
      </c>
      <c r="L518" s="1166" t="str">
        <f>IF($I507="","",IF(INDEX(F_ProductBM!L:L,MATCH($P518,F_ProductBM!$Q:$Q,0))="","",INDEX(F_ProductBM!L:L,MATCH($P518,F_ProductBM!$Q:$Q,0))))</f>
        <v/>
      </c>
      <c r="M518" s="1166" t="str">
        <f>IF($I507="","",IF(INDEX(F_ProductBM!M:M,MATCH($P518,F_ProductBM!$Q:$Q,0))="","",INDEX(F_ProductBM!M:M,MATCH($P518,F_ProductBM!$Q:$Q,0))))</f>
        <v/>
      </c>
      <c r="N518" s="38"/>
      <c r="O518" s="25"/>
      <c r="P518" s="202" t="str">
        <f>EUconst_CNTR_HAL&amp;EUconst_CNTR_ELEXCH &amp; I507</f>
        <v>HAL_ELEXCH_</v>
      </c>
      <c r="Q518" s="437"/>
      <c r="R518" s="437"/>
      <c r="S518" s="437"/>
      <c r="T518" s="26"/>
    </row>
    <row r="519" spans="1:20" s="697" customFormat="1" ht="5.0999999999999996" customHeight="1" thickBot="1" x14ac:dyDescent="0.25">
      <c r="A519" s="437"/>
      <c r="B519" s="414"/>
      <c r="C519" s="414"/>
      <c r="D519" s="414"/>
      <c r="E519" s="865"/>
      <c r="F519" s="865"/>
      <c r="G519" s="865"/>
      <c r="H519" s="865"/>
      <c r="I519" s="865"/>
      <c r="J519" s="865"/>
      <c r="K519" s="865"/>
      <c r="L519" s="865"/>
      <c r="O519" s="25"/>
      <c r="P519" s="437"/>
      <c r="Q519" s="437"/>
      <c r="R519" s="437"/>
      <c r="S519" s="437"/>
      <c r="T519" s="26"/>
    </row>
    <row r="520" spans="1:20" s="697" customFormat="1" ht="13.5" thickBot="1" x14ac:dyDescent="0.25">
      <c r="A520" s="437"/>
      <c r="B520" s="414"/>
      <c r="D520" s="414"/>
      <c r="E520" s="865"/>
      <c r="F520" s="816" t="str">
        <f>Translations!$B$1728</f>
        <v>HAL kopā</v>
      </c>
      <c r="G520" s="817"/>
      <c r="I520" s="816" t="str">
        <f>Translations!$B$1226</f>
        <v>1. gada prov. ied. apj. (min.)</v>
      </c>
      <c r="J520" s="817"/>
      <c r="K520" s="816" t="str">
        <f>Translations!$B$1229</f>
        <v>1. gada prov. ied. apj. (maks.)</v>
      </c>
      <c r="L520" s="817"/>
      <c r="M520" s="816" t="str">
        <f>Translations!$B$1231</f>
        <v>1. gada prov. ied. apj. (fakt.)</v>
      </c>
      <c r="N520" s="817"/>
      <c r="O520" s="25"/>
      <c r="P520" s="202" t="str">
        <f>EUconst_AllocPrelim&amp;I507</f>
        <v>AllocPrelim_</v>
      </c>
      <c r="Q520" s="437"/>
      <c r="R520" s="900" t="str">
        <f>IF(I521="","",IF(S510=0,0,SUM(I521)/S510))</f>
        <v/>
      </c>
      <c r="S520" s="900" t="str">
        <f>IF(K521="","",IF(S510=0,0,SUM(K521)/S510))</f>
        <v/>
      </c>
      <c r="T520" s="900" t="str">
        <f>T507</f>
        <v/>
      </c>
    </row>
    <row r="521" spans="1:20" s="697" customFormat="1" ht="13.5" thickBot="1" x14ac:dyDescent="0.25">
      <c r="A521" s="437"/>
      <c r="B521" s="414"/>
      <c r="E521" s="865"/>
      <c r="F521" s="658" t="str">
        <f>IF(I507="","",MAX(0, IF(L510=TRUE, SUM(L512), SUM(N516))))</f>
        <v/>
      </c>
      <c r="G521" s="659" t="str">
        <f>H515&amp;" / "&amp;EUconst_Year</f>
        <v>tonnas / gads</v>
      </c>
      <c r="I521" s="814" t="str">
        <f>IF(I507="","",ROUND((SUM(M510)*SUM(F521)*SUM(K512)-SUM(G512)-SUM(I512)+SUM(J512))*SUM(S510),0))</f>
        <v/>
      </c>
      <c r="J521" s="884" t="str">
        <f>EUconst_EUApa</f>
        <v>ESK / gads</v>
      </c>
      <c r="K521" s="814" t="str">
        <f>IF(I507="","",ROUND((SUM(M511)*SUM(F521)*SUM(K512)-SUM(G512)-SUM(I512)+SUM(J512))*SUM(S510),0))</f>
        <v/>
      </c>
      <c r="L521" s="884" t="str">
        <f>EUconst_EUApa</f>
        <v>ESK / gads</v>
      </c>
      <c r="M521" s="814" t="str">
        <f>IF(OR(I507="",M512=""),"",ROUND((SUM(M512)*SUM(F521)*SUM(K512)-SUM(G512)-SUM(I512)+SUM(J512))*SUM(S510),0))</f>
        <v/>
      </c>
      <c r="N521" s="884" t="str">
        <f>EUconst_EUApa</f>
        <v>ESK / gads</v>
      </c>
      <c r="O521" s="25"/>
      <c r="P521" s="202" t="str">
        <f>EUconst_HALsum &amp; I507</f>
        <v>HALsum_</v>
      </c>
      <c r="Q521" s="437"/>
      <c r="R521" s="437"/>
      <c r="S521" s="437"/>
      <c r="T521" s="26"/>
    </row>
    <row r="522" spans="1:20" s="697" customFormat="1" ht="5.0999999999999996" customHeight="1" x14ac:dyDescent="0.2">
      <c r="A522" s="437"/>
      <c r="B522" s="414"/>
      <c r="C522" s="414"/>
      <c r="E522" s="440"/>
      <c r="F522" s="414"/>
      <c r="G522" s="414"/>
      <c r="H522" s="414"/>
      <c r="I522" s="414"/>
      <c r="J522" s="414"/>
      <c r="K522" s="414"/>
      <c r="L522" s="414"/>
      <c r="M522" s="414"/>
      <c r="N522" s="414"/>
      <c r="O522" s="25"/>
      <c r="P522" s="437"/>
      <c r="Q522" s="437"/>
      <c r="R522" s="437"/>
      <c r="S522" s="437"/>
      <c r="T522" s="26"/>
    </row>
    <row r="523" spans="1:20" s="697" customFormat="1" ht="5.0999999999999996" customHeight="1" x14ac:dyDescent="0.2">
      <c r="A523" s="437"/>
      <c r="B523" s="414"/>
      <c r="C523" s="414"/>
      <c r="D523" s="414"/>
      <c r="E523" s="526"/>
      <c r="F523" s="823"/>
      <c r="G523" s="823"/>
      <c r="H523" s="823"/>
      <c r="I523" s="823"/>
      <c r="J523" s="823"/>
      <c r="K523" s="823"/>
      <c r="L523" s="823"/>
      <c r="M523" s="823"/>
      <c r="N523" s="823"/>
      <c r="O523" s="25"/>
      <c r="P523" s="437"/>
      <c r="Q523" s="437"/>
      <c r="R523" s="437"/>
      <c r="S523" s="437"/>
      <c r="T523" s="26"/>
    </row>
    <row r="524" spans="1:20" s="697" customFormat="1" ht="13.5" thickBot="1" x14ac:dyDescent="0.25">
      <c r="A524" s="437"/>
      <c r="B524" s="414"/>
      <c r="C524" s="414"/>
      <c r="D524" s="414"/>
      <c r="E524" s="526"/>
      <c r="F524" s="823"/>
      <c r="G524" s="823"/>
      <c r="H524" s="525" t="str">
        <f>EUconst_Unit</f>
        <v>Vienība</v>
      </c>
      <c r="I524" s="929">
        <f>I$1652</f>
        <v>2019</v>
      </c>
      <c r="J524" s="463">
        <f>J$1652</f>
        <v>2020</v>
      </c>
      <c r="K524" s="463">
        <f>K$1652</f>
        <v>2021</v>
      </c>
      <c r="L524" s="463">
        <f>L$1652</f>
        <v>2022</v>
      </c>
      <c r="M524" s="463">
        <f>M$1652</f>
        <v>2023</v>
      </c>
      <c r="N524" s="823"/>
      <c r="O524" s="25"/>
      <c r="P524" s="437"/>
      <c r="Q524" s="437"/>
      <c r="R524" s="437"/>
      <c r="S524" s="437"/>
      <c r="T524" s="26"/>
    </row>
    <row r="525" spans="1:20" s="697" customFormat="1" ht="13.5" thickBot="1" x14ac:dyDescent="0.25">
      <c r="A525" s="437"/>
      <c r="B525" s="414"/>
      <c r="C525" s="414"/>
      <c r="D525" s="414"/>
      <c r="E525" s="1789" t="str">
        <f>Translations!$B$1238</f>
        <v>Kopējās attiecinātās emisijas</v>
      </c>
      <c r="F525" s="1789"/>
      <c r="G525" s="1789"/>
      <c r="H525" s="886" t="str">
        <f>EUconst_tCO2epa</f>
        <v>t CO2e/gads</v>
      </c>
      <c r="I525" s="1151" t="str">
        <f>INDEX(I$115:I$134,MATCH($I507,$E$115:$E$134,0))</f>
        <v/>
      </c>
      <c r="J525" s="1152" t="str">
        <f>INDEX(J$115:J$134,MATCH($I507,$E$115:$E$134,0))</f>
        <v/>
      </c>
      <c r="K525" s="1152" t="str">
        <f>INDEX(K$115:K$134,MATCH($I507,$E$115:$E$134,0))</f>
        <v/>
      </c>
      <c r="L525" s="1152" t="str">
        <f>INDEX(L$115:L$134,MATCH($I507,$E$115:$E$134,0))</f>
        <v/>
      </c>
      <c r="M525" s="1153" t="str">
        <f>INDEX(M$115:M$134,MATCH($I507,$E$115:$E$134,0))</f>
        <v/>
      </c>
      <c r="N525" s="823"/>
      <c r="O525" s="25"/>
      <c r="P525" s="437"/>
      <c r="Q525" s="437"/>
      <c r="R525" s="437"/>
      <c r="S525" s="437"/>
      <c r="T525" s="26"/>
    </row>
    <row r="526" spans="1:20" s="697" customFormat="1" ht="5.0999999999999996" customHeight="1" x14ac:dyDescent="0.2">
      <c r="A526" s="437"/>
      <c r="B526" s="414"/>
      <c r="C526" s="414"/>
      <c r="D526" s="414"/>
      <c r="E526" s="526"/>
      <c r="F526" s="526"/>
      <c r="G526" s="526"/>
      <c r="H526" s="526"/>
      <c r="I526" s="921"/>
      <c r="J526" s="921"/>
      <c r="K526" s="921"/>
      <c r="L526" s="921"/>
      <c r="M526" s="921"/>
      <c r="N526" s="526"/>
      <c r="O526" s="25"/>
      <c r="P526" s="437"/>
      <c r="Q526" s="437"/>
      <c r="R526" s="437"/>
      <c r="S526" s="437"/>
      <c r="T526" s="26"/>
    </row>
    <row r="527" spans="1:20" s="697" customFormat="1" x14ac:dyDescent="0.2">
      <c r="A527" s="437"/>
      <c r="B527" s="414"/>
      <c r="C527" s="414"/>
      <c r="D527" s="414"/>
      <c r="E527" s="1667" t="str">
        <f>Translations!$B$1623</f>
        <v>Kopējā enerģijas ielaide</v>
      </c>
      <c r="F527" s="1660"/>
      <c r="G527" s="1660"/>
      <c r="H527" s="466" t="str">
        <f>EUconst_TJpa</f>
        <v>TJ / gads</v>
      </c>
      <c r="I527" s="922" t="str">
        <f>IF($I507="","",IF(INDEX(F_ProductBM!I:I,MATCH($P527,F_ProductBM!$P:$P,0))="","",INDEX(F_ProductBM!I:I,MATCH($P527,F_ProductBM!$P:$P,0))))</f>
        <v/>
      </c>
      <c r="J527" s="922" t="str">
        <f>IF($I507="","",IF(INDEX(F_ProductBM!J:J,MATCH($P527,F_ProductBM!$P:$P,0))="","",INDEX(F_ProductBM!J:J,MATCH($P527,F_ProductBM!$P:$P,0))))</f>
        <v/>
      </c>
      <c r="K527" s="922" t="str">
        <f>IF($I507="","",IF(INDEX(F_ProductBM!K:K,MATCH($P527,F_ProductBM!$P:$P,0))="","",INDEX(F_ProductBM!K:K,MATCH($P527,F_ProductBM!$P:$P,0))))</f>
        <v/>
      </c>
      <c r="L527" s="922" t="str">
        <f>IF($I507="","",IF(INDEX(F_ProductBM!L:L,MATCH($P527,F_ProductBM!$P:$P,0))="","",INDEX(F_ProductBM!L:L,MATCH($P527,F_ProductBM!$P:$P,0))))</f>
        <v/>
      </c>
      <c r="M527" s="922" t="str">
        <f>IF($I507="","",IF(INDEX(F_ProductBM!M:M,MATCH($P527,F_ProductBM!$P:$P,0))="","",INDEX(F_ProductBM!M:M,MATCH($P527,F_ProductBM!$P:$P,0))))</f>
        <v/>
      </c>
      <c r="N527" s="823"/>
      <c r="O527" s="25"/>
      <c r="P527" s="822" t="str">
        <f>EUconst_CNTR_FuelInput &amp; I507</f>
        <v>FuelInput_</v>
      </c>
      <c r="Q527" s="437"/>
      <c r="R527" s="437"/>
      <c r="S527" s="437"/>
      <c r="T527" s="26"/>
    </row>
    <row r="528" spans="1:20" s="697" customFormat="1" x14ac:dyDescent="0.2">
      <c r="A528" s="437"/>
      <c r="B528" s="414"/>
      <c r="C528" s="414"/>
      <c r="D528" s="414"/>
      <c r="E528" s="1737" t="str">
        <f>Translations!$B$732</f>
        <v>Svērtais emisijas faktors</v>
      </c>
      <c r="F528" s="1659"/>
      <c r="G528" s="1659"/>
      <c r="H528" s="485" t="str">
        <f>EUconst_tCO2pTJ</f>
        <v>t CO2 / TJ</v>
      </c>
      <c r="I528" s="923" t="str">
        <f>IF($I507="","",IF(INDEX(F_ProductBM!I:I,MATCH($P528,F_ProductBM!$P:$P,0))="","",INDEX(F_ProductBM!I:I,MATCH($P528,F_ProductBM!$P:$P,0))))</f>
        <v/>
      </c>
      <c r="J528" s="923" t="str">
        <f>IF($I507="","",IF(INDEX(F_ProductBM!J:J,MATCH($P528,F_ProductBM!$P:$P,0))="","",INDEX(F_ProductBM!J:J,MATCH($P528,F_ProductBM!$P:$P,0))))</f>
        <v/>
      </c>
      <c r="K528" s="923" t="str">
        <f>IF($I507="","",IF(INDEX(F_ProductBM!K:K,MATCH($P528,F_ProductBM!$P:$P,0))="","",INDEX(F_ProductBM!K:K,MATCH($P528,F_ProductBM!$P:$P,0))))</f>
        <v/>
      </c>
      <c r="L528" s="923" t="str">
        <f>IF($I507="","",IF(INDEX(F_ProductBM!L:L,MATCH($P528,F_ProductBM!$P:$P,0))="","",INDEX(F_ProductBM!L:L,MATCH($P528,F_ProductBM!$P:$P,0))))</f>
        <v/>
      </c>
      <c r="M528" s="923" t="str">
        <f>IF($I507="","",IF(INDEX(F_ProductBM!M:M,MATCH($P528,F_ProductBM!$P:$P,0))="","",INDEX(F_ProductBM!M:M,MATCH($P528,F_ProductBM!$P:$P,0))))</f>
        <v/>
      </c>
      <c r="N528" s="823"/>
      <c r="O528" s="25"/>
      <c r="P528" s="367" t="str">
        <f>EUconst_CNTR_FuelEF &amp; I507</f>
        <v>FuelEF_</v>
      </c>
      <c r="Q528" s="437"/>
      <c r="R528" s="437"/>
      <c r="S528" s="437"/>
      <c r="T528" s="26"/>
    </row>
    <row r="529" spans="1:20" s="697" customFormat="1" ht="5.0999999999999996" customHeight="1" x14ac:dyDescent="0.2">
      <c r="A529" s="437"/>
      <c r="B529" s="414"/>
      <c r="C529" s="414"/>
      <c r="E529" s="526"/>
      <c r="F529" s="823"/>
      <c r="G529" s="823"/>
      <c r="H529" s="823"/>
      <c r="I529" s="924"/>
      <c r="J529" s="924"/>
      <c r="K529" s="924"/>
      <c r="L529" s="924"/>
      <c r="M529" s="924"/>
      <c r="N529" s="823"/>
      <c r="O529" s="25"/>
      <c r="P529" s="437"/>
      <c r="Q529" s="437"/>
      <c r="R529" s="437"/>
      <c r="S529" s="437"/>
      <c r="T529" s="26"/>
    </row>
    <row r="530" spans="1:20" s="697" customFormat="1" ht="12.75" customHeight="1" x14ac:dyDescent="0.2">
      <c r="A530" s="437"/>
      <c r="B530" s="414"/>
      <c r="C530" s="414"/>
      <c r="E530" s="1651" t="str">
        <f>Translations!$B$687</f>
        <v>Tiešās emisijas</v>
      </c>
      <c r="F530" s="1652"/>
      <c r="G530" s="1652"/>
      <c r="H530" s="465" t="str">
        <f>EUconst_tCO2pa</f>
        <v>t CO2 / gads</v>
      </c>
      <c r="I530" s="1103" t="str">
        <f>IF($I507="","",IF(INDEX(F_ProductBM!I:I,MATCH($P530,F_ProductBM!$P:$P,0))="","",INDEX(F_ProductBM!I:I,MATCH($P530,F_ProductBM!$P:$P,0))))</f>
        <v/>
      </c>
      <c r="J530" s="1103" t="str">
        <f>IF($I507="","",IF(INDEX(F_ProductBM!J:J,MATCH($P530,F_ProductBM!$P:$P,0))="","",INDEX(F_ProductBM!J:J,MATCH($P530,F_ProductBM!$P:$P,0))))</f>
        <v/>
      </c>
      <c r="K530" s="1103" t="str">
        <f>IF($I507="","",IF(INDEX(F_ProductBM!K:K,MATCH($P530,F_ProductBM!$P:$P,0))="","",INDEX(F_ProductBM!K:K,MATCH($P530,F_ProductBM!$P:$P,0))))</f>
        <v/>
      </c>
      <c r="L530" s="1103" t="str">
        <f>IF($I507="","",IF(INDEX(F_ProductBM!L:L,MATCH($P530,F_ProductBM!$P:$P,0))="","",INDEX(F_ProductBM!L:L,MATCH($P530,F_ProductBM!$P:$P,0))))</f>
        <v/>
      </c>
      <c r="M530" s="1103" t="str">
        <f>IF($I507="","",IF(INDEX(F_ProductBM!M:M,MATCH($P530,F_ProductBM!$P:$P,0))="","",INDEX(F_ProductBM!M:M,MATCH($P530,F_ProductBM!$P:$P,0))))</f>
        <v/>
      </c>
      <c r="N530" s="823"/>
      <c r="O530" s="25"/>
      <c r="P530" s="367" t="str">
        <f>EUconst_CNTR_Emissions &amp; I507</f>
        <v>DirEmissions_</v>
      </c>
      <c r="Q530" s="437"/>
      <c r="R530" s="437"/>
      <c r="S530" s="437"/>
      <c r="T530" s="26"/>
    </row>
    <row r="531" spans="1:20" s="697" customFormat="1" x14ac:dyDescent="0.2">
      <c r="A531" s="437"/>
      <c r="B531" s="414"/>
      <c r="C531" s="414"/>
      <c r="E531" s="1893" t="str">
        <f>Translations!$B$742</f>
        <v>Citas avota plūsmas, 1:</v>
      </c>
      <c r="F531" s="1893"/>
      <c r="G531" s="1893"/>
      <c r="H531" s="465" t="str">
        <f>EUconst_tCO2pa</f>
        <v>t CO2 / gads</v>
      </c>
      <c r="I531" s="1103" t="str">
        <f>IF($I507="","",IF(INDEX(F_ProductBM!I:I,MATCH($P531,F_ProductBM!$P:$P,0))="","",INDEX(F_ProductBM!I:I,MATCH($P531,F_ProductBM!$P:$P,0))))</f>
        <v/>
      </c>
      <c r="J531" s="1103" t="str">
        <f>IF($I507="","",IF(INDEX(F_ProductBM!J:J,MATCH($P531,F_ProductBM!$P:$P,0))="","",INDEX(F_ProductBM!J:J,MATCH($P531,F_ProductBM!$P:$P,0))))</f>
        <v/>
      </c>
      <c r="K531" s="1103" t="str">
        <f>IF($I507="","",IF(INDEX(F_ProductBM!K:K,MATCH($P531,F_ProductBM!$P:$P,0))="","",INDEX(F_ProductBM!K:K,MATCH($P531,F_ProductBM!$P:$P,0))))</f>
        <v/>
      </c>
      <c r="L531" s="1103" t="str">
        <f>IF($I507="","",IF(INDEX(F_ProductBM!L:L,MATCH($P531,F_ProductBM!$P:$P,0))="","",INDEX(F_ProductBM!L:L,MATCH($P531,F_ProductBM!$P:$P,0))))</f>
        <v/>
      </c>
      <c r="M531" s="1103" t="str">
        <f>IF($I507="","",IF(INDEX(F_ProductBM!M:M,MATCH($P531,F_ProductBM!$P:$P,0))="","",INDEX(F_ProductBM!M:M,MATCH($P531,F_ProductBM!$P:$P,0))))</f>
        <v/>
      </c>
      <c r="N531" s="823"/>
      <c r="O531" s="25"/>
      <c r="P531" s="367" t="str">
        <f>EUconst_CNTR_EmissionsIntSource1 &amp; I507</f>
        <v>EmInternalSource1_</v>
      </c>
      <c r="Q531" s="437"/>
      <c r="R531" s="437"/>
      <c r="S531" s="437"/>
      <c r="T531" s="26"/>
    </row>
    <row r="532" spans="1:20" s="697" customFormat="1" x14ac:dyDescent="0.2">
      <c r="A532" s="437"/>
      <c r="B532" s="414"/>
      <c r="C532" s="414"/>
      <c r="E532" s="1893" t="str">
        <f>Translations!$B$752</f>
        <v>Citas avota plūsmas, 2:</v>
      </c>
      <c r="F532" s="1893"/>
      <c r="G532" s="1893"/>
      <c r="H532" s="465" t="str">
        <f>EUconst_tCO2pa</f>
        <v>t CO2 / gads</v>
      </c>
      <c r="I532" s="1103" t="str">
        <f>IF($I507="","",IF(INDEX(F_ProductBM!I:I,MATCH($P532,F_ProductBM!$P:$P,0))="","",INDEX(F_ProductBM!I:I,MATCH($P532,F_ProductBM!$P:$P,0))))</f>
        <v/>
      </c>
      <c r="J532" s="1103" t="str">
        <f>IF($I507="","",IF(INDEX(F_ProductBM!J:J,MATCH($P532,F_ProductBM!$P:$P,0))="","",INDEX(F_ProductBM!J:J,MATCH($P532,F_ProductBM!$P:$P,0))))</f>
        <v/>
      </c>
      <c r="K532" s="1103" t="str">
        <f>IF($I507="","",IF(INDEX(F_ProductBM!K:K,MATCH($P532,F_ProductBM!$P:$P,0))="","",INDEX(F_ProductBM!K:K,MATCH($P532,F_ProductBM!$P:$P,0))))</f>
        <v/>
      </c>
      <c r="L532" s="1103" t="str">
        <f>IF($I507="","",IF(INDEX(F_ProductBM!L:L,MATCH($P532,F_ProductBM!$P:$P,0))="","",INDEX(F_ProductBM!L:L,MATCH($P532,F_ProductBM!$P:$P,0))))</f>
        <v/>
      </c>
      <c r="M532" s="1103" t="str">
        <f>IF($I507="","",IF(INDEX(F_ProductBM!M:M,MATCH($P532,F_ProductBM!$P:$P,0))="","",INDEX(F_ProductBM!M:M,MATCH($P532,F_ProductBM!$P:$P,0))))</f>
        <v/>
      </c>
      <c r="N532" s="823"/>
      <c r="O532" s="25"/>
      <c r="P532" s="367" t="str">
        <f>EUconst_CNTR_EmissionsIntSource2 &amp; I507</f>
        <v>EmInternalSource2_</v>
      </c>
      <c r="Q532" s="437"/>
      <c r="R532" s="437"/>
      <c r="S532" s="437"/>
      <c r="T532" s="26"/>
    </row>
    <row r="533" spans="1:20" s="697" customFormat="1" x14ac:dyDescent="0.2">
      <c r="A533" s="437"/>
      <c r="B533" s="414"/>
      <c r="C533" s="414"/>
      <c r="D533" s="414"/>
      <c r="E533" s="1651" t="str">
        <f>Translations!$B$756</f>
        <v>Importētās vai eksportētās SEG</v>
      </c>
      <c r="F533" s="1652"/>
      <c r="G533" s="1652"/>
      <c r="H533" s="465" t="str">
        <f>EUconst_tCO2epa</f>
        <v>t CO2e/gads</v>
      </c>
      <c r="I533" s="1103" t="str">
        <f>IF($I507="","",IF(INDEX(F_ProductBM!I:I,MATCH($P533,F_ProductBM!$P:$P,0))="","",INDEX(F_ProductBM!I:I,MATCH($P533,F_ProductBM!$P:$P,0))))</f>
        <v/>
      </c>
      <c r="J533" s="1103" t="str">
        <f>IF($I507="","",IF(INDEX(F_ProductBM!J:J,MATCH($P533,F_ProductBM!$P:$P,0))="","",INDEX(F_ProductBM!J:J,MATCH($P533,F_ProductBM!$P:$P,0))))</f>
        <v/>
      </c>
      <c r="K533" s="1103" t="str">
        <f>IF($I507="","",IF(INDEX(F_ProductBM!K:K,MATCH($P533,F_ProductBM!$P:$P,0))="","",INDEX(F_ProductBM!K:K,MATCH($P533,F_ProductBM!$P:$P,0))))</f>
        <v/>
      </c>
      <c r="L533" s="1103" t="str">
        <f>IF($I507="","",IF(INDEX(F_ProductBM!L:L,MATCH($P533,F_ProductBM!$P:$P,0))="","",INDEX(F_ProductBM!L:L,MATCH($P533,F_ProductBM!$P:$P,0))))</f>
        <v/>
      </c>
      <c r="M533" s="1103" t="str">
        <f>IF($I507="","",IF(INDEX(F_ProductBM!M:M,MATCH($P533,F_ProductBM!$P:$P,0))="","",INDEX(F_ProductBM!M:M,MATCH($P533,F_ProductBM!$P:$P,0))))</f>
        <v/>
      </c>
      <c r="N533" s="823"/>
      <c r="O533" s="25"/>
      <c r="P533" s="367" t="str">
        <f>EUconst_CNTR_CO2Feedstock &amp; I507</f>
        <v>EmCO2Feedstock_</v>
      </c>
      <c r="Q533" s="437"/>
      <c r="R533" s="437"/>
      <c r="S533" s="437"/>
      <c r="T533" s="26"/>
    </row>
    <row r="534" spans="1:20" s="697" customFormat="1" ht="5.0999999999999996" customHeight="1" x14ac:dyDescent="0.2">
      <c r="A534" s="437"/>
      <c r="B534" s="414"/>
      <c r="C534" s="414"/>
      <c r="D534" s="414"/>
      <c r="E534" s="823"/>
      <c r="F534" s="823"/>
      <c r="G534" s="823"/>
      <c r="H534" s="823"/>
      <c r="I534" s="924"/>
      <c r="J534" s="924"/>
      <c r="K534" s="924"/>
      <c r="L534" s="924"/>
      <c r="M534" s="924"/>
      <c r="N534" s="823"/>
      <c r="O534" s="25"/>
      <c r="P534" s="437"/>
      <c r="Q534" s="437"/>
      <c r="R534" s="437"/>
      <c r="S534" s="437"/>
      <c r="T534" s="26"/>
    </row>
    <row r="535" spans="1:20" s="697" customFormat="1" x14ac:dyDescent="0.2">
      <c r="A535" s="437"/>
      <c r="B535" s="414"/>
      <c r="C535" s="414"/>
      <c r="D535" s="414"/>
      <c r="E535" s="1667" t="str">
        <f>Translations!$B$764</f>
        <v>Neto importētais siltums</v>
      </c>
      <c r="F535" s="1660"/>
      <c r="G535" s="1660"/>
      <c r="H535" s="466" t="str">
        <f>EUconst_TJpa</f>
        <v>TJ / gads</v>
      </c>
      <c r="I535" s="922" t="str">
        <f>IF($I507="","",IF(INDEX(F_ProductBM!I:I,MATCH($P535,F_ProductBM!$P:$P,0))="","",INDEX(F_ProductBM!I:I,MATCH($P535,F_ProductBM!$P:$P,0))))</f>
        <v/>
      </c>
      <c r="J535" s="922" t="str">
        <f>IF($I507="","",IF(INDEX(F_ProductBM!J:J,MATCH($P535,F_ProductBM!$P:$P,0))="","",INDEX(F_ProductBM!J:J,MATCH($P535,F_ProductBM!$P:$P,0))))</f>
        <v/>
      </c>
      <c r="K535" s="922" t="str">
        <f>IF($I507="","",IF(INDEX(F_ProductBM!K:K,MATCH($P535,F_ProductBM!$P:$P,0))="","",INDEX(F_ProductBM!K:K,MATCH($P535,F_ProductBM!$P:$P,0))))</f>
        <v/>
      </c>
      <c r="L535" s="922" t="str">
        <f>IF($I507="","",IF(INDEX(F_ProductBM!L:L,MATCH($P535,F_ProductBM!$P:$P,0))="","",INDEX(F_ProductBM!L:L,MATCH($P535,F_ProductBM!$P:$P,0))))</f>
        <v/>
      </c>
      <c r="M535" s="922" t="str">
        <f>IF($I507="","",IF(INDEX(F_ProductBM!M:M,MATCH($P535,F_ProductBM!$P:$P,0))="","",INDEX(F_ProductBM!M:M,MATCH($P535,F_ProductBM!$P:$P,0))))</f>
        <v/>
      </c>
      <c r="N535" s="823"/>
      <c r="O535" s="25"/>
      <c r="P535" s="367" t="str">
        <f>EUconst_CNTR_HeatImport &amp; I507</f>
        <v>HeatIm_</v>
      </c>
      <c r="Q535" s="437"/>
      <c r="R535" s="437"/>
      <c r="S535" s="437"/>
      <c r="T535" s="26"/>
    </row>
    <row r="536" spans="1:20" s="697" customFormat="1" x14ac:dyDescent="0.2">
      <c r="A536" s="437"/>
      <c r="B536" s="414"/>
      <c r="C536" s="414"/>
      <c r="D536" s="414"/>
      <c r="E536" s="1737" t="str">
        <f>Translations!$B$765</f>
        <v>Īpatnējais EF (importētais siltums)</v>
      </c>
      <c r="F536" s="1659"/>
      <c r="G536" s="1659"/>
      <c r="H536" s="485" t="str">
        <f>EUconst_tCO2pTJ</f>
        <v>t CO2 / TJ</v>
      </c>
      <c r="I536" s="923" t="str">
        <f>IF($I507="","",IF(INDEX(F_ProductBM!I:I,MATCH($P536,F_ProductBM!$P:$P,0))="","",INDEX(F_ProductBM!I:I,MATCH($P536,F_ProductBM!$P:$P,0))))</f>
        <v/>
      </c>
      <c r="J536" s="923" t="str">
        <f>IF($I507="","",IF(INDEX(F_ProductBM!J:J,MATCH($P536,F_ProductBM!$P:$P,0))="","",INDEX(F_ProductBM!J:J,MATCH($P536,F_ProductBM!$P:$P,0))))</f>
        <v/>
      </c>
      <c r="K536" s="923" t="str">
        <f>IF($I507="","",IF(INDEX(F_ProductBM!K:K,MATCH($P536,F_ProductBM!$P:$P,0))="","",INDEX(F_ProductBM!K:K,MATCH($P536,F_ProductBM!$P:$P,0))))</f>
        <v/>
      </c>
      <c r="L536" s="923" t="str">
        <f>IF($I507="","",IF(INDEX(F_ProductBM!L:L,MATCH($P536,F_ProductBM!$P:$P,0))="","",INDEX(F_ProductBM!L:L,MATCH($P536,F_ProductBM!$P:$P,0))))</f>
        <v/>
      </c>
      <c r="M536" s="923" t="str">
        <f>IF($I507="","",IF(INDEX(F_ProductBM!M:M,MATCH($P536,F_ProductBM!$P:$P,0))="","",INDEX(F_ProductBM!M:M,MATCH($P536,F_ProductBM!$P:$P,0))))</f>
        <v/>
      </c>
      <c r="N536" s="823"/>
      <c r="O536" s="25"/>
      <c r="P536" s="367" t="str">
        <f>EUconst_CNTR_HeatImportEF &amp; I507</f>
        <v>HeatImEF_</v>
      </c>
      <c r="Q536" s="437"/>
      <c r="R536" s="437"/>
      <c r="S536" s="437"/>
      <c r="T536" s="26"/>
    </row>
    <row r="537" spans="1:20" s="697" customFormat="1" ht="5.0999999999999996" customHeight="1" x14ac:dyDescent="0.2">
      <c r="A537" s="437"/>
      <c r="B537" s="414"/>
      <c r="C537" s="414"/>
      <c r="D537" s="414"/>
      <c r="E537" s="526"/>
      <c r="F537" s="823"/>
      <c r="G537" s="823"/>
      <c r="H537" s="823"/>
      <c r="I537" s="924"/>
      <c r="J537" s="924"/>
      <c r="K537" s="924"/>
      <c r="L537" s="924"/>
      <c r="M537" s="924"/>
      <c r="N537" s="823"/>
      <c r="O537" s="25"/>
      <c r="P537" s="26"/>
      <c r="Q537" s="437"/>
      <c r="R537" s="437"/>
      <c r="S537" s="437"/>
      <c r="T537" s="26"/>
    </row>
    <row r="538" spans="1:20" s="697" customFormat="1" x14ac:dyDescent="0.2">
      <c r="A538" s="437"/>
      <c r="B538" s="414"/>
      <c r="C538" s="414"/>
      <c r="D538" s="414"/>
      <c r="E538" s="1651" t="str">
        <f>Translations!$B$820</f>
        <v>No pulpas apakšiekārtām importētais neto siltums</v>
      </c>
      <c r="F538" s="1652"/>
      <c r="G538" s="1652"/>
      <c r="H538" s="465" t="str">
        <f>EUconst_TJpa</f>
        <v>TJ / gads</v>
      </c>
      <c r="I538" s="925" t="str">
        <f>IF($I507="","",IF(INDEX(F_ProductBM!I:I,MATCH($P538,F_ProductBM!$P:$P,0))="","",INDEX(F_ProductBM!I:I,MATCH($P538,F_ProductBM!$P:$P,0))))</f>
        <v/>
      </c>
      <c r="J538" s="925" t="str">
        <f>IF($I507="","",IF(INDEX(F_ProductBM!J:J,MATCH($P538,F_ProductBM!$P:$P,0))="","",INDEX(F_ProductBM!J:J,MATCH($P538,F_ProductBM!$P:$P,0))))</f>
        <v/>
      </c>
      <c r="K538" s="925" t="str">
        <f>IF($I507="","",IF(INDEX(F_ProductBM!K:K,MATCH($P538,F_ProductBM!$P:$P,0))="","",INDEX(F_ProductBM!K:K,MATCH($P538,F_ProductBM!$P:$P,0))))</f>
        <v/>
      </c>
      <c r="L538" s="925" t="str">
        <f>IF($I507="","",IF(INDEX(F_ProductBM!L:L,MATCH($P538,F_ProductBM!$P:$P,0))="","",INDEX(F_ProductBM!L:L,MATCH($P538,F_ProductBM!$P:$P,0))))</f>
        <v/>
      </c>
      <c r="M538" s="925" t="str">
        <f>IF($I507="","",IF(INDEX(F_ProductBM!M:M,MATCH($P538,F_ProductBM!$P:$P,0))="","",INDEX(F_ProductBM!M:M,MATCH($P538,F_ProductBM!$P:$P,0))))</f>
        <v/>
      </c>
      <c r="N538" s="823"/>
      <c r="O538" s="25"/>
      <c r="P538" s="367" t="str">
        <f>EUconst_CNTR_HeatImportPulp &amp; I507</f>
        <v>HeatImPulp_</v>
      </c>
      <c r="Q538" s="437"/>
      <c r="R538" s="437"/>
      <c r="S538" s="437"/>
      <c r="T538" s="26"/>
    </row>
    <row r="539" spans="1:20" s="697" customFormat="1" x14ac:dyDescent="0.2">
      <c r="A539" s="437"/>
      <c r="B539" s="414"/>
      <c r="C539" s="414"/>
      <c r="D539" s="414"/>
      <c r="E539" s="1651" t="str">
        <f>Translations!$B$768</f>
        <v>No slāpekļskābes apakšiekārtas importētais neto siltums</v>
      </c>
      <c r="F539" s="1652"/>
      <c r="G539" s="1652"/>
      <c r="H539" s="465" t="str">
        <f>EUconst_TJpa</f>
        <v>TJ / gads</v>
      </c>
      <c r="I539" s="925" t="str">
        <f>IF($I507="","",IF(INDEX(F_ProductBM!I:I,MATCH($P539,F_ProductBM!$P:$P,0))="","",INDEX(F_ProductBM!I:I,MATCH($P539,F_ProductBM!$P:$P,0))))</f>
        <v/>
      </c>
      <c r="J539" s="925" t="str">
        <f>IF($I507="","",IF(INDEX(F_ProductBM!J:J,MATCH($P539,F_ProductBM!$P:$P,0))="","",INDEX(F_ProductBM!J:J,MATCH($P539,F_ProductBM!$P:$P,0))))</f>
        <v/>
      </c>
      <c r="K539" s="925" t="str">
        <f>IF($I507="","",IF(INDEX(F_ProductBM!K:K,MATCH($P539,F_ProductBM!$P:$P,0))="","",INDEX(F_ProductBM!K:K,MATCH($P539,F_ProductBM!$P:$P,0))))</f>
        <v/>
      </c>
      <c r="L539" s="925" t="str">
        <f>IF($I507="","",IF(INDEX(F_ProductBM!L:L,MATCH($P539,F_ProductBM!$P:$P,0))="","",INDEX(F_ProductBM!L:L,MATCH($P539,F_ProductBM!$P:$P,0))))</f>
        <v/>
      </c>
      <c r="M539" s="925" t="str">
        <f>IF($I507="","",IF(INDEX(F_ProductBM!M:M,MATCH($P539,F_ProductBM!$P:$P,0))="","",INDEX(F_ProductBM!M:M,MATCH($P539,F_ProductBM!$P:$P,0))))</f>
        <v/>
      </c>
      <c r="N539" s="823"/>
      <c r="O539" s="25"/>
      <c r="P539" s="367" t="str">
        <f>EUconst_CNTR_HeatImportNitric &amp; I507</f>
        <v>HeatImNitric_</v>
      </c>
      <c r="Q539" s="437"/>
      <c r="R539" s="437"/>
      <c r="S539" s="437"/>
      <c r="T539" s="26"/>
    </row>
    <row r="540" spans="1:20" s="697" customFormat="1" ht="5.0999999999999996" customHeight="1" x14ac:dyDescent="0.2">
      <c r="A540" s="437"/>
      <c r="B540" s="414"/>
      <c r="C540" s="414"/>
      <c r="D540" s="414"/>
      <c r="E540" s="526"/>
      <c r="F540" s="526"/>
      <c r="G540" s="526"/>
      <c r="H540" s="526"/>
      <c r="I540" s="924"/>
      <c r="J540" s="924"/>
      <c r="K540" s="924"/>
      <c r="L540" s="924"/>
      <c r="M540" s="924"/>
      <c r="N540" s="823"/>
      <c r="O540" s="25"/>
      <c r="P540" s="26"/>
      <c r="Q540" s="437"/>
      <c r="R540" s="437"/>
      <c r="S540" s="437"/>
      <c r="T540" s="26"/>
    </row>
    <row r="541" spans="1:20" s="697" customFormat="1" x14ac:dyDescent="0.2">
      <c r="A541" s="437"/>
      <c r="B541" s="414"/>
      <c r="C541" s="414"/>
      <c r="D541" s="414"/>
      <c r="E541" s="1667" t="str">
        <f>Translations!$B$770</f>
        <v>Neto eksportētais siltums</v>
      </c>
      <c r="F541" s="1660"/>
      <c r="G541" s="1660"/>
      <c r="H541" s="466" t="str">
        <f>EUconst_TJpa</f>
        <v>TJ / gads</v>
      </c>
      <c r="I541" s="922" t="str">
        <f>IF($I507="","",IF(INDEX(F_ProductBM!I:I,MATCH($P541,F_ProductBM!$P:$P,0))="","",INDEX(F_ProductBM!I:I,MATCH($P541,F_ProductBM!$P:$P,0))))</f>
        <v/>
      </c>
      <c r="J541" s="922" t="str">
        <f>IF($I507="","",IF(INDEX(F_ProductBM!J:J,MATCH($P541,F_ProductBM!$P:$P,0))="","",INDEX(F_ProductBM!J:J,MATCH($P541,F_ProductBM!$P:$P,0))))</f>
        <v/>
      </c>
      <c r="K541" s="922" t="str">
        <f>IF($I507="","",IF(INDEX(F_ProductBM!K:K,MATCH($P541,F_ProductBM!$P:$P,0))="","",INDEX(F_ProductBM!K:K,MATCH($P541,F_ProductBM!$P:$P,0))))</f>
        <v/>
      </c>
      <c r="L541" s="922" t="str">
        <f>IF($I507="","",IF(INDEX(F_ProductBM!L:L,MATCH($P541,F_ProductBM!$P:$P,0))="","",INDEX(F_ProductBM!L:L,MATCH($P541,F_ProductBM!$P:$P,0))))</f>
        <v/>
      </c>
      <c r="M541" s="922" t="str">
        <f>IF($I507="","",IF(INDEX(F_ProductBM!M:M,MATCH($P541,F_ProductBM!$P:$P,0))="","",INDEX(F_ProductBM!M:M,MATCH($P541,F_ProductBM!$P:$P,0))))</f>
        <v/>
      </c>
      <c r="N541" s="823"/>
      <c r="O541" s="25"/>
      <c r="P541" s="367" t="str">
        <f>EUconst_CNTR_HeatExport &amp; I507</f>
        <v>HeatEx_</v>
      </c>
      <c r="Q541" s="437"/>
      <c r="R541" s="437"/>
      <c r="S541" s="437"/>
      <c r="T541" s="26"/>
    </row>
    <row r="542" spans="1:20" s="697" customFormat="1" x14ac:dyDescent="0.2">
      <c r="A542" s="437"/>
      <c r="B542" s="414"/>
      <c r="C542" s="414"/>
      <c r="D542" s="414"/>
      <c r="E542" s="1737" t="str">
        <f>Translations!$B$771</f>
        <v>Īpatnējais EF (eksportētais siltums)</v>
      </c>
      <c r="F542" s="1659"/>
      <c r="G542" s="1659"/>
      <c r="H542" s="485" t="str">
        <f>EUconst_tCO2pTJ</f>
        <v>t CO2 / TJ</v>
      </c>
      <c r="I542" s="923" t="str">
        <f>IF($I507="","",IF(INDEX(F_ProductBM!I:I,MATCH($P542,F_ProductBM!$P:$P,0))="","",INDEX(F_ProductBM!I:I,MATCH($P542,F_ProductBM!$P:$P,0))))</f>
        <v/>
      </c>
      <c r="J542" s="923" t="str">
        <f>IF($I507="","",IF(INDEX(F_ProductBM!J:J,MATCH($P542,F_ProductBM!$P:$P,0))="","",INDEX(F_ProductBM!J:J,MATCH($P542,F_ProductBM!$P:$P,0))))</f>
        <v/>
      </c>
      <c r="K542" s="923" t="str">
        <f>IF($I507="","",IF(INDEX(F_ProductBM!K:K,MATCH($P542,F_ProductBM!$P:$P,0))="","",INDEX(F_ProductBM!K:K,MATCH($P542,F_ProductBM!$P:$P,0))))</f>
        <v/>
      </c>
      <c r="L542" s="923" t="str">
        <f>IF($I507="","",IF(INDEX(F_ProductBM!L:L,MATCH($P542,F_ProductBM!$P:$P,0))="","",INDEX(F_ProductBM!L:L,MATCH($P542,F_ProductBM!$P:$P,0))))</f>
        <v/>
      </c>
      <c r="M542" s="923" t="str">
        <f>IF($I507="","",IF(INDEX(F_ProductBM!M:M,MATCH($P542,F_ProductBM!$P:$P,0))="","",INDEX(F_ProductBM!M:M,MATCH($P542,F_ProductBM!$P:$P,0))))</f>
        <v/>
      </c>
      <c r="N542" s="823"/>
      <c r="O542" s="25"/>
      <c r="P542" s="367" t="str">
        <f>EUconst_CNTR_HeatExportEF &amp; I507</f>
        <v>HeatExEF_</v>
      </c>
      <c r="Q542" s="437"/>
      <c r="R542" s="437"/>
      <c r="S542" s="437"/>
      <c r="T542" s="26"/>
    </row>
    <row r="543" spans="1:20" s="697" customFormat="1" ht="5.0999999999999996" customHeight="1" x14ac:dyDescent="0.2">
      <c r="A543" s="437"/>
      <c r="B543" s="414"/>
      <c r="C543" s="414"/>
      <c r="D543" s="414"/>
      <c r="E543" s="526"/>
      <c r="F543" s="526"/>
      <c r="G543" s="526"/>
      <c r="H543" s="526"/>
      <c r="I543" s="924"/>
      <c r="J543" s="924"/>
      <c r="K543" s="924"/>
      <c r="L543" s="924"/>
      <c r="M543" s="924"/>
      <c r="N543" s="823"/>
      <c r="O543" s="25"/>
      <c r="P543" s="199"/>
      <c r="Q543" s="437"/>
      <c r="R543" s="437"/>
      <c r="S543" s="437"/>
      <c r="T543" s="26"/>
    </row>
    <row r="544" spans="1:20" s="697" customFormat="1" x14ac:dyDescent="0.2">
      <c r="A544" s="437"/>
      <c r="B544" s="414"/>
      <c r="C544" s="414"/>
      <c r="D544" s="414"/>
      <c r="E544" s="1667" t="str">
        <f>Translations!$B$778</f>
        <v>Radusies atlikumgāze</v>
      </c>
      <c r="F544" s="1660"/>
      <c r="G544" s="1660"/>
      <c r="H544" s="466" t="str">
        <f>EUconst_TJpa</f>
        <v>TJ / gads</v>
      </c>
      <c r="I544" s="922" t="str">
        <f>IF($I507="","",IF(INDEX(F_ProductBM!I:I,MATCH($P544,F_ProductBM!$P:$P,0))="","",INDEX(F_ProductBM!I:I,MATCH($P544,F_ProductBM!$P:$P,0))))</f>
        <v/>
      </c>
      <c r="J544" s="922" t="str">
        <f>IF($I507="","",IF(INDEX(F_ProductBM!J:J,MATCH($P544,F_ProductBM!$P:$P,0))="","",INDEX(F_ProductBM!J:J,MATCH($P544,F_ProductBM!$P:$P,0))))</f>
        <v/>
      </c>
      <c r="K544" s="922" t="str">
        <f>IF($I507="","",IF(INDEX(F_ProductBM!K:K,MATCH($P544,F_ProductBM!$P:$P,0))="","",INDEX(F_ProductBM!K:K,MATCH($P544,F_ProductBM!$P:$P,0))))</f>
        <v/>
      </c>
      <c r="L544" s="922" t="str">
        <f>IF($I507="","",IF(INDEX(F_ProductBM!L:L,MATCH($P544,F_ProductBM!$P:$P,0))="","",INDEX(F_ProductBM!L:L,MATCH($P544,F_ProductBM!$P:$P,0))))</f>
        <v/>
      </c>
      <c r="M544" s="922" t="str">
        <f>IF($I507="","",IF(INDEX(F_ProductBM!M:M,MATCH($P544,F_ProductBM!$P:$P,0))="","",INDEX(F_ProductBM!M:M,MATCH($P544,F_ProductBM!$P:$P,0))))</f>
        <v/>
      </c>
      <c r="N544" s="823"/>
      <c r="O544" s="25"/>
      <c r="P544" s="822" t="str">
        <f>EUconst_CNTR_WGProduced &amp; I507</f>
        <v>WasteGasProd_</v>
      </c>
      <c r="Q544" s="437"/>
      <c r="R544" s="437"/>
      <c r="S544" s="437"/>
      <c r="T544" s="26"/>
    </row>
    <row r="545" spans="1:20" s="697" customFormat="1" x14ac:dyDescent="0.2">
      <c r="A545" s="437"/>
      <c r="B545" s="414"/>
      <c r="C545" s="414"/>
      <c r="D545" s="414"/>
      <c r="E545" s="1737" t="str">
        <f>Translations!$B$779</f>
        <v>Īpatnējais EF (radusies atlikumgāze)</v>
      </c>
      <c r="F545" s="1659"/>
      <c r="G545" s="1659"/>
      <c r="H545" s="485" t="str">
        <f>EUconst_tCO2pTJ</f>
        <v>t CO2 / TJ</v>
      </c>
      <c r="I545" s="923" t="str">
        <f>IF($I507="","",IF(INDEX(F_ProductBM!I:I,MATCH($P545,F_ProductBM!$P:$P,0))="","",INDEX(F_ProductBM!I:I,MATCH($P545,F_ProductBM!$P:$P,0))))</f>
        <v/>
      </c>
      <c r="J545" s="923" t="str">
        <f>IF($I507="","",IF(INDEX(F_ProductBM!J:J,MATCH($P545,F_ProductBM!$P:$P,0))="","",INDEX(F_ProductBM!J:J,MATCH($P545,F_ProductBM!$P:$P,0))))</f>
        <v/>
      </c>
      <c r="K545" s="923" t="str">
        <f>IF($I507="","",IF(INDEX(F_ProductBM!K:K,MATCH($P545,F_ProductBM!$P:$P,0))="","",INDEX(F_ProductBM!K:K,MATCH($P545,F_ProductBM!$P:$P,0))))</f>
        <v/>
      </c>
      <c r="L545" s="923" t="str">
        <f>IF($I507="","",IF(INDEX(F_ProductBM!L:L,MATCH($P545,F_ProductBM!$P:$P,0))="","",INDEX(F_ProductBM!L:L,MATCH($P545,F_ProductBM!$P:$P,0))))</f>
        <v/>
      </c>
      <c r="M545" s="923" t="str">
        <f>IF($I507="","",IF(INDEX(F_ProductBM!M:M,MATCH($P545,F_ProductBM!$P:$P,0))="","",INDEX(F_ProductBM!M:M,MATCH($P545,F_ProductBM!$P:$P,0))))</f>
        <v/>
      </c>
      <c r="N545" s="823"/>
      <c r="O545" s="25"/>
      <c r="P545" s="367" t="str">
        <f>EUconst_CNTR_WGProducedEF &amp; I507</f>
        <v>WasteGasProdEF_</v>
      </c>
      <c r="Q545" s="437"/>
      <c r="R545" s="437"/>
      <c r="S545" s="437"/>
      <c r="T545" s="26"/>
    </row>
    <row r="546" spans="1:20" s="697" customFormat="1" x14ac:dyDescent="0.2">
      <c r="A546" s="437"/>
      <c r="B546" s="414"/>
      <c r="C546" s="414"/>
      <c r="D546" s="414"/>
      <c r="E546" s="1667" t="str">
        <f>Translations!$B$783</f>
        <v>Patērētā atlikumgāze</v>
      </c>
      <c r="F546" s="1660"/>
      <c r="G546" s="1660"/>
      <c r="H546" s="466" t="str">
        <f>EUconst_TJpa</f>
        <v>TJ / gads</v>
      </c>
      <c r="I546" s="922" t="str">
        <f>IF($I507="","",IF(INDEX(F_ProductBM!I:I,MATCH($P546,F_ProductBM!$P:$P,0))="","",INDEX(F_ProductBM!I:I,MATCH($P546,F_ProductBM!$P:$P,0))))</f>
        <v/>
      </c>
      <c r="J546" s="922" t="str">
        <f>IF($I507="","",IF(INDEX(F_ProductBM!J:J,MATCH($P546,F_ProductBM!$P:$P,0))="","",INDEX(F_ProductBM!J:J,MATCH($P546,F_ProductBM!$P:$P,0))))</f>
        <v/>
      </c>
      <c r="K546" s="922" t="str">
        <f>IF($I507="","",IF(INDEX(F_ProductBM!K:K,MATCH($P546,F_ProductBM!$P:$P,0))="","",INDEX(F_ProductBM!K:K,MATCH($P546,F_ProductBM!$P:$P,0))))</f>
        <v/>
      </c>
      <c r="L546" s="922" t="str">
        <f>IF($I507="","",IF(INDEX(F_ProductBM!L:L,MATCH($P546,F_ProductBM!$P:$P,0))="","",INDEX(F_ProductBM!L:L,MATCH($P546,F_ProductBM!$P:$P,0))))</f>
        <v/>
      </c>
      <c r="M546" s="922" t="str">
        <f>IF($I507="","",IF(INDEX(F_ProductBM!M:M,MATCH($P546,F_ProductBM!$P:$P,0))="","",INDEX(F_ProductBM!M:M,MATCH($P546,F_ProductBM!$P:$P,0))))</f>
        <v/>
      </c>
      <c r="N546" s="823"/>
      <c r="O546" s="25"/>
      <c r="P546" s="367" t="str">
        <f>EUconst_CNTR_WGConsumed &amp; I507</f>
        <v>WasteGasCons_</v>
      </c>
      <c r="Q546" s="437"/>
      <c r="R546" s="437"/>
      <c r="S546" s="437"/>
      <c r="T546" s="26"/>
    </row>
    <row r="547" spans="1:20" s="697" customFormat="1" x14ac:dyDescent="0.2">
      <c r="A547" s="437"/>
      <c r="B547" s="414"/>
      <c r="C547" s="414"/>
      <c r="D547" s="414"/>
      <c r="E547" s="1737" t="str">
        <f>Translations!$B$784</f>
        <v>Īpatnējais EF (patērētā atlikumgāze)</v>
      </c>
      <c r="F547" s="1659"/>
      <c r="G547" s="1659"/>
      <c r="H547" s="485" t="str">
        <f>EUconst_tCO2pTJ</f>
        <v>t CO2 / TJ</v>
      </c>
      <c r="I547" s="923" t="str">
        <f>IF($I507="","",IF(INDEX(F_ProductBM!I:I,MATCH($P547,F_ProductBM!$P:$P,0))="","",INDEX(F_ProductBM!I:I,MATCH($P547,F_ProductBM!$P:$P,0))))</f>
        <v/>
      </c>
      <c r="J547" s="923" t="str">
        <f>IF($I507="","",IF(INDEX(F_ProductBM!J:J,MATCH($P547,F_ProductBM!$P:$P,0))="","",INDEX(F_ProductBM!J:J,MATCH($P547,F_ProductBM!$P:$P,0))))</f>
        <v/>
      </c>
      <c r="K547" s="923" t="str">
        <f>IF($I507="","",IF(INDEX(F_ProductBM!K:K,MATCH($P547,F_ProductBM!$P:$P,0))="","",INDEX(F_ProductBM!K:K,MATCH($P547,F_ProductBM!$P:$P,0))))</f>
        <v/>
      </c>
      <c r="L547" s="923" t="str">
        <f>IF($I507="","",IF(INDEX(F_ProductBM!L:L,MATCH($P547,F_ProductBM!$P:$P,0))="","",INDEX(F_ProductBM!L:L,MATCH($P547,F_ProductBM!$P:$P,0))))</f>
        <v/>
      </c>
      <c r="M547" s="923" t="str">
        <f>IF($I507="","",IF(INDEX(F_ProductBM!M:M,MATCH($P547,F_ProductBM!$P:$P,0))="","",INDEX(F_ProductBM!M:M,MATCH($P547,F_ProductBM!$P:$P,0))))</f>
        <v/>
      </c>
      <c r="N547" s="823"/>
      <c r="O547" s="25"/>
      <c r="P547" s="367" t="str">
        <f>EUconst_CNTR_WGConsumedEF &amp; I507</f>
        <v>WasteGasConsEF_</v>
      </c>
      <c r="Q547" s="437"/>
      <c r="R547" s="437"/>
      <c r="S547" s="437"/>
      <c r="T547" s="26"/>
    </row>
    <row r="548" spans="1:20" s="697" customFormat="1" x14ac:dyDescent="0.2">
      <c r="A548" s="437"/>
      <c r="B548" s="414"/>
      <c r="C548" s="414"/>
      <c r="D548" s="414"/>
      <c r="E548" s="1667" t="str">
        <f>Translations!$B$790</f>
        <v>Lāpā sadedzinātā atlikumgāze</v>
      </c>
      <c r="F548" s="1660"/>
      <c r="G548" s="1660"/>
      <c r="H548" s="466" t="str">
        <f>EUconst_TJpa</f>
        <v>TJ / gads</v>
      </c>
      <c r="I548" s="922" t="str">
        <f>IF($I507="","",IF(INDEX(F_ProductBM!I:I,MATCH($P548,F_ProductBM!$P:$P,0))="","",INDEX(F_ProductBM!I:I,MATCH($P548,F_ProductBM!$P:$P,0))))</f>
        <v/>
      </c>
      <c r="J548" s="922" t="str">
        <f>IF($I507="","",IF(INDEX(F_ProductBM!J:J,MATCH($P548,F_ProductBM!$P:$P,0))="","",INDEX(F_ProductBM!J:J,MATCH($P548,F_ProductBM!$P:$P,0))))</f>
        <v/>
      </c>
      <c r="K548" s="922" t="str">
        <f>IF($I507="","",IF(INDEX(F_ProductBM!K:K,MATCH($P548,F_ProductBM!$P:$P,0))="","",INDEX(F_ProductBM!K:K,MATCH($P548,F_ProductBM!$P:$P,0))))</f>
        <v/>
      </c>
      <c r="L548" s="922" t="str">
        <f>IF($I507="","",IF(INDEX(F_ProductBM!L:L,MATCH($P548,F_ProductBM!$P:$P,0))="","",INDEX(F_ProductBM!L:L,MATCH($P548,F_ProductBM!$P:$P,0))))</f>
        <v/>
      </c>
      <c r="M548" s="922" t="str">
        <f>IF($I507="","",IF(INDEX(F_ProductBM!M:M,MATCH($P548,F_ProductBM!$P:$P,0))="","",INDEX(F_ProductBM!M:M,MATCH($P548,F_ProductBM!$P:$P,0))))</f>
        <v/>
      </c>
      <c r="N548" s="823"/>
      <c r="O548" s="25"/>
      <c r="P548" s="367" t="str">
        <f>EUconst_CNTR_WGFlared &amp; I507</f>
        <v>WasteGasFlare_</v>
      </c>
      <c r="Q548" s="437"/>
      <c r="R548" s="437"/>
      <c r="S548" s="437"/>
      <c r="T548" s="26"/>
    </row>
    <row r="549" spans="1:20" s="697" customFormat="1" x14ac:dyDescent="0.2">
      <c r="A549" s="437"/>
      <c r="B549" s="414"/>
      <c r="C549" s="414"/>
      <c r="D549" s="414"/>
      <c r="E549" s="1737" t="str">
        <f>Translations!$B$791</f>
        <v>Īpatnējais EF (lāpā sadedzinātā atlikumgāze)</v>
      </c>
      <c r="F549" s="1659"/>
      <c r="G549" s="1659"/>
      <c r="H549" s="485" t="str">
        <f>EUconst_tCO2pTJ</f>
        <v>t CO2 / TJ</v>
      </c>
      <c r="I549" s="923" t="str">
        <f>IF($I507="","",IF(INDEX(F_ProductBM!I:I,MATCH($P549,F_ProductBM!$P:$P,0))="","",INDEX(F_ProductBM!I:I,MATCH($P549,F_ProductBM!$P:$P,0))))</f>
        <v/>
      </c>
      <c r="J549" s="923" t="str">
        <f>IF($I507="","",IF(INDEX(F_ProductBM!J:J,MATCH($P549,F_ProductBM!$P:$P,0))="","",INDEX(F_ProductBM!J:J,MATCH($P549,F_ProductBM!$P:$P,0))))</f>
        <v/>
      </c>
      <c r="K549" s="923" t="str">
        <f>IF($I507="","",IF(INDEX(F_ProductBM!K:K,MATCH($P549,F_ProductBM!$P:$P,0))="","",INDEX(F_ProductBM!K:K,MATCH($P549,F_ProductBM!$P:$P,0))))</f>
        <v/>
      </c>
      <c r="L549" s="923" t="str">
        <f>IF($I507="","",IF(INDEX(F_ProductBM!L:L,MATCH($P549,F_ProductBM!$P:$P,0))="","",INDEX(F_ProductBM!L:L,MATCH($P549,F_ProductBM!$P:$P,0))))</f>
        <v/>
      </c>
      <c r="M549" s="923" t="str">
        <f>IF($I507="","",IF(INDEX(F_ProductBM!M:M,MATCH($P549,F_ProductBM!$P:$P,0))="","",INDEX(F_ProductBM!M:M,MATCH($P549,F_ProductBM!$P:$P,0))))</f>
        <v/>
      </c>
      <c r="N549" s="823"/>
      <c r="O549" s="25"/>
      <c r="P549" s="367" t="str">
        <f>EUconst_CNTR_WGFlaredEF &amp; I507</f>
        <v>WasteGasFlareEF_</v>
      </c>
      <c r="Q549" s="437"/>
      <c r="R549" s="437"/>
      <c r="S549" s="437"/>
      <c r="T549" s="26"/>
    </row>
    <row r="550" spans="1:20" s="697" customFormat="1" x14ac:dyDescent="0.2">
      <c r="A550" s="437"/>
      <c r="B550" s="414"/>
      <c r="C550" s="414"/>
      <c r="D550" s="414"/>
      <c r="E550" s="1667" t="str">
        <f>Translations!$B$796</f>
        <v>Importētā atlikumgāze</v>
      </c>
      <c r="F550" s="1660"/>
      <c r="G550" s="1660"/>
      <c r="H550" s="466" t="str">
        <f>EUconst_TJpa</f>
        <v>TJ / gads</v>
      </c>
      <c r="I550" s="922" t="str">
        <f>IF($I507="","",IF(INDEX(F_ProductBM!I:I,MATCH($P550,F_ProductBM!$P:$P,0))="","",INDEX(F_ProductBM!I:I,MATCH($P550,F_ProductBM!$P:$P,0))))</f>
        <v/>
      </c>
      <c r="J550" s="922" t="str">
        <f>IF($I507="","",IF(INDEX(F_ProductBM!J:J,MATCH($P550,F_ProductBM!$P:$P,0))="","",INDEX(F_ProductBM!J:J,MATCH($P550,F_ProductBM!$P:$P,0))))</f>
        <v/>
      </c>
      <c r="K550" s="922" t="str">
        <f>IF($I507="","",IF(INDEX(F_ProductBM!K:K,MATCH($P550,F_ProductBM!$P:$P,0))="","",INDEX(F_ProductBM!K:K,MATCH($P550,F_ProductBM!$P:$P,0))))</f>
        <v/>
      </c>
      <c r="L550" s="922" t="str">
        <f>IF($I507="","",IF(INDEX(F_ProductBM!L:L,MATCH($P550,F_ProductBM!$P:$P,0))="","",INDEX(F_ProductBM!L:L,MATCH($P550,F_ProductBM!$P:$P,0))))</f>
        <v/>
      </c>
      <c r="M550" s="922" t="str">
        <f>IF($I507="","",IF(INDEX(F_ProductBM!M:M,MATCH($P550,F_ProductBM!$P:$P,0))="","",INDEX(F_ProductBM!M:M,MATCH($P550,F_ProductBM!$P:$P,0))))</f>
        <v/>
      </c>
      <c r="N550" s="823"/>
      <c r="O550" s="25"/>
      <c r="P550" s="367" t="str">
        <f>EUconst_CNTR_WGImport &amp; I507</f>
        <v>WasteGasIm_</v>
      </c>
      <c r="Q550" s="437"/>
      <c r="R550" s="437"/>
      <c r="S550" s="437"/>
      <c r="T550" s="26"/>
    </row>
    <row r="551" spans="1:20" s="697" customFormat="1" x14ac:dyDescent="0.2">
      <c r="A551" s="437"/>
      <c r="B551" s="414"/>
      <c r="C551" s="414"/>
      <c r="D551" s="414"/>
      <c r="E551" s="1737" t="str">
        <f>Translations!$B$797</f>
        <v>Īpatnējais EF (importētā atlikumgāze)</v>
      </c>
      <c r="F551" s="1737"/>
      <c r="G551" s="1737"/>
      <c r="H551" s="824" t="str">
        <f>EUconst_tCO2pTJ</f>
        <v>t CO2 / TJ</v>
      </c>
      <c r="I551" s="923" t="str">
        <f>IF($I507="","",IF(INDEX(F_ProductBM!I:I,MATCH($P551,F_ProductBM!$P:$P,0))="","",INDEX(F_ProductBM!I:I,MATCH($P551,F_ProductBM!$P:$P,0))))</f>
        <v/>
      </c>
      <c r="J551" s="923" t="str">
        <f>IF($I507="","",IF(INDEX(F_ProductBM!J:J,MATCH($P551,F_ProductBM!$P:$P,0))="","",INDEX(F_ProductBM!J:J,MATCH($P551,F_ProductBM!$P:$P,0))))</f>
        <v/>
      </c>
      <c r="K551" s="923" t="str">
        <f>IF($I507="","",IF(INDEX(F_ProductBM!K:K,MATCH($P551,F_ProductBM!$P:$P,0))="","",INDEX(F_ProductBM!K:K,MATCH($P551,F_ProductBM!$P:$P,0))))</f>
        <v/>
      </c>
      <c r="L551" s="923" t="str">
        <f>IF($I507="","",IF(INDEX(F_ProductBM!L:L,MATCH($P551,F_ProductBM!$P:$P,0))="","",INDEX(F_ProductBM!L:L,MATCH($P551,F_ProductBM!$P:$P,0))))</f>
        <v/>
      </c>
      <c r="M551" s="923" t="str">
        <f>IF($I507="","",IF(INDEX(F_ProductBM!M:M,MATCH($P551,F_ProductBM!$P:$P,0))="","",INDEX(F_ProductBM!M:M,MATCH($P551,F_ProductBM!$P:$P,0))))</f>
        <v/>
      </c>
      <c r="N551" s="823"/>
      <c r="O551" s="25"/>
      <c r="P551" s="367" t="str">
        <f>EUconst_CNTR_WGImportEF &amp; I507</f>
        <v>WasteGasImEF_</v>
      </c>
      <c r="Q551" s="437"/>
      <c r="R551" s="437"/>
      <c r="S551" s="437"/>
      <c r="T551" s="26"/>
    </row>
    <row r="552" spans="1:20" s="697" customFormat="1" x14ac:dyDescent="0.2">
      <c r="A552" s="437"/>
      <c r="B552" s="414"/>
      <c r="C552" s="414"/>
      <c r="D552" s="414"/>
      <c r="E552" s="1667" t="str">
        <f>Translations!$B$801</f>
        <v>Eksportētā atlikumgāze</v>
      </c>
      <c r="F552" s="1660"/>
      <c r="G552" s="1660"/>
      <c r="H552" s="466" t="str">
        <f>EUconst_TJpa</f>
        <v>TJ / gads</v>
      </c>
      <c r="I552" s="922" t="str">
        <f>IF($I507="","",IF(INDEX(F_ProductBM!I:I,MATCH($P552,F_ProductBM!$P:$P,0))="","",INDEX(F_ProductBM!I:I,MATCH($P552,F_ProductBM!$P:$P,0))))</f>
        <v/>
      </c>
      <c r="J552" s="922" t="str">
        <f>IF($I507="","",IF(INDEX(F_ProductBM!J:J,MATCH($P552,F_ProductBM!$P:$P,0))="","",INDEX(F_ProductBM!J:J,MATCH($P552,F_ProductBM!$P:$P,0))))</f>
        <v/>
      </c>
      <c r="K552" s="922" t="str">
        <f>IF($I507="","",IF(INDEX(F_ProductBM!K:K,MATCH($P552,F_ProductBM!$P:$P,0))="","",INDEX(F_ProductBM!K:K,MATCH($P552,F_ProductBM!$P:$P,0))))</f>
        <v/>
      </c>
      <c r="L552" s="922" t="str">
        <f>IF($I507="","",IF(INDEX(F_ProductBM!L:L,MATCH($P552,F_ProductBM!$P:$P,0))="","",INDEX(F_ProductBM!L:L,MATCH($P552,F_ProductBM!$P:$P,0))))</f>
        <v/>
      </c>
      <c r="M552" s="922" t="str">
        <f>IF($I507="","",IF(INDEX(F_ProductBM!M:M,MATCH($P552,F_ProductBM!$P:$P,0))="","",INDEX(F_ProductBM!M:M,MATCH($P552,F_ProductBM!$P:$P,0))))</f>
        <v/>
      </c>
      <c r="N552" s="823"/>
      <c r="O552" s="25"/>
      <c r="P552" s="367" t="str">
        <f>EUconst_CNTR_WGExport &amp; I507</f>
        <v>WasteGasEx_</v>
      </c>
      <c r="Q552" s="437"/>
      <c r="R552" s="437"/>
      <c r="S552" s="437"/>
      <c r="T552" s="26"/>
    </row>
    <row r="553" spans="1:20" s="697" customFormat="1" x14ac:dyDescent="0.2">
      <c r="A553" s="437"/>
      <c r="B553" s="414"/>
      <c r="C553" s="414"/>
      <c r="D553" s="414"/>
      <c r="E553" s="1737" t="str">
        <f>Translations!$B$802</f>
        <v>Īpatnējais EF (eksportētā atlikumgāze)</v>
      </c>
      <c r="F553" s="1737"/>
      <c r="G553" s="1737"/>
      <c r="H553" s="824" t="str">
        <f>EUconst_tCO2pTJ</f>
        <v>t CO2 / TJ</v>
      </c>
      <c r="I553" s="923" t="str">
        <f>IF($I507="","",IF(INDEX(F_ProductBM!I:I,MATCH($P553,F_ProductBM!$P:$P,0))="","",INDEX(F_ProductBM!I:I,MATCH($P553,F_ProductBM!$P:$P,0))))</f>
        <v/>
      </c>
      <c r="J553" s="923" t="str">
        <f>IF($I507="","",IF(INDEX(F_ProductBM!J:J,MATCH($P553,F_ProductBM!$P:$P,0))="","",INDEX(F_ProductBM!J:J,MATCH($P553,F_ProductBM!$P:$P,0))))</f>
        <v/>
      </c>
      <c r="K553" s="923" t="str">
        <f>IF($I507="","",IF(INDEX(F_ProductBM!K:K,MATCH($P553,F_ProductBM!$P:$P,0))="","",INDEX(F_ProductBM!K:K,MATCH($P553,F_ProductBM!$P:$P,0))))</f>
        <v/>
      </c>
      <c r="L553" s="923" t="str">
        <f>IF($I507="","",IF(INDEX(F_ProductBM!L:L,MATCH($P553,F_ProductBM!$P:$P,0))="","",INDEX(F_ProductBM!L:L,MATCH($P553,F_ProductBM!$P:$P,0))))</f>
        <v/>
      </c>
      <c r="M553" s="923" t="str">
        <f>IF($I507="","",IF(INDEX(F_ProductBM!M:M,MATCH($P553,F_ProductBM!$P:$P,0))="","",INDEX(F_ProductBM!M:M,MATCH($P553,F_ProductBM!$P:$P,0))))</f>
        <v/>
      </c>
      <c r="N553" s="823"/>
      <c r="O553" s="25"/>
      <c r="P553" s="367" t="str">
        <f>EUconst_CNTR_WGExportEF &amp; I507</f>
        <v>WasteGasExEF_</v>
      </c>
      <c r="Q553" s="437"/>
      <c r="R553" s="437"/>
      <c r="S553" s="437"/>
      <c r="T553" s="26"/>
    </row>
    <row r="554" spans="1:20" s="697" customFormat="1" ht="5.0999999999999996" customHeight="1" x14ac:dyDescent="0.2">
      <c r="A554" s="437"/>
      <c r="B554" s="414"/>
      <c r="C554" s="414"/>
      <c r="D554" s="414"/>
      <c r="E554" s="526"/>
      <c r="F554" s="526"/>
      <c r="G554" s="526"/>
      <c r="H554" s="526"/>
      <c r="I554" s="924"/>
      <c r="J554" s="924"/>
      <c r="K554" s="924"/>
      <c r="L554" s="924"/>
      <c r="M554" s="924"/>
      <c r="N554" s="823"/>
      <c r="O554" s="25"/>
      <c r="P554" s="199"/>
      <c r="Q554" s="437"/>
      <c r="R554" s="437"/>
      <c r="S554" s="437"/>
      <c r="T554" s="26"/>
    </row>
    <row r="555" spans="1:20" s="697" customFormat="1" x14ac:dyDescent="0.2">
      <c r="A555" s="437"/>
      <c r="B555" s="414"/>
      <c r="C555" s="414"/>
      <c r="D555" s="414"/>
      <c r="E555" s="1651" t="str">
        <f>Translations!$B$805</f>
        <v>Saražotā elektroenerģija</v>
      </c>
      <c r="F555" s="1652"/>
      <c r="G555" s="1652"/>
      <c r="H555" s="465" t="str">
        <f>EUconst_MWhpa</f>
        <v>MWh / gads</v>
      </c>
      <c r="I555" s="925" t="str">
        <f>IF($I507="","",IF(INDEX(F_ProductBM!I:I,MATCH($P555,F_ProductBM!$P:$P,0))="","",INDEX(F_ProductBM!I:I,MATCH($P555,F_ProductBM!$P:$P,0))))</f>
        <v/>
      </c>
      <c r="J555" s="925" t="str">
        <f>IF($I507="","",IF(INDEX(F_ProductBM!J:J,MATCH($P555,F_ProductBM!$P:$P,0))="","",INDEX(F_ProductBM!J:J,MATCH($P555,F_ProductBM!$P:$P,0))))</f>
        <v/>
      </c>
      <c r="K555" s="925" t="str">
        <f>IF($I507="","",IF(INDEX(F_ProductBM!K:K,MATCH($P555,F_ProductBM!$P:$P,0))="","",INDEX(F_ProductBM!K:K,MATCH($P555,F_ProductBM!$P:$P,0))))</f>
        <v/>
      </c>
      <c r="L555" s="925" t="str">
        <f>IF($I507="","",IF(INDEX(F_ProductBM!L:L,MATCH($P555,F_ProductBM!$P:$P,0))="","",INDEX(F_ProductBM!L:L,MATCH($P555,F_ProductBM!$P:$P,0))))</f>
        <v/>
      </c>
      <c r="M555" s="925" t="str">
        <f>IF($I507="","",IF(INDEX(F_ProductBM!M:M,MATCH($P555,F_ProductBM!$P:$P,0))="","",INDEX(F_ProductBM!M:M,MATCH($P555,F_ProductBM!$P:$P,0))))</f>
        <v/>
      </c>
      <c r="N555" s="823"/>
      <c r="O555" s="25"/>
      <c r="P555" s="367" t="str">
        <f>EUconst_CNTR_ElectricityExported &amp; I507</f>
        <v>ElecEx_</v>
      </c>
      <c r="Q555" s="437"/>
      <c r="R555" s="437"/>
      <c r="S555" s="437"/>
      <c r="T555" s="26"/>
    </row>
    <row r="556" spans="1:20" s="697" customFormat="1" ht="5.0999999999999996" customHeight="1" x14ac:dyDescent="0.2">
      <c r="A556" s="437"/>
      <c r="B556" s="414"/>
      <c r="C556" s="414"/>
      <c r="D556" s="414"/>
      <c r="E556" s="526"/>
      <c r="F556" s="526"/>
      <c r="G556" s="526"/>
      <c r="H556" s="526"/>
      <c r="I556" s="924"/>
      <c r="J556" s="924"/>
      <c r="K556" s="924"/>
      <c r="L556" s="924"/>
      <c r="M556" s="924"/>
      <c r="N556" s="823"/>
      <c r="O556" s="25"/>
      <c r="P556" s="199"/>
      <c r="Q556" s="437"/>
      <c r="R556" s="437"/>
      <c r="S556" s="437"/>
      <c r="T556" s="26"/>
    </row>
    <row r="557" spans="1:20" s="697" customFormat="1" x14ac:dyDescent="0.2">
      <c r="A557" s="437"/>
      <c r="B557" s="414"/>
      <c r="C557" s="414"/>
      <c r="D557" s="414"/>
      <c r="E557" s="1206" t="str">
        <f>Translations!$B$1239</f>
        <v>Starpproduktu imports:</v>
      </c>
      <c r="F557" s="526"/>
      <c r="G557" s="526"/>
      <c r="H557" s="526"/>
      <c r="I557" s="924"/>
      <c r="J557" s="924"/>
      <c r="K557" s="924"/>
      <c r="L557" s="924"/>
      <c r="M557" s="924"/>
      <c r="N557" s="823"/>
      <c r="O557" s="25"/>
      <c r="P557" s="199"/>
      <c r="Q557" s="437"/>
      <c r="R557" s="437"/>
      <c r="S557" s="437"/>
      <c r="T557" s="26"/>
    </row>
    <row r="558" spans="1:20" s="697" customFormat="1" x14ac:dyDescent="0.2">
      <c r="A558" s="437"/>
      <c r="B558" s="414"/>
      <c r="C558" s="414"/>
      <c r="D558" s="414"/>
      <c r="E558" s="1689" t="str">
        <f>IF($I507="","",IF(INDEX(F_ProductBM!E:E,MATCH($P558,F_ProductBM!$P:$P,0))="","",INDEX(F_ProductBM!E:E,MATCH($P558,F_ProductBM!$P:$P,0))))</f>
        <v/>
      </c>
      <c r="F558" s="1689"/>
      <c r="G558" s="1689"/>
      <c r="H558" s="465" t="str">
        <f>EUconst_Tons</f>
        <v>tonnas</v>
      </c>
      <c r="I558" s="1103" t="str">
        <f>IF($I507="","",IF(INDEX(F_ProductBM!I:I,MATCH($P558,F_ProductBM!$P:$P,0))="","",INDEX(F_ProductBM!I:I,MATCH($P558,F_ProductBM!$P:$P,0))))</f>
        <v/>
      </c>
      <c r="J558" s="1103" t="str">
        <f>IF($I507="","",IF(INDEX(F_ProductBM!J:J,MATCH($P558,F_ProductBM!$P:$P,0))="","",INDEX(F_ProductBM!J:J,MATCH($P558,F_ProductBM!$P:$P,0))))</f>
        <v/>
      </c>
      <c r="K558" s="1103" t="str">
        <f>IF($I507="","",IF(INDEX(F_ProductBM!K:K,MATCH($P558,F_ProductBM!$P:$P,0))="","",INDEX(F_ProductBM!K:K,MATCH($P558,F_ProductBM!$P:$P,0))))</f>
        <v/>
      </c>
      <c r="L558" s="1103" t="str">
        <f>IF($I507="","",IF(INDEX(F_ProductBM!L:L,MATCH($P558,F_ProductBM!$P:$P,0))="","",INDEX(F_ProductBM!L:L,MATCH($P558,F_ProductBM!$P:$P,0))))</f>
        <v/>
      </c>
      <c r="M558" s="1103" t="str">
        <f>IF($I507="","",IF(INDEX(F_ProductBM!M:M,MATCH($P558,F_ProductBM!$P:$P,0))="","",INDEX(F_ProductBM!M:M,MATCH($P558,F_ProductBM!$P:$P,0))))</f>
        <v/>
      </c>
      <c r="N558" s="823"/>
      <c r="O558" s="25"/>
      <c r="P558" s="367" t="str">
        <f>EUconst_CNTR_IntermediateImport &amp; R558 &amp; "_" &amp; I507</f>
        <v>IntImp_1_</v>
      </c>
      <c r="Q558" s="437"/>
      <c r="R558" s="869">
        <v>1</v>
      </c>
      <c r="S558" s="437"/>
      <c r="T558" s="26"/>
    </row>
    <row r="559" spans="1:20" s="697" customFormat="1" x14ac:dyDescent="0.2">
      <c r="A559" s="437"/>
      <c r="B559" s="414"/>
      <c r="C559" s="414"/>
      <c r="D559" s="414"/>
      <c r="E559" s="1689" t="str">
        <f>IF($I507="","",IF(INDEX(F_ProductBM!E:E,MATCH($P559,F_ProductBM!$P:$P,0))="","",INDEX(F_ProductBM!E:E,MATCH($P559,F_ProductBM!$P:$P,0))))</f>
        <v/>
      </c>
      <c r="F559" s="1689"/>
      <c r="G559" s="1689"/>
      <c r="H559" s="465" t="str">
        <f>EUconst_Tons</f>
        <v>tonnas</v>
      </c>
      <c r="I559" s="1103" t="str">
        <f>IF($I507="","",IF(INDEX(F_ProductBM!I:I,MATCH($P559,F_ProductBM!$P:$P,0))="","",INDEX(F_ProductBM!I:I,MATCH($P559,F_ProductBM!$P:$P,0))))</f>
        <v/>
      </c>
      <c r="J559" s="1103" t="str">
        <f>IF($I507="","",IF(INDEX(F_ProductBM!J:J,MATCH($P559,F_ProductBM!$P:$P,0))="","",INDEX(F_ProductBM!J:J,MATCH($P559,F_ProductBM!$P:$P,0))))</f>
        <v/>
      </c>
      <c r="K559" s="1103" t="str">
        <f>IF($I507="","",IF(INDEX(F_ProductBM!K:K,MATCH($P559,F_ProductBM!$P:$P,0))="","",INDEX(F_ProductBM!K:K,MATCH($P559,F_ProductBM!$P:$P,0))))</f>
        <v/>
      </c>
      <c r="L559" s="1103" t="str">
        <f>IF($I507="","",IF(INDEX(F_ProductBM!L:L,MATCH($P559,F_ProductBM!$P:$P,0))="","",INDEX(F_ProductBM!L:L,MATCH($P559,F_ProductBM!$P:$P,0))))</f>
        <v/>
      </c>
      <c r="M559" s="1103" t="str">
        <f>IF($I507="","",IF(INDEX(F_ProductBM!M:M,MATCH($P559,F_ProductBM!$P:$P,0))="","",INDEX(F_ProductBM!M:M,MATCH($P559,F_ProductBM!$P:$P,0))))</f>
        <v/>
      </c>
      <c r="N559" s="823"/>
      <c r="O559" s="25"/>
      <c r="P559" s="367" t="str">
        <f>EUconst_CNTR_IntermediateImport &amp; R559 &amp; "_" &amp; I507</f>
        <v>IntImp_2_</v>
      </c>
      <c r="Q559" s="437"/>
      <c r="R559" s="869">
        <v>2</v>
      </c>
      <c r="S559" s="437"/>
      <c r="T559" s="26"/>
    </row>
    <row r="560" spans="1:20" s="697" customFormat="1" x14ac:dyDescent="0.2">
      <c r="A560" s="437"/>
      <c r="B560" s="414"/>
      <c r="C560" s="414"/>
      <c r="D560" s="414"/>
      <c r="E560" s="1206" t="str">
        <f>Translations!$B$1240</f>
        <v>Starpproduktu eksports:</v>
      </c>
      <c r="F560" s="526"/>
      <c r="G560" s="526"/>
      <c r="H560" s="526"/>
      <c r="I560" s="1140"/>
      <c r="J560" s="1140"/>
      <c r="K560" s="1140"/>
      <c r="L560" s="1140"/>
      <c r="M560" s="1140"/>
      <c r="N560" s="823"/>
      <c r="O560" s="25"/>
      <c r="P560" s="199"/>
      <c r="Q560" s="437"/>
      <c r="R560" s="437"/>
      <c r="S560" s="437"/>
      <c r="T560" s="26"/>
    </row>
    <row r="561" spans="1:20" s="697" customFormat="1" x14ac:dyDescent="0.2">
      <c r="A561" s="437"/>
      <c r="B561" s="414"/>
      <c r="C561" s="414"/>
      <c r="D561" s="414"/>
      <c r="E561" s="1689" t="str">
        <f>IF($I507="","",IF(INDEX(F_ProductBM!E:E,MATCH($P561,F_ProductBM!$P:$P,0))="","",INDEX(F_ProductBM!E:E,MATCH($P561,F_ProductBM!$P:$P,0))))</f>
        <v/>
      </c>
      <c r="F561" s="1689"/>
      <c r="G561" s="1689"/>
      <c r="H561" s="465" t="str">
        <f>EUconst_Tons</f>
        <v>tonnas</v>
      </c>
      <c r="I561" s="1103" t="str">
        <f>IF($I507="","",IF(INDEX(F_ProductBM!I:I,MATCH($P561,F_ProductBM!$P:$P,0))="","",INDEX(F_ProductBM!I:I,MATCH($P561,F_ProductBM!$P:$P,0))))</f>
        <v/>
      </c>
      <c r="J561" s="1103" t="str">
        <f>IF($I507="","",IF(INDEX(F_ProductBM!J:J,MATCH($P561,F_ProductBM!$P:$P,0))="","",INDEX(F_ProductBM!J:J,MATCH($P561,F_ProductBM!$P:$P,0))))</f>
        <v/>
      </c>
      <c r="K561" s="1103" t="str">
        <f>IF($I507="","",IF(INDEX(F_ProductBM!K:K,MATCH($P561,F_ProductBM!$P:$P,0))="","",INDEX(F_ProductBM!K:K,MATCH($P561,F_ProductBM!$P:$P,0))))</f>
        <v/>
      </c>
      <c r="L561" s="1103" t="str">
        <f>IF($I507="","",IF(INDEX(F_ProductBM!L:L,MATCH($P561,F_ProductBM!$P:$P,0))="","",INDEX(F_ProductBM!L:L,MATCH($P561,F_ProductBM!$P:$P,0))))</f>
        <v/>
      </c>
      <c r="M561" s="1103" t="str">
        <f>IF($I507="","",IF(INDEX(F_ProductBM!M:M,MATCH($P561,F_ProductBM!$P:$P,0))="","",INDEX(F_ProductBM!M:M,MATCH($P561,F_ProductBM!$P:$P,0))))</f>
        <v/>
      </c>
      <c r="N561" s="823"/>
      <c r="O561" s="25"/>
      <c r="P561" s="367" t="str">
        <f>EUconst_CNTR_IntermediateExport &amp; R558 &amp; "_" &amp; I507</f>
        <v>IntExp_1_</v>
      </c>
      <c r="Q561" s="437"/>
      <c r="R561" s="869">
        <v>1</v>
      </c>
      <c r="S561" s="437"/>
      <c r="T561" s="26"/>
    </row>
    <row r="562" spans="1:20" s="697" customFormat="1" x14ac:dyDescent="0.2">
      <c r="A562" s="437"/>
      <c r="B562" s="414"/>
      <c r="C562" s="414"/>
      <c r="D562" s="414"/>
      <c r="E562" s="1689" t="str">
        <f>IF($I507="","",IF(INDEX(F_ProductBM!E:E,MATCH($P562,F_ProductBM!$P:$P,0))="","",INDEX(F_ProductBM!E:E,MATCH($P562,F_ProductBM!$P:$P,0))))</f>
        <v/>
      </c>
      <c r="F562" s="1689"/>
      <c r="G562" s="1689"/>
      <c r="H562" s="465" t="str">
        <f>EUconst_Tons</f>
        <v>tonnas</v>
      </c>
      <c r="I562" s="1103" t="str">
        <f>IF($I507="","",IF(INDEX(F_ProductBM!I:I,MATCH($P562,F_ProductBM!$P:$P,0))="","",INDEX(F_ProductBM!I:I,MATCH($P562,F_ProductBM!$P:$P,0))))</f>
        <v/>
      </c>
      <c r="J562" s="1103" t="str">
        <f>IF($I507="","",IF(INDEX(F_ProductBM!J:J,MATCH($P562,F_ProductBM!$P:$P,0))="","",INDEX(F_ProductBM!J:J,MATCH($P562,F_ProductBM!$P:$P,0))))</f>
        <v/>
      </c>
      <c r="K562" s="1103" t="str">
        <f>IF($I507="","",IF(INDEX(F_ProductBM!K:K,MATCH($P562,F_ProductBM!$P:$P,0))="","",INDEX(F_ProductBM!K:K,MATCH($P562,F_ProductBM!$P:$P,0))))</f>
        <v/>
      </c>
      <c r="L562" s="1103" t="str">
        <f>IF($I507="","",IF(INDEX(F_ProductBM!L:L,MATCH($P562,F_ProductBM!$P:$P,0))="","",INDEX(F_ProductBM!L:L,MATCH($P562,F_ProductBM!$P:$P,0))))</f>
        <v/>
      </c>
      <c r="M562" s="1103" t="str">
        <f>IF($I507="","",IF(INDEX(F_ProductBM!M:M,MATCH($P562,F_ProductBM!$P:$P,0))="","",INDEX(F_ProductBM!M:M,MATCH($P562,F_ProductBM!$P:$P,0))))</f>
        <v/>
      </c>
      <c r="N562" s="823"/>
      <c r="O562" s="25"/>
      <c r="P562" s="367" t="str">
        <f>EUconst_CNTR_IntermediateExport &amp; R562 &amp; "_" &amp; I507</f>
        <v>IntExp_2_</v>
      </c>
      <c r="Q562" s="437"/>
      <c r="R562" s="869">
        <v>2</v>
      </c>
      <c r="S562" s="437"/>
      <c r="T562" s="26"/>
    </row>
    <row r="563" spans="1:20" s="697" customFormat="1" ht="5.0999999999999996" customHeight="1" x14ac:dyDescent="0.2">
      <c r="A563" s="437"/>
      <c r="B563" s="414"/>
      <c r="C563" s="414"/>
      <c r="D563" s="414"/>
      <c r="E563" s="526"/>
      <c r="F563" s="526"/>
      <c r="G563" s="526"/>
      <c r="H563" s="526"/>
      <c r="I563" s="823"/>
      <c r="J563" s="823"/>
      <c r="K563" s="823"/>
      <c r="L563" s="823"/>
      <c r="M563" s="823"/>
      <c r="N563" s="823"/>
      <c r="O563" s="25"/>
      <c r="P563" s="199"/>
      <c r="Q563" s="437"/>
      <c r="R563" s="931"/>
      <c r="S563" s="437"/>
      <c r="T563" s="26"/>
    </row>
    <row r="564" spans="1:20" s="697" customFormat="1" x14ac:dyDescent="0.2">
      <c r="A564" s="437"/>
      <c r="B564" s="414"/>
      <c r="C564" s="414"/>
      <c r="D564" s="414"/>
      <c r="E564" s="1881" t="str">
        <f>Translations!$B$1729</f>
        <v>Korekcijas īpašās līmeņatzīmes atjaunināšanai (attiecīgā gadījumā)</v>
      </c>
      <c r="F564" s="1881"/>
      <c r="G564" s="1881"/>
      <c r="H564" s="1881"/>
      <c r="I564" s="1881"/>
      <c r="J564" s="1881"/>
      <c r="K564" s="1881"/>
      <c r="L564" s="1881"/>
      <c r="M564" s="1881"/>
      <c r="N564" s="823"/>
      <c r="O564" s="25"/>
      <c r="P564" s="199"/>
      <c r="Q564" s="437"/>
      <c r="R564" s="931"/>
      <c r="S564" s="437"/>
      <c r="T564" s="26"/>
    </row>
    <row r="565" spans="1:20" s="697" customFormat="1" x14ac:dyDescent="0.2">
      <c r="A565" s="437"/>
      <c r="B565" s="414"/>
      <c r="C565" s="414"/>
      <c r="D565" s="414"/>
      <c r="E565" s="1651" t="str">
        <f>Translations!$B$806</f>
        <v>Kopējais saražotās pulpas daudzums</v>
      </c>
      <c r="F565" s="1651"/>
      <c r="G565" s="1651"/>
      <c r="H565" s="465" t="str">
        <f>EUconst_Tons</f>
        <v>tonnas</v>
      </c>
      <c r="I565" s="1103" t="str">
        <f>IF($I507="","",IF(INDEX(F_ProductBM!I:I,MATCH($P565,F_ProductBM!$P:$P,0))="","",INDEX(F_ProductBM!I:I,MATCH($P565,F_ProductBM!$P:$P,0))))</f>
        <v/>
      </c>
      <c r="J565" s="1103" t="str">
        <f>IF($I507="","",IF(INDEX(F_ProductBM!J:J,MATCH($P565,F_ProductBM!$P:$P,0))="","",INDEX(F_ProductBM!J:J,MATCH($P565,F_ProductBM!$P:$P,0))))</f>
        <v/>
      </c>
      <c r="K565" s="1103" t="str">
        <f>IF($I507="","",IF(INDEX(F_ProductBM!K:K,MATCH($P565,F_ProductBM!$P:$P,0))="","",INDEX(F_ProductBM!K:K,MATCH($P565,F_ProductBM!$P:$P,0))))</f>
        <v/>
      </c>
      <c r="L565" s="1103" t="str">
        <f>IF($I507="","",IF(INDEX(F_ProductBM!L:L,MATCH($P565,F_ProductBM!$P:$P,0))="","",INDEX(F_ProductBM!L:L,MATCH($P565,F_ProductBM!$P:$P,0))))</f>
        <v/>
      </c>
      <c r="M565" s="1103" t="str">
        <f>IF($I507="","",IF(INDEX(F_ProductBM!M:M,MATCH($P565,F_ProductBM!$P:$P,0))="","",INDEX(F_ProductBM!M:M,MATCH($P565,F_ProductBM!$P:$P,0))))</f>
        <v/>
      </c>
      <c r="N565" s="823"/>
      <c r="O565" s="25"/>
      <c r="P565" s="367" t="str">
        <f>EUconst_CNTR_HALPulpTotal &amp; I507</f>
        <v>HALPulpTotal_</v>
      </c>
      <c r="Q565" s="437"/>
      <c r="R565" s="437"/>
      <c r="S565" s="437"/>
      <c r="T565" s="26"/>
    </row>
    <row r="566" spans="1:20" s="697" customFormat="1" ht="5.0999999999999996" customHeight="1" x14ac:dyDescent="0.2">
      <c r="A566" s="437"/>
      <c r="B566" s="414"/>
      <c r="C566" s="414"/>
      <c r="D566" s="414"/>
      <c r="E566" s="526"/>
      <c r="F566" s="526"/>
      <c r="G566" s="526"/>
      <c r="H566" s="526"/>
      <c r="I566" s="1140"/>
      <c r="J566" s="1140"/>
      <c r="K566" s="1140"/>
      <c r="L566" s="1140"/>
      <c r="M566" s="1140"/>
      <c r="N566" s="823"/>
      <c r="O566" s="25"/>
      <c r="P566" s="199"/>
      <c r="Q566" s="437"/>
      <c r="R566" s="437"/>
      <c r="S566" s="437"/>
      <c r="T566" s="26"/>
    </row>
    <row r="567" spans="1:20" s="697" customFormat="1" x14ac:dyDescent="0.2">
      <c r="A567" s="437"/>
      <c r="B567" s="414"/>
      <c r="C567" s="414"/>
      <c r="D567" s="414"/>
      <c r="E567" s="1651" t="str">
        <f>Translations!$B$1730</f>
        <v>Ūdeņraža ražošana (faktiskā + teorētiskā)</v>
      </c>
      <c r="F567" s="1651"/>
      <c r="G567" s="1651"/>
      <c r="H567" s="465" t="str">
        <f>EUconst_Tons</f>
        <v>tonnas</v>
      </c>
      <c r="I567" s="1103" t="str">
        <f>IF($K510=$R567,SUMIFS(H_SpecialBM!I:I,H_SpecialBM!$P:$P,$P567),"")</f>
        <v/>
      </c>
      <c r="J567" s="1103" t="str">
        <f>IF($K510=$R567,SUMIFS(H_SpecialBM!J:J,H_SpecialBM!$P:$P,$P567),"")</f>
        <v/>
      </c>
      <c r="K567" s="1103" t="str">
        <f>IF($K510=$R567,SUMIFS(H_SpecialBM!K:K,H_SpecialBM!$P:$P,$P567),"")</f>
        <v/>
      </c>
      <c r="L567" s="1103" t="str">
        <f>IF($K510=$R567,SUMIFS(H_SpecialBM!L:L,H_SpecialBM!$P:$P,$P567),"")</f>
        <v/>
      </c>
      <c r="M567" s="1103" t="str">
        <f>IF($K510=$R567,SUMIFS(H_SpecialBM!M:M,H_SpecialBM!$P:$P,$P567),"")</f>
        <v/>
      </c>
      <c r="N567" s="823"/>
      <c r="O567" s="25"/>
      <c r="P567" s="134" t="str">
        <f>EUconst_CNTR_H2ActualPlusTheoretical</f>
        <v>H2Total_</v>
      </c>
      <c r="Q567" s="437"/>
      <c r="R567" s="869">
        <v>50</v>
      </c>
      <c r="S567" s="437"/>
      <c r="T567" s="26"/>
    </row>
    <row r="568" spans="1:20" s="697" customFormat="1" x14ac:dyDescent="0.2">
      <c r="A568" s="437"/>
      <c r="B568" s="414"/>
      <c r="C568" s="414"/>
      <c r="D568" s="414"/>
      <c r="E568" s="1651" t="str">
        <f>Translations!$B$1731</f>
        <v>Ar ūdeņradi saistītās emisijas</v>
      </c>
      <c r="F568" s="1651"/>
      <c r="G568" s="1651"/>
      <c r="H568" s="465" t="str">
        <f>EUconst_tCO2pa</f>
        <v>t CO2 / gads</v>
      </c>
      <c r="I568" s="1103" t="str">
        <f>IF($K510=$R568,SUMIFS(H_SpecialBM!I:I,H_SpecialBM!$P:$P,$P568),"")</f>
        <v/>
      </c>
      <c r="J568" s="1103" t="str">
        <f>IF($K510=$R568,SUMIFS(H_SpecialBM!J:J,H_SpecialBM!$P:$P,$P568),"")</f>
        <v/>
      </c>
      <c r="K568" s="1103" t="str">
        <f>IF($K510=$R568,SUMIFS(H_SpecialBM!K:K,H_SpecialBM!$P:$P,$P568),"")</f>
        <v/>
      </c>
      <c r="L568" s="1103" t="str">
        <f>IF($K510=$R568,SUMIFS(H_SpecialBM!L:L,H_SpecialBM!$P:$P,$P568),"")</f>
        <v/>
      </c>
      <c r="M568" s="1103" t="str">
        <f>IF($K510=$R568,SUMIFS(H_SpecialBM!M:M,H_SpecialBM!$P:$P,$P568),"")</f>
        <v/>
      </c>
      <c r="N568" s="823"/>
      <c r="O568" s="25"/>
      <c r="P568" s="202" t="str">
        <f>EUconst_CNTR_H2AdditionalEmissions</f>
        <v>H2AddEm_</v>
      </c>
      <c r="Q568" s="437"/>
      <c r="R568" s="869">
        <v>50</v>
      </c>
      <c r="S568" s="437"/>
      <c r="T568" s="26"/>
    </row>
    <row r="569" spans="1:20" s="697" customFormat="1" ht="5.0999999999999996" customHeight="1" x14ac:dyDescent="0.2">
      <c r="A569" s="437"/>
      <c r="B569" s="414"/>
      <c r="C569" s="414"/>
      <c r="D569" s="414"/>
      <c r="E569" s="526"/>
      <c r="F569" s="526"/>
      <c r="G569" s="526"/>
      <c r="H569" s="526"/>
      <c r="I569" s="1140"/>
      <c r="J569" s="1140"/>
      <c r="K569" s="1140"/>
      <c r="L569" s="1140"/>
      <c r="M569" s="1140"/>
      <c r="N569" s="823"/>
      <c r="O569" s="25"/>
      <c r="P569" s="437"/>
      <c r="Q569" s="437"/>
      <c r="R569" s="437"/>
      <c r="S569" s="437"/>
      <c r="T569" s="26"/>
    </row>
    <row r="570" spans="1:20" s="697" customFormat="1" x14ac:dyDescent="0.2">
      <c r="A570" s="437"/>
      <c r="B570" s="414"/>
      <c r="C570" s="414"/>
      <c r="D570" s="414"/>
      <c r="E570" s="1651" t="str">
        <f>Translations!$B$1732</f>
        <v>HVC emisiju korekcija</v>
      </c>
      <c r="F570" s="1651"/>
      <c r="G570" s="1651"/>
      <c r="H570" s="465" t="str">
        <f>EUconst_tCO2pa</f>
        <v>t CO2 / gads</v>
      </c>
      <c r="I570" s="1103" t="str">
        <f>IF($K510=$R570,-SUMIFS(H_SpecialBM!S:S,H_SpecialBM!$P:$P,$P570),"")</f>
        <v/>
      </c>
      <c r="J570" s="1103" t="str">
        <f>IF($K510=$R570,-SUMIFS(H_SpecialBM!T:T,H_SpecialBM!$P:$P,$P570),"")</f>
        <v/>
      </c>
      <c r="K570" s="1103" t="str">
        <f>IF($K510=$R570,-SUMIFS(H_SpecialBM!U:U,H_SpecialBM!$P:$P,$P570),"")</f>
        <v/>
      </c>
      <c r="L570" s="1103" t="str">
        <f>IF($K510=$R570,-SUMIFS(H_SpecialBM!V:V,H_SpecialBM!$P:$P,$P570),"")</f>
        <v/>
      </c>
      <c r="M570" s="1103" t="str">
        <f>IF($K510=$R570,-SUMIFS(H_SpecialBM!W:W,H_SpecialBM!$P:$P,$P570),"")</f>
        <v/>
      </c>
      <c r="N570" s="823"/>
      <c r="O570" s="25"/>
      <c r="P570" s="367" t="str">
        <f>EUconst_CNTR_HVC</f>
        <v>HVC_</v>
      </c>
      <c r="Q570" s="437"/>
      <c r="R570" s="869">
        <v>42</v>
      </c>
      <c r="S570" s="437"/>
      <c r="T570" s="26"/>
    </row>
    <row r="571" spans="1:20" s="697" customFormat="1" ht="5.0999999999999996" customHeight="1" x14ac:dyDescent="0.2">
      <c r="A571" s="437"/>
      <c r="B571" s="414"/>
      <c r="C571" s="414"/>
      <c r="D571" s="414"/>
      <c r="E571" s="526"/>
      <c r="F571" s="526"/>
      <c r="G571" s="526"/>
      <c r="H571" s="526"/>
      <c r="I571" s="1140"/>
      <c r="J571" s="1140"/>
      <c r="K571" s="1140"/>
      <c r="L571" s="1140"/>
      <c r="M571" s="1140"/>
      <c r="N571" s="823"/>
      <c r="O571" s="25"/>
      <c r="P571" s="199"/>
      <c r="Q571" s="437"/>
      <c r="R571" s="437"/>
      <c r="S571" s="437"/>
      <c r="T571" s="26"/>
    </row>
    <row r="572" spans="1:20" s="697" customFormat="1" x14ac:dyDescent="0.2">
      <c r="A572" s="437"/>
      <c r="B572" s="414"/>
      <c r="C572" s="414"/>
      <c r="D572" s="414"/>
      <c r="E572" s="1651" t="str">
        <f>Translations!$B$1733</f>
        <v>VCM emisiju korekcija</v>
      </c>
      <c r="F572" s="1651"/>
      <c r="G572" s="1651"/>
      <c r="H572" s="465" t="str">
        <f>EUconst_tCO2pa</f>
        <v>t CO2 / gads</v>
      </c>
      <c r="I572" s="1103" t="str">
        <f>IF($K510=$R572,SUMIFS(H_SpecialBM!I:I,H_SpecialBM!$P:$P,$P572)/EUconst_HeatBMvalue*EUconst_HeatBMvalueForBM,"")</f>
        <v/>
      </c>
      <c r="J572" s="1103" t="str">
        <f>IF($K510=$R572,SUMIFS(H_SpecialBM!J:J,H_SpecialBM!$P:$P,$P572)/EUconst_HeatBMvalue*EUconst_HeatBMvalueForBM,"")</f>
        <v/>
      </c>
      <c r="K572" s="1103" t="str">
        <f>IF($K510=$R572,SUMIFS(H_SpecialBM!K:K,H_SpecialBM!$P:$P,$P572)/EUconst_HeatBMvalue*EUconst_HeatBMvalueForBM,"")</f>
        <v/>
      </c>
      <c r="L572" s="1103" t="str">
        <f>IF($K510=$R572,SUMIFS(H_SpecialBM!L:L,H_SpecialBM!$P:$P,$P572)/EUconst_HeatBMvalue*EUconst_HeatBMvalueForBM,"")</f>
        <v/>
      </c>
      <c r="M572" s="1103" t="str">
        <f>IF($K510=$R572,SUMIFS(H_SpecialBM!M:M,H_SpecialBM!$P:$P,$P572)/EUconst_HeatBMvalue*EUconst_HeatBMvalueForBM,"")</f>
        <v/>
      </c>
      <c r="N572" s="823"/>
      <c r="O572" s="25"/>
      <c r="P572" s="134" t="str">
        <f>EUconst_CNTR_VCM</f>
        <v>VCM_</v>
      </c>
      <c r="Q572" s="437"/>
      <c r="R572" s="869">
        <v>47</v>
      </c>
      <c r="S572" s="437"/>
      <c r="T572" s="26"/>
    </row>
    <row r="573" spans="1:20" s="697" customFormat="1" ht="12.75" customHeight="1" x14ac:dyDescent="0.2">
      <c r="A573" s="437"/>
      <c r="B573" s="414"/>
      <c r="C573" s="414"/>
      <c r="D573" s="414"/>
      <c r="E573" s="526"/>
      <c r="F573" s="526"/>
      <c r="G573" s="526"/>
      <c r="H573" s="526"/>
      <c r="I573" s="823"/>
      <c r="J573" s="823"/>
      <c r="K573" s="823"/>
      <c r="L573" s="823"/>
      <c r="M573" s="823"/>
      <c r="N573" s="823"/>
      <c r="O573" s="25"/>
      <c r="P573" s="199"/>
      <c r="Q573" s="437"/>
      <c r="R573" s="437"/>
      <c r="S573" s="437"/>
      <c r="T573" s="26"/>
    </row>
    <row r="574" spans="1:20" s="697" customFormat="1" ht="12.75" customHeight="1" thickBot="1" x14ac:dyDescent="0.25">
      <c r="A574" s="437"/>
      <c r="B574" s="414"/>
      <c r="C574" s="414"/>
      <c r="D574" s="414"/>
      <c r="E574" s="935"/>
      <c r="O574" s="25"/>
      <c r="P574" s="437"/>
      <c r="Q574" s="437"/>
      <c r="R574" s="437"/>
      <c r="S574" s="437"/>
      <c r="T574" s="26"/>
    </row>
    <row r="575" spans="1:20" s="697" customFormat="1" ht="5.0999999999999996" customHeight="1" thickBot="1" x14ac:dyDescent="0.25">
      <c r="A575" s="437"/>
      <c r="B575" s="21"/>
      <c r="C575" s="294"/>
      <c r="D575" s="294"/>
      <c r="E575" s="294"/>
      <c r="F575" s="294"/>
      <c r="G575" s="294"/>
      <c r="H575" s="294"/>
      <c r="I575" s="294"/>
      <c r="J575" s="294"/>
      <c r="K575" s="294"/>
      <c r="L575" s="294"/>
      <c r="M575" s="294"/>
      <c r="N575" s="294"/>
      <c r="O575" s="25"/>
      <c r="P575" s="437"/>
      <c r="Q575" s="437"/>
      <c r="R575" s="437"/>
      <c r="S575" s="437"/>
      <c r="T575" s="26"/>
    </row>
    <row r="576" spans="1:20" s="697" customFormat="1" ht="15" customHeight="1" thickBot="1" x14ac:dyDescent="0.3">
      <c r="A576" s="437"/>
      <c r="B576" s="414"/>
      <c r="C576" s="36">
        <f>C507+1</f>
        <v>2</v>
      </c>
      <c r="D576" s="1890" t="str">
        <f>CONCATENATE(EUconst_BMSubinst," ",C576, ":")</f>
        <v>Apakšiekārta ar produkta līmeņatzīmi 2:</v>
      </c>
      <c r="E576" s="1890"/>
      <c r="F576" s="1890"/>
      <c r="G576" s="1890"/>
      <c r="H576" s="1891"/>
      <c r="I576" s="1887" t="str">
        <f>IF(INDEX(CNTR_SubInstListIsProdBM,$C576),INDEX(CNTR_SubInstListNames,$C576),"")</f>
        <v/>
      </c>
      <c r="J576" s="1888"/>
      <c r="K576" s="1888"/>
      <c r="L576" s="1888"/>
      <c r="M576" s="1888"/>
      <c r="N576" s="1889"/>
      <c r="O576" s="25"/>
      <c r="P576" s="437"/>
      <c r="Q576" s="904">
        <f>C576</f>
        <v>2</v>
      </c>
      <c r="R576" s="901" t="str">
        <f>I576</f>
        <v/>
      </c>
      <c r="S576" s="903" t="str">
        <f>H579</f>
        <v>NA</v>
      </c>
      <c r="T576" s="902" t="str">
        <f>IF(M590="","",IF(S579=0,0,SUM(M590)/S579))</f>
        <v/>
      </c>
    </row>
    <row r="577" spans="1:20" s="697" customFormat="1" ht="5.0999999999999996" customHeight="1" thickBot="1" x14ac:dyDescent="0.25">
      <c r="A577" s="437"/>
      <c r="B577" s="414"/>
      <c r="C577" s="414"/>
      <c r="D577" s="414"/>
      <c r="E577" s="414"/>
      <c r="F577" s="414"/>
      <c r="G577" s="414"/>
      <c r="H577" s="414"/>
      <c r="I577" s="414"/>
      <c r="J577" s="414"/>
      <c r="K577" s="414"/>
      <c r="L577" s="414"/>
      <c r="M577" s="414"/>
      <c r="N577" s="414"/>
      <c r="O577" s="25"/>
      <c r="P577" s="437"/>
      <c r="Q577" s="437"/>
      <c r="R577" s="437"/>
      <c r="S577" s="437"/>
      <c r="T577" s="26"/>
    </row>
    <row r="578" spans="1:20" s="697" customFormat="1" ht="13.5" thickBot="1" x14ac:dyDescent="0.25">
      <c r="A578" s="437"/>
      <c r="B578" s="414"/>
      <c r="C578" s="414"/>
      <c r="D578" s="414"/>
      <c r="E578" s="414"/>
      <c r="F578" s="414"/>
      <c r="G578" s="414"/>
      <c r="H578" s="647" t="str">
        <f>Translations!$B$1204</f>
        <v>Pakļauta OEP</v>
      </c>
      <c r="I578" s="38"/>
      <c r="J578" s="648" t="str">
        <f>Translations!$B$1208</f>
        <v>Ekspl. sākta</v>
      </c>
      <c r="K578" s="648" t="str">
        <f>Translations!$B$1206</f>
        <v>LA Nr.</v>
      </c>
      <c r="L578" s="812" t="str">
        <f>Translations!$B$1212</f>
        <v>15(7)3?</v>
      </c>
      <c r="M578" s="989" t="str">
        <f>Translations!$B$1234</f>
        <v>LA vērtība (min./maks./fakt.)</v>
      </c>
      <c r="N578" s="990"/>
      <c r="O578" s="25"/>
      <c r="P578" s="437"/>
      <c r="Q578" s="437"/>
      <c r="R578" s="646" t="s">
        <v>641</v>
      </c>
      <c r="S578" s="903" t="str">
        <f>H581</f>
        <v>NA</v>
      </c>
      <c r="T578" s="26"/>
    </row>
    <row r="579" spans="1:20" s="697" customFormat="1" x14ac:dyDescent="0.2">
      <c r="A579" s="437"/>
      <c r="B579" s="414"/>
      <c r="C579" s="414"/>
      <c r="D579" s="414"/>
      <c r="E579" s="649" t="str">
        <f>I576</f>
        <v/>
      </c>
      <c r="F579" s="650"/>
      <c r="G579" s="594"/>
      <c r="H579" s="651" t="str">
        <f>IF(K579=EUconst_NA,EUconst_NA,INDEX(EUconst_BMlistCLstatus,MATCH(K579,EUconst_BMlistMainNumberOfBM,0)))</f>
        <v>NA</v>
      </c>
      <c r="I579" s="38"/>
      <c r="J579" s="846" t="str">
        <f>IF($I576="",EUconst_NA,INDEX(CNTR_SubInstStartDate,MATCH(E579,CNTR_SubInstListNames,0)))</f>
        <v>NA</v>
      </c>
      <c r="K579" s="546" t="str">
        <f>IF($I576="",EUconst_NA,INDEX(EUconst_BMlistMainNumberOfBM,MATCH(E579,EUconst_BMlistNames,0)))</f>
        <v>NA</v>
      </c>
      <c r="L579" s="988" t="str">
        <f>IF(E579="","",INDEX(CNTR_SubInstLess1Year,MATCH(E579,CNTR_SubInstListNames,0)))</f>
        <v/>
      </c>
      <c r="M579" s="991" t="str">
        <f>IF(I576="",EUconst_NA,INDEX(EUconst_BMlistBMvaluesMatrix,MATCH(K579,EUconst_BMlistMainNumberOfBM,0),2))</f>
        <v>NA</v>
      </c>
      <c r="N579" s="992" t="str">
        <f>EUconst_EUA &amp; "/" &amp; H584</f>
        <v>ESK/tonnas</v>
      </c>
      <c r="O579" s="25"/>
      <c r="P579" s="437"/>
      <c r="Q579" s="437"/>
      <c r="R579" s="732" t="s">
        <v>554</v>
      </c>
      <c r="S579" s="815" t="str">
        <f>IF(H579=EUconst_NA,"",IF(H579,1,INDEX(EUconst_CLEFYears,1)))</f>
        <v/>
      </c>
      <c r="T579" s="26"/>
    </row>
    <row r="580" spans="1:20" s="697" customFormat="1" x14ac:dyDescent="0.2">
      <c r="A580" s="437"/>
      <c r="B580" s="414"/>
      <c r="C580" s="414"/>
      <c r="D580" s="414"/>
      <c r="G580" s="648" t="str">
        <f>Translations!$B$1218</f>
        <v>ETS neaptverts siltums</v>
      </c>
      <c r="H580" s="647" t="s">
        <v>623</v>
      </c>
      <c r="I580" s="812" t="str">
        <f>Translations!$B$1220</f>
        <v>AGlāpā</v>
      </c>
      <c r="J580" s="648" t="s">
        <v>550</v>
      </c>
      <c r="K580" s="648" t="s">
        <v>551</v>
      </c>
      <c r="L580" s="38"/>
      <c r="M580" s="991" t="str">
        <f>IF(I576="",EUconst_NA,INDEX(EUconst_BMlistBMvaluesMatrix,MATCH(K579,EUconst_BMlistMainNumberOfBM,0),1))</f>
        <v>NA</v>
      </c>
      <c r="N580" s="992" t="str">
        <f>EUconst_EUA &amp; "/" &amp; H584</f>
        <v>ESK/tonnas</v>
      </c>
      <c r="O580" s="25"/>
      <c r="P580" s="437"/>
      <c r="Q580" s="437"/>
      <c r="R580" s="732" t="s">
        <v>658</v>
      </c>
      <c r="S580" s="1150" t="str">
        <f>IF($I576="",EUconst_NA,INDEX(EUconst_BMlistNumberOfBM,MATCH(I576,EUconst_BMlistNames,0)))</f>
        <v>NA</v>
      </c>
      <c r="T580" s="26"/>
    </row>
    <row r="581" spans="1:20" s="697" customFormat="1" ht="13.5" thickBot="1" x14ac:dyDescent="0.25">
      <c r="A581" s="437"/>
      <c r="B581" s="414"/>
      <c r="C581" s="414"/>
      <c r="D581" s="414"/>
      <c r="E581" s="868" t="str">
        <f>Translations!$B$1235</f>
        <v>Īpaši koeficienti/faktori:</v>
      </c>
      <c r="F581" s="868"/>
      <c r="G581" s="546" t="str">
        <f>IF($I576="","",SUMIF(F_ProductBM!$P:$P,EUconst_CNTR_HEAT&amp;$I576,F_ProductBM!$Q:$Q))</f>
        <v/>
      </c>
      <c r="H581" s="651" t="str">
        <f>IF(S580=EUconst_NA,EUconst_NA,INDEX(EUconst_BMlistCBAMstatus,MATCH(S580,EUconst_BMlistNumberOfBM,0)))</f>
        <v>NA</v>
      </c>
      <c r="I581" s="844" t="str">
        <f>IF(OR($I576="",CNTR_BaselinePeriod&lt;&gt;2),"",SUMIF(F_ProductBM!$P:$P,EUconst_CNTR_WGFlaredEF &amp; I576,F_ProductBM!$R:$R))</f>
        <v/>
      </c>
      <c r="J581" s="546" t="str">
        <f>IF($I576="","",IF($K579=42,SUMIF(H_SpecialBM!$P$9:$P$401,EUconst_CNTR_HVC,H_SpecialBM!$I$9:$I$401),0))</f>
        <v/>
      </c>
      <c r="K581" s="867" t="str">
        <f>IF($I576="","",IF($K579=47,IF(ISNUMBER(INDEX(H_SpecialBM!$Q$9:$Q$401,MATCH(EUconst_CNTR_VCM,H_SpecialBM!$P$9:$P$401,0))),INDEX(H_SpecialBM!$Q$9:$Q$401,MATCH(EUconst_CNTR_VCM,H_SpecialBM!$P$9:$P$401,0)),1),1))</f>
        <v/>
      </c>
      <c r="L581" s="38"/>
      <c r="M581" s="993" t="str">
        <f>IF(I576="",EUconst_NA,IF(EUconst_StatusOfDataCollection,INDEX(EUconst_BMlistBMvaluesMatrix,MATCH(K579,EUconst_BMlistMainNumberOfBM,0),3),""))</f>
        <v>NA</v>
      </c>
      <c r="N581" s="994" t="str">
        <f>EUconst_EUA &amp; "/" &amp; H584</f>
        <v>ESK/tonnas</v>
      </c>
      <c r="O581" s="25"/>
      <c r="P581" s="437"/>
      <c r="Q581" s="437"/>
      <c r="R581" s="732"/>
      <c r="S581" s="866"/>
      <c r="T581" s="26"/>
    </row>
    <row r="582" spans="1:20" s="697" customFormat="1" ht="5.0999999999999996" customHeight="1" x14ac:dyDescent="0.2">
      <c r="A582" s="437"/>
      <c r="B582" s="414"/>
      <c r="C582" s="414"/>
      <c r="D582" s="414"/>
      <c r="E582" s="414"/>
      <c r="F582" s="414"/>
      <c r="G582" s="414"/>
      <c r="H582" s="414"/>
      <c r="I582" s="414"/>
      <c r="J582" s="414"/>
      <c r="K582" s="414"/>
      <c r="L582" s="414"/>
      <c r="M582" s="414"/>
      <c r="N582" s="414"/>
      <c r="O582" s="25"/>
      <c r="P582" s="437"/>
      <c r="Q582" s="437"/>
      <c r="R582" s="437"/>
      <c r="S582" s="437"/>
      <c r="T582" s="26"/>
    </row>
    <row r="583" spans="1:20" s="697" customFormat="1" x14ac:dyDescent="0.2">
      <c r="A583" s="437"/>
      <c r="B583" s="414"/>
      <c r="C583" s="414"/>
      <c r="D583" s="414"/>
      <c r="E583" s="652"/>
      <c r="F583" s="652"/>
      <c r="G583" s="653"/>
      <c r="H583" s="864" t="str">
        <f>EUconst_Unit</f>
        <v>Vienība</v>
      </c>
      <c r="I583" s="447">
        <f>I$1652</f>
        <v>2019</v>
      </c>
      <c r="J583" s="447">
        <f>J$1652</f>
        <v>2020</v>
      </c>
      <c r="K583" s="447">
        <f>K$1652</f>
        <v>2021</v>
      </c>
      <c r="L583" s="447">
        <f>L$1652</f>
        <v>2022</v>
      </c>
      <c r="M583" s="447">
        <f>M$1652</f>
        <v>2023</v>
      </c>
      <c r="N583" s="414"/>
      <c r="O583" s="25"/>
      <c r="P583" s="202" t="s">
        <v>228</v>
      </c>
      <c r="Q583" s="437"/>
      <c r="R583" s="437"/>
      <c r="S583" s="437"/>
      <c r="T583" s="26"/>
    </row>
    <row r="584" spans="1:20" s="697" customFormat="1" x14ac:dyDescent="0.2">
      <c r="A584" s="437"/>
      <c r="B584" s="414"/>
      <c r="C584" s="414"/>
      <c r="D584" s="414"/>
      <c r="E584" s="654" t="str">
        <f>Translations!$B$1236</f>
        <v>Ziņotais HAL (vēsturiskais darbības līmenis)</v>
      </c>
      <c r="F584" s="655"/>
      <c r="G584" s="656"/>
      <c r="H584" s="651" t="str">
        <f>IF(ISNUMBER(K579),INDEX(EUconst_BMlistUnits,MATCH(K579,EUconst_BMlistMainNumberOfBM,0)),EUconst_Tons)</f>
        <v>tonnas</v>
      </c>
      <c r="I584" s="546" t="str">
        <f>IF($I576="","",SUMIF(F_ProductBM!$P$11:$P$1814,$P584,F_ProductBM!I$11:I$1814))</f>
        <v/>
      </c>
      <c r="J584" s="546" t="str">
        <f>IF($I576="","",SUMIF(F_ProductBM!$P$11:$P$1814,$P584,F_ProductBM!J$11:J$1814))</f>
        <v/>
      </c>
      <c r="K584" s="546" t="str">
        <f>IF($I576="","",SUMIF(F_ProductBM!$P$11:$P$1814,$P584,F_ProductBM!K$11:K$1814))</f>
        <v/>
      </c>
      <c r="L584" s="546" t="str">
        <f>IF($I576="","",SUMIF(F_ProductBM!$P$11:$P$1814,$P584,F_ProductBM!L$11:L$1814))</f>
        <v/>
      </c>
      <c r="M584" s="546" t="str">
        <f>IF($I576="","",SUMIF(F_ProductBM!$P$11:$P$1814,$P584,F_ProductBM!M$11:M$1814))</f>
        <v/>
      </c>
      <c r="N584" s="648" t="s">
        <v>625</v>
      </c>
      <c r="O584" s="25"/>
      <c r="P584" s="202" t="str">
        <f>EUconst_CNTR_HAL&amp;I576</f>
        <v>HAL_</v>
      </c>
      <c r="Q584" s="437"/>
      <c r="R584" s="437"/>
      <c r="S584" s="437"/>
      <c r="T584" s="26"/>
    </row>
    <row r="585" spans="1:20" s="697" customFormat="1" x14ac:dyDescent="0.2">
      <c r="A585" s="437"/>
      <c r="B585" s="414"/>
      <c r="C585" s="414"/>
      <c r="D585" s="414"/>
      <c r="E585" s="654" t="str">
        <f>Translations!$B$1237</f>
        <v>HAL aprēķinam izmantotās vērtības:</v>
      </c>
      <c r="F585" s="655"/>
      <c r="G585" s="656"/>
      <c r="H585" s="651" t="str">
        <f>H584</f>
        <v>tonnas</v>
      </c>
      <c r="I585" s="546" t="str">
        <f>IF($I576="","",INDEX(F_ProductBM!S$11:S$1814,MATCH($P585,F_ProductBM!$P$11:$P$1814,0)))</f>
        <v/>
      </c>
      <c r="J585" s="546" t="str">
        <f>IF($I576="","",INDEX(F_ProductBM!T$11:T$1814,MATCH($P585,F_ProductBM!$P$11:$P$1814,0)))</f>
        <v/>
      </c>
      <c r="K585" s="546" t="str">
        <f>IF($I576="","",INDEX(F_ProductBM!U$11:U$1814,MATCH($P585,F_ProductBM!$P$11:$P$1814,0)))</f>
        <v/>
      </c>
      <c r="L585" s="546" t="str">
        <f>IF($I576="","",INDEX(F_ProductBM!V$11:V$1814,MATCH($P585,F_ProductBM!$P$11:$P$1814,0)))</f>
        <v/>
      </c>
      <c r="M585" s="546" t="str">
        <f>IF($I576="","",INDEX(F_ProductBM!W$11:W$1814,MATCH($P585,F_ProductBM!$P$11:$P$1814,0)))</f>
        <v/>
      </c>
      <c r="N585" s="546" t="str">
        <f>IF(OR($I576="",$L579=TRUE),"",IF(COUNT($I585:$M585)&gt;0,MEDIAN($I585:$M585),""))</f>
        <v/>
      </c>
      <c r="O585" s="25"/>
      <c r="P585" s="202" t="str">
        <f>EUconst_CNTR_HAL&amp;I576</f>
        <v>HAL_</v>
      </c>
      <c r="Q585" s="437"/>
      <c r="R585" s="931" t="s">
        <v>604</v>
      </c>
      <c r="S585" s="931" t="s">
        <v>605</v>
      </c>
      <c r="T585" s="931" t="s">
        <v>606</v>
      </c>
    </row>
    <row r="586" spans="1:20" s="697" customFormat="1" ht="5.0999999999999996" customHeight="1" x14ac:dyDescent="0.2">
      <c r="A586" s="437"/>
      <c r="B586" s="414"/>
      <c r="C586" s="414"/>
      <c r="D586" s="414"/>
      <c r="E586" s="865"/>
      <c r="F586" s="865"/>
      <c r="G586" s="865"/>
      <c r="H586" s="865"/>
      <c r="I586" s="865"/>
      <c r="J586" s="865"/>
      <c r="K586" s="865"/>
      <c r="L586" s="865"/>
      <c r="O586" s="25"/>
      <c r="P586" s="437"/>
      <c r="Q586" s="437"/>
      <c r="R586" s="437"/>
      <c r="S586" s="437"/>
      <c r="T586" s="26"/>
    </row>
    <row r="587" spans="1:20" s="697" customFormat="1" ht="12.75" customHeight="1" x14ac:dyDescent="0.2">
      <c r="A587" s="437"/>
      <c r="B587" s="414"/>
      <c r="C587" s="414"/>
      <c r="D587" s="414"/>
      <c r="E587" s="1892" t="str">
        <f>Translations!$B$689</f>
        <v>Relevantais elektroenerģijas patēriņš</v>
      </c>
      <c r="F587" s="1892"/>
      <c r="G587" s="1892"/>
      <c r="H587" s="1101" t="str">
        <f>EUconst_MWhpa</f>
        <v>MWh / gads</v>
      </c>
      <c r="I587" s="1166" t="str">
        <f>IF($I576="","",IF(INDEX(F_ProductBM!I:I,MATCH($P587,F_ProductBM!$Q:$Q,0))="","",INDEX(F_ProductBM!I:I,MATCH($P587,F_ProductBM!$Q:$Q,0))))</f>
        <v/>
      </c>
      <c r="J587" s="1166" t="str">
        <f>IF($I576="","",IF(INDEX(F_ProductBM!J:J,MATCH($P587,F_ProductBM!$Q:$Q,0))="","",INDEX(F_ProductBM!J:J,MATCH($P587,F_ProductBM!$Q:$Q,0))))</f>
        <v/>
      </c>
      <c r="K587" s="1166" t="str">
        <f>IF($I576="","",IF(INDEX(F_ProductBM!K:K,MATCH($P587,F_ProductBM!$Q:$Q,0))="","",INDEX(F_ProductBM!K:K,MATCH($P587,F_ProductBM!$Q:$Q,0))))</f>
        <v/>
      </c>
      <c r="L587" s="1166" t="str">
        <f>IF($I576="","",IF(INDEX(F_ProductBM!L:L,MATCH($P587,F_ProductBM!$Q:$Q,0))="","",INDEX(F_ProductBM!L:L,MATCH($P587,F_ProductBM!$Q:$Q,0))))</f>
        <v/>
      </c>
      <c r="M587" s="1166" t="str">
        <f>IF($I576="","",IF(INDEX(F_ProductBM!M:M,MATCH($P587,F_ProductBM!$Q:$Q,0))="","",INDEX(F_ProductBM!M:M,MATCH($P587,F_ProductBM!$Q:$Q,0))))</f>
        <v/>
      </c>
      <c r="N587" s="38"/>
      <c r="O587" s="25"/>
      <c r="P587" s="202" t="str">
        <f>EUconst_CNTR_HAL&amp;EUconst_CNTR_ELEXCH &amp; I576</f>
        <v>HAL_ELEXCH_</v>
      </c>
      <c r="Q587" s="437"/>
      <c r="R587" s="437"/>
      <c r="S587" s="437"/>
      <c r="T587" s="26"/>
    </row>
    <row r="588" spans="1:20" s="697" customFormat="1" ht="5.0999999999999996" customHeight="1" thickBot="1" x14ac:dyDescent="0.25">
      <c r="A588" s="437"/>
      <c r="B588" s="414"/>
      <c r="C588" s="414"/>
      <c r="D588" s="414"/>
      <c r="E588" s="865"/>
      <c r="F588" s="865"/>
      <c r="G588" s="865"/>
      <c r="H588" s="865"/>
      <c r="I588" s="865"/>
      <c r="J588" s="865"/>
      <c r="K588" s="865"/>
      <c r="L588" s="865"/>
      <c r="O588" s="25"/>
      <c r="P588" s="437"/>
      <c r="Q588" s="437"/>
      <c r="R588" s="437"/>
      <c r="S588" s="437"/>
      <c r="T588" s="26"/>
    </row>
    <row r="589" spans="1:20" s="697" customFormat="1" ht="13.5" thickBot="1" x14ac:dyDescent="0.25">
      <c r="A589" s="437"/>
      <c r="B589" s="414"/>
      <c r="D589" s="414"/>
      <c r="E589" s="865"/>
      <c r="F589" s="816" t="str">
        <f>Translations!$B$1728</f>
        <v>HAL kopā</v>
      </c>
      <c r="G589" s="817"/>
      <c r="I589" s="816" t="str">
        <f>Translations!$B$1226</f>
        <v>1. gada prov. ied. apj. (min.)</v>
      </c>
      <c r="J589" s="817"/>
      <c r="K589" s="816" t="str">
        <f>Translations!$B$1229</f>
        <v>1. gada prov. ied. apj. (maks.)</v>
      </c>
      <c r="L589" s="817"/>
      <c r="M589" s="816" t="str">
        <f>Translations!$B$1231</f>
        <v>1. gada prov. ied. apj. (fakt.)</v>
      </c>
      <c r="N589" s="817"/>
      <c r="O589" s="25"/>
      <c r="P589" s="202" t="str">
        <f>EUconst_AllocPrelim&amp;I576</f>
        <v>AllocPrelim_</v>
      </c>
      <c r="Q589" s="437"/>
      <c r="R589" s="900" t="str">
        <f>IF(I590="","",IF(S579=0,0,SUM(I590)/S579))</f>
        <v/>
      </c>
      <c r="S589" s="900" t="str">
        <f>IF(K590="","",IF(S579=0,0,SUM(K590)/S579))</f>
        <v/>
      </c>
      <c r="T589" s="900" t="str">
        <f>T576</f>
        <v/>
      </c>
    </row>
    <row r="590" spans="1:20" s="697" customFormat="1" ht="13.5" thickBot="1" x14ac:dyDescent="0.25">
      <c r="A590" s="437"/>
      <c r="B590" s="414"/>
      <c r="E590" s="865"/>
      <c r="F590" s="658" t="str">
        <f>IF(I576="","",MAX(0, IF(L579=TRUE, SUM(L581), SUM(N585))))</f>
        <v/>
      </c>
      <c r="G590" s="659" t="str">
        <f>H584&amp;" / "&amp;EUconst_Year</f>
        <v>tonnas / gads</v>
      </c>
      <c r="I590" s="814" t="str">
        <f>IF(I576="","",ROUND((SUM(M579)*SUM(F590)*SUM(K581)-SUM(G581)-SUM(I581)+SUM(J581))*SUM(S579),0))</f>
        <v/>
      </c>
      <c r="J590" s="884" t="str">
        <f>EUconst_EUApa</f>
        <v>ESK / gads</v>
      </c>
      <c r="K590" s="814" t="str">
        <f>IF(I576="","",ROUND((SUM(M580)*SUM(F590)*SUM(K581)-SUM(G581)-SUM(I581)+SUM(J581))*SUM(S579),0))</f>
        <v/>
      </c>
      <c r="L590" s="884" t="str">
        <f>EUconst_EUApa</f>
        <v>ESK / gads</v>
      </c>
      <c r="M590" s="814" t="str">
        <f>IF(OR(I576="",M581=""),"",ROUND((SUM(M581)*SUM(F590)*SUM(K581)-SUM(G581)-SUM(I581)+SUM(J581))*SUM(S579),0))</f>
        <v/>
      </c>
      <c r="N590" s="884" t="str">
        <f>EUconst_EUApa</f>
        <v>ESK / gads</v>
      </c>
      <c r="O590" s="25"/>
      <c r="P590" s="202" t="str">
        <f>EUconst_HALsum &amp; I576</f>
        <v>HALsum_</v>
      </c>
      <c r="Q590" s="437"/>
      <c r="R590" s="437"/>
      <c r="S590" s="437"/>
      <c r="T590" s="26"/>
    </row>
    <row r="591" spans="1:20" s="697" customFormat="1" ht="5.0999999999999996" customHeight="1" x14ac:dyDescent="0.2">
      <c r="A591" s="437"/>
      <c r="B591" s="414"/>
      <c r="C591" s="414"/>
      <c r="E591" s="440"/>
      <c r="F591" s="414"/>
      <c r="G591" s="414"/>
      <c r="H591" s="414"/>
      <c r="I591" s="414"/>
      <c r="J591" s="414"/>
      <c r="K591" s="414"/>
      <c r="L591" s="414"/>
      <c r="M591" s="414"/>
      <c r="N591" s="414"/>
      <c r="O591" s="25"/>
      <c r="P591" s="437"/>
      <c r="Q591" s="437"/>
      <c r="R591" s="437"/>
      <c r="S591" s="437"/>
      <c r="T591" s="26"/>
    </row>
    <row r="592" spans="1:20" s="697" customFormat="1" ht="5.0999999999999996" customHeight="1" x14ac:dyDescent="0.2">
      <c r="A592" s="437"/>
      <c r="B592" s="414"/>
      <c r="C592" s="414"/>
      <c r="D592" s="414"/>
      <c r="E592" s="526"/>
      <c r="F592" s="823"/>
      <c r="G592" s="823"/>
      <c r="H592" s="823"/>
      <c r="I592" s="823"/>
      <c r="J592" s="823"/>
      <c r="K592" s="823"/>
      <c r="L592" s="823"/>
      <c r="M592" s="823"/>
      <c r="N592" s="823"/>
      <c r="O592" s="25"/>
      <c r="P592" s="437"/>
      <c r="Q592" s="437"/>
      <c r="R592" s="437"/>
      <c r="S592" s="437"/>
      <c r="T592" s="26"/>
    </row>
    <row r="593" spans="1:20" s="697" customFormat="1" ht="13.5" thickBot="1" x14ac:dyDescent="0.25">
      <c r="A593" s="437"/>
      <c r="B593" s="414"/>
      <c r="C593" s="414"/>
      <c r="D593" s="414"/>
      <c r="E593" s="526"/>
      <c r="F593" s="823"/>
      <c r="G593" s="823"/>
      <c r="H593" s="525" t="str">
        <f>EUconst_Unit</f>
        <v>Vienība</v>
      </c>
      <c r="I593" s="929">
        <f>I$1652</f>
        <v>2019</v>
      </c>
      <c r="J593" s="463">
        <f>J$1652</f>
        <v>2020</v>
      </c>
      <c r="K593" s="463">
        <f>K$1652</f>
        <v>2021</v>
      </c>
      <c r="L593" s="463">
        <f>L$1652</f>
        <v>2022</v>
      </c>
      <c r="M593" s="463">
        <f>M$1652</f>
        <v>2023</v>
      </c>
      <c r="N593" s="823"/>
      <c r="O593" s="25"/>
      <c r="P593" s="437"/>
      <c r="Q593" s="437"/>
      <c r="R593" s="437"/>
      <c r="S593" s="437"/>
      <c r="T593" s="26"/>
    </row>
    <row r="594" spans="1:20" s="697" customFormat="1" ht="13.5" customHeight="1" thickBot="1" x14ac:dyDescent="0.25">
      <c r="A594" s="437"/>
      <c r="B594" s="414"/>
      <c r="C594" s="414"/>
      <c r="D594" s="414"/>
      <c r="E594" s="1789" t="str">
        <f>Translations!$B$1238</f>
        <v>Kopējās attiecinātās emisijas</v>
      </c>
      <c r="F594" s="1789"/>
      <c r="G594" s="1789"/>
      <c r="H594" s="886" t="str">
        <f>EUconst_tCO2epa</f>
        <v>t CO2e/gads</v>
      </c>
      <c r="I594" s="1151" t="str">
        <f>INDEX(I$115:I$134,MATCH($I576,$E$115:$E$134,0))</f>
        <v/>
      </c>
      <c r="J594" s="1152" t="str">
        <f>INDEX(J$115:J$134,MATCH($I576,$E$115:$E$134,0))</f>
        <v/>
      </c>
      <c r="K594" s="1152" t="str">
        <f>INDEX(K$115:K$134,MATCH($I576,$E$115:$E$134,0))</f>
        <v/>
      </c>
      <c r="L594" s="1152" t="str">
        <f>INDEX(L$115:L$134,MATCH($I576,$E$115:$E$134,0))</f>
        <v/>
      </c>
      <c r="M594" s="1153" t="str">
        <f>INDEX(M$115:M$134,MATCH($I576,$E$115:$E$134,0))</f>
        <v/>
      </c>
      <c r="N594" s="823"/>
      <c r="O594" s="25"/>
      <c r="P594" s="437"/>
      <c r="Q594" s="437"/>
      <c r="R594" s="437"/>
      <c r="S594" s="437"/>
      <c r="T594" s="26"/>
    </row>
    <row r="595" spans="1:20" s="697" customFormat="1" ht="5.0999999999999996" customHeight="1" x14ac:dyDescent="0.2">
      <c r="A595" s="437"/>
      <c r="B595" s="414"/>
      <c r="C595" s="414"/>
      <c r="D595" s="414"/>
      <c r="E595" s="526"/>
      <c r="F595" s="526"/>
      <c r="G595" s="526"/>
      <c r="H595" s="526"/>
      <c r="I595" s="921"/>
      <c r="J595" s="921"/>
      <c r="K595" s="921"/>
      <c r="L595" s="921"/>
      <c r="M595" s="921"/>
      <c r="N595" s="526"/>
      <c r="O595" s="25"/>
      <c r="P595" s="437"/>
      <c r="Q595" s="437"/>
      <c r="R595" s="437"/>
      <c r="S595" s="437"/>
      <c r="T595" s="26"/>
    </row>
    <row r="596" spans="1:20" s="697" customFormat="1" x14ac:dyDescent="0.2">
      <c r="A596" s="437"/>
      <c r="B596" s="414"/>
      <c r="C596" s="414"/>
      <c r="D596" s="414"/>
      <c r="E596" s="1667" t="str">
        <f>Translations!$B$1623</f>
        <v>Kopējā enerģijas ielaide</v>
      </c>
      <c r="F596" s="1660"/>
      <c r="G596" s="1660"/>
      <c r="H596" s="466" t="str">
        <f>EUconst_TJpa</f>
        <v>TJ / gads</v>
      </c>
      <c r="I596" s="922" t="str">
        <f>IF($I576="","",IF(INDEX(F_ProductBM!I:I,MATCH($P596,F_ProductBM!$P:$P,0))="","",INDEX(F_ProductBM!I:I,MATCH($P596,F_ProductBM!$P:$P,0))))</f>
        <v/>
      </c>
      <c r="J596" s="922" t="str">
        <f>IF($I576="","",IF(INDEX(F_ProductBM!J:J,MATCH($P596,F_ProductBM!$P:$P,0))="","",INDEX(F_ProductBM!J:J,MATCH($P596,F_ProductBM!$P:$P,0))))</f>
        <v/>
      </c>
      <c r="K596" s="922" t="str">
        <f>IF($I576="","",IF(INDEX(F_ProductBM!K:K,MATCH($P596,F_ProductBM!$P:$P,0))="","",INDEX(F_ProductBM!K:K,MATCH($P596,F_ProductBM!$P:$P,0))))</f>
        <v/>
      </c>
      <c r="L596" s="922" t="str">
        <f>IF($I576="","",IF(INDEX(F_ProductBM!L:L,MATCH($P596,F_ProductBM!$P:$P,0))="","",INDEX(F_ProductBM!L:L,MATCH($P596,F_ProductBM!$P:$P,0))))</f>
        <v/>
      </c>
      <c r="M596" s="922" t="str">
        <f>IF($I576="","",IF(INDEX(F_ProductBM!M:M,MATCH($P596,F_ProductBM!$P:$P,0))="","",INDEX(F_ProductBM!M:M,MATCH($P596,F_ProductBM!$P:$P,0))))</f>
        <v/>
      </c>
      <c r="N596" s="823"/>
      <c r="O596" s="25"/>
      <c r="P596" s="822" t="str">
        <f>EUconst_CNTR_FuelInput &amp; I576</f>
        <v>FuelInput_</v>
      </c>
      <c r="Q596" s="437"/>
      <c r="R596" s="437"/>
      <c r="S596" s="437"/>
      <c r="T596" s="26"/>
    </row>
    <row r="597" spans="1:20" s="697" customFormat="1" ht="12.75" customHeight="1" x14ac:dyDescent="0.2">
      <c r="A597" s="437"/>
      <c r="B597" s="414"/>
      <c r="C597" s="414"/>
      <c r="D597" s="414"/>
      <c r="E597" s="1737" t="str">
        <f>Translations!$B$732</f>
        <v>Svērtais emisijas faktors</v>
      </c>
      <c r="F597" s="1659"/>
      <c r="G597" s="1659"/>
      <c r="H597" s="485" t="str">
        <f>EUconst_tCO2pTJ</f>
        <v>t CO2 / TJ</v>
      </c>
      <c r="I597" s="923" t="str">
        <f>IF($I576="","",IF(INDEX(F_ProductBM!I:I,MATCH($P597,F_ProductBM!$P:$P,0))="","",INDEX(F_ProductBM!I:I,MATCH($P597,F_ProductBM!$P:$P,0))))</f>
        <v/>
      </c>
      <c r="J597" s="923" t="str">
        <f>IF($I576="","",IF(INDEX(F_ProductBM!J:J,MATCH($P597,F_ProductBM!$P:$P,0))="","",INDEX(F_ProductBM!J:J,MATCH($P597,F_ProductBM!$P:$P,0))))</f>
        <v/>
      </c>
      <c r="K597" s="923" t="str">
        <f>IF($I576="","",IF(INDEX(F_ProductBM!K:K,MATCH($P597,F_ProductBM!$P:$P,0))="","",INDEX(F_ProductBM!K:K,MATCH($P597,F_ProductBM!$P:$P,0))))</f>
        <v/>
      </c>
      <c r="L597" s="923" t="str">
        <f>IF($I576="","",IF(INDEX(F_ProductBM!L:L,MATCH($P597,F_ProductBM!$P:$P,0))="","",INDEX(F_ProductBM!L:L,MATCH($P597,F_ProductBM!$P:$P,0))))</f>
        <v/>
      </c>
      <c r="M597" s="923" t="str">
        <f>IF($I576="","",IF(INDEX(F_ProductBM!M:M,MATCH($P597,F_ProductBM!$P:$P,0))="","",INDEX(F_ProductBM!M:M,MATCH($P597,F_ProductBM!$P:$P,0))))</f>
        <v/>
      </c>
      <c r="N597" s="823"/>
      <c r="O597" s="25"/>
      <c r="P597" s="367" t="str">
        <f>EUconst_CNTR_FuelEF &amp; I576</f>
        <v>FuelEF_</v>
      </c>
      <c r="Q597" s="437"/>
      <c r="R597" s="437"/>
      <c r="S597" s="437"/>
      <c r="T597" s="26"/>
    </row>
    <row r="598" spans="1:20" s="697" customFormat="1" ht="5.0999999999999996" customHeight="1" x14ac:dyDescent="0.2">
      <c r="A598" s="437"/>
      <c r="B598" s="414"/>
      <c r="C598" s="414"/>
      <c r="E598" s="526"/>
      <c r="F598" s="823"/>
      <c r="G598" s="823"/>
      <c r="H598" s="823"/>
      <c r="I598" s="924"/>
      <c r="J598" s="924"/>
      <c r="K598" s="924"/>
      <c r="L598" s="924"/>
      <c r="M598" s="924"/>
      <c r="N598" s="823"/>
      <c r="O598" s="25"/>
      <c r="P598" s="437"/>
      <c r="Q598" s="437"/>
      <c r="R598" s="437"/>
      <c r="S598" s="437"/>
      <c r="T598" s="26"/>
    </row>
    <row r="599" spans="1:20" s="697" customFormat="1" ht="12.75" customHeight="1" x14ac:dyDescent="0.2">
      <c r="A599" s="437"/>
      <c r="B599" s="414"/>
      <c r="C599" s="414"/>
      <c r="E599" s="1651" t="str">
        <f>Translations!$B$687</f>
        <v>Tiešās emisijas</v>
      </c>
      <c r="F599" s="1652"/>
      <c r="G599" s="1652"/>
      <c r="H599" s="465" t="str">
        <f>EUconst_tCO2pa</f>
        <v>t CO2 / gads</v>
      </c>
      <c r="I599" s="1103" t="str">
        <f>IF($I576="","",IF(INDEX(F_ProductBM!I:I,MATCH($P599,F_ProductBM!$P:$P,0))="","",INDEX(F_ProductBM!I:I,MATCH($P599,F_ProductBM!$P:$P,0))))</f>
        <v/>
      </c>
      <c r="J599" s="1103" t="str">
        <f>IF($I576="","",IF(INDEX(F_ProductBM!J:J,MATCH($P599,F_ProductBM!$P:$P,0))="","",INDEX(F_ProductBM!J:J,MATCH($P599,F_ProductBM!$P:$P,0))))</f>
        <v/>
      </c>
      <c r="K599" s="1103" t="str">
        <f>IF($I576="","",IF(INDEX(F_ProductBM!K:K,MATCH($P599,F_ProductBM!$P:$P,0))="","",INDEX(F_ProductBM!K:K,MATCH($P599,F_ProductBM!$P:$P,0))))</f>
        <v/>
      </c>
      <c r="L599" s="1103" t="str">
        <f>IF($I576="","",IF(INDEX(F_ProductBM!L:L,MATCH($P599,F_ProductBM!$P:$P,0))="","",INDEX(F_ProductBM!L:L,MATCH($P599,F_ProductBM!$P:$P,0))))</f>
        <v/>
      </c>
      <c r="M599" s="1103" t="str">
        <f>IF($I576="","",IF(INDEX(F_ProductBM!M:M,MATCH($P599,F_ProductBM!$P:$P,0))="","",INDEX(F_ProductBM!M:M,MATCH($P599,F_ProductBM!$P:$P,0))))</f>
        <v/>
      </c>
      <c r="N599" s="823"/>
      <c r="O599" s="25"/>
      <c r="P599" s="367" t="str">
        <f>EUconst_CNTR_Emissions &amp; I576</f>
        <v>DirEmissions_</v>
      </c>
      <c r="Q599" s="437"/>
      <c r="R599" s="437"/>
      <c r="S599" s="437"/>
      <c r="T599" s="26"/>
    </row>
    <row r="600" spans="1:20" s="697" customFormat="1" ht="12.75" customHeight="1" x14ac:dyDescent="0.2">
      <c r="A600" s="437"/>
      <c r="B600" s="414"/>
      <c r="C600" s="414"/>
      <c r="E600" s="1893" t="str">
        <f>Translations!$B$742</f>
        <v>Citas avota plūsmas, 1:</v>
      </c>
      <c r="F600" s="1893"/>
      <c r="G600" s="1893"/>
      <c r="H600" s="465" t="str">
        <f>EUconst_tCO2pa</f>
        <v>t CO2 / gads</v>
      </c>
      <c r="I600" s="1103" t="str">
        <f>IF($I576="","",IF(INDEX(F_ProductBM!I:I,MATCH($P600,F_ProductBM!$P:$P,0))="","",INDEX(F_ProductBM!I:I,MATCH($P600,F_ProductBM!$P:$P,0))))</f>
        <v/>
      </c>
      <c r="J600" s="1103" t="str">
        <f>IF($I576="","",IF(INDEX(F_ProductBM!J:J,MATCH($P600,F_ProductBM!$P:$P,0))="","",INDEX(F_ProductBM!J:J,MATCH($P600,F_ProductBM!$P:$P,0))))</f>
        <v/>
      </c>
      <c r="K600" s="1103" t="str">
        <f>IF($I576="","",IF(INDEX(F_ProductBM!K:K,MATCH($P600,F_ProductBM!$P:$P,0))="","",INDEX(F_ProductBM!K:K,MATCH($P600,F_ProductBM!$P:$P,0))))</f>
        <v/>
      </c>
      <c r="L600" s="1103" t="str">
        <f>IF($I576="","",IF(INDEX(F_ProductBM!L:L,MATCH($P600,F_ProductBM!$P:$P,0))="","",INDEX(F_ProductBM!L:L,MATCH($P600,F_ProductBM!$P:$P,0))))</f>
        <v/>
      </c>
      <c r="M600" s="1103" t="str">
        <f>IF($I576="","",IF(INDEX(F_ProductBM!M:M,MATCH($P600,F_ProductBM!$P:$P,0))="","",INDEX(F_ProductBM!M:M,MATCH($P600,F_ProductBM!$P:$P,0))))</f>
        <v/>
      </c>
      <c r="N600" s="823"/>
      <c r="O600" s="25"/>
      <c r="P600" s="367" t="str">
        <f>EUconst_CNTR_EmissionsIntSource1 &amp; I576</f>
        <v>EmInternalSource1_</v>
      </c>
      <c r="Q600" s="437"/>
      <c r="R600" s="437"/>
      <c r="S600" s="437"/>
      <c r="T600" s="26"/>
    </row>
    <row r="601" spans="1:20" s="697" customFormat="1" ht="12.75" customHeight="1" x14ac:dyDescent="0.2">
      <c r="A601" s="437"/>
      <c r="B601" s="414"/>
      <c r="C601" s="414"/>
      <c r="E601" s="1893" t="str">
        <f>Translations!$B$752</f>
        <v>Citas avota plūsmas, 2:</v>
      </c>
      <c r="F601" s="1893"/>
      <c r="G601" s="1893"/>
      <c r="H601" s="465" t="str">
        <f>EUconst_tCO2pa</f>
        <v>t CO2 / gads</v>
      </c>
      <c r="I601" s="1103" t="str">
        <f>IF($I576="","",IF(INDEX(F_ProductBM!I:I,MATCH($P601,F_ProductBM!$P:$P,0))="","",INDEX(F_ProductBM!I:I,MATCH($P601,F_ProductBM!$P:$P,0))))</f>
        <v/>
      </c>
      <c r="J601" s="1103" t="str">
        <f>IF($I576="","",IF(INDEX(F_ProductBM!J:J,MATCH($P601,F_ProductBM!$P:$P,0))="","",INDEX(F_ProductBM!J:J,MATCH($P601,F_ProductBM!$P:$P,0))))</f>
        <v/>
      </c>
      <c r="K601" s="1103" t="str">
        <f>IF($I576="","",IF(INDEX(F_ProductBM!K:K,MATCH($P601,F_ProductBM!$P:$P,0))="","",INDEX(F_ProductBM!K:K,MATCH($P601,F_ProductBM!$P:$P,0))))</f>
        <v/>
      </c>
      <c r="L601" s="1103" t="str">
        <f>IF($I576="","",IF(INDEX(F_ProductBM!L:L,MATCH($P601,F_ProductBM!$P:$P,0))="","",INDEX(F_ProductBM!L:L,MATCH($P601,F_ProductBM!$P:$P,0))))</f>
        <v/>
      </c>
      <c r="M601" s="1103" t="str">
        <f>IF($I576="","",IF(INDEX(F_ProductBM!M:M,MATCH($P601,F_ProductBM!$P:$P,0))="","",INDEX(F_ProductBM!M:M,MATCH($P601,F_ProductBM!$P:$P,0))))</f>
        <v/>
      </c>
      <c r="N601" s="823"/>
      <c r="O601" s="25"/>
      <c r="P601" s="367" t="str">
        <f>EUconst_CNTR_EmissionsIntSource2 &amp; I576</f>
        <v>EmInternalSource2_</v>
      </c>
      <c r="Q601" s="437"/>
      <c r="R601" s="437"/>
      <c r="S601" s="437"/>
      <c r="T601" s="26"/>
    </row>
    <row r="602" spans="1:20" s="697" customFormat="1" ht="12.75" customHeight="1" x14ac:dyDescent="0.2">
      <c r="A602" s="437"/>
      <c r="B602" s="414"/>
      <c r="C602" s="414"/>
      <c r="D602" s="414"/>
      <c r="E602" s="1651" t="str">
        <f>Translations!$B$756</f>
        <v>Importētās vai eksportētās SEG</v>
      </c>
      <c r="F602" s="1652"/>
      <c r="G602" s="1652"/>
      <c r="H602" s="465" t="str">
        <f>EUconst_tCO2epa</f>
        <v>t CO2e/gads</v>
      </c>
      <c r="I602" s="1103" t="str">
        <f>IF($I576="","",IF(INDEX(F_ProductBM!I:I,MATCH($P602,F_ProductBM!$P:$P,0))="","",INDEX(F_ProductBM!I:I,MATCH($P602,F_ProductBM!$P:$P,0))))</f>
        <v/>
      </c>
      <c r="J602" s="1103" t="str">
        <f>IF($I576="","",IF(INDEX(F_ProductBM!J:J,MATCH($P602,F_ProductBM!$P:$P,0))="","",INDEX(F_ProductBM!J:J,MATCH($P602,F_ProductBM!$P:$P,0))))</f>
        <v/>
      </c>
      <c r="K602" s="1103" t="str">
        <f>IF($I576="","",IF(INDEX(F_ProductBM!K:K,MATCH($P602,F_ProductBM!$P:$P,0))="","",INDEX(F_ProductBM!K:K,MATCH($P602,F_ProductBM!$P:$P,0))))</f>
        <v/>
      </c>
      <c r="L602" s="1103" t="str">
        <f>IF($I576="","",IF(INDEX(F_ProductBM!L:L,MATCH($P602,F_ProductBM!$P:$P,0))="","",INDEX(F_ProductBM!L:L,MATCH($P602,F_ProductBM!$P:$P,0))))</f>
        <v/>
      </c>
      <c r="M602" s="1103" t="str">
        <f>IF($I576="","",IF(INDEX(F_ProductBM!M:M,MATCH($P602,F_ProductBM!$P:$P,0))="","",INDEX(F_ProductBM!M:M,MATCH($P602,F_ProductBM!$P:$P,0))))</f>
        <v/>
      </c>
      <c r="N602" s="823"/>
      <c r="O602" s="25"/>
      <c r="P602" s="367" t="str">
        <f>EUconst_CNTR_CO2Feedstock &amp; I576</f>
        <v>EmCO2Feedstock_</v>
      </c>
      <c r="Q602" s="437"/>
      <c r="R602" s="437"/>
      <c r="S602" s="437"/>
      <c r="T602" s="26"/>
    </row>
    <row r="603" spans="1:20" s="697" customFormat="1" ht="5.0999999999999996" customHeight="1" x14ac:dyDescent="0.2">
      <c r="A603" s="437"/>
      <c r="B603" s="414"/>
      <c r="C603" s="414"/>
      <c r="D603" s="414"/>
      <c r="E603" s="823"/>
      <c r="F603" s="823"/>
      <c r="G603" s="823"/>
      <c r="H603" s="823"/>
      <c r="I603" s="924"/>
      <c r="J603" s="924"/>
      <c r="K603" s="924"/>
      <c r="L603" s="924"/>
      <c r="M603" s="924"/>
      <c r="N603" s="823"/>
      <c r="O603" s="25"/>
      <c r="P603" s="437"/>
      <c r="Q603" s="437"/>
      <c r="R603" s="437"/>
      <c r="S603" s="437"/>
      <c r="T603" s="26"/>
    </row>
    <row r="604" spans="1:20" s="697" customFormat="1" ht="12.75" customHeight="1" x14ac:dyDescent="0.2">
      <c r="A604" s="437"/>
      <c r="B604" s="414"/>
      <c r="C604" s="414"/>
      <c r="D604" s="414"/>
      <c r="E604" s="1667" t="str">
        <f>Translations!$B$764</f>
        <v>Neto importētais siltums</v>
      </c>
      <c r="F604" s="1660"/>
      <c r="G604" s="1660"/>
      <c r="H604" s="466" t="str">
        <f>EUconst_TJpa</f>
        <v>TJ / gads</v>
      </c>
      <c r="I604" s="922" t="str">
        <f>IF($I576="","",IF(INDEX(F_ProductBM!I:I,MATCH($P604,F_ProductBM!$P:$P,0))="","",INDEX(F_ProductBM!I:I,MATCH($P604,F_ProductBM!$P:$P,0))))</f>
        <v/>
      </c>
      <c r="J604" s="922" t="str">
        <f>IF($I576="","",IF(INDEX(F_ProductBM!J:J,MATCH($P604,F_ProductBM!$P:$P,0))="","",INDEX(F_ProductBM!J:J,MATCH($P604,F_ProductBM!$P:$P,0))))</f>
        <v/>
      </c>
      <c r="K604" s="922" t="str">
        <f>IF($I576="","",IF(INDEX(F_ProductBM!K:K,MATCH($P604,F_ProductBM!$P:$P,0))="","",INDEX(F_ProductBM!K:K,MATCH($P604,F_ProductBM!$P:$P,0))))</f>
        <v/>
      </c>
      <c r="L604" s="922" t="str">
        <f>IF($I576="","",IF(INDEX(F_ProductBM!L:L,MATCH($P604,F_ProductBM!$P:$P,0))="","",INDEX(F_ProductBM!L:L,MATCH($P604,F_ProductBM!$P:$P,0))))</f>
        <v/>
      </c>
      <c r="M604" s="922" t="str">
        <f>IF($I576="","",IF(INDEX(F_ProductBM!M:M,MATCH($P604,F_ProductBM!$P:$P,0))="","",INDEX(F_ProductBM!M:M,MATCH($P604,F_ProductBM!$P:$P,0))))</f>
        <v/>
      </c>
      <c r="N604" s="823"/>
      <c r="O604" s="25"/>
      <c r="P604" s="367" t="str">
        <f>EUconst_CNTR_HeatImport &amp; I576</f>
        <v>HeatIm_</v>
      </c>
      <c r="Q604" s="437"/>
      <c r="R604" s="437"/>
      <c r="S604" s="437"/>
      <c r="T604" s="26"/>
    </row>
    <row r="605" spans="1:20" s="697" customFormat="1" ht="12.75" customHeight="1" x14ac:dyDescent="0.2">
      <c r="A605" s="437"/>
      <c r="B605" s="414"/>
      <c r="C605" s="414"/>
      <c r="D605" s="414"/>
      <c r="E605" s="1737" t="str">
        <f>Translations!$B$765</f>
        <v>Īpatnējais EF (importētais siltums)</v>
      </c>
      <c r="F605" s="1659"/>
      <c r="G605" s="1659"/>
      <c r="H605" s="485" t="str">
        <f>EUconst_tCO2pTJ</f>
        <v>t CO2 / TJ</v>
      </c>
      <c r="I605" s="923" t="str">
        <f>IF($I576="","",IF(INDEX(F_ProductBM!I:I,MATCH($P605,F_ProductBM!$P:$P,0))="","",INDEX(F_ProductBM!I:I,MATCH($P605,F_ProductBM!$P:$P,0))))</f>
        <v/>
      </c>
      <c r="J605" s="923" t="str">
        <f>IF($I576="","",IF(INDEX(F_ProductBM!J:J,MATCH($P605,F_ProductBM!$P:$P,0))="","",INDEX(F_ProductBM!J:J,MATCH($P605,F_ProductBM!$P:$P,0))))</f>
        <v/>
      </c>
      <c r="K605" s="923" t="str">
        <f>IF($I576="","",IF(INDEX(F_ProductBM!K:K,MATCH($P605,F_ProductBM!$P:$P,0))="","",INDEX(F_ProductBM!K:K,MATCH($P605,F_ProductBM!$P:$P,0))))</f>
        <v/>
      </c>
      <c r="L605" s="923" t="str">
        <f>IF($I576="","",IF(INDEX(F_ProductBM!L:L,MATCH($P605,F_ProductBM!$P:$P,0))="","",INDEX(F_ProductBM!L:L,MATCH($P605,F_ProductBM!$P:$P,0))))</f>
        <v/>
      </c>
      <c r="M605" s="923" t="str">
        <f>IF($I576="","",IF(INDEX(F_ProductBM!M:M,MATCH($P605,F_ProductBM!$P:$P,0))="","",INDEX(F_ProductBM!M:M,MATCH($P605,F_ProductBM!$P:$P,0))))</f>
        <v/>
      </c>
      <c r="N605" s="823"/>
      <c r="O605" s="25"/>
      <c r="P605" s="367" t="str">
        <f>EUconst_CNTR_HeatImportEF &amp; I576</f>
        <v>HeatImEF_</v>
      </c>
      <c r="Q605" s="437"/>
      <c r="R605" s="437"/>
      <c r="S605" s="437"/>
      <c r="T605" s="26"/>
    </row>
    <row r="606" spans="1:20" s="697" customFormat="1" ht="5.0999999999999996" customHeight="1" x14ac:dyDescent="0.2">
      <c r="A606" s="437"/>
      <c r="B606" s="414"/>
      <c r="C606" s="414"/>
      <c r="D606" s="414"/>
      <c r="E606" s="526"/>
      <c r="F606" s="823"/>
      <c r="G606" s="823"/>
      <c r="H606" s="823"/>
      <c r="I606" s="924"/>
      <c r="J606" s="924"/>
      <c r="K606" s="924"/>
      <c r="L606" s="924"/>
      <c r="M606" s="924"/>
      <c r="N606" s="823"/>
      <c r="O606" s="25"/>
      <c r="P606" s="26"/>
      <c r="Q606" s="437"/>
      <c r="R606" s="437"/>
      <c r="S606" s="437"/>
      <c r="T606" s="26"/>
    </row>
    <row r="607" spans="1:20" s="697" customFormat="1" ht="12.75" customHeight="1" x14ac:dyDescent="0.2">
      <c r="A607" s="437"/>
      <c r="B607" s="414"/>
      <c r="C607" s="414"/>
      <c r="D607" s="414"/>
      <c r="E607" s="1651" t="str">
        <f>Translations!$B$820</f>
        <v>No pulpas apakšiekārtām importētais neto siltums</v>
      </c>
      <c r="F607" s="1652"/>
      <c r="G607" s="1652"/>
      <c r="H607" s="465" t="str">
        <f>EUconst_TJpa</f>
        <v>TJ / gads</v>
      </c>
      <c r="I607" s="925" t="str">
        <f>IF($I576="","",IF(INDEX(F_ProductBM!I:I,MATCH($P607,F_ProductBM!$P:$P,0))="","",INDEX(F_ProductBM!I:I,MATCH($P607,F_ProductBM!$P:$P,0))))</f>
        <v/>
      </c>
      <c r="J607" s="925" t="str">
        <f>IF($I576="","",IF(INDEX(F_ProductBM!J:J,MATCH($P607,F_ProductBM!$P:$P,0))="","",INDEX(F_ProductBM!J:J,MATCH($P607,F_ProductBM!$P:$P,0))))</f>
        <v/>
      </c>
      <c r="K607" s="925" t="str">
        <f>IF($I576="","",IF(INDEX(F_ProductBM!K:K,MATCH($P607,F_ProductBM!$P:$P,0))="","",INDEX(F_ProductBM!K:K,MATCH($P607,F_ProductBM!$P:$P,0))))</f>
        <v/>
      </c>
      <c r="L607" s="925" t="str">
        <f>IF($I576="","",IF(INDEX(F_ProductBM!L:L,MATCH($P607,F_ProductBM!$P:$P,0))="","",INDEX(F_ProductBM!L:L,MATCH($P607,F_ProductBM!$P:$P,0))))</f>
        <v/>
      </c>
      <c r="M607" s="925" t="str">
        <f>IF($I576="","",IF(INDEX(F_ProductBM!M:M,MATCH($P607,F_ProductBM!$P:$P,0))="","",INDEX(F_ProductBM!M:M,MATCH($P607,F_ProductBM!$P:$P,0))))</f>
        <v/>
      </c>
      <c r="N607" s="823"/>
      <c r="O607" s="25"/>
      <c r="P607" s="367" t="str">
        <f>EUconst_CNTR_HeatImportPulp &amp; I576</f>
        <v>HeatImPulp_</v>
      </c>
      <c r="Q607" s="437"/>
      <c r="R607" s="437"/>
      <c r="S607" s="437"/>
      <c r="T607" s="26"/>
    </row>
    <row r="608" spans="1:20" s="697" customFormat="1" ht="12.75" customHeight="1" x14ac:dyDescent="0.2">
      <c r="A608" s="437"/>
      <c r="B608" s="414"/>
      <c r="C608" s="414"/>
      <c r="D608" s="414"/>
      <c r="E608" s="1651" t="str">
        <f>Translations!$B$768</f>
        <v>No slāpekļskābes apakšiekārtas importētais neto siltums</v>
      </c>
      <c r="F608" s="1652"/>
      <c r="G608" s="1652"/>
      <c r="H608" s="465" t="str">
        <f>EUconst_TJpa</f>
        <v>TJ / gads</v>
      </c>
      <c r="I608" s="925" t="str">
        <f>IF($I576="","",IF(INDEX(F_ProductBM!I:I,MATCH($P608,F_ProductBM!$P:$P,0))="","",INDEX(F_ProductBM!I:I,MATCH($P608,F_ProductBM!$P:$P,0))))</f>
        <v/>
      </c>
      <c r="J608" s="925" t="str">
        <f>IF($I576="","",IF(INDEX(F_ProductBM!J:J,MATCH($P608,F_ProductBM!$P:$P,0))="","",INDEX(F_ProductBM!J:J,MATCH($P608,F_ProductBM!$P:$P,0))))</f>
        <v/>
      </c>
      <c r="K608" s="925" t="str">
        <f>IF($I576="","",IF(INDEX(F_ProductBM!K:K,MATCH($P608,F_ProductBM!$P:$P,0))="","",INDEX(F_ProductBM!K:K,MATCH($P608,F_ProductBM!$P:$P,0))))</f>
        <v/>
      </c>
      <c r="L608" s="925" t="str">
        <f>IF($I576="","",IF(INDEX(F_ProductBM!L:L,MATCH($P608,F_ProductBM!$P:$P,0))="","",INDEX(F_ProductBM!L:L,MATCH($P608,F_ProductBM!$P:$P,0))))</f>
        <v/>
      </c>
      <c r="M608" s="925" t="str">
        <f>IF($I576="","",IF(INDEX(F_ProductBM!M:M,MATCH($P608,F_ProductBM!$P:$P,0))="","",INDEX(F_ProductBM!M:M,MATCH($P608,F_ProductBM!$P:$P,0))))</f>
        <v/>
      </c>
      <c r="N608" s="823"/>
      <c r="O608" s="25"/>
      <c r="P608" s="367" t="str">
        <f>EUconst_CNTR_HeatImportNitric &amp; I576</f>
        <v>HeatImNitric_</v>
      </c>
      <c r="Q608" s="437"/>
      <c r="R608" s="437"/>
      <c r="S608" s="437"/>
      <c r="T608" s="26"/>
    </row>
    <row r="609" spans="1:20" s="697" customFormat="1" ht="5.0999999999999996" customHeight="1" x14ac:dyDescent="0.2">
      <c r="A609" s="437"/>
      <c r="B609" s="414"/>
      <c r="C609" s="414"/>
      <c r="D609" s="414"/>
      <c r="E609" s="526"/>
      <c r="F609" s="526"/>
      <c r="G609" s="526"/>
      <c r="H609" s="526"/>
      <c r="I609" s="924"/>
      <c r="J609" s="924"/>
      <c r="K609" s="924"/>
      <c r="L609" s="924"/>
      <c r="M609" s="924"/>
      <c r="N609" s="823"/>
      <c r="O609" s="25"/>
      <c r="P609" s="26"/>
      <c r="Q609" s="437"/>
      <c r="R609" s="437"/>
      <c r="S609" s="437"/>
      <c r="T609" s="26"/>
    </row>
    <row r="610" spans="1:20" s="697" customFormat="1" ht="12.75" customHeight="1" x14ac:dyDescent="0.2">
      <c r="A610" s="437"/>
      <c r="B610" s="414"/>
      <c r="C610" s="414"/>
      <c r="D610" s="414"/>
      <c r="E610" s="1667" t="str">
        <f>Translations!$B$770</f>
        <v>Neto eksportētais siltums</v>
      </c>
      <c r="F610" s="1660"/>
      <c r="G610" s="1660"/>
      <c r="H610" s="466" t="str">
        <f>EUconst_TJpa</f>
        <v>TJ / gads</v>
      </c>
      <c r="I610" s="922" t="str">
        <f>IF($I576="","",IF(INDEX(F_ProductBM!I:I,MATCH($P610,F_ProductBM!$P:$P,0))="","",INDEX(F_ProductBM!I:I,MATCH($P610,F_ProductBM!$P:$P,0))))</f>
        <v/>
      </c>
      <c r="J610" s="922" t="str">
        <f>IF($I576="","",IF(INDEX(F_ProductBM!J:J,MATCH($P610,F_ProductBM!$P:$P,0))="","",INDEX(F_ProductBM!J:J,MATCH($P610,F_ProductBM!$P:$P,0))))</f>
        <v/>
      </c>
      <c r="K610" s="922" t="str">
        <f>IF($I576="","",IF(INDEX(F_ProductBM!K:K,MATCH($P610,F_ProductBM!$P:$P,0))="","",INDEX(F_ProductBM!K:K,MATCH($P610,F_ProductBM!$P:$P,0))))</f>
        <v/>
      </c>
      <c r="L610" s="922" t="str">
        <f>IF($I576="","",IF(INDEX(F_ProductBM!L:L,MATCH($P610,F_ProductBM!$P:$P,0))="","",INDEX(F_ProductBM!L:L,MATCH($P610,F_ProductBM!$P:$P,0))))</f>
        <v/>
      </c>
      <c r="M610" s="922" t="str">
        <f>IF($I576="","",IF(INDEX(F_ProductBM!M:M,MATCH($P610,F_ProductBM!$P:$P,0))="","",INDEX(F_ProductBM!M:M,MATCH($P610,F_ProductBM!$P:$P,0))))</f>
        <v/>
      </c>
      <c r="N610" s="823"/>
      <c r="O610" s="25"/>
      <c r="P610" s="367" t="str">
        <f>EUconst_CNTR_HeatExport &amp; I576</f>
        <v>HeatEx_</v>
      </c>
      <c r="Q610" s="437"/>
      <c r="R610" s="437"/>
      <c r="S610" s="437"/>
      <c r="T610" s="26"/>
    </row>
    <row r="611" spans="1:20" s="697" customFormat="1" ht="12.75" customHeight="1" x14ac:dyDescent="0.2">
      <c r="A611" s="437"/>
      <c r="B611" s="414"/>
      <c r="C611" s="414"/>
      <c r="D611" s="414"/>
      <c r="E611" s="1737" t="str">
        <f>Translations!$B$771</f>
        <v>Īpatnējais EF (eksportētais siltums)</v>
      </c>
      <c r="F611" s="1659"/>
      <c r="G611" s="1659"/>
      <c r="H611" s="485" t="str">
        <f>EUconst_tCO2pTJ</f>
        <v>t CO2 / TJ</v>
      </c>
      <c r="I611" s="923" t="str">
        <f>IF($I576="","",IF(INDEX(F_ProductBM!I:I,MATCH($P611,F_ProductBM!$P:$P,0))="","",INDEX(F_ProductBM!I:I,MATCH($P611,F_ProductBM!$P:$P,0))))</f>
        <v/>
      </c>
      <c r="J611" s="923" t="str">
        <f>IF($I576="","",IF(INDEX(F_ProductBM!J:J,MATCH($P611,F_ProductBM!$P:$P,0))="","",INDEX(F_ProductBM!J:J,MATCH($P611,F_ProductBM!$P:$P,0))))</f>
        <v/>
      </c>
      <c r="K611" s="923" t="str">
        <f>IF($I576="","",IF(INDEX(F_ProductBM!K:K,MATCH($P611,F_ProductBM!$P:$P,0))="","",INDEX(F_ProductBM!K:K,MATCH($P611,F_ProductBM!$P:$P,0))))</f>
        <v/>
      </c>
      <c r="L611" s="923" t="str">
        <f>IF($I576="","",IF(INDEX(F_ProductBM!L:L,MATCH($P611,F_ProductBM!$P:$P,0))="","",INDEX(F_ProductBM!L:L,MATCH($P611,F_ProductBM!$P:$P,0))))</f>
        <v/>
      </c>
      <c r="M611" s="923" t="str">
        <f>IF($I576="","",IF(INDEX(F_ProductBM!M:M,MATCH($P611,F_ProductBM!$P:$P,0))="","",INDEX(F_ProductBM!M:M,MATCH($P611,F_ProductBM!$P:$P,0))))</f>
        <v/>
      </c>
      <c r="N611" s="823"/>
      <c r="O611" s="25"/>
      <c r="P611" s="367" t="str">
        <f>EUconst_CNTR_HeatExportEF &amp; I576</f>
        <v>HeatExEF_</v>
      </c>
      <c r="Q611" s="437"/>
      <c r="R611" s="437"/>
      <c r="S611" s="437"/>
      <c r="T611" s="26"/>
    </row>
    <row r="612" spans="1:20" s="697" customFormat="1" ht="5.0999999999999996" customHeight="1" x14ac:dyDescent="0.2">
      <c r="A612" s="437"/>
      <c r="B612" s="414"/>
      <c r="C612" s="414"/>
      <c r="D612" s="414"/>
      <c r="E612" s="526"/>
      <c r="F612" s="526"/>
      <c r="G612" s="526"/>
      <c r="H612" s="526"/>
      <c r="I612" s="924"/>
      <c r="J612" s="924"/>
      <c r="K612" s="924"/>
      <c r="L612" s="924"/>
      <c r="M612" s="924"/>
      <c r="N612" s="823"/>
      <c r="O612" s="25"/>
      <c r="P612" s="199"/>
      <c r="Q612" s="437"/>
      <c r="R612" s="437"/>
      <c r="S612" s="437"/>
      <c r="T612" s="26"/>
    </row>
    <row r="613" spans="1:20" s="697" customFormat="1" ht="12.75" customHeight="1" x14ac:dyDescent="0.2">
      <c r="A613" s="437"/>
      <c r="B613" s="414"/>
      <c r="C613" s="414"/>
      <c r="D613" s="414"/>
      <c r="E613" s="1667" t="str">
        <f>Translations!$B$778</f>
        <v>Radusies atlikumgāze</v>
      </c>
      <c r="F613" s="1660"/>
      <c r="G613" s="1660"/>
      <c r="H613" s="466" t="str">
        <f>EUconst_TJpa</f>
        <v>TJ / gads</v>
      </c>
      <c r="I613" s="922" t="str">
        <f>IF($I576="","",IF(INDEX(F_ProductBM!I:I,MATCH($P613,F_ProductBM!$P:$P,0))="","",INDEX(F_ProductBM!I:I,MATCH($P613,F_ProductBM!$P:$P,0))))</f>
        <v/>
      </c>
      <c r="J613" s="922" t="str">
        <f>IF($I576="","",IF(INDEX(F_ProductBM!J:J,MATCH($P613,F_ProductBM!$P:$P,0))="","",INDEX(F_ProductBM!J:J,MATCH($P613,F_ProductBM!$P:$P,0))))</f>
        <v/>
      </c>
      <c r="K613" s="922" t="str">
        <f>IF($I576="","",IF(INDEX(F_ProductBM!K:K,MATCH($P613,F_ProductBM!$P:$P,0))="","",INDEX(F_ProductBM!K:K,MATCH($P613,F_ProductBM!$P:$P,0))))</f>
        <v/>
      </c>
      <c r="L613" s="922" t="str">
        <f>IF($I576="","",IF(INDEX(F_ProductBM!L:L,MATCH($P613,F_ProductBM!$P:$P,0))="","",INDEX(F_ProductBM!L:L,MATCH($P613,F_ProductBM!$P:$P,0))))</f>
        <v/>
      </c>
      <c r="M613" s="922" t="str">
        <f>IF($I576="","",IF(INDEX(F_ProductBM!M:M,MATCH($P613,F_ProductBM!$P:$P,0))="","",INDEX(F_ProductBM!M:M,MATCH($P613,F_ProductBM!$P:$P,0))))</f>
        <v/>
      </c>
      <c r="N613" s="823"/>
      <c r="O613" s="25"/>
      <c r="P613" s="822" t="str">
        <f>EUconst_CNTR_WGProduced &amp; I576</f>
        <v>WasteGasProd_</v>
      </c>
      <c r="Q613" s="437"/>
      <c r="R613" s="437"/>
      <c r="S613" s="437"/>
      <c r="T613" s="26"/>
    </row>
    <row r="614" spans="1:20" s="697" customFormat="1" ht="12.75" customHeight="1" x14ac:dyDescent="0.2">
      <c r="A614" s="437"/>
      <c r="B614" s="414"/>
      <c r="C614" s="414"/>
      <c r="D614" s="414"/>
      <c r="E614" s="1737" t="str">
        <f>Translations!$B$779</f>
        <v>Īpatnējais EF (radusies atlikumgāze)</v>
      </c>
      <c r="F614" s="1659"/>
      <c r="G614" s="1659"/>
      <c r="H614" s="485" t="str">
        <f>EUconst_tCO2pTJ</f>
        <v>t CO2 / TJ</v>
      </c>
      <c r="I614" s="923" t="str">
        <f>IF($I576="","",IF(INDEX(F_ProductBM!I:I,MATCH($P614,F_ProductBM!$P:$P,0))="","",INDEX(F_ProductBM!I:I,MATCH($P614,F_ProductBM!$P:$P,0))))</f>
        <v/>
      </c>
      <c r="J614" s="923" t="str">
        <f>IF($I576="","",IF(INDEX(F_ProductBM!J:J,MATCH($P614,F_ProductBM!$P:$P,0))="","",INDEX(F_ProductBM!J:J,MATCH($P614,F_ProductBM!$P:$P,0))))</f>
        <v/>
      </c>
      <c r="K614" s="923" t="str">
        <f>IF($I576="","",IF(INDEX(F_ProductBM!K:K,MATCH($P614,F_ProductBM!$P:$P,0))="","",INDEX(F_ProductBM!K:K,MATCH($P614,F_ProductBM!$P:$P,0))))</f>
        <v/>
      </c>
      <c r="L614" s="923" t="str">
        <f>IF($I576="","",IF(INDEX(F_ProductBM!L:L,MATCH($P614,F_ProductBM!$P:$P,0))="","",INDEX(F_ProductBM!L:L,MATCH($P614,F_ProductBM!$P:$P,0))))</f>
        <v/>
      </c>
      <c r="M614" s="923" t="str">
        <f>IF($I576="","",IF(INDEX(F_ProductBM!M:M,MATCH($P614,F_ProductBM!$P:$P,0))="","",INDEX(F_ProductBM!M:M,MATCH($P614,F_ProductBM!$P:$P,0))))</f>
        <v/>
      </c>
      <c r="N614" s="823"/>
      <c r="O614" s="25"/>
      <c r="P614" s="367" t="str">
        <f>EUconst_CNTR_WGProducedEF &amp; I576</f>
        <v>WasteGasProdEF_</v>
      </c>
      <c r="Q614" s="437"/>
      <c r="R614" s="437"/>
      <c r="S614" s="437"/>
      <c r="T614" s="26"/>
    </row>
    <row r="615" spans="1:20" s="697" customFormat="1" ht="12.75" customHeight="1" x14ac:dyDescent="0.2">
      <c r="A615" s="437"/>
      <c r="B615" s="414"/>
      <c r="C615" s="414"/>
      <c r="D615" s="414"/>
      <c r="E615" s="1667" t="str">
        <f>Translations!$B$783</f>
        <v>Patērētā atlikumgāze</v>
      </c>
      <c r="F615" s="1660"/>
      <c r="G615" s="1660"/>
      <c r="H615" s="466" t="str">
        <f>EUconst_TJpa</f>
        <v>TJ / gads</v>
      </c>
      <c r="I615" s="922" t="str">
        <f>IF($I576="","",IF(INDEX(F_ProductBM!I:I,MATCH($P615,F_ProductBM!$P:$P,0))="","",INDEX(F_ProductBM!I:I,MATCH($P615,F_ProductBM!$P:$P,0))))</f>
        <v/>
      </c>
      <c r="J615" s="922" t="str">
        <f>IF($I576="","",IF(INDEX(F_ProductBM!J:J,MATCH($P615,F_ProductBM!$P:$P,0))="","",INDEX(F_ProductBM!J:J,MATCH($P615,F_ProductBM!$P:$P,0))))</f>
        <v/>
      </c>
      <c r="K615" s="922" t="str">
        <f>IF($I576="","",IF(INDEX(F_ProductBM!K:K,MATCH($P615,F_ProductBM!$P:$P,0))="","",INDEX(F_ProductBM!K:K,MATCH($P615,F_ProductBM!$P:$P,0))))</f>
        <v/>
      </c>
      <c r="L615" s="922" t="str">
        <f>IF($I576="","",IF(INDEX(F_ProductBM!L:L,MATCH($P615,F_ProductBM!$P:$P,0))="","",INDEX(F_ProductBM!L:L,MATCH($P615,F_ProductBM!$P:$P,0))))</f>
        <v/>
      </c>
      <c r="M615" s="922" t="str">
        <f>IF($I576="","",IF(INDEX(F_ProductBM!M:M,MATCH($P615,F_ProductBM!$P:$P,0))="","",INDEX(F_ProductBM!M:M,MATCH($P615,F_ProductBM!$P:$P,0))))</f>
        <v/>
      </c>
      <c r="N615" s="823"/>
      <c r="O615" s="25"/>
      <c r="P615" s="367" t="str">
        <f>EUconst_CNTR_WGConsumed &amp; I576</f>
        <v>WasteGasCons_</v>
      </c>
      <c r="Q615" s="437"/>
      <c r="R615" s="437"/>
      <c r="S615" s="437"/>
      <c r="T615" s="26"/>
    </row>
    <row r="616" spans="1:20" s="697" customFormat="1" ht="12.75" customHeight="1" x14ac:dyDescent="0.2">
      <c r="A616" s="437"/>
      <c r="B616" s="414"/>
      <c r="C616" s="414"/>
      <c r="D616" s="414"/>
      <c r="E616" s="1737" t="str">
        <f>Translations!$B$784</f>
        <v>Īpatnējais EF (patērētā atlikumgāze)</v>
      </c>
      <c r="F616" s="1659"/>
      <c r="G616" s="1659"/>
      <c r="H616" s="485" t="str">
        <f>EUconst_tCO2pTJ</f>
        <v>t CO2 / TJ</v>
      </c>
      <c r="I616" s="923" t="str">
        <f>IF($I576="","",IF(INDEX(F_ProductBM!I:I,MATCH($P616,F_ProductBM!$P:$P,0))="","",INDEX(F_ProductBM!I:I,MATCH($P616,F_ProductBM!$P:$P,0))))</f>
        <v/>
      </c>
      <c r="J616" s="923" t="str">
        <f>IF($I576="","",IF(INDEX(F_ProductBM!J:J,MATCH($P616,F_ProductBM!$P:$P,0))="","",INDEX(F_ProductBM!J:J,MATCH($P616,F_ProductBM!$P:$P,0))))</f>
        <v/>
      </c>
      <c r="K616" s="923" t="str">
        <f>IF($I576="","",IF(INDEX(F_ProductBM!K:K,MATCH($P616,F_ProductBM!$P:$P,0))="","",INDEX(F_ProductBM!K:K,MATCH($P616,F_ProductBM!$P:$P,0))))</f>
        <v/>
      </c>
      <c r="L616" s="923" t="str">
        <f>IF($I576="","",IF(INDEX(F_ProductBM!L:L,MATCH($P616,F_ProductBM!$P:$P,0))="","",INDEX(F_ProductBM!L:L,MATCH($P616,F_ProductBM!$P:$P,0))))</f>
        <v/>
      </c>
      <c r="M616" s="923" t="str">
        <f>IF($I576="","",IF(INDEX(F_ProductBM!M:M,MATCH($P616,F_ProductBM!$P:$P,0))="","",INDEX(F_ProductBM!M:M,MATCH($P616,F_ProductBM!$P:$P,0))))</f>
        <v/>
      </c>
      <c r="N616" s="823"/>
      <c r="O616" s="25"/>
      <c r="P616" s="367" t="str">
        <f>EUconst_CNTR_WGConsumedEF &amp; I576</f>
        <v>WasteGasConsEF_</v>
      </c>
      <c r="Q616" s="437"/>
      <c r="R616" s="437"/>
      <c r="S616" s="437"/>
      <c r="T616" s="26"/>
    </row>
    <row r="617" spans="1:20" s="697" customFormat="1" ht="12.75" customHeight="1" x14ac:dyDescent="0.2">
      <c r="A617" s="437"/>
      <c r="B617" s="414"/>
      <c r="C617" s="414"/>
      <c r="D617" s="414"/>
      <c r="E617" s="1667" t="str">
        <f>Translations!$B$790</f>
        <v>Lāpā sadedzinātā atlikumgāze</v>
      </c>
      <c r="F617" s="1660"/>
      <c r="G617" s="1660"/>
      <c r="H617" s="466" t="str">
        <f>EUconst_TJpa</f>
        <v>TJ / gads</v>
      </c>
      <c r="I617" s="922" t="str">
        <f>IF($I576="","",IF(INDEX(F_ProductBM!I:I,MATCH($P617,F_ProductBM!$P:$P,0))="","",INDEX(F_ProductBM!I:I,MATCH($P617,F_ProductBM!$P:$P,0))))</f>
        <v/>
      </c>
      <c r="J617" s="922" t="str">
        <f>IF($I576="","",IF(INDEX(F_ProductBM!J:J,MATCH($P617,F_ProductBM!$P:$P,0))="","",INDEX(F_ProductBM!J:J,MATCH($P617,F_ProductBM!$P:$P,0))))</f>
        <v/>
      </c>
      <c r="K617" s="922" t="str">
        <f>IF($I576="","",IF(INDEX(F_ProductBM!K:K,MATCH($P617,F_ProductBM!$P:$P,0))="","",INDEX(F_ProductBM!K:K,MATCH($P617,F_ProductBM!$P:$P,0))))</f>
        <v/>
      </c>
      <c r="L617" s="922" t="str">
        <f>IF($I576="","",IF(INDEX(F_ProductBM!L:L,MATCH($P617,F_ProductBM!$P:$P,0))="","",INDEX(F_ProductBM!L:L,MATCH($P617,F_ProductBM!$P:$P,0))))</f>
        <v/>
      </c>
      <c r="M617" s="922" t="str">
        <f>IF($I576="","",IF(INDEX(F_ProductBM!M:M,MATCH($P617,F_ProductBM!$P:$P,0))="","",INDEX(F_ProductBM!M:M,MATCH($P617,F_ProductBM!$P:$P,0))))</f>
        <v/>
      </c>
      <c r="N617" s="823"/>
      <c r="O617" s="25"/>
      <c r="P617" s="367" t="str">
        <f>EUconst_CNTR_WGFlared &amp; I576</f>
        <v>WasteGasFlare_</v>
      </c>
      <c r="Q617" s="437"/>
      <c r="R617" s="437"/>
      <c r="S617" s="437"/>
      <c r="T617" s="26"/>
    </row>
    <row r="618" spans="1:20" s="697" customFormat="1" ht="12.75" customHeight="1" x14ac:dyDescent="0.2">
      <c r="A618" s="437"/>
      <c r="B618" s="414"/>
      <c r="C618" s="414"/>
      <c r="D618" s="414"/>
      <c r="E618" s="1737" t="str">
        <f>Translations!$B$791</f>
        <v>Īpatnējais EF (lāpā sadedzinātā atlikumgāze)</v>
      </c>
      <c r="F618" s="1659"/>
      <c r="G618" s="1659"/>
      <c r="H618" s="485" t="str">
        <f>EUconst_tCO2pTJ</f>
        <v>t CO2 / TJ</v>
      </c>
      <c r="I618" s="923" t="str">
        <f>IF($I576="","",IF(INDEX(F_ProductBM!I:I,MATCH($P618,F_ProductBM!$P:$P,0))="","",INDEX(F_ProductBM!I:I,MATCH($P618,F_ProductBM!$P:$P,0))))</f>
        <v/>
      </c>
      <c r="J618" s="923" t="str">
        <f>IF($I576="","",IF(INDEX(F_ProductBM!J:J,MATCH($P618,F_ProductBM!$P:$P,0))="","",INDEX(F_ProductBM!J:J,MATCH($P618,F_ProductBM!$P:$P,0))))</f>
        <v/>
      </c>
      <c r="K618" s="923" t="str">
        <f>IF($I576="","",IF(INDEX(F_ProductBM!K:K,MATCH($P618,F_ProductBM!$P:$P,0))="","",INDEX(F_ProductBM!K:K,MATCH($P618,F_ProductBM!$P:$P,0))))</f>
        <v/>
      </c>
      <c r="L618" s="923" t="str">
        <f>IF($I576="","",IF(INDEX(F_ProductBM!L:L,MATCH($P618,F_ProductBM!$P:$P,0))="","",INDEX(F_ProductBM!L:L,MATCH($P618,F_ProductBM!$P:$P,0))))</f>
        <v/>
      </c>
      <c r="M618" s="923" t="str">
        <f>IF($I576="","",IF(INDEX(F_ProductBM!M:M,MATCH($P618,F_ProductBM!$P:$P,0))="","",INDEX(F_ProductBM!M:M,MATCH($P618,F_ProductBM!$P:$P,0))))</f>
        <v/>
      </c>
      <c r="N618" s="823"/>
      <c r="O618" s="25"/>
      <c r="P618" s="367" t="str">
        <f>EUconst_CNTR_WGFlaredEF &amp; I576</f>
        <v>WasteGasFlareEF_</v>
      </c>
      <c r="Q618" s="437"/>
      <c r="R618" s="437"/>
      <c r="S618" s="437"/>
      <c r="T618" s="26"/>
    </row>
    <row r="619" spans="1:20" s="697" customFormat="1" ht="12.75" customHeight="1" x14ac:dyDescent="0.2">
      <c r="A619" s="437"/>
      <c r="B619" s="414"/>
      <c r="C619" s="414"/>
      <c r="D619" s="414"/>
      <c r="E619" s="1667" t="str">
        <f>Translations!$B$796</f>
        <v>Importētā atlikumgāze</v>
      </c>
      <c r="F619" s="1660"/>
      <c r="G619" s="1660"/>
      <c r="H619" s="466" t="str">
        <f>EUconst_TJpa</f>
        <v>TJ / gads</v>
      </c>
      <c r="I619" s="922" t="str">
        <f>IF($I576="","",IF(INDEX(F_ProductBM!I:I,MATCH($P619,F_ProductBM!$P:$P,0))="","",INDEX(F_ProductBM!I:I,MATCH($P619,F_ProductBM!$P:$P,0))))</f>
        <v/>
      </c>
      <c r="J619" s="922" t="str">
        <f>IF($I576="","",IF(INDEX(F_ProductBM!J:J,MATCH($P619,F_ProductBM!$P:$P,0))="","",INDEX(F_ProductBM!J:J,MATCH($P619,F_ProductBM!$P:$P,0))))</f>
        <v/>
      </c>
      <c r="K619" s="922" t="str">
        <f>IF($I576="","",IF(INDEX(F_ProductBM!K:K,MATCH($P619,F_ProductBM!$P:$P,0))="","",INDEX(F_ProductBM!K:K,MATCH($P619,F_ProductBM!$P:$P,0))))</f>
        <v/>
      </c>
      <c r="L619" s="922" t="str">
        <f>IF($I576="","",IF(INDEX(F_ProductBM!L:L,MATCH($P619,F_ProductBM!$P:$P,0))="","",INDEX(F_ProductBM!L:L,MATCH($P619,F_ProductBM!$P:$P,0))))</f>
        <v/>
      </c>
      <c r="M619" s="922" t="str">
        <f>IF($I576="","",IF(INDEX(F_ProductBM!M:M,MATCH($P619,F_ProductBM!$P:$P,0))="","",INDEX(F_ProductBM!M:M,MATCH($P619,F_ProductBM!$P:$P,0))))</f>
        <v/>
      </c>
      <c r="N619" s="823"/>
      <c r="O619" s="25"/>
      <c r="P619" s="367" t="str">
        <f>EUconst_CNTR_WGImport &amp; I576</f>
        <v>WasteGasIm_</v>
      </c>
      <c r="Q619" s="437"/>
      <c r="R619" s="437"/>
      <c r="S619" s="437"/>
      <c r="T619" s="26"/>
    </row>
    <row r="620" spans="1:20" s="697" customFormat="1" ht="12.75" customHeight="1" x14ac:dyDescent="0.2">
      <c r="A620" s="437"/>
      <c r="B620" s="414"/>
      <c r="C620" s="414"/>
      <c r="D620" s="414"/>
      <c r="E620" s="1737" t="str">
        <f>Translations!$B$797</f>
        <v>Īpatnējais EF (importētā atlikumgāze)</v>
      </c>
      <c r="F620" s="1737"/>
      <c r="G620" s="1737"/>
      <c r="H620" s="824" t="str">
        <f>EUconst_tCO2pTJ</f>
        <v>t CO2 / TJ</v>
      </c>
      <c r="I620" s="923" t="str">
        <f>IF($I576="","",IF(INDEX(F_ProductBM!I:I,MATCH($P620,F_ProductBM!$P:$P,0))="","",INDEX(F_ProductBM!I:I,MATCH($P620,F_ProductBM!$P:$P,0))))</f>
        <v/>
      </c>
      <c r="J620" s="923" t="str">
        <f>IF($I576="","",IF(INDEX(F_ProductBM!J:J,MATCH($P620,F_ProductBM!$P:$P,0))="","",INDEX(F_ProductBM!J:J,MATCH($P620,F_ProductBM!$P:$P,0))))</f>
        <v/>
      </c>
      <c r="K620" s="923" t="str">
        <f>IF($I576="","",IF(INDEX(F_ProductBM!K:K,MATCH($P620,F_ProductBM!$P:$P,0))="","",INDEX(F_ProductBM!K:K,MATCH($P620,F_ProductBM!$P:$P,0))))</f>
        <v/>
      </c>
      <c r="L620" s="923" t="str">
        <f>IF($I576="","",IF(INDEX(F_ProductBM!L:L,MATCH($P620,F_ProductBM!$P:$P,0))="","",INDEX(F_ProductBM!L:L,MATCH($P620,F_ProductBM!$P:$P,0))))</f>
        <v/>
      </c>
      <c r="M620" s="923" t="str">
        <f>IF($I576="","",IF(INDEX(F_ProductBM!M:M,MATCH($P620,F_ProductBM!$P:$P,0))="","",INDEX(F_ProductBM!M:M,MATCH($P620,F_ProductBM!$P:$P,0))))</f>
        <v/>
      </c>
      <c r="N620" s="823"/>
      <c r="O620" s="25"/>
      <c r="P620" s="367" t="str">
        <f>EUconst_CNTR_WGImportEF &amp; I576</f>
        <v>WasteGasImEF_</v>
      </c>
      <c r="Q620" s="437"/>
      <c r="R620" s="437"/>
      <c r="S620" s="437"/>
      <c r="T620" s="26"/>
    </row>
    <row r="621" spans="1:20" s="697" customFormat="1" ht="12.75" customHeight="1" x14ac:dyDescent="0.2">
      <c r="A621" s="437"/>
      <c r="B621" s="414"/>
      <c r="C621" s="414"/>
      <c r="D621" s="414"/>
      <c r="E621" s="1667" t="str">
        <f>Translations!$B$801</f>
        <v>Eksportētā atlikumgāze</v>
      </c>
      <c r="F621" s="1660"/>
      <c r="G621" s="1660"/>
      <c r="H621" s="466" t="str">
        <f>EUconst_TJpa</f>
        <v>TJ / gads</v>
      </c>
      <c r="I621" s="922" t="str">
        <f>IF($I576="","",IF(INDEX(F_ProductBM!I:I,MATCH($P621,F_ProductBM!$P:$P,0))="","",INDEX(F_ProductBM!I:I,MATCH($P621,F_ProductBM!$P:$P,0))))</f>
        <v/>
      </c>
      <c r="J621" s="922" t="str">
        <f>IF($I576="","",IF(INDEX(F_ProductBM!J:J,MATCH($P621,F_ProductBM!$P:$P,0))="","",INDEX(F_ProductBM!J:J,MATCH($P621,F_ProductBM!$P:$P,0))))</f>
        <v/>
      </c>
      <c r="K621" s="922" t="str">
        <f>IF($I576="","",IF(INDEX(F_ProductBM!K:K,MATCH($P621,F_ProductBM!$P:$P,0))="","",INDEX(F_ProductBM!K:K,MATCH($P621,F_ProductBM!$P:$P,0))))</f>
        <v/>
      </c>
      <c r="L621" s="922" t="str">
        <f>IF($I576="","",IF(INDEX(F_ProductBM!L:L,MATCH($P621,F_ProductBM!$P:$P,0))="","",INDEX(F_ProductBM!L:L,MATCH($P621,F_ProductBM!$P:$P,0))))</f>
        <v/>
      </c>
      <c r="M621" s="922" t="str">
        <f>IF($I576="","",IF(INDEX(F_ProductBM!M:M,MATCH($P621,F_ProductBM!$P:$P,0))="","",INDEX(F_ProductBM!M:M,MATCH($P621,F_ProductBM!$P:$P,0))))</f>
        <v/>
      </c>
      <c r="N621" s="823"/>
      <c r="O621" s="25"/>
      <c r="P621" s="367" t="str">
        <f>EUconst_CNTR_WGExport &amp; I576</f>
        <v>WasteGasEx_</v>
      </c>
      <c r="Q621" s="437"/>
      <c r="R621" s="437"/>
      <c r="S621" s="437"/>
      <c r="T621" s="26"/>
    </row>
    <row r="622" spans="1:20" s="697" customFormat="1" ht="12.75" customHeight="1" x14ac:dyDescent="0.2">
      <c r="A622" s="437"/>
      <c r="B622" s="414"/>
      <c r="C622" s="414"/>
      <c r="D622" s="414"/>
      <c r="E622" s="1737" t="str">
        <f>Translations!$B$802</f>
        <v>Īpatnējais EF (eksportētā atlikumgāze)</v>
      </c>
      <c r="F622" s="1737"/>
      <c r="G622" s="1737"/>
      <c r="H622" s="824" t="str">
        <f>EUconst_tCO2pTJ</f>
        <v>t CO2 / TJ</v>
      </c>
      <c r="I622" s="923" t="str">
        <f>IF($I576="","",IF(INDEX(F_ProductBM!I:I,MATCH($P622,F_ProductBM!$P:$P,0))="","",INDEX(F_ProductBM!I:I,MATCH($P622,F_ProductBM!$P:$P,0))))</f>
        <v/>
      </c>
      <c r="J622" s="923" t="str">
        <f>IF($I576="","",IF(INDEX(F_ProductBM!J:J,MATCH($P622,F_ProductBM!$P:$P,0))="","",INDEX(F_ProductBM!J:J,MATCH($P622,F_ProductBM!$P:$P,0))))</f>
        <v/>
      </c>
      <c r="K622" s="923" t="str">
        <f>IF($I576="","",IF(INDEX(F_ProductBM!K:K,MATCH($P622,F_ProductBM!$P:$P,0))="","",INDEX(F_ProductBM!K:K,MATCH($P622,F_ProductBM!$P:$P,0))))</f>
        <v/>
      </c>
      <c r="L622" s="923" t="str">
        <f>IF($I576="","",IF(INDEX(F_ProductBM!L:L,MATCH($P622,F_ProductBM!$P:$P,0))="","",INDEX(F_ProductBM!L:L,MATCH($P622,F_ProductBM!$P:$P,0))))</f>
        <v/>
      </c>
      <c r="M622" s="923" t="str">
        <f>IF($I576="","",IF(INDEX(F_ProductBM!M:M,MATCH($P622,F_ProductBM!$P:$P,0))="","",INDEX(F_ProductBM!M:M,MATCH($P622,F_ProductBM!$P:$P,0))))</f>
        <v/>
      </c>
      <c r="N622" s="823"/>
      <c r="O622" s="25"/>
      <c r="P622" s="367" t="str">
        <f>EUconst_CNTR_WGExportEF &amp; I576</f>
        <v>WasteGasExEF_</v>
      </c>
      <c r="Q622" s="437"/>
      <c r="R622" s="437"/>
      <c r="S622" s="437"/>
      <c r="T622" s="26"/>
    </row>
    <row r="623" spans="1:20" s="697" customFormat="1" ht="5.0999999999999996" customHeight="1" x14ac:dyDescent="0.2">
      <c r="A623" s="437"/>
      <c r="B623" s="414"/>
      <c r="C623" s="414"/>
      <c r="D623" s="414"/>
      <c r="E623" s="526"/>
      <c r="F623" s="526"/>
      <c r="G623" s="526"/>
      <c r="H623" s="526"/>
      <c r="I623" s="924"/>
      <c r="J623" s="924"/>
      <c r="K623" s="924"/>
      <c r="L623" s="924"/>
      <c r="M623" s="924"/>
      <c r="N623" s="823"/>
      <c r="O623" s="25"/>
      <c r="P623" s="199"/>
      <c r="Q623" s="437"/>
      <c r="R623" s="437"/>
      <c r="S623" s="437"/>
      <c r="T623" s="26"/>
    </row>
    <row r="624" spans="1:20" s="697" customFormat="1" ht="12.75" customHeight="1" x14ac:dyDescent="0.2">
      <c r="A624" s="437"/>
      <c r="B624" s="414"/>
      <c r="C624" s="414"/>
      <c r="D624" s="414"/>
      <c r="E624" s="1651" t="str">
        <f>Translations!$B$805</f>
        <v>Saražotā elektroenerģija</v>
      </c>
      <c r="F624" s="1652"/>
      <c r="G624" s="1652"/>
      <c r="H624" s="465" t="str">
        <f>EUconst_MWhpa</f>
        <v>MWh / gads</v>
      </c>
      <c r="I624" s="925" t="str">
        <f>IF($I576="","",IF(INDEX(F_ProductBM!I:I,MATCH($P624,F_ProductBM!$P:$P,0))="","",INDEX(F_ProductBM!I:I,MATCH($P624,F_ProductBM!$P:$P,0))))</f>
        <v/>
      </c>
      <c r="J624" s="925" t="str">
        <f>IF($I576="","",IF(INDEX(F_ProductBM!J:J,MATCH($P624,F_ProductBM!$P:$P,0))="","",INDEX(F_ProductBM!J:J,MATCH($P624,F_ProductBM!$P:$P,0))))</f>
        <v/>
      </c>
      <c r="K624" s="925" t="str">
        <f>IF($I576="","",IF(INDEX(F_ProductBM!K:K,MATCH($P624,F_ProductBM!$P:$P,0))="","",INDEX(F_ProductBM!K:K,MATCH($P624,F_ProductBM!$P:$P,0))))</f>
        <v/>
      </c>
      <c r="L624" s="925" t="str">
        <f>IF($I576="","",IF(INDEX(F_ProductBM!L:L,MATCH($P624,F_ProductBM!$P:$P,0))="","",INDEX(F_ProductBM!L:L,MATCH($P624,F_ProductBM!$P:$P,0))))</f>
        <v/>
      </c>
      <c r="M624" s="925" t="str">
        <f>IF($I576="","",IF(INDEX(F_ProductBM!M:M,MATCH($P624,F_ProductBM!$P:$P,0))="","",INDEX(F_ProductBM!M:M,MATCH($P624,F_ProductBM!$P:$P,0))))</f>
        <v/>
      </c>
      <c r="N624" s="823"/>
      <c r="O624" s="25"/>
      <c r="P624" s="367" t="str">
        <f>EUconst_CNTR_ElectricityExported &amp; I576</f>
        <v>ElecEx_</v>
      </c>
      <c r="Q624" s="437"/>
      <c r="R624" s="437"/>
      <c r="S624" s="437"/>
      <c r="T624" s="26"/>
    </row>
    <row r="625" spans="1:20" s="697" customFormat="1" ht="5.0999999999999996" customHeight="1" x14ac:dyDescent="0.2">
      <c r="A625" s="437"/>
      <c r="B625" s="414"/>
      <c r="C625" s="414"/>
      <c r="D625" s="414"/>
      <c r="E625" s="526"/>
      <c r="F625" s="526"/>
      <c r="G625" s="526"/>
      <c r="H625" s="526"/>
      <c r="I625" s="924"/>
      <c r="J625" s="924"/>
      <c r="K625" s="924"/>
      <c r="L625" s="924"/>
      <c r="M625" s="924"/>
      <c r="N625" s="823"/>
      <c r="O625" s="25"/>
      <c r="P625" s="199"/>
      <c r="Q625" s="437"/>
      <c r="R625" s="437"/>
      <c r="S625" s="437"/>
      <c r="T625" s="26"/>
    </row>
    <row r="626" spans="1:20" s="697" customFormat="1" x14ac:dyDescent="0.2">
      <c r="A626" s="437"/>
      <c r="B626" s="414"/>
      <c r="C626" s="414"/>
      <c r="D626" s="414"/>
      <c r="E626" s="1206" t="str">
        <f>Translations!$B$1239</f>
        <v>Starpproduktu imports:</v>
      </c>
      <c r="F626" s="526"/>
      <c r="G626" s="526"/>
      <c r="H626" s="526"/>
      <c r="I626" s="924"/>
      <c r="J626" s="924"/>
      <c r="K626" s="924"/>
      <c r="L626" s="924"/>
      <c r="M626" s="924"/>
      <c r="N626" s="823"/>
      <c r="O626" s="25"/>
      <c r="P626" s="199"/>
      <c r="Q626" s="437"/>
      <c r="R626" s="437"/>
      <c r="S626" s="437"/>
      <c r="T626" s="26"/>
    </row>
    <row r="627" spans="1:20" s="697" customFormat="1" x14ac:dyDescent="0.2">
      <c r="A627" s="437"/>
      <c r="B627" s="414"/>
      <c r="C627" s="414"/>
      <c r="D627" s="414"/>
      <c r="E627" s="1689" t="str">
        <f>IF($I576="","",IF(INDEX(F_ProductBM!E:E,MATCH($P627,F_ProductBM!$P:$P,0))="","",INDEX(F_ProductBM!E:E,MATCH($P627,F_ProductBM!$P:$P,0))))</f>
        <v/>
      </c>
      <c r="F627" s="1689"/>
      <c r="G627" s="1689"/>
      <c r="H627" s="465" t="str">
        <f>EUconst_Tons</f>
        <v>tonnas</v>
      </c>
      <c r="I627" s="1103" t="str">
        <f>IF($I576="","",IF(INDEX(F_ProductBM!I:I,MATCH($P627,F_ProductBM!$P:$P,0))="","",INDEX(F_ProductBM!I:I,MATCH($P627,F_ProductBM!$P:$P,0))))</f>
        <v/>
      </c>
      <c r="J627" s="1103" t="str">
        <f>IF($I576="","",IF(INDEX(F_ProductBM!J:J,MATCH($P627,F_ProductBM!$P:$P,0))="","",INDEX(F_ProductBM!J:J,MATCH($P627,F_ProductBM!$P:$P,0))))</f>
        <v/>
      </c>
      <c r="K627" s="1103" t="str">
        <f>IF($I576="","",IF(INDEX(F_ProductBM!K:K,MATCH($P627,F_ProductBM!$P:$P,0))="","",INDEX(F_ProductBM!K:K,MATCH($P627,F_ProductBM!$P:$P,0))))</f>
        <v/>
      </c>
      <c r="L627" s="1103" t="str">
        <f>IF($I576="","",IF(INDEX(F_ProductBM!L:L,MATCH($P627,F_ProductBM!$P:$P,0))="","",INDEX(F_ProductBM!L:L,MATCH($P627,F_ProductBM!$P:$P,0))))</f>
        <v/>
      </c>
      <c r="M627" s="1103" t="str">
        <f>IF($I576="","",IF(INDEX(F_ProductBM!M:M,MATCH($P627,F_ProductBM!$P:$P,0))="","",INDEX(F_ProductBM!M:M,MATCH($P627,F_ProductBM!$P:$P,0))))</f>
        <v/>
      </c>
      <c r="N627" s="823"/>
      <c r="O627" s="25"/>
      <c r="P627" s="367" t="str">
        <f>EUconst_CNTR_IntermediateImport &amp; R627 &amp; "_" &amp; I576</f>
        <v>IntImp_1_</v>
      </c>
      <c r="Q627" s="437"/>
      <c r="R627" s="869">
        <v>1</v>
      </c>
      <c r="S627" s="437"/>
      <c r="T627" s="26"/>
    </row>
    <row r="628" spans="1:20" s="697" customFormat="1" x14ac:dyDescent="0.2">
      <c r="A628" s="437"/>
      <c r="B628" s="414"/>
      <c r="C628" s="414"/>
      <c r="D628" s="414"/>
      <c r="E628" s="1689" t="str">
        <f>IF($I576="","",IF(INDEX(F_ProductBM!E:E,MATCH($P628,F_ProductBM!$P:$P,0))="","",INDEX(F_ProductBM!E:E,MATCH($P628,F_ProductBM!$P:$P,0))))</f>
        <v/>
      </c>
      <c r="F628" s="1689"/>
      <c r="G628" s="1689"/>
      <c r="H628" s="465" t="str">
        <f>EUconst_Tons</f>
        <v>tonnas</v>
      </c>
      <c r="I628" s="1103" t="str">
        <f>IF($I576="","",IF(INDEX(F_ProductBM!I:I,MATCH($P628,F_ProductBM!$P:$P,0))="","",INDEX(F_ProductBM!I:I,MATCH($P628,F_ProductBM!$P:$P,0))))</f>
        <v/>
      </c>
      <c r="J628" s="1103" t="str">
        <f>IF($I576="","",IF(INDEX(F_ProductBM!J:J,MATCH($P628,F_ProductBM!$P:$P,0))="","",INDEX(F_ProductBM!J:J,MATCH($P628,F_ProductBM!$P:$P,0))))</f>
        <v/>
      </c>
      <c r="K628" s="1103" t="str">
        <f>IF($I576="","",IF(INDEX(F_ProductBM!K:K,MATCH($P628,F_ProductBM!$P:$P,0))="","",INDEX(F_ProductBM!K:K,MATCH($P628,F_ProductBM!$P:$P,0))))</f>
        <v/>
      </c>
      <c r="L628" s="1103" t="str">
        <f>IF($I576="","",IF(INDEX(F_ProductBM!L:L,MATCH($P628,F_ProductBM!$P:$P,0))="","",INDEX(F_ProductBM!L:L,MATCH($P628,F_ProductBM!$P:$P,0))))</f>
        <v/>
      </c>
      <c r="M628" s="1103" t="str">
        <f>IF($I576="","",IF(INDEX(F_ProductBM!M:M,MATCH($P628,F_ProductBM!$P:$P,0))="","",INDEX(F_ProductBM!M:M,MATCH($P628,F_ProductBM!$P:$P,0))))</f>
        <v/>
      </c>
      <c r="N628" s="823"/>
      <c r="O628" s="25"/>
      <c r="P628" s="367" t="str">
        <f>EUconst_CNTR_IntermediateImport &amp; R628 &amp; "_" &amp; I576</f>
        <v>IntImp_2_</v>
      </c>
      <c r="Q628" s="437"/>
      <c r="R628" s="869">
        <v>2</v>
      </c>
      <c r="S628" s="437"/>
      <c r="T628" s="26"/>
    </row>
    <row r="629" spans="1:20" s="697" customFormat="1" x14ac:dyDescent="0.2">
      <c r="A629" s="437"/>
      <c r="B629" s="414"/>
      <c r="C629" s="414"/>
      <c r="D629" s="414"/>
      <c r="E629" s="1206" t="str">
        <f>Translations!$B$1240</f>
        <v>Starpproduktu eksports:</v>
      </c>
      <c r="F629" s="526"/>
      <c r="G629" s="526"/>
      <c r="H629" s="526"/>
      <c r="I629" s="1140"/>
      <c r="J629" s="1140"/>
      <c r="K629" s="1140"/>
      <c r="L629" s="1140"/>
      <c r="M629" s="1140"/>
      <c r="N629" s="823"/>
      <c r="O629" s="25"/>
      <c r="P629" s="199"/>
      <c r="Q629" s="437"/>
      <c r="R629" s="437"/>
      <c r="S629" s="437"/>
      <c r="T629" s="26"/>
    </row>
    <row r="630" spans="1:20" s="697" customFormat="1" x14ac:dyDescent="0.2">
      <c r="A630" s="437"/>
      <c r="B630" s="414"/>
      <c r="C630" s="414"/>
      <c r="D630" s="414"/>
      <c r="E630" s="1689" t="str">
        <f>IF($I576="","",IF(INDEX(F_ProductBM!E:E,MATCH($P630,F_ProductBM!$P:$P,0))="","",INDEX(F_ProductBM!E:E,MATCH($P630,F_ProductBM!$P:$P,0))))</f>
        <v/>
      </c>
      <c r="F630" s="1689"/>
      <c r="G630" s="1689"/>
      <c r="H630" s="465" t="str">
        <f>EUconst_Tons</f>
        <v>tonnas</v>
      </c>
      <c r="I630" s="1103" t="str">
        <f>IF($I576="","",IF(INDEX(F_ProductBM!I:I,MATCH($P630,F_ProductBM!$P:$P,0))="","",INDEX(F_ProductBM!I:I,MATCH($P630,F_ProductBM!$P:$P,0))))</f>
        <v/>
      </c>
      <c r="J630" s="1103" t="str">
        <f>IF($I576="","",IF(INDEX(F_ProductBM!J:J,MATCH($P630,F_ProductBM!$P:$P,0))="","",INDEX(F_ProductBM!J:J,MATCH($P630,F_ProductBM!$P:$P,0))))</f>
        <v/>
      </c>
      <c r="K630" s="1103" t="str">
        <f>IF($I576="","",IF(INDEX(F_ProductBM!K:K,MATCH($P630,F_ProductBM!$P:$P,0))="","",INDEX(F_ProductBM!K:K,MATCH($P630,F_ProductBM!$P:$P,0))))</f>
        <v/>
      </c>
      <c r="L630" s="1103" t="str">
        <f>IF($I576="","",IF(INDEX(F_ProductBM!L:L,MATCH($P630,F_ProductBM!$P:$P,0))="","",INDEX(F_ProductBM!L:L,MATCH($P630,F_ProductBM!$P:$P,0))))</f>
        <v/>
      </c>
      <c r="M630" s="1103" t="str">
        <f>IF($I576="","",IF(INDEX(F_ProductBM!M:M,MATCH($P630,F_ProductBM!$P:$P,0))="","",INDEX(F_ProductBM!M:M,MATCH($P630,F_ProductBM!$P:$P,0))))</f>
        <v/>
      </c>
      <c r="N630" s="823"/>
      <c r="O630" s="25"/>
      <c r="P630" s="367" t="str">
        <f>EUconst_CNTR_IntermediateExport &amp; R627 &amp; "_" &amp; I576</f>
        <v>IntExp_1_</v>
      </c>
      <c r="Q630" s="437"/>
      <c r="R630" s="869">
        <v>1</v>
      </c>
      <c r="S630" s="437"/>
      <c r="T630" s="26"/>
    </row>
    <row r="631" spans="1:20" s="697" customFormat="1" x14ac:dyDescent="0.2">
      <c r="A631" s="437"/>
      <c r="B631" s="414"/>
      <c r="C631" s="414"/>
      <c r="D631" s="414"/>
      <c r="E631" s="1689" t="str">
        <f>IF($I576="","",IF(INDEX(F_ProductBM!E:E,MATCH($P631,F_ProductBM!$P:$P,0))="","",INDEX(F_ProductBM!E:E,MATCH($P631,F_ProductBM!$P:$P,0))))</f>
        <v/>
      </c>
      <c r="F631" s="1689"/>
      <c r="G631" s="1689"/>
      <c r="H631" s="465" t="str">
        <f>EUconst_Tons</f>
        <v>tonnas</v>
      </c>
      <c r="I631" s="1103" t="str">
        <f>IF($I576="","",IF(INDEX(F_ProductBM!I:I,MATCH($P631,F_ProductBM!$P:$P,0))="","",INDEX(F_ProductBM!I:I,MATCH($P631,F_ProductBM!$P:$P,0))))</f>
        <v/>
      </c>
      <c r="J631" s="1103" t="str">
        <f>IF($I576="","",IF(INDEX(F_ProductBM!J:J,MATCH($P631,F_ProductBM!$P:$P,0))="","",INDEX(F_ProductBM!J:J,MATCH($P631,F_ProductBM!$P:$P,0))))</f>
        <v/>
      </c>
      <c r="K631" s="1103" t="str">
        <f>IF($I576="","",IF(INDEX(F_ProductBM!K:K,MATCH($P631,F_ProductBM!$P:$P,0))="","",INDEX(F_ProductBM!K:K,MATCH($P631,F_ProductBM!$P:$P,0))))</f>
        <v/>
      </c>
      <c r="L631" s="1103" t="str">
        <f>IF($I576="","",IF(INDEX(F_ProductBM!L:L,MATCH($P631,F_ProductBM!$P:$P,0))="","",INDEX(F_ProductBM!L:L,MATCH($P631,F_ProductBM!$P:$P,0))))</f>
        <v/>
      </c>
      <c r="M631" s="1103" t="str">
        <f>IF($I576="","",IF(INDEX(F_ProductBM!M:M,MATCH($P631,F_ProductBM!$P:$P,0))="","",INDEX(F_ProductBM!M:M,MATCH($P631,F_ProductBM!$P:$P,0))))</f>
        <v/>
      </c>
      <c r="N631" s="823"/>
      <c r="O631" s="25"/>
      <c r="P631" s="367" t="str">
        <f>EUconst_CNTR_IntermediateExport &amp; R631 &amp; "_" &amp; I576</f>
        <v>IntExp_2_</v>
      </c>
      <c r="Q631" s="437"/>
      <c r="R631" s="869">
        <v>2</v>
      </c>
      <c r="S631" s="437"/>
      <c r="T631" s="26"/>
    </row>
    <row r="632" spans="1:20" s="697" customFormat="1" ht="5.0999999999999996" customHeight="1" x14ac:dyDescent="0.2">
      <c r="A632" s="437"/>
      <c r="B632" s="414"/>
      <c r="C632" s="414"/>
      <c r="D632" s="414"/>
      <c r="E632" s="526"/>
      <c r="F632" s="526"/>
      <c r="G632" s="526"/>
      <c r="H632" s="526"/>
      <c r="I632" s="823"/>
      <c r="J632" s="823"/>
      <c r="K632" s="823"/>
      <c r="L632" s="823"/>
      <c r="M632" s="823"/>
      <c r="N632" s="823"/>
      <c r="O632" s="25"/>
      <c r="P632" s="199"/>
      <c r="Q632" s="437"/>
      <c r="R632" s="931"/>
      <c r="S632" s="437"/>
      <c r="T632" s="26"/>
    </row>
    <row r="633" spans="1:20" s="697" customFormat="1" x14ac:dyDescent="0.2">
      <c r="A633" s="437"/>
      <c r="B633" s="414"/>
      <c r="C633" s="414"/>
      <c r="D633" s="414"/>
      <c r="E633" s="1881" t="str">
        <f>Translations!$B$1729</f>
        <v>Korekcijas īpašās līmeņatzīmes atjaunināšanai (attiecīgā gadījumā)</v>
      </c>
      <c r="F633" s="1881"/>
      <c r="G633" s="1881"/>
      <c r="H633" s="1881"/>
      <c r="I633" s="1881"/>
      <c r="J633" s="1881"/>
      <c r="K633" s="1881"/>
      <c r="L633" s="1881"/>
      <c r="M633" s="1881"/>
      <c r="N633" s="823"/>
      <c r="O633" s="25"/>
      <c r="P633" s="199"/>
      <c r="Q633" s="437"/>
      <c r="R633" s="931"/>
      <c r="S633" s="437"/>
      <c r="T633" s="26"/>
    </row>
    <row r="634" spans="1:20" s="697" customFormat="1" ht="12.75" customHeight="1" x14ac:dyDescent="0.2">
      <c r="A634" s="437"/>
      <c r="B634" s="414"/>
      <c r="C634" s="414"/>
      <c r="D634" s="414"/>
      <c r="E634" s="1651" t="str">
        <f>Translations!$B$806</f>
        <v>Kopējais saražotās pulpas daudzums</v>
      </c>
      <c r="F634" s="1651"/>
      <c r="G634" s="1651"/>
      <c r="H634" s="465" t="str">
        <f>EUconst_Tons</f>
        <v>tonnas</v>
      </c>
      <c r="I634" s="1103" t="str">
        <f>IF($I576="","",IF(INDEX(F_ProductBM!I:I,MATCH($P634,F_ProductBM!$P:$P,0))="","",INDEX(F_ProductBM!I:I,MATCH($P634,F_ProductBM!$P:$P,0))))</f>
        <v/>
      </c>
      <c r="J634" s="1103" t="str">
        <f>IF($I576="","",IF(INDEX(F_ProductBM!J:J,MATCH($P634,F_ProductBM!$P:$P,0))="","",INDEX(F_ProductBM!J:J,MATCH($P634,F_ProductBM!$P:$P,0))))</f>
        <v/>
      </c>
      <c r="K634" s="1103" t="str">
        <f>IF($I576="","",IF(INDEX(F_ProductBM!K:K,MATCH($P634,F_ProductBM!$P:$P,0))="","",INDEX(F_ProductBM!K:K,MATCH($P634,F_ProductBM!$P:$P,0))))</f>
        <v/>
      </c>
      <c r="L634" s="1103" t="str">
        <f>IF($I576="","",IF(INDEX(F_ProductBM!L:L,MATCH($P634,F_ProductBM!$P:$P,0))="","",INDEX(F_ProductBM!L:L,MATCH($P634,F_ProductBM!$P:$P,0))))</f>
        <v/>
      </c>
      <c r="M634" s="1103" t="str">
        <f>IF($I576="","",IF(INDEX(F_ProductBM!M:M,MATCH($P634,F_ProductBM!$P:$P,0))="","",INDEX(F_ProductBM!M:M,MATCH($P634,F_ProductBM!$P:$P,0))))</f>
        <v/>
      </c>
      <c r="N634" s="823"/>
      <c r="O634" s="25"/>
      <c r="P634" s="367" t="str">
        <f>EUconst_CNTR_HALPulpTotal &amp; I576</f>
        <v>HALPulpTotal_</v>
      </c>
      <c r="Q634" s="437"/>
      <c r="R634" s="437"/>
      <c r="S634" s="437"/>
      <c r="T634" s="26"/>
    </row>
    <row r="635" spans="1:20" s="697" customFormat="1" ht="5.0999999999999996" customHeight="1" x14ac:dyDescent="0.2">
      <c r="A635" s="437"/>
      <c r="B635" s="414"/>
      <c r="C635" s="414"/>
      <c r="D635" s="414"/>
      <c r="E635" s="526"/>
      <c r="F635" s="526"/>
      <c r="G635" s="526"/>
      <c r="H635" s="526"/>
      <c r="I635" s="1140"/>
      <c r="J635" s="1140"/>
      <c r="K635" s="1140"/>
      <c r="L635" s="1140"/>
      <c r="M635" s="1140"/>
      <c r="N635" s="823"/>
      <c r="O635" s="25"/>
      <c r="P635" s="199"/>
      <c r="Q635" s="437"/>
      <c r="R635" s="437"/>
      <c r="S635" s="437"/>
      <c r="T635" s="26"/>
    </row>
    <row r="636" spans="1:20" s="697" customFormat="1" ht="12.75" customHeight="1" x14ac:dyDescent="0.2">
      <c r="A636" s="437"/>
      <c r="B636" s="414"/>
      <c r="C636" s="414"/>
      <c r="D636" s="414"/>
      <c r="E636" s="1651" t="str">
        <f>Translations!$B$1730</f>
        <v>Ūdeņraža ražošana (faktiskā + teorētiskā)</v>
      </c>
      <c r="F636" s="1651"/>
      <c r="G636" s="1651"/>
      <c r="H636" s="465" t="str">
        <f>EUconst_Tons</f>
        <v>tonnas</v>
      </c>
      <c r="I636" s="1103" t="str">
        <f>IF($K579=$R636,SUMIFS(H_SpecialBM!I:I,H_SpecialBM!$P:$P,$P636),"")</f>
        <v/>
      </c>
      <c r="J636" s="1103" t="str">
        <f>IF($K579=$R636,SUMIFS(H_SpecialBM!J:J,H_SpecialBM!$P:$P,$P636),"")</f>
        <v/>
      </c>
      <c r="K636" s="1103" t="str">
        <f>IF($K579=$R636,SUMIFS(H_SpecialBM!K:K,H_SpecialBM!$P:$P,$P636),"")</f>
        <v/>
      </c>
      <c r="L636" s="1103" t="str">
        <f>IF($K579=$R636,SUMIFS(H_SpecialBM!L:L,H_SpecialBM!$P:$P,$P636),"")</f>
        <v/>
      </c>
      <c r="M636" s="1103" t="str">
        <f>IF($K579=$R636,SUMIFS(H_SpecialBM!M:M,H_SpecialBM!$P:$P,$P636),"")</f>
        <v/>
      </c>
      <c r="N636" s="823"/>
      <c r="O636" s="25"/>
      <c r="P636" s="134" t="str">
        <f>EUconst_CNTR_H2ActualPlusTheoretical</f>
        <v>H2Total_</v>
      </c>
      <c r="Q636" s="437"/>
      <c r="R636" s="869">
        <v>50</v>
      </c>
      <c r="S636" s="437"/>
      <c r="T636" s="26"/>
    </row>
    <row r="637" spans="1:20" s="697" customFormat="1" ht="12.75" customHeight="1" x14ac:dyDescent="0.2">
      <c r="A637" s="437"/>
      <c r="B637" s="414"/>
      <c r="C637" s="414"/>
      <c r="D637" s="414"/>
      <c r="E637" s="1651" t="str">
        <f>Translations!$B$1731</f>
        <v>Ar ūdeņradi saistītās emisijas</v>
      </c>
      <c r="F637" s="1651"/>
      <c r="G637" s="1651"/>
      <c r="H637" s="465" t="str">
        <f>EUconst_tCO2pa</f>
        <v>t CO2 / gads</v>
      </c>
      <c r="I637" s="1103" t="str">
        <f>IF($K579=$R637,SUMIFS(H_SpecialBM!I:I,H_SpecialBM!$P:$P,$P637),"")</f>
        <v/>
      </c>
      <c r="J637" s="1103" t="str">
        <f>IF($K579=$R637,SUMIFS(H_SpecialBM!J:J,H_SpecialBM!$P:$P,$P637),"")</f>
        <v/>
      </c>
      <c r="K637" s="1103" t="str">
        <f>IF($K579=$R637,SUMIFS(H_SpecialBM!K:K,H_SpecialBM!$P:$P,$P637),"")</f>
        <v/>
      </c>
      <c r="L637" s="1103" t="str">
        <f>IF($K579=$R637,SUMIFS(H_SpecialBM!L:L,H_SpecialBM!$P:$P,$P637),"")</f>
        <v/>
      </c>
      <c r="M637" s="1103" t="str">
        <f>IF($K579=$R637,SUMIFS(H_SpecialBM!M:M,H_SpecialBM!$P:$P,$P637),"")</f>
        <v/>
      </c>
      <c r="N637" s="823"/>
      <c r="O637" s="25"/>
      <c r="P637" s="202" t="str">
        <f>EUconst_CNTR_H2AdditionalEmissions</f>
        <v>H2AddEm_</v>
      </c>
      <c r="Q637" s="437"/>
      <c r="R637" s="869">
        <v>50</v>
      </c>
      <c r="S637" s="437"/>
      <c r="T637" s="26"/>
    </row>
    <row r="638" spans="1:20" s="697" customFormat="1" ht="5.0999999999999996" customHeight="1" x14ac:dyDescent="0.2">
      <c r="A638" s="437"/>
      <c r="B638" s="414"/>
      <c r="C638" s="414"/>
      <c r="D638" s="414"/>
      <c r="E638" s="526"/>
      <c r="F638" s="526"/>
      <c r="G638" s="526"/>
      <c r="H638" s="526"/>
      <c r="I638" s="1140"/>
      <c r="J638" s="1140"/>
      <c r="K638" s="1140"/>
      <c r="L638" s="1140"/>
      <c r="M638" s="1140"/>
      <c r="N638" s="823"/>
      <c r="O638" s="25"/>
      <c r="P638" s="437"/>
      <c r="Q638" s="437"/>
      <c r="R638" s="437"/>
      <c r="S638" s="437"/>
      <c r="T638" s="26"/>
    </row>
    <row r="639" spans="1:20" s="697" customFormat="1" ht="12.75" customHeight="1" x14ac:dyDescent="0.2">
      <c r="A639" s="437"/>
      <c r="B639" s="414"/>
      <c r="C639" s="414"/>
      <c r="D639" s="414"/>
      <c r="E639" s="1651" t="str">
        <f>Translations!$B$1732</f>
        <v>HVC emisiju korekcija</v>
      </c>
      <c r="F639" s="1651"/>
      <c r="G639" s="1651"/>
      <c r="H639" s="465" t="str">
        <f>EUconst_tCO2pa</f>
        <v>t CO2 / gads</v>
      </c>
      <c r="I639" s="1103" t="str">
        <f>IF($K579=$R639,-SUMIFS(H_SpecialBM!S:S,H_SpecialBM!$P:$P,$P639),"")</f>
        <v/>
      </c>
      <c r="J639" s="1103" t="str">
        <f>IF($K579=$R639,-SUMIFS(H_SpecialBM!T:T,H_SpecialBM!$P:$P,$P639),"")</f>
        <v/>
      </c>
      <c r="K639" s="1103" t="str">
        <f>IF($K579=$R639,-SUMIFS(H_SpecialBM!U:U,H_SpecialBM!$P:$P,$P639),"")</f>
        <v/>
      </c>
      <c r="L639" s="1103" t="str">
        <f>IF($K579=$R639,-SUMIFS(H_SpecialBM!V:V,H_SpecialBM!$P:$P,$P639),"")</f>
        <v/>
      </c>
      <c r="M639" s="1103" t="str">
        <f>IF($K579=$R639,-SUMIFS(H_SpecialBM!W:W,H_SpecialBM!$P:$P,$P639),"")</f>
        <v/>
      </c>
      <c r="N639" s="823"/>
      <c r="O639" s="25"/>
      <c r="P639" s="367" t="str">
        <f>EUconst_CNTR_HVC</f>
        <v>HVC_</v>
      </c>
      <c r="Q639" s="437"/>
      <c r="R639" s="869">
        <v>42</v>
      </c>
      <c r="S639" s="437"/>
      <c r="T639" s="26"/>
    </row>
    <row r="640" spans="1:20" s="697" customFormat="1" ht="5.0999999999999996" customHeight="1" x14ac:dyDescent="0.2">
      <c r="A640" s="437"/>
      <c r="B640" s="414"/>
      <c r="C640" s="414"/>
      <c r="D640" s="414"/>
      <c r="E640" s="526"/>
      <c r="F640" s="526"/>
      <c r="G640" s="526"/>
      <c r="H640" s="526"/>
      <c r="I640" s="1140"/>
      <c r="J640" s="1140"/>
      <c r="K640" s="1140"/>
      <c r="L640" s="1140"/>
      <c r="M640" s="1140"/>
      <c r="N640" s="823"/>
      <c r="O640" s="25"/>
      <c r="P640" s="199"/>
      <c r="Q640" s="437"/>
      <c r="R640" s="437"/>
      <c r="S640" s="437"/>
      <c r="T640" s="26"/>
    </row>
    <row r="641" spans="1:20" s="697" customFormat="1" ht="12.75" customHeight="1" x14ac:dyDescent="0.2">
      <c r="A641" s="437"/>
      <c r="B641" s="414"/>
      <c r="C641" s="414"/>
      <c r="D641" s="414"/>
      <c r="E641" s="1651" t="str">
        <f>Translations!$B$1733</f>
        <v>VCM emisiju korekcija</v>
      </c>
      <c r="F641" s="1651"/>
      <c r="G641" s="1651"/>
      <c r="H641" s="465" t="str">
        <f>EUconst_tCO2pa</f>
        <v>t CO2 / gads</v>
      </c>
      <c r="I641" s="1103" t="str">
        <f>IF($K579=$R641,SUMIFS(H_SpecialBM!I:I,H_SpecialBM!$P:$P,$P641)/EUconst_HeatBMvalue*EUconst_HeatBMvalueForBM,"")</f>
        <v/>
      </c>
      <c r="J641" s="1103" t="str">
        <f>IF($K579=$R641,SUMIFS(H_SpecialBM!J:J,H_SpecialBM!$P:$P,$P641)/EUconst_HeatBMvalue*EUconst_HeatBMvalueForBM,"")</f>
        <v/>
      </c>
      <c r="K641" s="1103" t="str">
        <f>IF($K579=$R641,SUMIFS(H_SpecialBM!K:K,H_SpecialBM!$P:$P,$P641)/EUconst_HeatBMvalue*EUconst_HeatBMvalueForBM,"")</f>
        <v/>
      </c>
      <c r="L641" s="1103" t="str">
        <f>IF($K579=$R641,SUMIFS(H_SpecialBM!L:L,H_SpecialBM!$P:$P,$P641)/EUconst_HeatBMvalue*EUconst_HeatBMvalueForBM,"")</f>
        <v/>
      </c>
      <c r="M641" s="1103" t="str">
        <f>IF($K579=$R641,SUMIFS(H_SpecialBM!M:M,H_SpecialBM!$P:$P,$P641)/EUconst_HeatBMvalue*EUconst_HeatBMvalueForBM,"")</f>
        <v/>
      </c>
      <c r="N641" s="823"/>
      <c r="O641" s="25"/>
      <c r="P641" s="134" t="str">
        <f>EUconst_CNTR_VCM</f>
        <v>VCM_</v>
      </c>
      <c r="Q641" s="437"/>
      <c r="R641" s="869">
        <v>47</v>
      </c>
      <c r="S641" s="437"/>
      <c r="T641" s="26"/>
    </row>
    <row r="642" spans="1:20" s="697" customFormat="1" ht="12.75" customHeight="1" x14ac:dyDescent="0.2">
      <c r="A642" s="437"/>
      <c r="B642" s="414"/>
      <c r="C642" s="414"/>
      <c r="D642" s="414"/>
      <c r="E642" s="526"/>
      <c r="F642" s="526"/>
      <c r="G642" s="526"/>
      <c r="H642" s="526"/>
      <c r="I642" s="823"/>
      <c r="J642" s="823"/>
      <c r="K642" s="823"/>
      <c r="L642" s="823"/>
      <c r="M642" s="823"/>
      <c r="N642" s="823"/>
      <c r="O642" s="25"/>
      <c r="P642" s="199"/>
      <c r="Q642" s="437"/>
      <c r="R642" s="437"/>
      <c r="S642" s="437"/>
      <c r="T642" s="26"/>
    </row>
    <row r="643" spans="1:20" s="697" customFormat="1" ht="12.75" customHeight="1" thickBot="1" x14ac:dyDescent="0.25">
      <c r="A643" s="437"/>
      <c r="B643" s="414"/>
      <c r="C643" s="414"/>
      <c r="D643" s="414"/>
      <c r="E643" s="935"/>
      <c r="O643" s="25"/>
      <c r="P643" s="437"/>
      <c r="Q643" s="437"/>
      <c r="R643" s="437"/>
      <c r="S643" s="437"/>
      <c r="T643" s="26"/>
    </row>
    <row r="644" spans="1:20" s="697" customFormat="1" ht="5.0999999999999996" customHeight="1" thickBot="1" x14ac:dyDescent="0.25">
      <c r="A644" s="437"/>
      <c r="B644" s="21"/>
      <c r="C644" s="294"/>
      <c r="D644" s="294"/>
      <c r="E644" s="294"/>
      <c r="F644" s="294"/>
      <c r="G644" s="294"/>
      <c r="H644" s="294"/>
      <c r="I644" s="294"/>
      <c r="J644" s="294"/>
      <c r="K644" s="294"/>
      <c r="L644" s="294"/>
      <c r="M644" s="294"/>
      <c r="N644" s="294"/>
      <c r="O644" s="25"/>
      <c r="P644" s="437"/>
      <c r="Q644" s="437"/>
      <c r="R644" s="437"/>
      <c r="S644" s="437"/>
      <c r="T644" s="26"/>
    </row>
    <row r="645" spans="1:20" s="697" customFormat="1" ht="15" customHeight="1" thickBot="1" x14ac:dyDescent="0.3">
      <c r="A645" s="437"/>
      <c r="B645" s="414"/>
      <c r="C645" s="36">
        <f>C576+1</f>
        <v>3</v>
      </c>
      <c r="D645" s="1890" t="str">
        <f>CONCATENATE(EUconst_BMSubinst," ",C645, ":")</f>
        <v>Apakšiekārta ar produkta līmeņatzīmi 3:</v>
      </c>
      <c r="E645" s="1890"/>
      <c r="F645" s="1890"/>
      <c r="G645" s="1890"/>
      <c r="H645" s="1891"/>
      <c r="I645" s="1887" t="str">
        <f>IF(INDEX(CNTR_SubInstListIsProdBM,$C645),INDEX(CNTR_SubInstListNames,$C645),"")</f>
        <v/>
      </c>
      <c r="J645" s="1888"/>
      <c r="K645" s="1888"/>
      <c r="L645" s="1888"/>
      <c r="M645" s="1888"/>
      <c r="N645" s="1889"/>
      <c r="O645" s="25"/>
      <c r="P645" s="437"/>
      <c r="Q645" s="904">
        <f>C645</f>
        <v>3</v>
      </c>
      <c r="R645" s="901" t="str">
        <f>I645</f>
        <v/>
      </c>
      <c r="S645" s="903" t="str">
        <f>H648</f>
        <v>NA</v>
      </c>
      <c r="T645" s="902" t="str">
        <f>IF(M659="","",IF(S648=0,0,SUM(M659)/S648))</f>
        <v/>
      </c>
    </row>
    <row r="646" spans="1:20" s="697" customFormat="1" ht="5.0999999999999996" customHeight="1" thickBot="1" x14ac:dyDescent="0.25">
      <c r="A646" s="437"/>
      <c r="B646" s="414"/>
      <c r="C646" s="414"/>
      <c r="D646" s="414"/>
      <c r="E646" s="414"/>
      <c r="F646" s="414"/>
      <c r="G646" s="414"/>
      <c r="H646" s="414"/>
      <c r="I646" s="414"/>
      <c r="J646" s="414"/>
      <c r="K646" s="414"/>
      <c r="L646" s="414"/>
      <c r="M646" s="414"/>
      <c r="N646" s="414"/>
      <c r="O646" s="25"/>
      <c r="P646" s="437"/>
      <c r="Q646" s="437"/>
      <c r="R646" s="437"/>
      <c r="S646" s="437"/>
      <c r="T646" s="26"/>
    </row>
    <row r="647" spans="1:20" s="697" customFormat="1" ht="13.5" thickBot="1" x14ac:dyDescent="0.25">
      <c r="A647" s="437"/>
      <c r="B647" s="414"/>
      <c r="C647" s="414"/>
      <c r="D647" s="414"/>
      <c r="E647" s="414"/>
      <c r="F647" s="414"/>
      <c r="G647" s="414"/>
      <c r="H647" s="647" t="str">
        <f>Translations!$B$1204</f>
        <v>Pakļauta OEP</v>
      </c>
      <c r="I647" s="38"/>
      <c r="J647" s="648" t="str">
        <f>Translations!$B$1208</f>
        <v>Ekspl. sākta</v>
      </c>
      <c r="K647" s="648" t="str">
        <f>Translations!$B$1206</f>
        <v>LA Nr.</v>
      </c>
      <c r="L647" s="812" t="str">
        <f>Translations!$B$1212</f>
        <v>15(7)3?</v>
      </c>
      <c r="M647" s="989" t="str">
        <f>Translations!$B$1234</f>
        <v>LA vērtība (min./maks./fakt.)</v>
      </c>
      <c r="N647" s="990"/>
      <c r="O647" s="25"/>
      <c r="P647" s="437"/>
      <c r="Q647" s="437"/>
      <c r="R647" s="646" t="s">
        <v>641</v>
      </c>
      <c r="S647" s="903" t="str">
        <f>H650</f>
        <v>NA</v>
      </c>
      <c r="T647" s="26"/>
    </row>
    <row r="648" spans="1:20" s="697" customFormat="1" x14ac:dyDescent="0.2">
      <c r="A648" s="437"/>
      <c r="B648" s="414"/>
      <c r="C648" s="414"/>
      <c r="D648" s="414"/>
      <c r="E648" s="649" t="str">
        <f>I645</f>
        <v/>
      </c>
      <c r="F648" s="650"/>
      <c r="G648" s="594"/>
      <c r="H648" s="651" t="str">
        <f>IF(K648=EUconst_NA,EUconst_NA,INDEX(EUconst_BMlistCLstatus,MATCH(K648,EUconst_BMlistMainNumberOfBM,0)))</f>
        <v>NA</v>
      </c>
      <c r="I648" s="38"/>
      <c r="J648" s="846" t="str">
        <f>IF($I645="",EUconst_NA,INDEX(CNTR_SubInstStartDate,MATCH(E648,CNTR_SubInstListNames,0)))</f>
        <v>NA</v>
      </c>
      <c r="K648" s="546" t="str">
        <f>IF($I645="",EUconst_NA,INDEX(EUconst_BMlistMainNumberOfBM,MATCH(E648,EUconst_BMlistNames,0)))</f>
        <v>NA</v>
      </c>
      <c r="L648" s="988" t="str">
        <f>IF(E648="","",INDEX(CNTR_SubInstLess1Year,MATCH(E648,CNTR_SubInstListNames,0)))</f>
        <v/>
      </c>
      <c r="M648" s="991" t="str">
        <f>IF(I645="",EUconst_NA,INDEX(EUconst_BMlistBMvaluesMatrix,MATCH(K648,EUconst_BMlistMainNumberOfBM,0),2))</f>
        <v>NA</v>
      </c>
      <c r="N648" s="992" t="str">
        <f>EUconst_EUA &amp; "/" &amp; H653</f>
        <v>ESK/tonnas</v>
      </c>
      <c r="O648" s="25"/>
      <c r="P648" s="437"/>
      <c r="Q648" s="437"/>
      <c r="R648" s="732" t="s">
        <v>554</v>
      </c>
      <c r="S648" s="815" t="str">
        <f>IF(H648=EUconst_NA,"",IF(H648,1,INDEX(EUconst_CLEFYears,1)))</f>
        <v/>
      </c>
      <c r="T648" s="26"/>
    </row>
    <row r="649" spans="1:20" s="697" customFormat="1" x14ac:dyDescent="0.2">
      <c r="A649" s="437"/>
      <c r="B649" s="414"/>
      <c r="C649" s="414"/>
      <c r="D649" s="414"/>
      <c r="G649" s="648" t="str">
        <f>Translations!$B$1218</f>
        <v>ETS neaptverts siltums</v>
      </c>
      <c r="H649" s="647" t="s">
        <v>623</v>
      </c>
      <c r="I649" s="812" t="str">
        <f>Translations!$B$1220</f>
        <v>AGlāpā</v>
      </c>
      <c r="J649" s="648" t="s">
        <v>550</v>
      </c>
      <c r="K649" s="648" t="s">
        <v>551</v>
      </c>
      <c r="L649" s="38"/>
      <c r="M649" s="991" t="str">
        <f>IF(I645="",EUconst_NA,INDEX(EUconst_BMlistBMvaluesMatrix,MATCH(K648,EUconst_BMlistMainNumberOfBM,0),1))</f>
        <v>NA</v>
      </c>
      <c r="N649" s="992" t="str">
        <f>EUconst_EUA &amp; "/" &amp; H653</f>
        <v>ESK/tonnas</v>
      </c>
      <c r="O649" s="25"/>
      <c r="P649" s="437"/>
      <c r="Q649" s="437"/>
      <c r="R649" s="732" t="s">
        <v>658</v>
      </c>
      <c r="S649" s="1150" t="str">
        <f>IF($I645="",EUconst_NA,INDEX(EUconst_BMlistNumberOfBM,MATCH(I645,EUconst_BMlistNames,0)))</f>
        <v>NA</v>
      </c>
      <c r="T649" s="26"/>
    </row>
    <row r="650" spans="1:20" s="697" customFormat="1" ht="13.5" thickBot="1" x14ac:dyDescent="0.25">
      <c r="A650" s="437"/>
      <c r="B650" s="414"/>
      <c r="C650" s="414"/>
      <c r="D650" s="414"/>
      <c r="E650" s="868" t="str">
        <f>Translations!$B$1235</f>
        <v>Īpaši koeficienti/faktori:</v>
      </c>
      <c r="F650" s="868"/>
      <c r="G650" s="546" t="str">
        <f>IF($I645="","",SUMIF(F_ProductBM!$P:$P,EUconst_CNTR_HEAT&amp;$I645,F_ProductBM!$Q:$Q))</f>
        <v/>
      </c>
      <c r="H650" s="651" t="str">
        <f>IF(S649=EUconst_NA,EUconst_NA,INDEX(EUconst_BMlistCBAMstatus,MATCH(S649,EUconst_BMlistNumberOfBM,0)))</f>
        <v>NA</v>
      </c>
      <c r="I650" s="844" t="str">
        <f>IF(OR($I645="",CNTR_BaselinePeriod&lt;&gt;2),"",SUMIF(F_ProductBM!$P:$P,EUconst_CNTR_WGFlaredEF &amp; I645,F_ProductBM!$R:$R))</f>
        <v/>
      </c>
      <c r="J650" s="546" t="str">
        <f>IF($I645="","",IF($K648=42,SUMIF(H_SpecialBM!$P$9:$P$401,EUconst_CNTR_HVC,H_SpecialBM!$I$9:$I$401),0))</f>
        <v/>
      </c>
      <c r="K650" s="867" t="str">
        <f>IF($I645="","",IF($K648=47,IF(ISNUMBER(INDEX(H_SpecialBM!$Q$9:$Q$401,MATCH(EUconst_CNTR_VCM,H_SpecialBM!$P$9:$P$401,0))),INDEX(H_SpecialBM!$Q$9:$Q$401,MATCH(EUconst_CNTR_VCM,H_SpecialBM!$P$9:$P$401,0)),1),1))</f>
        <v/>
      </c>
      <c r="L650" s="38"/>
      <c r="M650" s="993" t="str">
        <f>IF(I645="",EUconst_NA,IF(EUconst_StatusOfDataCollection,INDEX(EUconst_BMlistBMvaluesMatrix,MATCH(K648,EUconst_BMlistMainNumberOfBM,0),3),""))</f>
        <v>NA</v>
      </c>
      <c r="N650" s="994" t="str">
        <f>EUconst_EUA &amp; "/" &amp; H653</f>
        <v>ESK/tonnas</v>
      </c>
      <c r="O650" s="25"/>
      <c r="P650" s="437"/>
      <c r="Q650" s="437"/>
      <c r="R650" s="732"/>
      <c r="S650" s="866"/>
      <c r="T650" s="26"/>
    </row>
    <row r="651" spans="1:20" s="697" customFormat="1" ht="5.0999999999999996" customHeight="1" x14ac:dyDescent="0.2">
      <c r="A651" s="437"/>
      <c r="B651" s="414"/>
      <c r="C651" s="414"/>
      <c r="D651" s="414"/>
      <c r="E651" s="414"/>
      <c r="F651" s="414"/>
      <c r="G651" s="414"/>
      <c r="H651" s="414"/>
      <c r="I651" s="414"/>
      <c r="J651" s="414"/>
      <c r="K651" s="414"/>
      <c r="L651" s="414"/>
      <c r="M651" s="414"/>
      <c r="N651" s="414"/>
      <c r="O651" s="25"/>
      <c r="P651" s="437"/>
      <c r="Q651" s="437"/>
      <c r="R651" s="437"/>
      <c r="S651" s="437"/>
      <c r="T651" s="26"/>
    </row>
    <row r="652" spans="1:20" s="697" customFormat="1" x14ac:dyDescent="0.2">
      <c r="A652" s="437"/>
      <c r="B652" s="414"/>
      <c r="C652" s="414"/>
      <c r="D652" s="414"/>
      <c r="E652" s="652"/>
      <c r="F652" s="652"/>
      <c r="G652" s="653"/>
      <c r="H652" s="864" t="str">
        <f>EUconst_Unit</f>
        <v>Vienība</v>
      </c>
      <c r="I652" s="447">
        <f>I$1652</f>
        <v>2019</v>
      </c>
      <c r="J652" s="447">
        <f>J$1652</f>
        <v>2020</v>
      </c>
      <c r="K652" s="447">
        <f>K$1652</f>
        <v>2021</v>
      </c>
      <c r="L652" s="447">
        <f>L$1652</f>
        <v>2022</v>
      </c>
      <c r="M652" s="447">
        <f>M$1652</f>
        <v>2023</v>
      </c>
      <c r="N652" s="414"/>
      <c r="O652" s="25"/>
      <c r="P652" s="202" t="s">
        <v>228</v>
      </c>
      <c r="Q652" s="437"/>
      <c r="R652" s="437"/>
      <c r="S652" s="437"/>
      <c r="T652" s="26"/>
    </row>
    <row r="653" spans="1:20" s="697" customFormat="1" x14ac:dyDescent="0.2">
      <c r="A653" s="437"/>
      <c r="B653" s="414"/>
      <c r="C653" s="414"/>
      <c r="D653" s="414"/>
      <c r="E653" s="654" t="str">
        <f>Translations!$B$1236</f>
        <v>Ziņotais HAL (vēsturiskais darbības līmenis)</v>
      </c>
      <c r="F653" s="655"/>
      <c r="G653" s="656"/>
      <c r="H653" s="651" t="str">
        <f>IF(ISNUMBER(K648),INDEX(EUconst_BMlistUnits,MATCH(K648,EUconst_BMlistMainNumberOfBM,0)),EUconst_Tons)</f>
        <v>tonnas</v>
      </c>
      <c r="I653" s="546" t="str">
        <f>IF($I645="","",SUMIF(F_ProductBM!$P$11:$P$1814,$P653,F_ProductBM!I$11:I$1814))</f>
        <v/>
      </c>
      <c r="J653" s="546" t="str">
        <f>IF($I645="","",SUMIF(F_ProductBM!$P$11:$P$1814,$P653,F_ProductBM!J$11:J$1814))</f>
        <v/>
      </c>
      <c r="K653" s="546" t="str">
        <f>IF($I645="","",SUMIF(F_ProductBM!$P$11:$P$1814,$P653,F_ProductBM!K$11:K$1814))</f>
        <v/>
      </c>
      <c r="L653" s="546" t="str">
        <f>IF($I645="","",SUMIF(F_ProductBM!$P$11:$P$1814,$P653,F_ProductBM!L$11:L$1814))</f>
        <v/>
      </c>
      <c r="M653" s="546" t="str">
        <f>IF($I645="","",SUMIF(F_ProductBM!$P$11:$P$1814,$P653,F_ProductBM!M$11:M$1814))</f>
        <v/>
      </c>
      <c r="N653" s="648" t="s">
        <v>625</v>
      </c>
      <c r="O653" s="25"/>
      <c r="P653" s="202" t="str">
        <f>EUconst_CNTR_HAL&amp;I645</f>
        <v>HAL_</v>
      </c>
      <c r="Q653" s="437"/>
      <c r="R653" s="437"/>
      <c r="S653" s="437"/>
      <c r="T653" s="26"/>
    </row>
    <row r="654" spans="1:20" s="697" customFormat="1" x14ac:dyDescent="0.2">
      <c r="A654" s="437"/>
      <c r="B654" s="414"/>
      <c r="C654" s="414"/>
      <c r="D654" s="414"/>
      <c r="E654" s="654" t="str">
        <f>Translations!$B$1237</f>
        <v>HAL aprēķinam izmantotās vērtības:</v>
      </c>
      <c r="F654" s="655"/>
      <c r="G654" s="656"/>
      <c r="H654" s="651" t="str">
        <f>H653</f>
        <v>tonnas</v>
      </c>
      <c r="I654" s="546" t="str">
        <f>IF($I645="","",INDEX(F_ProductBM!S$11:S$1814,MATCH($P654,F_ProductBM!$P$11:$P$1814,0)))</f>
        <v/>
      </c>
      <c r="J654" s="546" t="str">
        <f>IF($I645="","",INDEX(F_ProductBM!T$11:T$1814,MATCH($P654,F_ProductBM!$P$11:$P$1814,0)))</f>
        <v/>
      </c>
      <c r="K654" s="546" t="str">
        <f>IF($I645="","",INDEX(F_ProductBM!U$11:U$1814,MATCH($P654,F_ProductBM!$P$11:$P$1814,0)))</f>
        <v/>
      </c>
      <c r="L654" s="546" t="str">
        <f>IF($I645="","",INDEX(F_ProductBM!V$11:V$1814,MATCH($P654,F_ProductBM!$P$11:$P$1814,0)))</f>
        <v/>
      </c>
      <c r="M654" s="546" t="str">
        <f>IF($I645="","",INDEX(F_ProductBM!W$11:W$1814,MATCH($P654,F_ProductBM!$P$11:$P$1814,0)))</f>
        <v/>
      </c>
      <c r="N654" s="546" t="str">
        <f>IF(OR($I645="",$L648=TRUE),"",IF(COUNT($I654:$M654)&gt;0,MEDIAN($I654:$M654),""))</f>
        <v/>
      </c>
      <c r="O654" s="25"/>
      <c r="P654" s="202" t="str">
        <f>EUconst_CNTR_HAL&amp;I645</f>
        <v>HAL_</v>
      </c>
      <c r="Q654" s="437"/>
      <c r="R654" s="931" t="s">
        <v>604</v>
      </c>
      <c r="S654" s="931" t="s">
        <v>605</v>
      </c>
      <c r="T654" s="931" t="s">
        <v>606</v>
      </c>
    </row>
    <row r="655" spans="1:20" s="697" customFormat="1" ht="5.0999999999999996" customHeight="1" x14ac:dyDescent="0.2">
      <c r="A655" s="437"/>
      <c r="B655" s="414"/>
      <c r="C655" s="414"/>
      <c r="D655" s="414"/>
      <c r="E655" s="865"/>
      <c r="F655" s="865"/>
      <c r="G655" s="865"/>
      <c r="H655" s="865"/>
      <c r="I655" s="865"/>
      <c r="J655" s="865"/>
      <c r="K655" s="865"/>
      <c r="L655" s="865"/>
      <c r="O655" s="25"/>
      <c r="P655" s="437"/>
      <c r="Q655" s="437"/>
      <c r="R655" s="437"/>
      <c r="S655" s="437"/>
      <c r="T655" s="26"/>
    </row>
    <row r="656" spans="1:20" s="697" customFormat="1" ht="12.75" customHeight="1" x14ac:dyDescent="0.2">
      <c r="A656" s="437"/>
      <c r="B656" s="414"/>
      <c r="C656" s="414"/>
      <c r="D656" s="414"/>
      <c r="E656" s="1892" t="str">
        <f>Translations!$B$689</f>
        <v>Relevantais elektroenerģijas patēriņš</v>
      </c>
      <c r="F656" s="1892"/>
      <c r="G656" s="1892"/>
      <c r="H656" s="1101" t="str">
        <f>EUconst_MWhpa</f>
        <v>MWh / gads</v>
      </c>
      <c r="I656" s="1166" t="str">
        <f>IF($I645="","",IF(INDEX(F_ProductBM!I:I,MATCH($P656,F_ProductBM!$Q:$Q,0))="","",INDEX(F_ProductBM!I:I,MATCH($P656,F_ProductBM!$Q:$Q,0))))</f>
        <v/>
      </c>
      <c r="J656" s="1166" t="str">
        <f>IF($I645="","",IF(INDEX(F_ProductBM!J:J,MATCH($P656,F_ProductBM!$Q:$Q,0))="","",INDEX(F_ProductBM!J:J,MATCH($P656,F_ProductBM!$Q:$Q,0))))</f>
        <v/>
      </c>
      <c r="K656" s="1166" t="str">
        <f>IF($I645="","",IF(INDEX(F_ProductBM!K:K,MATCH($P656,F_ProductBM!$Q:$Q,0))="","",INDEX(F_ProductBM!K:K,MATCH($P656,F_ProductBM!$Q:$Q,0))))</f>
        <v/>
      </c>
      <c r="L656" s="1166" t="str">
        <f>IF($I645="","",IF(INDEX(F_ProductBM!L:L,MATCH($P656,F_ProductBM!$Q:$Q,0))="","",INDEX(F_ProductBM!L:L,MATCH($P656,F_ProductBM!$Q:$Q,0))))</f>
        <v/>
      </c>
      <c r="M656" s="1166" t="str">
        <f>IF($I645="","",IF(INDEX(F_ProductBM!M:M,MATCH($P656,F_ProductBM!$Q:$Q,0))="","",INDEX(F_ProductBM!M:M,MATCH($P656,F_ProductBM!$Q:$Q,0))))</f>
        <v/>
      </c>
      <c r="N656" s="38"/>
      <c r="O656" s="25"/>
      <c r="P656" s="202" t="str">
        <f>EUconst_CNTR_HAL&amp;EUconst_CNTR_ELEXCH &amp; I645</f>
        <v>HAL_ELEXCH_</v>
      </c>
      <c r="Q656" s="437"/>
      <c r="R656" s="437"/>
      <c r="S656" s="437"/>
      <c r="T656" s="26"/>
    </row>
    <row r="657" spans="1:20" s="697" customFormat="1" ht="5.0999999999999996" customHeight="1" thickBot="1" x14ac:dyDescent="0.25">
      <c r="A657" s="437"/>
      <c r="B657" s="414"/>
      <c r="C657" s="414"/>
      <c r="D657" s="414"/>
      <c r="E657" s="865"/>
      <c r="F657" s="865"/>
      <c r="G657" s="865"/>
      <c r="H657" s="865"/>
      <c r="I657" s="865"/>
      <c r="J657" s="865"/>
      <c r="K657" s="865"/>
      <c r="L657" s="865"/>
      <c r="O657" s="25"/>
      <c r="P657" s="437"/>
      <c r="Q657" s="437"/>
      <c r="R657" s="437"/>
      <c r="S657" s="437"/>
      <c r="T657" s="26"/>
    </row>
    <row r="658" spans="1:20" s="697" customFormat="1" ht="13.5" thickBot="1" x14ac:dyDescent="0.25">
      <c r="A658" s="437"/>
      <c r="B658" s="414"/>
      <c r="D658" s="414"/>
      <c r="E658" s="865"/>
      <c r="F658" s="816" t="str">
        <f>Translations!$B$1728</f>
        <v>HAL kopā</v>
      </c>
      <c r="G658" s="817"/>
      <c r="I658" s="816" t="str">
        <f>Translations!$B$1226</f>
        <v>1. gada prov. ied. apj. (min.)</v>
      </c>
      <c r="J658" s="817"/>
      <c r="K658" s="816" t="str">
        <f>Translations!$B$1229</f>
        <v>1. gada prov. ied. apj. (maks.)</v>
      </c>
      <c r="L658" s="817"/>
      <c r="M658" s="816" t="str">
        <f>Translations!$B$1231</f>
        <v>1. gada prov. ied. apj. (fakt.)</v>
      </c>
      <c r="N658" s="817"/>
      <c r="O658" s="25"/>
      <c r="P658" s="202" t="str">
        <f>EUconst_AllocPrelim&amp;I645</f>
        <v>AllocPrelim_</v>
      </c>
      <c r="Q658" s="437"/>
      <c r="R658" s="900" t="str">
        <f>IF(I659="","",IF(S648=0,0,SUM(I659)/S648))</f>
        <v/>
      </c>
      <c r="S658" s="900" t="str">
        <f>IF(K659="","",IF(S648=0,0,SUM(K659)/S648))</f>
        <v/>
      </c>
      <c r="T658" s="900" t="str">
        <f>T645</f>
        <v/>
      </c>
    </row>
    <row r="659" spans="1:20" s="697" customFormat="1" ht="13.5" thickBot="1" x14ac:dyDescent="0.25">
      <c r="A659" s="437"/>
      <c r="B659" s="414"/>
      <c r="E659" s="865"/>
      <c r="F659" s="658" t="str">
        <f>IF(I645="","",MAX(0, IF(L648=TRUE, SUM(L650), SUM(N654))))</f>
        <v/>
      </c>
      <c r="G659" s="659" t="str">
        <f>H653&amp;" / "&amp;EUconst_Year</f>
        <v>tonnas / gads</v>
      </c>
      <c r="I659" s="814" t="str">
        <f>IF(I645="","",ROUND((SUM(M648)*SUM(F659)*SUM(K650)-SUM(G650)-SUM(I650)+SUM(J650))*SUM(S648),0))</f>
        <v/>
      </c>
      <c r="J659" s="884" t="str">
        <f>EUconst_EUApa</f>
        <v>ESK / gads</v>
      </c>
      <c r="K659" s="814" t="str">
        <f>IF(I645="","",ROUND((SUM(M649)*SUM(F659)*SUM(K650)-SUM(G650)-SUM(I650)+SUM(J650))*SUM(S648),0))</f>
        <v/>
      </c>
      <c r="L659" s="884" t="str">
        <f>EUconst_EUApa</f>
        <v>ESK / gads</v>
      </c>
      <c r="M659" s="814" t="str">
        <f>IF(OR(I645="",M650=""),"",ROUND((SUM(M650)*SUM(F659)*SUM(K650)-SUM(G650)-SUM(I650)+SUM(J650))*SUM(S648),0))</f>
        <v/>
      </c>
      <c r="N659" s="884" t="str">
        <f>EUconst_EUApa</f>
        <v>ESK / gads</v>
      </c>
      <c r="O659" s="25"/>
      <c r="P659" s="202" t="str">
        <f>EUconst_HALsum &amp; I645</f>
        <v>HALsum_</v>
      </c>
      <c r="Q659" s="437"/>
      <c r="R659" s="437"/>
      <c r="S659" s="437"/>
      <c r="T659" s="26"/>
    </row>
    <row r="660" spans="1:20" s="697" customFormat="1" ht="5.0999999999999996" customHeight="1" x14ac:dyDescent="0.2">
      <c r="A660" s="437"/>
      <c r="B660" s="414"/>
      <c r="C660" s="414"/>
      <c r="E660" s="440"/>
      <c r="F660" s="414"/>
      <c r="G660" s="414"/>
      <c r="H660" s="414"/>
      <c r="I660" s="414"/>
      <c r="J660" s="414"/>
      <c r="K660" s="414"/>
      <c r="L660" s="414"/>
      <c r="M660" s="414"/>
      <c r="N660" s="414"/>
      <c r="O660" s="25"/>
      <c r="P660" s="437"/>
      <c r="Q660" s="437"/>
      <c r="R660" s="437"/>
      <c r="S660" s="437"/>
      <c r="T660" s="26"/>
    </row>
    <row r="661" spans="1:20" s="697" customFormat="1" ht="5.0999999999999996" customHeight="1" x14ac:dyDescent="0.2">
      <c r="A661" s="437"/>
      <c r="B661" s="414"/>
      <c r="C661" s="414"/>
      <c r="D661" s="414"/>
      <c r="E661" s="526"/>
      <c r="F661" s="823"/>
      <c r="G661" s="823"/>
      <c r="H661" s="823"/>
      <c r="I661" s="823"/>
      <c r="J661" s="823"/>
      <c r="K661" s="823"/>
      <c r="L661" s="823"/>
      <c r="M661" s="823"/>
      <c r="N661" s="823"/>
      <c r="O661" s="25"/>
      <c r="P661" s="437"/>
      <c r="Q661" s="437"/>
      <c r="R661" s="437"/>
      <c r="S661" s="437"/>
      <c r="T661" s="26"/>
    </row>
    <row r="662" spans="1:20" s="697" customFormat="1" ht="13.5" thickBot="1" x14ac:dyDescent="0.25">
      <c r="A662" s="437"/>
      <c r="B662" s="414"/>
      <c r="C662" s="414"/>
      <c r="D662" s="414"/>
      <c r="E662" s="526"/>
      <c r="F662" s="823"/>
      <c r="G662" s="823"/>
      <c r="H662" s="525" t="str">
        <f>EUconst_Unit</f>
        <v>Vienība</v>
      </c>
      <c r="I662" s="929">
        <f>I$1652</f>
        <v>2019</v>
      </c>
      <c r="J662" s="463">
        <f>J$1652</f>
        <v>2020</v>
      </c>
      <c r="K662" s="463">
        <f>K$1652</f>
        <v>2021</v>
      </c>
      <c r="L662" s="463">
        <f>L$1652</f>
        <v>2022</v>
      </c>
      <c r="M662" s="463">
        <f>M$1652</f>
        <v>2023</v>
      </c>
      <c r="N662" s="823"/>
      <c r="O662" s="25"/>
      <c r="P662" s="437"/>
      <c r="Q662" s="437"/>
      <c r="R662" s="437"/>
      <c r="S662" s="437"/>
      <c r="T662" s="26"/>
    </row>
    <row r="663" spans="1:20" s="697" customFormat="1" ht="13.5" customHeight="1" thickBot="1" x14ac:dyDescent="0.25">
      <c r="A663" s="437"/>
      <c r="B663" s="414"/>
      <c r="C663" s="414"/>
      <c r="D663" s="414"/>
      <c r="E663" s="1789" t="str">
        <f>Translations!$B$1238</f>
        <v>Kopējās attiecinātās emisijas</v>
      </c>
      <c r="F663" s="1789"/>
      <c r="G663" s="1789"/>
      <c r="H663" s="886" t="str">
        <f>EUconst_tCO2epa</f>
        <v>t CO2e/gads</v>
      </c>
      <c r="I663" s="1151" t="str">
        <f>INDEX(I$115:I$134,MATCH($I645,$E$115:$E$134,0))</f>
        <v/>
      </c>
      <c r="J663" s="1152" t="str">
        <f>INDEX(J$115:J$134,MATCH($I645,$E$115:$E$134,0))</f>
        <v/>
      </c>
      <c r="K663" s="1152" t="str">
        <f>INDEX(K$115:K$134,MATCH($I645,$E$115:$E$134,0))</f>
        <v/>
      </c>
      <c r="L663" s="1152" t="str">
        <f>INDEX(L$115:L$134,MATCH($I645,$E$115:$E$134,0))</f>
        <v/>
      </c>
      <c r="M663" s="1153" t="str">
        <f>INDEX(M$115:M$134,MATCH($I645,$E$115:$E$134,0))</f>
        <v/>
      </c>
      <c r="N663" s="823"/>
      <c r="O663" s="25"/>
      <c r="P663" s="437"/>
      <c r="Q663" s="437"/>
      <c r="R663" s="437"/>
      <c r="S663" s="437"/>
      <c r="T663" s="26"/>
    </row>
    <row r="664" spans="1:20" s="697" customFormat="1" ht="5.0999999999999996" customHeight="1" x14ac:dyDescent="0.2">
      <c r="A664" s="437"/>
      <c r="B664" s="414"/>
      <c r="C664" s="414"/>
      <c r="D664" s="414"/>
      <c r="E664" s="526"/>
      <c r="F664" s="526"/>
      <c r="G664" s="526"/>
      <c r="H664" s="526"/>
      <c r="I664" s="921"/>
      <c r="J664" s="921"/>
      <c r="K664" s="921"/>
      <c r="L664" s="921"/>
      <c r="M664" s="921"/>
      <c r="N664" s="526"/>
      <c r="O664" s="25"/>
      <c r="P664" s="437"/>
      <c r="Q664" s="437"/>
      <c r="R664" s="437"/>
      <c r="S664" s="437"/>
      <c r="T664" s="26"/>
    </row>
    <row r="665" spans="1:20" s="697" customFormat="1" x14ac:dyDescent="0.2">
      <c r="A665" s="437"/>
      <c r="B665" s="414"/>
      <c r="C665" s="414"/>
      <c r="D665" s="414"/>
      <c r="E665" s="1667" t="str">
        <f>Translations!$B$1623</f>
        <v>Kopējā enerģijas ielaide</v>
      </c>
      <c r="F665" s="1660"/>
      <c r="G665" s="1660"/>
      <c r="H665" s="466" t="str">
        <f>EUconst_TJpa</f>
        <v>TJ / gads</v>
      </c>
      <c r="I665" s="922" t="str">
        <f>IF($I645="","",IF(INDEX(F_ProductBM!I:I,MATCH($P665,F_ProductBM!$P:$P,0))="","",INDEX(F_ProductBM!I:I,MATCH($P665,F_ProductBM!$P:$P,0))))</f>
        <v/>
      </c>
      <c r="J665" s="922" t="str">
        <f>IF($I645="","",IF(INDEX(F_ProductBM!J:J,MATCH($P665,F_ProductBM!$P:$P,0))="","",INDEX(F_ProductBM!J:J,MATCH($P665,F_ProductBM!$P:$P,0))))</f>
        <v/>
      </c>
      <c r="K665" s="922" t="str">
        <f>IF($I645="","",IF(INDEX(F_ProductBM!K:K,MATCH($P665,F_ProductBM!$P:$P,0))="","",INDEX(F_ProductBM!K:K,MATCH($P665,F_ProductBM!$P:$P,0))))</f>
        <v/>
      </c>
      <c r="L665" s="922" t="str">
        <f>IF($I645="","",IF(INDEX(F_ProductBM!L:L,MATCH($P665,F_ProductBM!$P:$P,0))="","",INDEX(F_ProductBM!L:L,MATCH($P665,F_ProductBM!$P:$P,0))))</f>
        <v/>
      </c>
      <c r="M665" s="922" t="str">
        <f>IF($I645="","",IF(INDEX(F_ProductBM!M:M,MATCH($P665,F_ProductBM!$P:$P,0))="","",INDEX(F_ProductBM!M:M,MATCH($P665,F_ProductBM!$P:$P,0))))</f>
        <v/>
      </c>
      <c r="N665" s="823"/>
      <c r="O665" s="25"/>
      <c r="P665" s="822" t="str">
        <f>EUconst_CNTR_FuelInput &amp; I645</f>
        <v>FuelInput_</v>
      </c>
      <c r="Q665" s="437"/>
      <c r="R665" s="437"/>
      <c r="S665" s="437"/>
      <c r="T665" s="26"/>
    </row>
    <row r="666" spans="1:20" s="697" customFormat="1" ht="12.75" customHeight="1" x14ac:dyDescent="0.2">
      <c r="A666" s="437"/>
      <c r="B666" s="414"/>
      <c r="C666" s="414"/>
      <c r="D666" s="414"/>
      <c r="E666" s="1737" t="str">
        <f>Translations!$B$732</f>
        <v>Svērtais emisijas faktors</v>
      </c>
      <c r="F666" s="1659"/>
      <c r="G666" s="1659"/>
      <c r="H666" s="485" t="str">
        <f>EUconst_tCO2pTJ</f>
        <v>t CO2 / TJ</v>
      </c>
      <c r="I666" s="923" t="str">
        <f>IF($I645="","",IF(INDEX(F_ProductBM!I:I,MATCH($P666,F_ProductBM!$P:$P,0))="","",INDEX(F_ProductBM!I:I,MATCH($P666,F_ProductBM!$P:$P,0))))</f>
        <v/>
      </c>
      <c r="J666" s="923" t="str">
        <f>IF($I645="","",IF(INDEX(F_ProductBM!J:J,MATCH($P666,F_ProductBM!$P:$P,0))="","",INDEX(F_ProductBM!J:J,MATCH($P666,F_ProductBM!$P:$P,0))))</f>
        <v/>
      </c>
      <c r="K666" s="923" t="str">
        <f>IF($I645="","",IF(INDEX(F_ProductBM!K:K,MATCH($P666,F_ProductBM!$P:$P,0))="","",INDEX(F_ProductBM!K:K,MATCH($P666,F_ProductBM!$P:$P,0))))</f>
        <v/>
      </c>
      <c r="L666" s="923" t="str">
        <f>IF($I645="","",IF(INDEX(F_ProductBM!L:L,MATCH($P666,F_ProductBM!$P:$P,0))="","",INDEX(F_ProductBM!L:L,MATCH($P666,F_ProductBM!$P:$P,0))))</f>
        <v/>
      </c>
      <c r="M666" s="923" t="str">
        <f>IF($I645="","",IF(INDEX(F_ProductBM!M:M,MATCH($P666,F_ProductBM!$P:$P,0))="","",INDEX(F_ProductBM!M:M,MATCH($P666,F_ProductBM!$P:$P,0))))</f>
        <v/>
      </c>
      <c r="N666" s="823"/>
      <c r="O666" s="25"/>
      <c r="P666" s="367" t="str">
        <f>EUconst_CNTR_FuelEF &amp; I645</f>
        <v>FuelEF_</v>
      </c>
      <c r="Q666" s="437"/>
      <c r="R666" s="437"/>
      <c r="S666" s="437"/>
      <c r="T666" s="26"/>
    </row>
    <row r="667" spans="1:20" s="697" customFormat="1" ht="5.0999999999999996" customHeight="1" x14ac:dyDescent="0.2">
      <c r="A667" s="437"/>
      <c r="B667" s="414"/>
      <c r="C667" s="414"/>
      <c r="E667" s="526"/>
      <c r="F667" s="823"/>
      <c r="G667" s="823"/>
      <c r="H667" s="823"/>
      <c r="I667" s="924"/>
      <c r="J667" s="924"/>
      <c r="K667" s="924"/>
      <c r="L667" s="924"/>
      <c r="M667" s="924"/>
      <c r="N667" s="823"/>
      <c r="O667" s="25"/>
      <c r="P667" s="437"/>
      <c r="Q667" s="437"/>
      <c r="R667" s="437"/>
      <c r="S667" s="437"/>
      <c r="T667" s="26"/>
    </row>
    <row r="668" spans="1:20" s="697" customFormat="1" ht="12.75" customHeight="1" x14ac:dyDescent="0.2">
      <c r="A668" s="437"/>
      <c r="B668" s="414"/>
      <c r="C668" s="414"/>
      <c r="E668" s="1651" t="str">
        <f>Translations!$B$687</f>
        <v>Tiešās emisijas</v>
      </c>
      <c r="F668" s="1652"/>
      <c r="G668" s="1652"/>
      <c r="H668" s="465" t="str">
        <f>EUconst_tCO2pa</f>
        <v>t CO2 / gads</v>
      </c>
      <c r="I668" s="1103" t="str">
        <f>IF($I645="","",IF(INDEX(F_ProductBM!I:I,MATCH($P668,F_ProductBM!$P:$P,0))="","",INDEX(F_ProductBM!I:I,MATCH($P668,F_ProductBM!$P:$P,0))))</f>
        <v/>
      </c>
      <c r="J668" s="1103" t="str">
        <f>IF($I645="","",IF(INDEX(F_ProductBM!J:J,MATCH($P668,F_ProductBM!$P:$P,0))="","",INDEX(F_ProductBM!J:J,MATCH($P668,F_ProductBM!$P:$P,0))))</f>
        <v/>
      </c>
      <c r="K668" s="1103" t="str">
        <f>IF($I645="","",IF(INDEX(F_ProductBM!K:K,MATCH($P668,F_ProductBM!$P:$P,0))="","",INDEX(F_ProductBM!K:K,MATCH($P668,F_ProductBM!$P:$P,0))))</f>
        <v/>
      </c>
      <c r="L668" s="1103" t="str">
        <f>IF($I645="","",IF(INDEX(F_ProductBM!L:L,MATCH($P668,F_ProductBM!$P:$P,0))="","",INDEX(F_ProductBM!L:L,MATCH($P668,F_ProductBM!$P:$P,0))))</f>
        <v/>
      </c>
      <c r="M668" s="1103" t="str">
        <f>IF($I645="","",IF(INDEX(F_ProductBM!M:M,MATCH($P668,F_ProductBM!$P:$P,0))="","",INDEX(F_ProductBM!M:M,MATCH($P668,F_ProductBM!$P:$P,0))))</f>
        <v/>
      </c>
      <c r="N668" s="823"/>
      <c r="O668" s="25"/>
      <c r="P668" s="367" t="str">
        <f>EUconst_CNTR_Emissions &amp; I645</f>
        <v>DirEmissions_</v>
      </c>
      <c r="Q668" s="437"/>
      <c r="R668" s="437"/>
      <c r="S668" s="437"/>
      <c r="T668" s="26"/>
    </row>
    <row r="669" spans="1:20" s="697" customFormat="1" ht="12.75" customHeight="1" x14ac:dyDescent="0.2">
      <c r="A669" s="437"/>
      <c r="B669" s="414"/>
      <c r="C669" s="414"/>
      <c r="E669" s="1893" t="str">
        <f>Translations!$B$742</f>
        <v>Citas avota plūsmas, 1:</v>
      </c>
      <c r="F669" s="1893"/>
      <c r="G669" s="1893"/>
      <c r="H669" s="465" t="str">
        <f>EUconst_tCO2pa</f>
        <v>t CO2 / gads</v>
      </c>
      <c r="I669" s="1103" t="str">
        <f>IF($I645="","",IF(INDEX(F_ProductBM!I:I,MATCH($P669,F_ProductBM!$P:$P,0))="","",INDEX(F_ProductBM!I:I,MATCH($P669,F_ProductBM!$P:$P,0))))</f>
        <v/>
      </c>
      <c r="J669" s="1103" t="str">
        <f>IF($I645="","",IF(INDEX(F_ProductBM!J:J,MATCH($P669,F_ProductBM!$P:$P,0))="","",INDEX(F_ProductBM!J:J,MATCH($P669,F_ProductBM!$P:$P,0))))</f>
        <v/>
      </c>
      <c r="K669" s="1103" t="str">
        <f>IF($I645="","",IF(INDEX(F_ProductBM!K:K,MATCH($P669,F_ProductBM!$P:$P,0))="","",INDEX(F_ProductBM!K:K,MATCH($P669,F_ProductBM!$P:$P,0))))</f>
        <v/>
      </c>
      <c r="L669" s="1103" t="str">
        <f>IF($I645="","",IF(INDEX(F_ProductBM!L:L,MATCH($P669,F_ProductBM!$P:$P,0))="","",INDEX(F_ProductBM!L:L,MATCH($P669,F_ProductBM!$P:$P,0))))</f>
        <v/>
      </c>
      <c r="M669" s="1103" t="str">
        <f>IF($I645="","",IF(INDEX(F_ProductBM!M:M,MATCH($P669,F_ProductBM!$P:$P,0))="","",INDEX(F_ProductBM!M:M,MATCH($P669,F_ProductBM!$P:$P,0))))</f>
        <v/>
      </c>
      <c r="N669" s="823"/>
      <c r="O669" s="25"/>
      <c r="P669" s="367" t="str">
        <f>EUconst_CNTR_EmissionsIntSource1 &amp; I645</f>
        <v>EmInternalSource1_</v>
      </c>
      <c r="Q669" s="437"/>
      <c r="R669" s="437"/>
      <c r="S669" s="437"/>
      <c r="T669" s="26"/>
    </row>
    <row r="670" spans="1:20" s="697" customFormat="1" ht="12.75" customHeight="1" x14ac:dyDescent="0.2">
      <c r="A670" s="437"/>
      <c r="B670" s="414"/>
      <c r="C670" s="414"/>
      <c r="E670" s="1893" t="str">
        <f>Translations!$B$752</f>
        <v>Citas avota plūsmas, 2:</v>
      </c>
      <c r="F670" s="1893"/>
      <c r="G670" s="1893"/>
      <c r="H670" s="465" t="str">
        <f>EUconst_tCO2pa</f>
        <v>t CO2 / gads</v>
      </c>
      <c r="I670" s="1103" t="str">
        <f>IF($I645="","",IF(INDEX(F_ProductBM!I:I,MATCH($P670,F_ProductBM!$P:$P,0))="","",INDEX(F_ProductBM!I:I,MATCH($P670,F_ProductBM!$P:$P,0))))</f>
        <v/>
      </c>
      <c r="J670" s="1103" t="str">
        <f>IF($I645="","",IF(INDEX(F_ProductBM!J:J,MATCH($P670,F_ProductBM!$P:$P,0))="","",INDEX(F_ProductBM!J:J,MATCH($P670,F_ProductBM!$P:$P,0))))</f>
        <v/>
      </c>
      <c r="K670" s="1103" t="str">
        <f>IF($I645="","",IF(INDEX(F_ProductBM!K:K,MATCH($P670,F_ProductBM!$P:$P,0))="","",INDEX(F_ProductBM!K:K,MATCH($P670,F_ProductBM!$P:$P,0))))</f>
        <v/>
      </c>
      <c r="L670" s="1103" t="str">
        <f>IF($I645="","",IF(INDEX(F_ProductBM!L:L,MATCH($P670,F_ProductBM!$P:$P,0))="","",INDEX(F_ProductBM!L:L,MATCH($P670,F_ProductBM!$P:$P,0))))</f>
        <v/>
      </c>
      <c r="M670" s="1103" t="str">
        <f>IF($I645="","",IF(INDEX(F_ProductBM!M:M,MATCH($P670,F_ProductBM!$P:$P,0))="","",INDEX(F_ProductBM!M:M,MATCH($P670,F_ProductBM!$P:$P,0))))</f>
        <v/>
      </c>
      <c r="N670" s="823"/>
      <c r="O670" s="25"/>
      <c r="P670" s="367" t="str">
        <f>EUconst_CNTR_EmissionsIntSource2 &amp; I645</f>
        <v>EmInternalSource2_</v>
      </c>
      <c r="Q670" s="437"/>
      <c r="R670" s="437"/>
      <c r="S670" s="437"/>
      <c r="T670" s="26"/>
    </row>
    <row r="671" spans="1:20" s="697" customFormat="1" ht="12.75" customHeight="1" x14ac:dyDescent="0.2">
      <c r="A671" s="437"/>
      <c r="B671" s="414"/>
      <c r="C671" s="414"/>
      <c r="D671" s="414"/>
      <c r="E671" s="1651" t="str">
        <f>Translations!$B$756</f>
        <v>Importētās vai eksportētās SEG</v>
      </c>
      <c r="F671" s="1652"/>
      <c r="G671" s="1652"/>
      <c r="H671" s="465" t="str">
        <f>EUconst_tCO2epa</f>
        <v>t CO2e/gads</v>
      </c>
      <c r="I671" s="1103" t="str">
        <f>IF($I645="","",IF(INDEX(F_ProductBM!I:I,MATCH($P671,F_ProductBM!$P:$P,0))="","",INDEX(F_ProductBM!I:I,MATCH($P671,F_ProductBM!$P:$P,0))))</f>
        <v/>
      </c>
      <c r="J671" s="1103" t="str">
        <f>IF($I645="","",IF(INDEX(F_ProductBM!J:J,MATCH($P671,F_ProductBM!$P:$P,0))="","",INDEX(F_ProductBM!J:J,MATCH($P671,F_ProductBM!$P:$P,0))))</f>
        <v/>
      </c>
      <c r="K671" s="1103" t="str">
        <f>IF($I645="","",IF(INDEX(F_ProductBM!K:K,MATCH($P671,F_ProductBM!$P:$P,0))="","",INDEX(F_ProductBM!K:K,MATCH($P671,F_ProductBM!$P:$P,0))))</f>
        <v/>
      </c>
      <c r="L671" s="1103" t="str">
        <f>IF($I645="","",IF(INDEX(F_ProductBM!L:L,MATCH($P671,F_ProductBM!$P:$P,0))="","",INDEX(F_ProductBM!L:L,MATCH($P671,F_ProductBM!$P:$P,0))))</f>
        <v/>
      </c>
      <c r="M671" s="1103" t="str">
        <f>IF($I645="","",IF(INDEX(F_ProductBM!M:M,MATCH($P671,F_ProductBM!$P:$P,0))="","",INDEX(F_ProductBM!M:M,MATCH($P671,F_ProductBM!$P:$P,0))))</f>
        <v/>
      </c>
      <c r="N671" s="823"/>
      <c r="O671" s="25"/>
      <c r="P671" s="367" t="str">
        <f>EUconst_CNTR_CO2Feedstock &amp; I645</f>
        <v>EmCO2Feedstock_</v>
      </c>
      <c r="Q671" s="437"/>
      <c r="R671" s="437"/>
      <c r="S671" s="437"/>
      <c r="T671" s="26"/>
    </row>
    <row r="672" spans="1:20" s="697" customFormat="1" ht="5.0999999999999996" customHeight="1" x14ac:dyDescent="0.2">
      <c r="A672" s="437"/>
      <c r="B672" s="414"/>
      <c r="C672" s="414"/>
      <c r="D672" s="414"/>
      <c r="E672" s="823"/>
      <c r="F672" s="823"/>
      <c r="G672" s="823"/>
      <c r="H672" s="823"/>
      <c r="I672" s="924"/>
      <c r="J672" s="924"/>
      <c r="K672" s="924"/>
      <c r="L672" s="924"/>
      <c r="M672" s="924"/>
      <c r="N672" s="823"/>
      <c r="O672" s="25"/>
      <c r="P672" s="437"/>
      <c r="Q672" s="437"/>
      <c r="R672" s="437"/>
      <c r="S672" s="437"/>
      <c r="T672" s="26"/>
    </row>
    <row r="673" spans="1:20" s="697" customFormat="1" ht="12.75" customHeight="1" x14ac:dyDescent="0.2">
      <c r="A673" s="437"/>
      <c r="B673" s="414"/>
      <c r="C673" s="414"/>
      <c r="D673" s="414"/>
      <c r="E673" s="1667" t="str">
        <f>Translations!$B$764</f>
        <v>Neto importētais siltums</v>
      </c>
      <c r="F673" s="1660"/>
      <c r="G673" s="1660"/>
      <c r="H673" s="466" t="str">
        <f>EUconst_TJpa</f>
        <v>TJ / gads</v>
      </c>
      <c r="I673" s="922" t="str">
        <f>IF($I645="","",IF(INDEX(F_ProductBM!I:I,MATCH($P673,F_ProductBM!$P:$P,0))="","",INDEX(F_ProductBM!I:I,MATCH($P673,F_ProductBM!$P:$P,0))))</f>
        <v/>
      </c>
      <c r="J673" s="922" t="str">
        <f>IF($I645="","",IF(INDEX(F_ProductBM!J:J,MATCH($P673,F_ProductBM!$P:$P,0))="","",INDEX(F_ProductBM!J:J,MATCH($P673,F_ProductBM!$P:$P,0))))</f>
        <v/>
      </c>
      <c r="K673" s="922" t="str">
        <f>IF($I645="","",IF(INDEX(F_ProductBM!K:K,MATCH($P673,F_ProductBM!$P:$P,0))="","",INDEX(F_ProductBM!K:K,MATCH($P673,F_ProductBM!$P:$P,0))))</f>
        <v/>
      </c>
      <c r="L673" s="922" t="str">
        <f>IF($I645="","",IF(INDEX(F_ProductBM!L:L,MATCH($P673,F_ProductBM!$P:$P,0))="","",INDEX(F_ProductBM!L:L,MATCH($P673,F_ProductBM!$P:$P,0))))</f>
        <v/>
      </c>
      <c r="M673" s="922" t="str">
        <f>IF($I645="","",IF(INDEX(F_ProductBM!M:M,MATCH($P673,F_ProductBM!$P:$P,0))="","",INDEX(F_ProductBM!M:M,MATCH($P673,F_ProductBM!$P:$P,0))))</f>
        <v/>
      </c>
      <c r="N673" s="823"/>
      <c r="O673" s="25"/>
      <c r="P673" s="367" t="str">
        <f>EUconst_CNTR_HeatImport &amp; I645</f>
        <v>HeatIm_</v>
      </c>
      <c r="Q673" s="437"/>
      <c r="R673" s="437"/>
      <c r="S673" s="437"/>
      <c r="T673" s="26"/>
    </row>
    <row r="674" spans="1:20" s="697" customFormat="1" ht="12.75" customHeight="1" x14ac:dyDescent="0.2">
      <c r="A674" s="437"/>
      <c r="B674" s="414"/>
      <c r="C674" s="414"/>
      <c r="D674" s="414"/>
      <c r="E674" s="1737" t="str">
        <f>Translations!$B$765</f>
        <v>Īpatnējais EF (importētais siltums)</v>
      </c>
      <c r="F674" s="1659"/>
      <c r="G674" s="1659"/>
      <c r="H674" s="485" t="str">
        <f>EUconst_tCO2pTJ</f>
        <v>t CO2 / TJ</v>
      </c>
      <c r="I674" s="923" t="str">
        <f>IF($I645="","",IF(INDEX(F_ProductBM!I:I,MATCH($P674,F_ProductBM!$P:$P,0))="","",INDEX(F_ProductBM!I:I,MATCH($P674,F_ProductBM!$P:$P,0))))</f>
        <v/>
      </c>
      <c r="J674" s="923" t="str">
        <f>IF($I645="","",IF(INDEX(F_ProductBM!J:J,MATCH($P674,F_ProductBM!$P:$P,0))="","",INDEX(F_ProductBM!J:J,MATCH($P674,F_ProductBM!$P:$P,0))))</f>
        <v/>
      </c>
      <c r="K674" s="923" t="str">
        <f>IF($I645="","",IF(INDEX(F_ProductBM!K:K,MATCH($P674,F_ProductBM!$P:$P,0))="","",INDEX(F_ProductBM!K:K,MATCH($P674,F_ProductBM!$P:$P,0))))</f>
        <v/>
      </c>
      <c r="L674" s="923" t="str">
        <f>IF($I645="","",IF(INDEX(F_ProductBM!L:L,MATCH($P674,F_ProductBM!$P:$P,0))="","",INDEX(F_ProductBM!L:L,MATCH($P674,F_ProductBM!$P:$P,0))))</f>
        <v/>
      </c>
      <c r="M674" s="923" t="str">
        <f>IF($I645="","",IF(INDEX(F_ProductBM!M:M,MATCH($P674,F_ProductBM!$P:$P,0))="","",INDEX(F_ProductBM!M:M,MATCH($P674,F_ProductBM!$P:$P,0))))</f>
        <v/>
      </c>
      <c r="N674" s="823"/>
      <c r="O674" s="25"/>
      <c r="P674" s="367" t="str">
        <f>EUconst_CNTR_HeatImportEF &amp; I645</f>
        <v>HeatImEF_</v>
      </c>
      <c r="Q674" s="437"/>
      <c r="R674" s="437"/>
      <c r="S674" s="437"/>
      <c r="T674" s="26"/>
    </row>
    <row r="675" spans="1:20" s="697" customFormat="1" ht="5.0999999999999996" customHeight="1" x14ac:dyDescent="0.2">
      <c r="A675" s="437"/>
      <c r="B675" s="414"/>
      <c r="C675" s="414"/>
      <c r="D675" s="414"/>
      <c r="E675" s="526"/>
      <c r="F675" s="823"/>
      <c r="G675" s="823"/>
      <c r="H675" s="823"/>
      <c r="I675" s="924"/>
      <c r="J675" s="924"/>
      <c r="K675" s="924"/>
      <c r="L675" s="924"/>
      <c r="M675" s="924"/>
      <c r="N675" s="823"/>
      <c r="O675" s="25"/>
      <c r="P675" s="26"/>
      <c r="Q675" s="437"/>
      <c r="R675" s="437"/>
      <c r="S675" s="437"/>
      <c r="T675" s="26"/>
    </row>
    <row r="676" spans="1:20" s="697" customFormat="1" ht="12.75" customHeight="1" x14ac:dyDescent="0.2">
      <c r="A676" s="437"/>
      <c r="B676" s="414"/>
      <c r="C676" s="414"/>
      <c r="D676" s="414"/>
      <c r="E676" s="1651" t="str">
        <f>Translations!$B$820</f>
        <v>No pulpas apakšiekārtām importētais neto siltums</v>
      </c>
      <c r="F676" s="1652"/>
      <c r="G676" s="1652"/>
      <c r="H676" s="465" t="str">
        <f>EUconst_TJpa</f>
        <v>TJ / gads</v>
      </c>
      <c r="I676" s="925" t="str">
        <f>IF($I645="","",IF(INDEX(F_ProductBM!I:I,MATCH($P676,F_ProductBM!$P:$P,0))="","",INDEX(F_ProductBM!I:I,MATCH($P676,F_ProductBM!$P:$P,0))))</f>
        <v/>
      </c>
      <c r="J676" s="925" t="str">
        <f>IF($I645="","",IF(INDEX(F_ProductBM!J:J,MATCH($P676,F_ProductBM!$P:$P,0))="","",INDEX(F_ProductBM!J:J,MATCH($P676,F_ProductBM!$P:$P,0))))</f>
        <v/>
      </c>
      <c r="K676" s="925" t="str">
        <f>IF($I645="","",IF(INDEX(F_ProductBM!K:K,MATCH($P676,F_ProductBM!$P:$P,0))="","",INDEX(F_ProductBM!K:K,MATCH($P676,F_ProductBM!$P:$P,0))))</f>
        <v/>
      </c>
      <c r="L676" s="925" t="str">
        <f>IF($I645="","",IF(INDEX(F_ProductBM!L:L,MATCH($P676,F_ProductBM!$P:$P,0))="","",INDEX(F_ProductBM!L:L,MATCH($P676,F_ProductBM!$P:$P,0))))</f>
        <v/>
      </c>
      <c r="M676" s="925" t="str">
        <f>IF($I645="","",IF(INDEX(F_ProductBM!M:M,MATCH($P676,F_ProductBM!$P:$P,0))="","",INDEX(F_ProductBM!M:M,MATCH($P676,F_ProductBM!$P:$P,0))))</f>
        <v/>
      </c>
      <c r="N676" s="823"/>
      <c r="O676" s="25"/>
      <c r="P676" s="367" t="str">
        <f>EUconst_CNTR_HeatImportPulp &amp; I645</f>
        <v>HeatImPulp_</v>
      </c>
      <c r="Q676" s="437"/>
      <c r="R676" s="437"/>
      <c r="S676" s="437"/>
      <c r="T676" s="26"/>
    </row>
    <row r="677" spans="1:20" s="697" customFormat="1" ht="12.75" customHeight="1" x14ac:dyDescent="0.2">
      <c r="A677" s="437"/>
      <c r="B677" s="414"/>
      <c r="C677" s="414"/>
      <c r="D677" s="414"/>
      <c r="E677" s="1651" t="str">
        <f>Translations!$B$768</f>
        <v>No slāpekļskābes apakšiekārtas importētais neto siltums</v>
      </c>
      <c r="F677" s="1652"/>
      <c r="G677" s="1652"/>
      <c r="H677" s="465" t="str">
        <f>EUconst_TJpa</f>
        <v>TJ / gads</v>
      </c>
      <c r="I677" s="925" t="str">
        <f>IF($I645="","",IF(INDEX(F_ProductBM!I:I,MATCH($P677,F_ProductBM!$P:$P,0))="","",INDEX(F_ProductBM!I:I,MATCH($P677,F_ProductBM!$P:$P,0))))</f>
        <v/>
      </c>
      <c r="J677" s="925" t="str">
        <f>IF($I645="","",IF(INDEX(F_ProductBM!J:J,MATCH($P677,F_ProductBM!$P:$P,0))="","",INDEX(F_ProductBM!J:J,MATCH($P677,F_ProductBM!$P:$P,0))))</f>
        <v/>
      </c>
      <c r="K677" s="925" t="str">
        <f>IF($I645="","",IF(INDEX(F_ProductBM!K:K,MATCH($P677,F_ProductBM!$P:$P,0))="","",INDEX(F_ProductBM!K:K,MATCH($P677,F_ProductBM!$P:$P,0))))</f>
        <v/>
      </c>
      <c r="L677" s="925" t="str">
        <f>IF($I645="","",IF(INDEX(F_ProductBM!L:L,MATCH($P677,F_ProductBM!$P:$P,0))="","",INDEX(F_ProductBM!L:L,MATCH($P677,F_ProductBM!$P:$P,0))))</f>
        <v/>
      </c>
      <c r="M677" s="925" t="str">
        <f>IF($I645="","",IF(INDEX(F_ProductBM!M:M,MATCH($P677,F_ProductBM!$P:$P,0))="","",INDEX(F_ProductBM!M:M,MATCH($P677,F_ProductBM!$P:$P,0))))</f>
        <v/>
      </c>
      <c r="N677" s="823"/>
      <c r="O677" s="25"/>
      <c r="P677" s="367" t="str">
        <f>EUconst_CNTR_HeatImportNitric &amp; I645</f>
        <v>HeatImNitric_</v>
      </c>
      <c r="Q677" s="437"/>
      <c r="R677" s="437"/>
      <c r="S677" s="437"/>
      <c r="T677" s="26"/>
    </row>
    <row r="678" spans="1:20" s="697" customFormat="1" ht="5.0999999999999996" customHeight="1" x14ac:dyDescent="0.2">
      <c r="A678" s="437"/>
      <c r="B678" s="414"/>
      <c r="C678" s="414"/>
      <c r="D678" s="414"/>
      <c r="E678" s="526"/>
      <c r="F678" s="526"/>
      <c r="G678" s="526"/>
      <c r="H678" s="526"/>
      <c r="I678" s="924"/>
      <c r="J678" s="924"/>
      <c r="K678" s="924"/>
      <c r="L678" s="924"/>
      <c r="M678" s="924"/>
      <c r="N678" s="823"/>
      <c r="O678" s="25"/>
      <c r="P678" s="26"/>
      <c r="Q678" s="437"/>
      <c r="R678" s="437"/>
      <c r="S678" s="437"/>
      <c r="T678" s="26"/>
    </row>
    <row r="679" spans="1:20" s="697" customFormat="1" ht="12.75" customHeight="1" x14ac:dyDescent="0.2">
      <c r="A679" s="437"/>
      <c r="B679" s="414"/>
      <c r="C679" s="414"/>
      <c r="D679" s="414"/>
      <c r="E679" s="1667" t="str">
        <f>Translations!$B$770</f>
        <v>Neto eksportētais siltums</v>
      </c>
      <c r="F679" s="1660"/>
      <c r="G679" s="1660"/>
      <c r="H679" s="466" t="str">
        <f>EUconst_TJpa</f>
        <v>TJ / gads</v>
      </c>
      <c r="I679" s="922" t="str">
        <f>IF($I645="","",IF(INDEX(F_ProductBM!I:I,MATCH($P679,F_ProductBM!$P:$P,0))="","",INDEX(F_ProductBM!I:I,MATCH($P679,F_ProductBM!$P:$P,0))))</f>
        <v/>
      </c>
      <c r="J679" s="922" t="str">
        <f>IF($I645="","",IF(INDEX(F_ProductBM!J:J,MATCH($P679,F_ProductBM!$P:$P,0))="","",INDEX(F_ProductBM!J:J,MATCH($P679,F_ProductBM!$P:$P,0))))</f>
        <v/>
      </c>
      <c r="K679" s="922" t="str">
        <f>IF($I645="","",IF(INDEX(F_ProductBM!K:K,MATCH($P679,F_ProductBM!$P:$P,0))="","",INDEX(F_ProductBM!K:K,MATCH($P679,F_ProductBM!$P:$P,0))))</f>
        <v/>
      </c>
      <c r="L679" s="922" t="str">
        <f>IF($I645="","",IF(INDEX(F_ProductBM!L:L,MATCH($P679,F_ProductBM!$P:$P,0))="","",INDEX(F_ProductBM!L:L,MATCH($P679,F_ProductBM!$P:$P,0))))</f>
        <v/>
      </c>
      <c r="M679" s="922" t="str">
        <f>IF($I645="","",IF(INDEX(F_ProductBM!M:M,MATCH($P679,F_ProductBM!$P:$P,0))="","",INDEX(F_ProductBM!M:M,MATCH($P679,F_ProductBM!$P:$P,0))))</f>
        <v/>
      </c>
      <c r="N679" s="823"/>
      <c r="O679" s="25"/>
      <c r="P679" s="367" t="str">
        <f>EUconst_CNTR_HeatExport &amp; I645</f>
        <v>HeatEx_</v>
      </c>
      <c r="Q679" s="437"/>
      <c r="R679" s="437"/>
      <c r="S679" s="437"/>
      <c r="T679" s="26"/>
    </row>
    <row r="680" spans="1:20" s="697" customFormat="1" ht="12.75" customHeight="1" x14ac:dyDescent="0.2">
      <c r="A680" s="437"/>
      <c r="B680" s="414"/>
      <c r="C680" s="414"/>
      <c r="D680" s="414"/>
      <c r="E680" s="1737" t="str">
        <f>Translations!$B$771</f>
        <v>Īpatnējais EF (eksportētais siltums)</v>
      </c>
      <c r="F680" s="1659"/>
      <c r="G680" s="1659"/>
      <c r="H680" s="485" t="str">
        <f>EUconst_tCO2pTJ</f>
        <v>t CO2 / TJ</v>
      </c>
      <c r="I680" s="923" t="str">
        <f>IF($I645="","",IF(INDEX(F_ProductBM!I:I,MATCH($P680,F_ProductBM!$P:$P,0))="","",INDEX(F_ProductBM!I:I,MATCH($P680,F_ProductBM!$P:$P,0))))</f>
        <v/>
      </c>
      <c r="J680" s="923" t="str">
        <f>IF($I645="","",IF(INDEX(F_ProductBM!J:J,MATCH($P680,F_ProductBM!$P:$P,0))="","",INDEX(F_ProductBM!J:J,MATCH($P680,F_ProductBM!$P:$P,0))))</f>
        <v/>
      </c>
      <c r="K680" s="923" t="str">
        <f>IF($I645="","",IF(INDEX(F_ProductBM!K:K,MATCH($P680,F_ProductBM!$P:$P,0))="","",INDEX(F_ProductBM!K:K,MATCH($P680,F_ProductBM!$P:$P,0))))</f>
        <v/>
      </c>
      <c r="L680" s="923" t="str">
        <f>IF($I645="","",IF(INDEX(F_ProductBM!L:L,MATCH($P680,F_ProductBM!$P:$P,0))="","",INDEX(F_ProductBM!L:L,MATCH($P680,F_ProductBM!$P:$P,0))))</f>
        <v/>
      </c>
      <c r="M680" s="923" t="str">
        <f>IF($I645="","",IF(INDEX(F_ProductBM!M:M,MATCH($P680,F_ProductBM!$P:$P,0))="","",INDEX(F_ProductBM!M:M,MATCH($P680,F_ProductBM!$P:$P,0))))</f>
        <v/>
      </c>
      <c r="N680" s="823"/>
      <c r="O680" s="25"/>
      <c r="P680" s="367" t="str">
        <f>EUconst_CNTR_HeatExportEF &amp; I645</f>
        <v>HeatExEF_</v>
      </c>
      <c r="Q680" s="437"/>
      <c r="R680" s="437"/>
      <c r="S680" s="437"/>
      <c r="T680" s="26"/>
    </row>
    <row r="681" spans="1:20" s="697" customFormat="1" ht="5.0999999999999996" customHeight="1" x14ac:dyDescent="0.2">
      <c r="A681" s="437"/>
      <c r="B681" s="414"/>
      <c r="C681" s="414"/>
      <c r="D681" s="414"/>
      <c r="E681" s="526"/>
      <c r="F681" s="526"/>
      <c r="G681" s="526"/>
      <c r="H681" s="526"/>
      <c r="I681" s="924"/>
      <c r="J681" s="924"/>
      <c r="K681" s="924"/>
      <c r="L681" s="924"/>
      <c r="M681" s="924"/>
      <c r="N681" s="823"/>
      <c r="O681" s="25"/>
      <c r="P681" s="199"/>
      <c r="Q681" s="437"/>
      <c r="R681" s="437"/>
      <c r="S681" s="437"/>
      <c r="T681" s="26"/>
    </row>
    <row r="682" spans="1:20" s="697" customFormat="1" ht="12.75" customHeight="1" x14ac:dyDescent="0.2">
      <c r="A682" s="437"/>
      <c r="B682" s="414"/>
      <c r="C682" s="414"/>
      <c r="D682" s="414"/>
      <c r="E682" s="1667" t="str">
        <f>Translations!$B$778</f>
        <v>Radusies atlikumgāze</v>
      </c>
      <c r="F682" s="1660"/>
      <c r="G682" s="1660"/>
      <c r="H682" s="466" t="str">
        <f>EUconst_TJpa</f>
        <v>TJ / gads</v>
      </c>
      <c r="I682" s="922" t="str">
        <f>IF($I645="","",IF(INDEX(F_ProductBM!I:I,MATCH($P682,F_ProductBM!$P:$P,0))="","",INDEX(F_ProductBM!I:I,MATCH($P682,F_ProductBM!$P:$P,0))))</f>
        <v/>
      </c>
      <c r="J682" s="922" t="str">
        <f>IF($I645="","",IF(INDEX(F_ProductBM!J:J,MATCH($P682,F_ProductBM!$P:$P,0))="","",INDEX(F_ProductBM!J:J,MATCH($P682,F_ProductBM!$P:$P,0))))</f>
        <v/>
      </c>
      <c r="K682" s="922" t="str">
        <f>IF($I645="","",IF(INDEX(F_ProductBM!K:K,MATCH($P682,F_ProductBM!$P:$P,0))="","",INDEX(F_ProductBM!K:K,MATCH($P682,F_ProductBM!$P:$P,0))))</f>
        <v/>
      </c>
      <c r="L682" s="922" t="str">
        <f>IF($I645="","",IF(INDEX(F_ProductBM!L:L,MATCH($P682,F_ProductBM!$P:$P,0))="","",INDEX(F_ProductBM!L:L,MATCH($P682,F_ProductBM!$P:$P,0))))</f>
        <v/>
      </c>
      <c r="M682" s="922" t="str">
        <f>IF($I645="","",IF(INDEX(F_ProductBM!M:M,MATCH($P682,F_ProductBM!$P:$P,0))="","",INDEX(F_ProductBM!M:M,MATCH($P682,F_ProductBM!$P:$P,0))))</f>
        <v/>
      </c>
      <c r="N682" s="823"/>
      <c r="O682" s="25"/>
      <c r="P682" s="822" t="str">
        <f>EUconst_CNTR_WGProduced &amp; I645</f>
        <v>WasteGasProd_</v>
      </c>
      <c r="Q682" s="437"/>
      <c r="R682" s="437"/>
      <c r="S682" s="437"/>
      <c r="T682" s="26"/>
    </row>
    <row r="683" spans="1:20" s="697" customFormat="1" ht="12.75" customHeight="1" x14ac:dyDescent="0.2">
      <c r="A683" s="437"/>
      <c r="B683" s="414"/>
      <c r="C683" s="414"/>
      <c r="D683" s="414"/>
      <c r="E683" s="1737" t="str">
        <f>Translations!$B$779</f>
        <v>Īpatnējais EF (radusies atlikumgāze)</v>
      </c>
      <c r="F683" s="1659"/>
      <c r="G683" s="1659"/>
      <c r="H683" s="485" t="str">
        <f>EUconst_tCO2pTJ</f>
        <v>t CO2 / TJ</v>
      </c>
      <c r="I683" s="923" t="str">
        <f>IF($I645="","",IF(INDEX(F_ProductBM!I:I,MATCH($P683,F_ProductBM!$P:$P,0))="","",INDEX(F_ProductBM!I:I,MATCH($P683,F_ProductBM!$P:$P,0))))</f>
        <v/>
      </c>
      <c r="J683" s="923" t="str">
        <f>IF($I645="","",IF(INDEX(F_ProductBM!J:J,MATCH($P683,F_ProductBM!$P:$P,0))="","",INDEX(F_ProductBM!J:J,MATCH($P683,F_ProductBM!$P:$P,0))))</f>
        <v/>
      </c>
      <c r="K683" s="923" t="str">
        <f>IF($I645="","",IF(INDEX(F_ProductBM!K:K,MATCH($P683,F_ProductBM!$P:$P,0))="","",INDEX(F_ProductBM!K:K,MATCH($P683,F_ProductBM!$P:$P,0))))</f>
        <v/>
      </c>
      <c r="L683" s="923" t="str">
        <f>IF($I645="","",IF(INDEX(F_ProductBM!L:L,MATCH($P683,F_ProductBM!$P:$P,0))="","",INDEX(F_ProductBM!L:L,MATCH($P683,F_ProductBM!$P:$P,0))))</f>
        <v/>
      </c>
      <c r="M683" s="923" t="str">
        <f>IF($I645="","",IF(INDEX(F_ProductBM!M:M,MATCH($P683,F_ProductBM!$P:$P,0))="","",INDEX(F_ProductBM!M:M,MATCH($P683,F_ProductBM!$P:$P,0))))</f>
        <v/>
      </c>
      <c r="N683" s="823"/>
      <c r="O683" s="25"/>
      <c r="P683" s="367" t="str">
        <f>EUconst_CNTR_WGProducedEF &amp; I645</f>
        <v>WasteGasProdEF_</v>
      </c>
      <c r="Q683" s="437"/>
      <c r="R683" s="437"/>
      <c r="S683" s="437"/>
      <c r="T683" s="26"/>
    </row>
    <row r="684" spans="1:20" s="697" customFormat="1" ht="12.75" customHeight="1" x14ac:dyDescent="0.2">
      <c r="A684" s="437"/>
      <c r="B684" s="414"/>
      <c r="C684" s="414"/>
      <c r="D684" s="414"/>
      <c r="E684" s="1667" t="str">
        <f>Translations!$B$783</f>
        <v>Patērētā atlikumgāze</v>
      </c>
      <c r="F684" s="1660"/>
      <c r="G684" s="1660"/>
      <c r="H684" s="466" t="str">
        <f>EUconst_TJpa</f>
        <v>TJ / gads</v>
      </c>
      <c r="I684" s="922" t="str">
        <f>IF($I645="","",IF(INDEX(F_ProductBM!I:I,MATCH($P684,F_ProductBM!$P:$P,0))="","",INDEX(F_ProductBM!I:I,MATCH($P684,F_ProductBM!$P:$P,0))))</f>
        <v/>
      </c>
      <c r="J684" s="922" t="str">
        <f>IF($I645="","",IF(INDEX(F_ProductBM!J:J,MATCH($P684,F_ProductBM!$P:$P,0))="","",INDEX(F_ProductBM!J:J,MATCH($P684,F_ProductBM!$P:$P,0))))</f>
        <v/>
      </c>
      <c r="K684" s="922" t="str">
        <f>IF($I645="","",IF(INDEX(F_ProductBM!K:K,MATCH($P684,F_ProductBM!$P:$P,0))="","",INDEX(F_ProductBM!K:K,MATCH($P684,F_ProductBM!$P:$P,0))))</f>
        <v/>
      </c>
      <c r="L684" s="922" t="str">
        <f>IF($I645="","",IF(INDEX(F_ProductBM!L:L,MATCH($P684,F_ProductBM!$P:$P,0))="","",INDEX(F_ProductBM!L:L,MATCH($P684,F_ProductBM!$P:$P,0))))</f>
        <v/>
      </c>
      <c r="M684" s="922" t="str">
        <f>IF($I645="","",IF(INDEX(F_ProductBM!M:M,MATCH($P684,F_ProductBM!$P:$P,0))="","",INDEX(F_ProductBM!M:M,MATCH($P684,F_ProductBM!$P:$P,0))))</f>
        <v/>
      </c>
      <c r="N684" s="823"/>
      <c r="O684" s="25"/>
      <c r="P684" s="367" t="str">
        <f>EUconst_CNTR_WGConsumed &amp; I645</f>
        <v>WasteGasCons_</v>
      </c>
      <c r="Q684" s="437"/>
      <c r="R684" s="437"/>
      <c r="S684" s="437"/>
      <c r="T684" s="26"/>
    </row>
    <row r="685" spans="1:20" s="697" customFormat="1" ht="12.75" customHeight="1" x14ac:dyDescent="0.2">
      <c r="A685" s="437"/>
      <c r="B685" s="414"/>
      <c r="C685" s="414"/>
      <c r="D685" s="414"/>
      <c r="E685" s="1737" t="str">
        <f>Translations!$B$784</f>
        <v>Īpatnējais EF (patērētā atlikumgāze)</v>
      </c>
      <c r="F685" s="1659"/>
      <c r="G685" s="1659"/>
      <c r="H685" s="485" t="str">
        <f>EUconst_tCO2pTJ</f>
        <v>t CO2 / TJ</v>
      </c>
      <c r="I685" s="923" t="str">
        <f>IF($I645="","",IF(INDEX(F_ProductBM!I:I,MATCH($P685,F_ProductBM!$P:$P,0))="","",INDEX(F_ProductBM!I:I,MATCH($P685,F_ProductBM!$P:$P,0))))</f>
        <v/>
      </c>
      <c r="J685" s="923" t="str">
        <f>IF($I645="","",IF(INDEX(F_ProductBM!J:J,MATCH($P685,F_ProductBM!$P:$P,0))="","",INDEX(F_ProductBM!J:J,MATCH($P685,F_ProductBM!$P:$P,0))))</f>
        <v/>
      </c>
      <c r="K685" s="923" t="str">
        <f>IF($I645="","",IF(INDEX(F_ProductBM!K:K,MATCH($P685,F_ProductBM!$P:$P,0))="","",INDEX(F_ProductBM!K:K,MATCH($P685,F_ProductBM!$P:$P,0))))</f>
        <v/>
      </c>
      <c r="L685" s="923" t="str">
        <f>IF($I645="","",IF(INDEX(F_ProductBM!L:L,MATCH($P685,F_ProductBM!$P:$P,0))="","",INDEX(F_ProductBM!L:L,MATCH($P685,F_ProductBM!$P:$P,0))))</f>
        <v/>
      </c>
      <c r="M685" s="923" t="str">
        <f>IF($I645="","",IF(INDEX(F_ProductBM!M:M,MATCH($P685,F_ProductBM!$P:$P,0))="","",INDEX(F_ProductBM!M:M,MATCH($P685,F_ProductBM!$P:$P,0))))</f>
        <v/>
      </c>
      <c r="N685" s="823"/>
      <c r="O685" s="25"/>
      <c r="P685" s="367" t="str">
        <f>EUconst_CNTR_WGConsumedEF &amp; I645</f>
        <v>WasteGasConsEF_</v>
      </c>
      <c r="Q685" s="437"/>
      <c r="R685" s="437"/>
      <c r="S685" s="437"/>
      <c r="T685" s="26"/>
    </row>
    <row r="686" spans="1:20" s="697" customFormat="1" ht="12.75" customHeight="1" x14ac:dyDescent="0.2">
      <c r="A686" s="437"/>
      <c r="B686" s="414"/>
      <c r="C686" s="414"/>
      <c r="D686" s="414"/>
      <c r="E686" s="1667" t="str">
        <f>Translations!$B$790</f>
        <v>Lāpā sadedzinātā atlikumgāze</v>
      </c>
      <c r="F686" s="1660"/>
      <c r="G686" s="1660"/>
      <c r="H686" s="466" t="str">
        <f>EUconst_TJpa</f>
        <v>TJ / gads</v>
      </c>
      <c r="I686" s="922" t="str">
        <f>IF($I645="","",IF(INDEX(F_ProductBM!I:I,MATCH($P686,F_ProductBM!$P:$P,0))="","",INDEX(F_ProductBM!I:I,MATCH($P686,F_ProductBM!$P:$P,0))))</f>
        <v/>
      </c>
      <c r="J686" s="922" t="str">
        <f>IF($I645="","",IF(INDEX(F_ProductBM!J:J,MATCH($P686,F_ProductBM!$P:$P,0))="","",INDEX(F_ProductBM!J:J,MATCH($P686,F_ProductBM!$P:$P,0))))</f>
        <v/>
      </c>
      <c r="K686" s="922" t="str">
        <f>IF($I645="","",IF(INDEX(F_ProductBM!K:K,MATCH($P686,F_ProductBM!$P:$P,0))="","",INDEX(F_ProductBM!K:K,MATCH($P686,F_ProductBM!$P:$P,0))))</f>
        <v/>
      </c>
      <c r="L686" s="922" t="str">
        <f>IF($I645="","",IF(INDEX(F_ProductBM!L:L,MATCH($P686,F_ProductBM!$P:$P,0))="","",INDEX(F_ProductBM!L:L,MATCH($P686,F_ProductBM!$P:$P,0))))</f>
        <v/>
      </c>
      <c r="M686" s="922" t="str">
        <f>IF($I645="","",IF(INDEX(F_ProductBM!M:M,MATCH($P686,F_ProductBM!$P:$P,0))="","",INDEX(F_ProductBM!M:M,MATCH($P686,F_ProductBM!$P:$P,0))))</f>
        <v/>
      </c>
      <c r="N686" s="823"/>
      <c r="O686" s="25"/>
      <c r="P686" s="367" t="str">
        <f>EUconst_CNTR_WGFlared &amp; I645</f>
        <v>WasteGasFlare_</v>
      </c>
      <c r="Q686" s="437"/>
      <c r="R686" s="437"/>
      <c r="S686" s="437"/>
      <c r="T686" s="26"/>
    </row>
    <row r="687" spans="1:20" s="697" customFormat="1" ht="12.75" customHeight="1" x14ac:dyDescent="0.2">
      <c r="A687" s="437"/>
      <c r="B687" s="414"/>
      <c r="C687" s="414"/>
      <c r="D687" s="414"/>
      <c r="E687" s="1737" t="str">
        <f>Translations!$B$791</f>
        <v>Īpatnējais EF (lāpā sadedzinātā atlikumgāze)</v>
      </c>
      <c r="F687" s="1659"/>
      <c r="G687" s="1659"/>
      <c r="H687" s="485" t="str">
        <f>EUconst_tCO2pTJ</f>
        <v>t CO2 / TJ</v>
      </c>
      <c r="I687" s="923" t="str">
        <f>IF($I645="","",IF(INDEX(F_ProductBM!I:I,MATCH($P687,F_ProductBM!$P:$P,0))="","",INDEX(F_ProductBM!I:I,MATCH($P687,F_ProductBM!$P:$P,0))))</f>
        <v/>
      </c>
      <c r="J687" s="923" t="str">
        <f>IF($I645="","",IF(INDEX(F_ProductBM!J:J,MATCH($P687,F_ProductBM!$P:$P,0))="","",INDEX(F_ProductBM!J:J,MATCH($P687,F_ProductBM!$P:$P,0))))</f>
        <v/>
      </c>
      <c r="K687" s="923" t="str">
        <f>IF($I645="","",IF(INDEX(F_ProductBM!K:K,MATCH($P687,F_ProductBM!$P:$P,0))="","",INDEX(F_ProductBM!K:K,MATCH($P687,F_ProductBM!$P:$P,0))))</f>
        <v/>
      </c>
      <c r="L687" s="923" t="str">
        <f>IF($I645="","",IF(INDEX(F_ProductBM!L:L,MATCH($P687,F_ProductBM!$P:$P,0))="","",INDEX(F_ProductBM!L:L,MATCH($P687,F_ProductBM!$P:$P,0))))</f>
        <v/>
      </c>
      <c r="M687" s="923" t="str">
        <f>IF($I645="","",IF(INDEX(F_ProductBM!M:M,MATCH($P687,F_ProductBM!$P:$P,0))="","",INDEX(F_ProductBM!M:M,MATCH($P687,F_ProductBM!$P:$P,0))))</f>
        <v/>
      </c>
      <c r="N687" s="823"/>
      <c r="O687" s="25"/>
      <c r="P687" s="367" t="str">
        <f>EUconst_CNTR_WGFlaredEF &amp; I645</f>
        <v>WasteGasFlareEF_</v>
      </c>
      <c r="Q687" s="437"/>
      <c r="R687" s="437"/>
      <c r="S687" s="437"/>
      <c r="T687" s="26"/>
    </row>
    <row r="688" spans="1:20" s="697" customFormat="1" ht="12.75" customHeight="1" x14ac:dyDescent="0.2">
      <c r="A688" s="437"/>
      <c r="B688" s="414"/>
      <c r="C688" s="414"/>
      <c r="D688" s="414"/>
      <c r="E688" s="1667" t="str">
        <f>Translations!$B$796</f>
        <v>Importētā atlikumgāze</v>
      </c>
      <c r="F688" s="1660"/>
      <c r="G688" s="1660"/>
      <c r="H688" s="466" t="str">
        <f>EUconst_TJpa</f>
        <v>TJ / gads</v>
      </c>
      <c r="I688" s="922" t="str">
        <f>IF($I645="","",IF(INDEX(F_ProductBM!I:I,MATCH($P688,F_ProductBM!$P:$P,0))="","",INDEX(F_ProductBM!I:I,MATCH($P688,F_ProductBM!$P:$P,0))))</f>
        <v/>
      </c>
      <c r="J688" s="922" t="str">
        <f>IF($I645="","",IF(INDEX(F_ProductBM!J:J,MATCH($P688,F_ProductBM!$P:$P,0))="","",INDEX(F_ProductBM!J:J,MATCH($P688,F_ProductBM!$P:$P,0))))</f>
        <v/>
      </c>
      <c r="K688" s="922" t="str">
        <f>IF($I645="","",IF(INDEX(F_ProductBM!K:K,MATCH($P688,F_ProductBM!$P:$P,0))="","",INDEX(F_ProductBM!K:K,MATCH($P688,F_ProductBM!$P:$P,0))))</f>
        <v/>
      </c>
      <c r="L688" s="922" t="str">
        <f>IF($I645="","",IF(INDEX(F_ProductBM!L:L,MATCH($P688,F_ProductBM!$P:$P,0))="","",INDEX(F_ProductBM!L:L,MATCH($P688,F_ProductBM!$P:$P,0))))</f>
        <v/>
      </c>
      <c r="M688" s="922" t="str">
        <f>IF($I645="","",IF(INDEX(F_ProductBM!M:M,MATCH($P688,F_ProductBM!$P:$P,0))="","",INDEX(F_ProductBM!M:M,MATCH($P688,F_ProductBM!$P:$P,0))))</f>
        <v/>
      </c>
      <c r="N688" s="823"/>
      <c r="O688" s="25"/>
      <c r="P688" s="367" t="str">
        <f>EUconst_CNTR_WGImport &amp; I645</f>
        <v>WasteGasIm_</v>
      </c>
      <c r="Q688" s="437"/>
      <c r="R688" s="437"/>
      <c r="S688" s="437"/>
      <c r="T688" s="26"/>
    </row>
    <row r="689" spans="1:20" s="697" customFormat="1" ht="12.75" customHeight="1" x14ac:dyDescent="0.2">
      <c r="A689" s="437"/>
      <c r="B689" s="414"/>
      <c r="C689" s="414"/>
      <c r="D689" s="414"/>
      <c r="E689" s="1737" t="str">
        <f>Translations!$B$797</f>
        <v>Īpatnējais EF (importētā atlikumgāze)</v>
      </c>
      <c r="F689" s="1737"/>
      <c r="G689" s="1737"/>
      <c r="H689" s="824" t="str">
        <f>EUconst_tCO2pTJ</f>
        <v>t CO2 / TJ</v>
      </c>
      <c r="I689" s="923" t="str">
        <f>IF($I645="","",IF(INDEX(F_ProductBM!I:I,MATCH($P689,F_ProductBM!$P:$P,0))="","",INDEX(F_ProductBM!I:I,MATCH($P689,F_ProductBM!$P:$P,0))))</f>
        <v/>
      </c>
      <c r="J689" s="923" t="str">
        <f>IF($I645="","",IF(INDEX(F_ProductBM!J:J,MATCH($P689,F_ProductBM!$P:$P,0))="","",INDEX(F_ProductBM!J:J,MATCH($P689,F_ProductBM!$P:$P,0))))</f>
        <v/>
      </c>
      <c r="K689" s="923" t="str">
        <f>IF($I645="","",IF(INDEX(F_ProductBM!K:K,MATCH($P689,F_ProductBM!$P:$P,0))="","",INDEX(F_ProductBM!K:K,MATCH($P689,F_ProductBM!$P:$P,0))))</f>
        <v/>
      </c>
      <c r="L689" s="923" t="str">
        <f>IF($I645="","",IF(INDEX(F_ProductBM!L:L,MATCH($P689,F_ProductBM!$P:$P,0))="","",INDEX(F_ProductBM!L:L,MATCH($P689,F_ProductBM!$P:$P,0))))</f>
        <v/>
      </c>
      <c r="M689" s="923" t="str">
        <f>IF($I645="","",IF(INDEX(F_ProductBM!M:M,MATCH($P689,F_ProductBM!$P:$P,0))="","",INDEX(F_ProductBM!M:M,MATCH($P689,F_ProductBM!$P:$P,0))))</f>
        <v/>
      </c>
      <c r="N689" s="823"/>
      <c r="O689" s="25"/>
      <c r="P689" s="367" t="str">
        <f>EUconst_CNTR_WGImportEF &amp; I645</f>
        <v>WasteGasImEF_</v>
      </c>
      <c r="Q689" s="437"/>
      <c r="R689" s="437"/>
      <c r="S689" s="437"/>
      <c r="T689" s="26"/>
    </row>
    <row r="690" spans="1:20" s="697" customFormat="1" ht="12.75" customHeight="1" x14ac:dyDescent="0.2">
      <c r="A690" s="437"/>
      <c r="B690" s="414"/>
      <c r="C690" s="414"/>
      <c r="D690" s="414"/>
      <c r="E690" s="1667" t="str">
        <f>Translations!$B$801</f>
        <v>Eksportētā atlikumgāze</v>
      </c>
      <c r="F690" s="1660"/>
      <c r="G690" s="1660"/>
      <c r="H690" s="466" t="str">
        <f>EUconst_TJpa</f>
        <v>TJ / gads</v>
      </c>
      <c r="I690" s="922" t="str">
        <f>IF($I645="","",IF(INDEX(F_ProductBM!I:I,MATCH($P690,F_ProductBM!$P:$P,0))="","",INDEX(F_ProductBM!I:I,MATCH($P690,F_ProductBM!$P:$P,0))))</f>
        <v/>
      </c>
      <c r="J690" s="922" t="str">
        <f>IF($I645="","",IF(INDEX(F_ProductBM!J:J,MATCH($P690,F_ProductBM!$P:$P,0))="","",INDEX(F_ProductBM!J:J,MATCH($P690,F_ProductBM!$P:$P,0))))</f>
        <v/>
      </c>
      <c r="K690" s="922" t="str">
        <f>IF($I645="","",IF(INDEX(F_ProductBM!K:K,MATCH($P690,F_ProductBM!$P:$P,0))="","",INDEX(F_ProductBM!K:K,MATCH($P690,F_ProductBM!$P:$P,0))))</f>
        <v/>
      </c>
      <c r="L690" s="922" t="str">
        <f>IF($I645="","",IF(INDEX(F_ProductBM!L:L,MATCH($P690,F_ProductBM!$P:$P,0))="","",INDEX(F_ProductBM!L:L,MATCH($P690,F_ProductBM!$P:$P,0))))</f>
        <v/>
      </c>
      <c r="M690" s="922" t="str">
        <f>IF($I645="","",IF(INDEX(F_ProductBM!M:M,MATCH($P690,F_ProductBM!$P:$P,0))="","",INDEX(F_ProductBM!M:M,MATCH($P690,F_ProductBM!$P:$P,0))))</f>
        <v/>
      </c>
      <c r="N690" s="823"/>
      <c r="O690" s="25"/>
      <c r="P690" s="367" t="str">
        <f>EUconst_CNTR_WGExport &amp; I645</f>
        <v>WasteGasEx_</v>
      </c>
      <c r="Q690" s="437"/>
      <c r="R690" s="437"/>
      <c r="S690" s="437"/>
      <c r="T690" s="26"/>
    </row>
    <row r="691" spans="1:20" s="697" customFormat="1" ht="12.75" customHeight="1" x14ac:dyDescent="0.2">
      <c r="A691" s="437"/>
      <c r="B691" s="414"/>
      <c r="C691" s="414"/>
      <c r="D691" s="414"/>
      <c r="E691" s="1737" t="str">
        <f>Translations!$B$802</f>
        <v>Īpatnējais EF (eksportētā atlikumgāze)</v>
      </c>
      <c r="F691" s="1737"/>
      <c r="G691" s="1737"/>
      <c r="H691" s="824" t="str">
        <f>EUconst_tCO2pTJ</f>
        <v>t CO2 / TJ</v>
      </c>
      <c r="I691" s="923" t="str">
        <f>IF($I645="","",IF(INDEX(F_ProductBM!I:I,MATCH($P691,F_ProductBM!$P:$P,0))="","",INDEX(F_ProductBM!I:I,MATCH($P691,F_ProductBM!$P:$P,0))))</f>
        <v/>
      </c>
      <c r="J691" s="923" t="str">
        <f>IF($I645="","",IF(INDEX(F_ProductBM!J:J,MATCH($P691,F_ProductBM!$P:$P,0))="","",INDEX(F_ProductBM!J:J,MATCH($P691,F_ProductBM!$P:$P,0))))</f>
        <v/>
      </c>
      <c r="K691" s="923" t="str">
        <f>IF($I645="","",IF(INDEX(F_ProductBM!K:K,MATCH($P691,F_ProductBM!$P:$P,0))="","",INDEX(F_ProductBM!K:K,MATCH($P691,F_ProductBM!$P:$P,0))))</f>
        <v/>
      </c>
      <c r="L691" s="923" t="str">
        <f>IF($I645="","",IF(INDEX(F_ProductBM!L:L,MATCH($P691,F_ProductBM!$P:$P,0))="","",INDEX(F_ProductBM!L:L,MATCH($P691,F_ProductBM!$P:$P,0))))</f>
        <v/>
      </c>
      <c r="M691" s="923" t="str">
        <f>IF($I645="","",IF(INDEX(F_ProductBM!M:M,MATCH($P691,F_ProductBM!$P:$P,0))="","",INDEX(F_ProductBM!M:M,MATCH($P691,F_ProductBM!$P:$P,0))))</f>
        <v/>
      </c>
      <c r="N691" s="823"/>
      <c r="O691" s="25"/>
      <c r="P691" s="367" t="str">
        <f>EUconst_CNTR_WGExportEF &amp; I645</f>
        <v>WasteGasExEF_</v>
      </c>
      <c r="Q691" s="437"/>
      <c r="R691" s="437"/>
      <c r="S691" s="437"/>
      <c r="T691" s="26"/>
    </row>
    <row r="692" spans="1:20" s="697" customFormat="1" ht="5.0999999999999996" customHeight="1" x14ac:dyDescent="0.2">
      <c r="A692" s="437"/>
      <c r="B692" s="414"/>
      <c r="C692" s="414"/>
      <c r="D692" s="414"/>
      <c r="E692" s="526"/>
      <c r="F692" s="526"/>
      <c r="G692" s="526"/>
      <c r="H692" s="526"/>
      <c r="I692" s="924"/>
      <c r="J692" s="924"/>
      <c r="K692" s="924"/>
      <c r="L692" s="924"/>
      <c r="M692" s="924"/>
      <c r="N692" s="823"/>
      <c r="O692" s="25"/>
      <c r="P692" s="199"/>
      <c r="Q692" s="437"/>
      <c r="R692" s="437"/>
      <c r="S692" s="437"/>
      <c r="T692" s="26"/>
    </row>
    <row r="693" spans="1:20" s="697" customFormat="1" ht="12.75" customHeight="1" x14ac:dyDescent="0.2">
      <c r="A693" s="437"/>
      <c r="B693" s="414"/>
      <c r="C693" s="414"/>
      <c r="D693" s="414"/>
      <c r="E693" s="1651" t="str">
        <f>Translations!$B$805</f>
        <v>Saražotā elektroenerģija</v>
      </c>
      <c r="F693" s="1652"/>
      <c r="G693" s="1652"/>
      <c r="H693" s="465" t="str">
        <f>EUconst_MWhpa</f>
        <v>MWh / gads</v>
      </c>
      <c r="I693" s="925" t="str">
        <f>IF($I645="","",IF(INDEX(F_ProductBM!I:I,MATCH($P693,F_ProductBM!$P:$P,0))="","",INDEX(F_ProductBM!I:I,MATCH($P693,F_ProductBM!$P:$P,0))))</f>
        <v/>
      </c>
      <c r="J693" s="925" t="str">
        <f>IF($I645="","",IF(INDEX(F_ProductBM!J:J,MATCH($P693,F_ProductBM!$P:$P,0))="","",INDEX(F_ProductBM!J:J,MATCH($P693,F_ProductBM!$P:$P,0))))</f>
        <v/>
      </c>
      <c r="K693" s="925" t="str">
        <f>IF($I645="","",IF(INDEX(F_ProductBM!K:K,MATCH($P693,F_ProductBM!$P:$P,0))="","",INDEX(F_ProductBM!K:K,MATCH($P693,F_ProductBM!$P:$P,0))))</f>
        <v/>
      </c>
      <c r="L693" s="925" t="str">
        <f>IF($I645="","",IF(INDEX(F_ProductBM!L:L,MATCH($P693,F_ProductBM!$P:$P,0))="","",INDEX(F_ProductBM!L:L,MATCH($P693,F_ProductBM!$P:$P,0))))</f>
        <v/>
      </c>
      <c r="M693" s="925" t="str">
        <f>IF($I645="","",IF(INDEX(F_ProductBM!M:M,MATCH($P693,F_ProductBM!$P:$P,0))="","",INDEX(F_ProductBM!M:M,MATCH($P693,F_ProductBM!$P:$P,0))))</f>
        <v/>
      </c>
      <c r="N693" s="823"/>
      <c r="O693" s="25"/>
      <c r="P693" s="367" t="str">
        <f>EUconst_CNTR_ElectricityExported &amp; I645</f>
        <v>ElecEx_</v>
      </c>
      <c r="Q693" s="437"/>
      <c r="R693" s="437"/>
      <c r="S693" s="437"/>
      <c r="T693" s="26"/>
    </row>
    <row r="694" spans="1:20" s="697" customFormat="1" ht="5.0999999999999996" customHeight="1" x14ac:dyDescent="0.2">
      <c r="A694" s="437"/>
      <c r="B694" s="414"/>
      <c r="C694" s="414"/>
      <c r="D694" s="414"/>
      <c r="E694" s="526"/>
      <c r="F694" s="526"/>
      <c r="G694" s="526"/>
      <c r="H694" s="526"/>
      <c r="I694" s="924"/>
      <c r="J694" s="924"/>
      <c r="K694" s="924"/>
      <c r="L694" s="924"/>
      <c r="M694" s="924"/>
      <c r="N694" s="823"/>
      <c r="O694" s="25"/>
      <c r="P694" s="199"/>
      <c r="Q694" s="437"/>
      <c r="R694" s="437"/>
      <c r="S694" s="437"/>
      <c r="T694" s="26"/>
    </row>
    <row r="695" spans="1:20" s="697" customFormat="1" x14ac:dyDescent="0.2">
      <c r="A695" s="437"/>
      <c r="B695" s="414"/>
      <c r="C695" s="414"/>
      <c r="D695" s="414"/>
      <c r="E695" s="1206" t="str">
        <f>Translations!$B$1239</f>
        <v>Starpproduktu imports:</v>
      </c>
      <c r="F695" s="526"/>
      <c r="G695" s="526"/>
      <c r="H695" s="526"/>
      <c r="I695" s="924"/>
      <c r="J695" s="924"/>
      <c r="K695" s="924"/>
      <c r="L695" s="924"/>
      <c r="M695" s="924"/>
      <c r="N695" s="823"/>
      <c r="O695" s="25"/>
      <c r="P695" s="199"/>
      <c r="Q695" s="437"/>
      <c r="R695" s="437"/>
      <c r="S695" s="437"/>
      <c r="T695" s="26"/>
    </row>
    <row r="696" spans="1:20" s="697" customFormat="1" x14ac:dyDescent="0.2">
      <c r="A696" s="437"/>
      <c r="B696" s="414"/>
      <c r="C696" s="414"/>
      <c r="D696" s="414"/>
      <c r="E696" s="1689" t="str">
        <f>IF($I645="","",IF(INDEX(F_ProductBM!E:E,MATCH($P696,F_ProductBM!$P:$P,0))="","",INDEX(F_ProductBM!E:E,MATCH($P696,F_ProductBM!$P:$P,0))))</f>
        <v/>
      </c>
      <c r="F696" s="1689"/>
      <c r="G696" s="1689"/>
      <c r="H696" s="465" t="str">
        <f>EUconst_Tons</f>
        <v>tonnas</v>
      </c>
      <c r="I696" s="1103" t="str">
        <f>IF($I645="","",IF(INDEX(F_ProductBM!I:I,MATCH($P696,F_ProductBM!$P:$P,0))="","",INDEX(F_ProductBM!I:I,MATCH($P696,F_ProductBM!$P:$P,0))))</f>
        <v/>
      </c>
      <c r="J696" s="1103" t="str">
        <f>IF($I645="","",IF(INDEX(F_ProductBM!J:J,MATCH($P696,F_ProductBM!$P:$P,0))="","",INDEX(F_ProductBM!J:J,MATCH($P696,F_ProductBM!$P:$P,0))))</f>
        <v/>
      </c>
      <c r="K696" s="1103" t="str">
        <f>IF($I645="","",IF(INDEX(F_ProductBM!K:K,MATCH($P696,F_ProductBM!$P:$P,0))="","",INDEX(F_ProductBM!K:K,MATCH($P696,F_ProductBM!$P:$P,0))))</f>
        <v/>
      </c>
      <c r="L696" s="1103" t="str">
        <f>IF($I645="","",IF(INDEX(F_ProductBM!L:L,MATCH($P696,F_ProductBM!$P:$P,0))="","",INDEX(F_ProductBM!L:L,MATCH($P696,F_ProductBM!$P:$P,0))))</f>
        <v/>
      </c>
      <c r="M696" s="1103" t="str">
        <f>IF($I645="","",IF(INDEX(F_ProductBM!M:M,MATCH($P696,F_ProductBM!$P:$P,0))="","",INDEX(F_ProductBM!M:M,MATCH($P696,F_ProductBM!$P:$P,0))))</f>
        <v/>
      </c>
      <c r="N696" s="823"/>
      <c r="O696" s="25"/>
      <c r="P696" s="367" t="str">
        <f>EUconst_CNTR_IntermediateImport &amp; R696 &amp; "_" &amp; I645</f>
        <v>IntImp_1_</v>
      </c>
      <c r="Q696" s="437"/>
      <c r="R696" s="869">
        <v>1</v>
      </c>
      <c r="S696" s="437"/>
      <c r="T696" s="26"/>
    </row>
    <row r="697" spans="1:20" s="697" customFormat="1" x14ac:dyDescent="0.2">
      <c r="A697" s="437"/>
      <c r="B697" s="414"/>
      <c r="C697" s="414"/>
      <c r="D697" s="414"/>
      <c r="E697" s="1689" t="str">
        <f>IF($I645="","",IF(INDEX(F_ProductBM!E:E,MATCH($P697,F_ProductBM!$P:$P,0))="","",INDEX(F_ProductBM!E:E,MATCH($P697,F_ProductBM!$P:$P,0))))</f>
        <v/>
      </c>
      <c r="F697" s="1689"/>
      <c r="G697" s="1689"/>
      <c r="H697" s="465" t="str">
        <f>EUconst_Tons</f>
        <v>tonnas</v>
      </c>
      <c r="I697" s="1103" t="str">
        <f>IF($I645="","",IF(INDEX(F_ProductBM!I:I,MATCH($P697,F_ProductBM!$P:$P,0))="","",INDEX(F_ProductBM!I:I,MATCH($P697,F_ProductBM!$P:$P,0))))</f>
        <v/>
      </c>
      <c r="J697" s="1103" t="str">
        <f>IF($I645="","",IF(INDEX(F_ProductBM!J:J,MATCH($P697,F_ProductBM!$P:$P,0))="","",INDEX(F_ProductBM!J:J,MATCH($P697,F_ProductBM!$P:$P,0))))</f>
        <v/>
      </c>
      <c r="K697" s="1103" t="str">
        <f>IF($I645="","",IF(INDEX(F_ProductBM!K:K,MATCH($P697,F_ProductBM!$P:$P,0))="","",INDEX(F_ProductBM!K:K,MATCH($P697,F_ProductBM!$P:$P,0))))</f>
        <v/>
      </c>
      <c r="L697" s="1103" t="str">
        <f>IF($I645="","",IF(INDEX(F_ProductBM!L:L,MATCH($P697,F_ProductBM!$P:$P,0))="","",INDEX(F_ProductBM!L:L,MATCH($P697,F_ProductBM!$P:$P,0))))</f>
        <v/>
      </c>
      <c r="M697" s="1103" t="str">
        <f>IF($I645="","",IF(INDEX(F_ProductBM!M:M,MATCH($P697,F_ProductBM!$P:$P,0))="","",INDEX(F_ProductBM!M:M,MATCH($P697,F_ProductBM!$P:$P,0))))</f>
        <v/>
      </c>
      <c r="N697" s="823"/>
      <c r="O697" s="25"/>
      <c r="P697" s="367" t="str">
        <f>EUconst_CNTR_IntermediateImport &amp; R697 &amp; "_" &amp; I645</f>
        <v>IntImp_2_</v>
      </c>
      <c r="Q697" s="437"/>
      <c r="R697" s="869">
        <v>2</v>
      </c>
      <c r="S697" s="437"/>
      <c r="T697" s="26"/>
    </row>
    <row r="698" spans="1:20" s="697" customFormat="1" x14ac:dyDescent="0.2">
      <c r="A698" s="437"/>
      <c r="B698" s="414"/>
      <c r="C698" s="414"/>
      <c r="D698" s="414"/>
      <c r="E698" s="1206" t="str">
        <f>Translations!$B$1240</f>
        <v>Starpproduktu eksports:</v>
      </c>
      <c r="F698" s="526"/>
      <c r="G698" s="526"/>
      <c r="H698" s="526"/>
      <c r="I698" s="1140"/>
      <c r="J698" s="1140"/>
      <c r="K698" s="1140"/>
      <c r="L698" s="1140"/>
      <c r="M698" s="1140"/>
      <c r="N698" s="823"/>
      <c r="O698" s="25"/>
      <c r="P698" s="199"/>
      <c r="Q698" s="437"/>
      <c r="R698" s="437"/>
      <c r="S698" s="437"/>
      <c r="T698" s="26"/>
    </row>
    <row r="699" spans="1:20" s="697" customFormat="1" x14ac:dyDescent="0.2">
      <c r="A699" s="437"/>
      <c r="B699" s="414"/>
      <c r="C699" s="414"/>
      <c r="D699" s="414"/>
      <c r="E699" s="1689" t="str">
        <f>IF($I645="","",IF(INDEX(F_ProductBM!E:E,MATCH($P699,F_ProductBM!$P:$P,0))="","",INDEX(F_ProductBM!E:E,MATCH($P699,F_ProductBM!$P:$P,0))))</f>
        <v/>
      </c>
      <c r="F699" s="1689"/>
      <c r="G699" s="1689"/>
      <c r="H699" s="465" t="str">
        <f>EUconst_Tons</f>
        <v>tonnas</v>
      </c>
      <c r="I699" s="1103" t="str">
        <f>IF($I645="","",IF(INDEX(F_ProductBM!I:I,MATCH($P699,F_ProductBM!$P:$P,0))="","",INDEX(F_ProductBM!I:I,MATCH($P699,F_ProductBM!$P:$P,0))))</f>
        <v/>
      </c>
      <c r="J699" s="1103" t="str">
        <f>IF($I645="","",IF(INDEX(F_ProductBM!J:J,MATCH($P699,F_ProductBM!$P:$P,0))="","",INDEX(F_ProductBM!J:J,MATCH($P699,F_ProductBM!$P:$P,0))))</f>
        <v/>
      </c>
      <c r="K699" s="1103" t="str">
        <f>IF($I645="","",IF(INDEX(F_ProductBM!K:K,MATCH($P699,F_ProductBM!$P:$P,0))="","",INDEX(F_ProductBM!K:K,MATCH($P699,F_ProductBM!$P:$P,0))))</f>
        <v/>
      </c>
      <c r="L699" s="1103" t="str">
        <f>IF($I645="","",IF(INDEX(F_ProductBM!L:L,MATCH($P699,F_ProductBM!$P:$P,0))="","",INDEX(F_ProductBM!L:L,MATCH($P699,F_ProductBM!$P:$P,0))))</f>
        <v/>
      </c>
      <c r="M699" s="1103" t="str">
        <f>IF($I645="","",IF(INDEX(F_ProductBM!M:M,MATCH($P699,F_ProductBM!$P:$P,0))="","",INDEX(F_ProductBM!M:M,MATCH($P699,F_ProductBM!$P:$P,0))))</f>
        <v/>
      </c>
      <c r="N699" s="823"/>
      <c r="O699" s="25"/>
      <c r="P699" s="367" t="str">
        <f>EUconst_CNTR_IntermediateExport &amp; R696 &amp; "_" &amp; I645</f>
        <v>IntExp_1_</v>
      </c>
      <c r="Q699" s="437"/>
      <c r="R699" s="869">
        <v>1</v>
      </c>
      <c r="S699" s="437"/>
      <c r="T699" s="26"/>
    </row>
    <row r="700" spans="1:20" s="697" customFormat="1" x14ac:dyDescent="0.2">
      <c r="A700" s="437"/>
      <c r="B700" s="414"/>
      <c r="C700" s="414"/>
      <c r="D700" s="414"/>
      <c r="E700" s="1689" t="str">
        <f>IF($I645="","",IF(INDEX(F_ProductBM!E:E,MATCH($P700,F_ProductBM!$P:$P,0))="","",INDEX(F_ProductBM!E:E,MATCH($P700,F_ProductBM!$P:$P,0))))</f>
        <v/>
      </c>
      <c r="F700" s="1689"/>
      <c r="G700" s="1689"/>
      <c r="H700" s="465" t="str">
        <f>EUconst_Tons</f>
        <v>tonnas</v>
      </c>
      <c r="I700" s="1103" t="str">
        <f>IF($I645="","",IF(INDEX(F_ProductBM!I:I,MATCH($P700,F_ProductBM!$P:$P,0))="","",INDEX(F_ProductBM!I:I,MATCH($P700,F_ProductBM!$P:$P,0))))</f>
        <v/>
      </c>
      <c r="J700" s="1103" t="str">
        <f>IF($I645="","",IF(INDEX(F_ProductBM!J:J,MATCH($P700,F_ProductBM!$P:$P,0))="","",INDEX(F_ProductBM!J:J,MATCH($P700,F_ProductBM!$P:$P,0))))</f>
        <v/>
      </c>
      <c r="K700" s="1103" t="str">
        <f>IF($I645="","",IF(INDEX(F_ProductBM!K:K,MATCH($P700,F_ProductBM!$P:$P,0))="","",INDEX(F_ProductBM!K:K,MATCH($P700,F_ProductBM!$P:$P,0))))</f>
        <v/>
      </c>
      <c r="L700" s="1103" t="str">
        <f>IF($I645="","",IF(INDEX(F_ProductBM!L:L,MATCH($P700,F_ProductBM!$P:$P,0))="","",INDEX(F_ProductBM!L:L,MATCH($P700,F_ProductBM!$P:$P,0))))</f>
        <v/>
      </c>
      <c r="M700" s="1103" t="str">
        <f>IF($I645="","",IF(INDEX(F_ProductBM!M:M,MATCH($P700,F_ProductBM!$P:$P,0))="","",INDEX(F_ProductBM!M:M,MATCH($P700,F_ProductBM!$P:$P,0))))</f>
        <v/>
      </c>
      <c r="N700" s="823"/>
      <c r="O700" s="25"/>
      <c r="P700" s="367" t="str">
        <f>EUconst_CNTR_IntermediateExport &amp; R700 &amp; "_" &amp; I645</f>
        <v>IntExp_2_</v>
      </c>
      <c r="Q700" s="437"/>
      <c r="R700" s="869">
        <v>2</v>
      </c>
      <c r="S700" s="437"/>
      <c r="T700" s="26"/>
    </row>
    <row r="701" spans="1:20" s="697" customFormat="1" ht="5.0999999999999996" customHeight="1" x14ac:dyDescent="0.2">
      <c r="A701" s="437"/>
      <c r="B701" s="414"/>
      <c r="C701" s="414"/>
      <c r="D701" s="414"/>
      <c r="E701" s="526"/>
      <c r="F701" s="526"/>
      <c r="G701" s="526"/>
      <c r="H701" s="526"/>
      <c r="I701" s="823"/>
      <c r="J701" s="823"/>
      <c r="K701" s="823"/>
      <c r="L701" s="823"/>
      <c r="M701" s="823"/>
      <c r="N701" s="823"/>
      <c r="O701" s="25"/>
      <c r="P701" s="199"/>
      <c r="Q701" s="437"/>
      <c r="R701" s="931"/>
      <c r="S701" s="437"/>
      <c r="T701" s="26"/>
    </row>
    <row r="702" spans="1:20" s="697" customFormat="1" x14ac:dyDescent="0.2">
      <c r="A702" s="437"/>
      <c r="B702" s="414"/>
      <c r="C702" s="414"/>
      <c r="D702" s="414"/>
      <c r="E702" s="1881" t="str">
        <f>Translations!$B$1729</f>
        <v>Korekcijas īpašās līmeņatzīmes atjaunināšanai (attiecīgā gadījumā)</v>
      </c>
      <c r="F702" s="1881"/>
      <c r="G702" s="1881"/>
      <c r="H702" s="1881"/>
      <c r="I702" s="1881"/>
      <c r="J702" s="1881"/>
      <c r="K702" s="1881"/>
      <c r="L702" s="1881"/>
      <c r="M702" s="1881"/>
      <c r="N702" s="823"/>
      <c r="O702" s="25"/>
      <c r="P702" s="199"/>
      <c r="Q702" s="437"/>
      <c r="R702" s="931"/>
      <c r="S702" s="437"/>
      <c r="T702" s="26"/>
    </row>
    <row r="703" spans="1:20" s="697" customFormat="1" ht="12.75" customHeight="1" x14ac:dyDescent="0.2">
      <c r="A703" s="437"/>
      <c r="B703" s="414"/>
      <c r="C703" s="414"/>
      <c r="D703" s="414"/>
      <c r="E703" s="1651" t="str">
        <f>Translations!$B$806</f>
        <v>Kopējais saražotās pulpas daudzums</v>
      </c>
      <c r="F703" s="1651"/>
      <c r="G703" s="1651"/>
      <c r="H703" s="465" t="str">
        <f>EUconst_Tons</f>
        <v>tonnas</v>
      </c>
      <c r="I703" s="1103" t="str">
        <f>IF($I645="","",IF(INDEX(F_ProductBM!I:I,MATCH($P703,F_ProductBM!$P:$P,0))="","",INDEX(F_ProductBM!I:I,MATCH($P703,F_ProductBM!$P:$P,0))))</f>
        <v/>
      </c>
      <c r="J703" s="1103" t="str">
        <f>IF($I645="","",IF(INDEX(F_ProductBM!J:J,MATCH($P703,F_ProductBM!$P:$P,0))="","",INDEX(F_ProductBM!J:J,MATCH($P703,F_ProductBM!$P:$P,0))))</f>
        <v/>
      </c>
      <c r="K703" s="1103" t="str">
        <f>IF($I645="","",IF(INDEX(F_ProductBM!K:K,MATCH($P703,F_ProductBM!$P:$P,0))="","",INDEX(F_ProductBM!K:K,MATCH($P703,F_ProductBM!$P:$P,0))))</f>
        <v/>
      </c>
      <c r="L703" s="1103" t="str">
        <f>IF($I645="","",IF(INDEX(F_ProductBM!L:L,MATCH($P703,F_ProductBM!$P:$P,0))="","",INDEX(F_ProductBM!L:L,MATCH($P703,F_ProductBM!$P:$P,0))))</f>
        <v/>
      </c>
      <c r="M703" s="1103" t="str">
        <f>IF($I645="","",IF(INDEX(F_ProductBM!M:M,MATCH($P703,F_ProductBM!$P:$P,0))="","",INDEX(F_ProductBM!M:M,MATCH($P703,F_ProductBM!$P:$P,0))))</f>
        <v/>
      </c>
      <c r="N703" s="823"/>
      <c r="O703" s="25"/>
      <c r="P703" s="367" t="str">
        <f>EUconst_CNTR_HALPulpTotal &amp; I645</f>
        <v>HALPulpTotal_</v>
      </c>
      <c r="Q703" s="437"/>
      <c r="R703" s="437"/>
      <c r="S703" s="437"/>
      <c r="T703" s="26"/>
    </row>
    <row r="704" spans="1:20" s="697" customFormat="1" ht="5.0999999999999996" customHeight="1" x14ac:dyDescent="0.2">
      <c r="A704" s="437"/>
      <c r="B704" s="414"/>
      <c r="C704" s="414"/>
      <c r="D704" s="414"/>
      <c r="E704" s="526"/>
      <c r="F704" s="526"/>
      <c r="G704" s="526"/>
      <c r="H704" s="526"/>
      <c r="I704" s="1140"/>
      <c r="J704" s="1140"/>
      <c r="K704" s="1140"/>
      <c r="L704" s="1140"/>
      <c r="M704" s="1140"/>
      <c r="N704" s="823"/>
      <c r="O704" s="25"/>
      <c r="P704" s="199"/>
      <c r="Q704" s="437"/>
      <c r="R704" s="437"/>
      <c r="S704" s="437"/>
      <c r="T704" s="26"/>
    </row>
    <row r="705" spans="1:20" s="697" customFormat="1" ht="12.75" customHeight="1" x14ac:dyDescent="0.2">
      <c r="A705" s="437"/>
      <c r="B705" s="414"/>
      <c r="C705" s="414"/>
      <c r="D705" s="414"/>
      <c r="E705" s="1651" t="str">
        <f>Translations!$B$1730</f>
        <v>Ūdeņraža ražošana (faktiskā + teorētiskā)</v>
      </c>
      <c r="F705" s="1651"/>
      <c r="G705" s="1651"/>
      <c r="H705" s="465" t="str">
        <f>EUconst_Tons</f>
        <v>tonnas</v>
      </c>
      <c r="I705" s="1103" t="str">
        <f>IF($K648=$R705,SUMIFS(H_SpecialBM!I:I,H_SpecialBM!$P:$P,$P705),"")</f>
        <v/>
      </c>
      <c r="J705" s="1103" t="str">
        <f>IF($K648=$R705,SUMIFS(H_SpecialBM!J:J,H_SpecialBM!$P:$P,$P705),"")</f>
        <v/>
      </c>
      <c r="K705" s="1103" t="str">
        <f>IF($K648=$R705,SUMIFS(H_SpecialBM!K:K,H_SpecialBM!$P:$P,$P705),"")</f>
        <v/>
      </c>
      <c r="L705" s="1103" t="str">
        <f>IF($K648=$R705,SUMIFS(H_SpecialBM!L:L,H_SpecialBM!$P:$P,$P705),"")</f>
        <v/>
      </c>
      <c r="M705" s="1103" t="str">
        <f>IF($K648=$R705,SUMIFS(H_SpecialBM!M:M,H_SpecialBM!$P:$P,$P705),"")</f>
        <v/>
      </c>
      <c r="N705" s="823"/>
      <c r="O705" s="25"/>
      <c r="P705" s="134" t="str">
        <f>EUconst_CNTR_H2ActualPlusTheoretical</f>
        <v>H2Total_</v>
      </c>
      <c r="Q705" s="437"/>
      <c r="R705" s="869">
        <v>50</v>
      </c>
      <c r="S705" s="437"/>
      <c r="T705" s="26"/>
    </row>
    <row r="706" spans="1:20" s="697" customFormat="1" ht="12.75" customHeight="1" x14ac:dyDescent="0.2">
      <c r="A706" s="437"/>
      <c r="B706" s="414"/>
      <c r="C706" s="414"/>
      <c r="D706" s="414"/>
      <c r="E706" s="1651" t="str">
        <f>Translations!$B$1731</f>
        <v>Ar ūdeņradi saistītās emisijas</v>
      </c>
      <c r="F706" s="1651"/>
      <c r="G706" s="1651"/>
      <c r="H706" s="465" t="str">
        <f>EUconst_tCO2pa</f>
        <v>t CO2 / gads</v>
      </c>
      <c r="I706" s="1103" t="str">
        <f>IF($K648=$R706,SUMIFS(H_SpecialBM!I:I,H_SpecialBM!$P:$P,$P706),"")</f>
        <v/>
      </c>
      <c r="J706" s="1103" t="str">
        <f>IF($K648=$R706,SUMIFS(H_SpecialBM!J:J,H_SpecialBM!$P:$P,$P706),"")</f>
        <v/>
      </c>
      <c r="K706" s="1103" t="str">
        <f>IF($K648=$R706,SUMIFS(H_SpecialBM!K:K,H_SpecialBM!$P:$P,$P706),"")</f>
        <v/>
      </c>
      <c r="L706" s="1103" t="str">
        <f>IF($K648=$R706,SUMIFS(H_SpecialBM!L:L,H_SpecialBM!$P:$P,$P706),"")</f>
        <v/>
      </c>
      <c r="M706" s="1103" t="str">
        <f>IF($K648=$R706,SUMIFS(H_SpecialBM!M:M,H_SpecialBM!$P:$P,$P706),"")</f>
        <v/>
      </c>
      <c r="N706" s="823"/>
      <c r="O706" s="25"/>
      <c r="P706" s="202" t="str">
        <f>EUconst_CNTR_H2AdditionalEmissions</f>
        <v>H2AddEm_</v>
      </c>
      <c r="Q706" s="437"/>
      <c r="R706" s="869">
        <v>50</v>
      </c>
      <c r="S706" s="437"/>
      <c r="T706" s="26"/>
    </row>
    <row r="707" spans="1:20" s="697" customFormat="1" ht="5.0999999999999996" customHeight="1" x14ac:dyDescent="0.2">
      <c r="A707" s="437"/>
      <c r="B707" s="414"/>
      <c r="C707" s="414"/>
      <c r="D707" s="414"/>
      <c r="E707" s="526"/>
      <c r="F707" s="526"/>
      <c r="G707" s="526"/>
      <c r="H707" s="526"/>
      <c r="I707" s="1140"/>
      <c r="J707" s="1140"/>
      <c r="K707" s="1140"/>
      <c r="L707" s="1140"/>
      <c r="M707" s="1140"/>
      <c r="N707" s="823"/>
      <c r="O707" s="25"/>
      <c r="P707" s="437"/>
      <c r="Q707" s="437"/>
      <c r="R707" s="437"/>
      <c r="S707" s="437"/>
      <c r="T707" s="26"/>
    </row>
    <row r="708" spans="1:20" s="697" customFormat="1" ht="12.75" customHeight="1" x14ac:dyDescent="0.2">
      <c r="A708" s="437"/>
      <c r="B708" s="414"/>
      <c r="C708" s="414"/>
      <c r="D708" s="414"/>
      <c r="E708" s="1651" t="str">
        <f>Translations!$B$1732</f>
        <v>HVC emisiju korekcija</v>
      </c>
      <c r="F708" s="1651"/>
      <c r="G708" s="1651"/>
      <c r="H708" s="465" t="str">
        <f>EUconst_tCO2pa</f>
        <v>t CO2 / gads</v>
      </c>
      <c r="I708" s="1103" t="str">
        <f>IF($K648=$R708,-SUMIFS(H_SpecialBM!S:S,H_SpecialBM!$P:$P,$P708),"")</f>
        <v/>
      </c>
      <c r="J708" s="1103" t="str">
        <f>IF($K648=$R708,-SUMIFS(H_SpecialBM!T:T,H_SpecialBM!$P:$P,$P708),"")</f>
        <v/>
      </c>
      <c r="K708" s="1103" t="str">
        <f>IF($K648=$R708,-SUMIFS(H_SpecialBM!U:U,H_SpecialBM!$P:$P,$P708),"")</f>
        <v/>
      </c>
      <c r="L708" s="1103" t="str">
        <f>IF($K648=$R708,-SUMIFS(H_SpecialBM!V:V,H_SpecialBM!$P:$P,$P708),"")</f>
        <v/>
      </c>
      <c r="M708" s="1103" t="str">
        <f>IF($K648=$R708,-SUMIFS(H_SpecialBM!W:W,H_SpecialBM!$P:$P,$P708),"")</f>
        <v/>
      </c>
      <c r="N708" s="823"/>
      <c r="O708" s="25"/>
      <c r="P708" s="367" t="str">
        <f>EUconst_CNTR_HVC</f>
        <v>HVC_</v>
      </c>
      <c r="Q708" s="437"/>
      <c r="R708" s="869">
        <v>42</v>
      </c>
      <c r="S708" s="437"/>
      <c r="T708" s="26"/>
    </row>
    <row r="709" spans="1:20" s="697" customFormat="1" ht="5.0999999999999996" customHeight="1" x14ac:dyDescent="0.2">
      <c r="A709" s="437"/>
      <c r="B709" s="414"/>
      <c r="C709" s="414"/>
      <c r="D709" s="414"/>
      <c r="E709" s="526"/>
      <c r="F709" s="526"/>
      <c r="G709" s="526"/>
      <c r="H709" s="526"/>
      <c r="I709" s="1140"/>
      <c r="J709" s="1140"/>
      <c r="K709" s="1140"/>
      <c r="L709" s="1140"/>
      <c r="M709" s="1140"/>
      <c r="N709" s="823"/>
      <c r="O709" s="25"/>
      <c r="P709" s="199"/>
      <c r="Q709" s="437"/>
      <c r="R709" s="437"/>
      <c r="S709" s="437"/>
      <c r="T709" s="26"/>
    </row>
    <row r="710" spans="1:20" s="697" customFormat="1" ht="12.75" customHeight="1" x14ac:dyDescent="0.2">
      <c r="A710" s="437"/>
      <c r="B710" s="414"/>
      <c r="C710" s="414"/>
      <c r="D710" s="414"/>
      <c r="E710" s="1651" t="str">
        <f>Translations!$B$1733</f>
        <v>VCM emisiju korekcija</v>
      </c>
      <c r="F710" s="1651"/>
      <c r="G710" s="1651"/>
      <c r="H710" s="465" t="str">
        <f>EUconst_tCO2pa</f>
        <v>t CO2 / gads</v>
      </c>
      <c r="I710" s="1103" t="str">
        <f>IF($K648=$R710,SUMIFS(H_SpecialBM!I:I,H_SpecialBM!$P:$P,$P710)/EUconst_HeatBMvalue*EUconst_HeatBMvalueForBM,"")</f>
        <v/>
      </c>
      <c r="J710" s="1103" t="str">
        <f>IF($K648=$R710,SUMIFS(H_SpecialBM!J:J,H_SpecialBM!$P:$P,$P710)/EUconst_HeatBMvalue*EUconst_HeatBMvalueForBM,"")</f>
        <v/>
      </c>
      <c r="K710" s="1103" t="str">
        <f>IF($K648=$R710,SUMIFS(H_SpecialBM!K:K,H_SpecialBM!$P:$P,$P710)/EUconst_HeatBMvalue*EUconst_HeatBMvalueForBM,"")</f>
        <v/>
      </c>
      <c r="L710" s="1103" t="str">
        <f>IF($K648=$R710,SUMIFS(H_SpecialBM!L:L,H_SpecialBM!$P:$P,$P710)/EUconst_HeatBMvalue*EUconst_HeatBMvalueForBM,"")</f>
        <v/>
      </c>
      <c r="M710" s="1103" t="str">
        <f>IF($K648=$R710,SUMIFS(H_SpecialBM!M:M,H_SpecialBM!$P:$P,$P710)/EUconst_HeatBMvalue*EUconst_HeatBMvalueForBM,"")</f>
        <v/>
      </c>
      <c r="N710" s="823"/>
      <c r="O710" s="25"/>
      <c r="P710" s="134" t="str">
        <f>EUconst_CNTR_VCM</f>
        <v>VCM_</v>
      </c>
      <c r="Q710" s="437"/>
      <c r="R710" s="869">
        <v>47</v>
      </c>
      <c r="S710" s="437"/>
      <c r="T710" s="26"/>
    </row>
    <row r="711" spans="1:20" s="697" customFormat="1" ht="12.75" customHeight="1" x14ac:dyDescent="0.2">
      <c r="A711" s="437"/>
      <c r="B711" s="414"/>
      <c r="C711" s="414"/>
      <c r="D711" s="414"/>
      <c r="E711" s="526"/>
      <c r="F711" s="526"/>
      <c r="G711" s="526"/>
      <c r="H711" s="526"/>
      <c r="I711" s="823"/>
      <c r="J711" s="823"/>
      <c r="K711" s="823"/>
      <c r="L711" s="823"/>
      <c r="M711" s="823"/>
      <c r="N711" s="823"/>
      <c r="O711" s="25"/>
      <c r="P711" s="199"/>
      <c r="Q711" s="437"/>
      <c r="R711" s="437"/>
      <c r="S711" s="437"/>
      <c r="T711" s="26"/>
    </row>
    <row r="712" spans="1:20" s="697" customFormat="1" ht="12.75" customHeight="1" thickBot="1" x14ac:dyDescent="0.25">
      <c r="A712" s="437"/>
      <c r="B712" s="414"/>
      <c r="C712" s="414"/>
      <c r="D712" s="414"/>
      <c r="E712" s="935"/>
      <c r="O712" s="25"/>
      <c r="P712" s="437"/>
      <c r="Q712" s="437"/>
      <c r="R712" s="437"/>
      <c r="S712" s="437"/>
      <c r="T712" s="26"/>
    </row>
    <row r="713" spans="1:20" s="697" customFormat="1" ht="5.0999999999999996" customHeight="1" thickBot="1" x14ac:dyDescent="0.25">
      <c r="A713" s="437"/>
      <c r="B713" s="21"/>
      <c r="C713" s="294"/>
      <c r="D713" s="294"/>
      <c r="E713" s="294"/>
      <c r="F713" s="294"/>
      <c r="G713" s="294"/>
      <c r="H713" s="294"/>
      <c r="I713" s="294"/>
      <c r="J713" s="294"/>
      <c r="K713" s="294"/>
      <c r="L713" s="294"/>
      <c r="M713" s="294"/>
      <c r="N713" s="294"/>
      <c r="O713" s="25"/>
      <c r="P713" s="437"/>
      <c r="Q713" s="437"/>
      <c r="R713" s="437"/>
      <c r="S713" s="437"/>
      <c r="T713" s="26"/>
    </row>
    <row r="714" spans="1:20" s="697" customFormat="1" ht="15" customHeight="1" thickBot="1" x14ac:dyDescent="0.3">
      <c r="A714" s="437"/>
      <c r="B714" s="414"/>
      <c r="C714" s="36">
        <f>C645+1</f>
        <v>4</v>
      </c>
      <c r="D714" s="1890" t="str">
        <f>CONCATENATE(EUconst_BMSubinst," ",C714, ":")</f>
        <v>Apakšiekārta ar produkta līmeņatzīmi 4:</v>
      </c>
      <c r="E714" s="1890"/>
      <c r="F714" s="1890"/>
      <c r="G714" s="1890"/>
      <c r="H714" s="1891"/>
      <c r="I714" s="1887" t="str">
        <f>IF(INDEX(CNTR_SubInstListIsProdBM,$C714),INDEX(CNTR_SubInstListNames,$C714),"")</f>
        <v/>
      </c>
      <c r="J714" s="1888"/>
      <c r="K714" s="1888"/>
      <c r="L714" s="1888"/>
      <c r="M714" s="1888"/>
      <c r="N714" s="1889"/>
      <c r="O714" s="25"/>
      <c r="P714" s="437"/>
      <c r="Q714" s="904">
        <f>C714</f>
        <v>4</v>
      </c>
      <c r="R714" s="901" t="str">
        <f>I714</f>
        <v/>
      </c>
      <c r="S714" s="903" t="str">
        <f>H717</f>
        <v>NA</v>
      </c>
      <c r="T714" s="902" t="str">
        <f>IF(M728="","",IF(S717=0,0,SUM(M728)/S717))</f>
        <v/>
      </c>
    </row>
    <row r="715" spans="1:20" s="697" customFormat="1" ht="5.0999999999999996" customHeight="1" thickBot="1" x14ac:dyDescent="0.25">
      <c r="A715" s="437"/>
      <c r="B715" s="414"/>
      <c r="C715" s="414"/>
      <c r="D715" s="414"/>
      <c r="E715" s="414"/>
      <c r="F715" s="414"/>
      <c r="G715" s="414"/>
      <c r="H715" s="414"/>
      <c r="I715" s="414"/>
      <c r="J715" s="414"/>
      <c r="K715" s="414"/>
      <c r="L715" s="414"/>
      <c r="M715" s="414"/>
      <c r="N715" s="414"/>
      <c r="O715" s="25"/>
      <c r="P715" s="437"/>
      <c r="Q715" s="437"/>
      <c r="R715" s="437"/>
      <c r="S715" s="437"/>
      <c r="T715" s="26"/>
    </row>
    <row r="716" spans="1:20" s="697" customFormat="1" ht="13.5" thickBot="1" x14ac:dyDescent="0.25">
      <c r="A716" s="437"/>
      <c r="B716" s="414"/>
      <c r="C716" s="414"/>
      <c r="D716" s="414"/>
      <c r="E716" s="414"/>
      <c r="F716" s="414"/>
      <c r="G716" s="414"/>
      <c r="H716" s="647" t="str">
        <f>Translations!$B$1204</f>
        <v>Pakļauta OEP</v>
      </c>
      <c r="I716" s="38"/>
      <c r="J716" s="648" t="str">
        <f>Translations!$B$1208</f>
        <v>Ekspl. sākta</v>
      </c>
      <c r="K716" s="648" t="str">
        <f>Translations!$B$1206</f>
        <v>LA Nr.</v>
      </c>
      <c r="L716" s="812" t="str">
        <f>Translations!$B$1212</f>
        <v>15(7)3?</v>
      </c>
      <c r="M716" s="989" t="str">
        <f>Translations!$B$1234</f>
        <v>LA vērtība (min./maks./fakt.)</v>
      </c>
      <c r="N716" s="990"/>
      <c r="O716" s="25"/>
      <c r="P716" s="437"/>
      <c r="Q716" s="437"/>
      <c r="R716" s="646" t="s">
        <v>641</v>
      </c>
      <c r="S716" s="903" t="str">
        <f>H719</f>
        <v>NA</v>
      </c>
      <c r="T716" s="26"/>
    </row>
    <row r="717" spans="1:20" s="697" customFormat="1" x14ac:dyDescent="0.2">
      <c r="A717" s="437"/>
      <c r="B717" s="414"/>
      <c r="C717" s="414"/>
      <c r="D717" s="414"/>
      <c r="E717" s="649" t="str">
        <f>I714</f>
        <v/>
      </c>
      <c r="F717" s="650"/>
      <c r="G717" s="594"/>
      <c r="H717" s="651" t="str">
        <f>IF(K717=EUconst_NA,EUconst_NA,INDEX(EUconst_BMlistCLstatus,MATCH(K717,EUconst_BMlistMainNumberOfBM,0)))</f>
        <v>NA</v>
      </c>
      <c r="I717" s="38"/>
      <c r="J717" s="846" t="str">
        <f>IF($I714="",EUconst_NA,INDEX(CNTR_SubInstStartDate,MATCH(E717,CNTR_SubInstListNames,0)))</f>
        <v>NA</v>
      </c>
      <c r="K717" s="546" t="str">
        <f>IF($I714="",EUconst_NA,INDEX(EUconst_BMlistMainNumberOfBM,MATCH(E717,EUconst_BMlistNames,0)))</f>
        <v>NA</v>
      </c>
      <c r="L717" s="988" t="str">
        <f>IF(E717="","",INDEX(CNTR_SubInstLess1Year,MATCH(E717,CNTR_SubInstListNames,0)))</f>
        <v/>
      </c>
      <c r="M717" s="991" t="str">
        <f>IF(I714="",EUconst_NA,INDEX(EUconst_BMlistBMvaluesMatrix,MATCH(K717,EUconst_BMlistMainNumberOfBM,0),2))</f>
        <v>NA</v>
      </c>
      <c r="N717" s="992" t="str">
        <f>EUconst_EUA &amp; "/" &amp; H722</f>
        <v>ESK/tonnas</v>
      </c>
      <c r="O717" s="25"/>
      <c r="P717" s="437"/>
      <c r="Q717" s="437"/>
      <c r="R717" s="732" t="s">
        <v>554</v>
      </c>
      <c r="S717" s="815" t="str">
        <f>IF(H717=EUconst_NA,"",IF(H717,1,INDEX(EUconst_CLEFYears,1)))</f>
        <v/>
      </c>
      <c r="T717" s="26"/>
    </row>
    <row r="718" spans="1:20" s="697" customFormat="1" x14ac:dyDescent="0.2">
      <c r="A718" s="437"/>
      <c r="B718" s="414"/>
      <c r="C718" s="414"/>
      <c r="D718" s="414"/>
      <c r="G718" s="648" t="str">
        <f>Translations!$B$1218</f>
        <v>ETS neaptverts siltums</v>
      </c>
      <c r="H718" s="647" t="s">
        <v>623</v>
      </c>
      <c r="I718" s="812" t="str">
        <f>Translations!$B$1220</f>
        <v>AGlāpā</v>
      </c>
      <c r="J718" s="648" t="s">
        <v>550</v>
      </c>
      <c r="K718" s="648" t="s">
        <v>551</v>
      </c>
      <c r="L718" s="38"/>
      <c r="M718" s="991" t="str">
        <f>IF(I714="",EUconst_NA,INDEX(EUconst_BMlistBMvaluesMatrix,MATCH(K717,EUconst_BMlistMainNumberOfBM,0),1))</f>
        <v>NA</v>
      </c>
      <c r="N718" s="992" t="str">
        <f>EUconst_EUA &amp; "/" &amp; H722</f>
        <v>ESK/tonnas</v>
      </c>
      <c r="O718" s="25"/>
      <c r="P718" s="437"/>
      <c r="Q718" s="437"/>
      <c r="R718" s="732" t="s">
        <v>658</v>
      </c>
      <c r="S718" s="1150" t="str">
        <f>IF($I714="",EUconst_NA,INDEX(EUconst_BMlistNumberOfBM,MATCH(I714,EUconst_BMlistNames,0)))</f>
        <v>NA</v>
      </c>
      <c r="T718" s="26"/>
    </row>
    <row r="719" spans="1:20" s="697" customFormat="1" ht="13.5" thickBot="1" x14ac:dyDescent="0.25">
      <c r="A719" s="437"/>
      <c r="B719" s="414"/>
      <c r="C719" s="414"/>
      <c r="D719" s="414"/>
      <c r="E719" s="868" t="str">
        <f>Translations!$B$1235</f>
        <v>Īpaši koeficienti/faktori:</v>
      </c>
      <c r="F719" s="868"/>
      <c r="G719" s="546" t="str">
        <f>IF($I714="","",SUMIF(F_ProductBM!$P:$P,EUconst_CNTR_HEAT&amp;$I714,F_ProductBM!$Q:$Q))</f>
        <v/>
      </c>
      <c r="H719" s="651" t="str">
        <f>IF(S718=EUconst_NA,EUconst_NA,INDEX(EUconst_BMlistCBAMstatus,MATCH(S718,EUconst_BMlistNumberOfBM,0)))</f>
        <v>NA</v>
      </c>
      <c r="I719" s="844" t="str">
        <f>IF(OR($I714="",CNTR_BaselinePeriod&lt;&gt;2),"",SUMIF(F_ProductBM!$P:$P,EUconst_CNTR_WGFlaredEF &amp; I714,F_ProductBM!$R:$R))</f>
        <v/>
      </c>
      <c r="J719" s="546" t="str">
        <f>IF($I714="","",IF($K717=42,SUMIF(H_SpecialBM!$P$9:$P$401,EUconst_CNTR_HVC,H_SpecialBM!$I$9:$I$401),0))</f>
        <v/>
      </c>
      <c r="K719" s="867" t="str">
        <f>IF($I714="","",IF($K717=47,IF(ISNUMBER(INDEX(H_SpecialBM!$Q$9:$Q$401,MATCH(EUconst_CNTR_VCM,H_SpecialBM!$P$9:$P$401,0))),INDEX(H_SpecialBM!$Q$9:$Q$401,MATCH(EUconst_CNTR_VCM,H_SpecialBM!$P$9:$P$401,0)),1),1))</f>
        <v/>
      </c>
      <c r="L719" s="38"/>
      <c r="M719" s="993" t="str">
        <f>IF(I714="",EUconst_NA,IF(EUconst_StatusOfDataCollection,INDEX(EUconst_BMlistBMvaluesMatrix,MATCH(K717,EUconst_BMlistMainNumberOfBM,0),3),""))</f>
        <v>NA</v>
      </c>
      <c r="N719" s="994" t="str">
        <f>EUconst_EUA &amp; "/" &amp; H722</f>
        <v>ESK/tonnas</v>
      </c>
      <c r="O719" s="25"/>
      <c r="P719" s="437"/>
      <c r="Q719" s="437"/>
      <c r="R719" s="732"/>
      <c r="S719" s="866"/>
      <c r="T719" s="26"/>
    </row>
    <row r="720" spans="1:20" s="697" customFormat="1" ht="5.0999999999999996" customHeight="1" x14ac:dyDescent="0.2">
      <c r="A720" s="437"/>
      <c r="B720" s="414"/>
      <c r="C720" s="414"/>
      <c r="D720" s="414"/>
      <c r="E720" s="414"/>
      <c r="F720" s="414"/>
      <c r="G720" s="414"/>
      <c r="H720" s="414"/>
      <c r="I720" s="414"/>
      <c r="J720" s="414"/>
      <c r="K720" s="414"/>
      <c r="L720" s="414"/>
      <c r="M720" s="414"/>
      <c r="N720" s="414"/>
      <c r="O720" s="25"/>
      <c r="P720" s="437"/>
      <c r="Q720" s="437"/>
      <c r="R720" s="437"/>
      <c r="S720" s="437"/>
      <c r="T720" s="26"/>
    </row>
    <row r="721" spans="1:20" s="697" customFormat="1" x14ac:dyDescent="0.2">
      <c r="A721" s="437"/>
      <c r="B721" s="414"/>
      <c r="C721" s="414"/>
      <c r="D721" s="414"/>
      <c r="E721" s="652"/>
      <c r="F721" s="652"/>
      <c r="G721" s="653"/>
      <c r="H721" s="864" t="str">
        <f>EUconst_Unit</f>
        <v>Vienība</v>
      </c>
      <c r="I721" s="447">
        <f>I$1652</f>
        <v>2019</v>
      </c>
      <c r="J721" s="447">
        <f>J$1652</f>
        <v>2020</v>
      </c>
      <c r="K721" s="447">
        <f>K$1652</f>
        <v>2021</v>
      </c>
      <c r="L721" s="447">
        <f>L$1652</f>
        <v>2022</v>
      </c>
      <c r="M721" s="447">
        <f>M$1652</f>
        <v>2023</v>
      </c>
      <c r="N721" s="414"/>
      <c r="O721" s="25"/>
      <c r="P721" s="202" t="s">
        <v>228</v>
      </c>
      <c r="Q721" s="437"/>
      <c r="R721" s="437"/>
      <c r="S721" s="437"/>
      <c r="T721" s="26"/>
    </row>
    <row r="722" spans="1:20" s="697" customFormat="1" x14ac:dyDescent="0.2">
      <c r="A722" s="437"/>
      <c r="B722" s="414"/>
      <c r="C722" s="414"/>
      <c r="D722" s="414"/>
      <c r="E722" s="654" t="str">
        <f>Translations!$B$1236</f>
        <v>Ziņotais HAL (vēsturiskais darbības līmenis)</v>
      </c>
      <c r="F722" s="655"/>
      <c r="G722" s="656"/>
      <c r="H722" s="651" t="str">
        <f>IF(ISNUMBER(K717),INDEX(EUconst_BMlistUnits,MATCH(K717,EUconst_BMlistMainNumberOfBM,0)),EUconst_Tons)</f>
        <v>tonnas</v>
      </c>
      <c r="I722" s="546" t="str">
        <f>IF($I714="","",SUMIF(F_ProductBM!$P$11:$P$1814,$P722,F_ProductBM!I$11:I$1814))</f>
        <v/>
      </c>
      <c r="J722" s="546" t="str">
        <f>IF($I714="","",SUMIF(F_ProductBM!$P$11:$P$1814,$P722,F_ProductBM!J$11:J$1814))</f>
        <v/>
      </c>
      <c r="K722" s="546" t="str">
        <f>IF($I714="","",SUMIF(F_ProductBM!$P$11:$P$1814,$P722,F_ProductBM!K$11:K$1814))</f>
        <v/>
      </c>
      <c r="L722" s="546" t="str">
        <f>IF($I714="","",SUMIF(F_ProductBM!$P$11:$P$1814,$P722,F_ProductBM!L$11:L$1814))</f>
        <v/>
      </c>
      <c r="M722" s="546" t="str">
        <f>IF($I714="","",SUMIF(F_ProductBM!$P$11:$P$1814,$P722,F_ProductBM!M$11:M$1814))</f>
        <v/>
      </c>
      <c r="N722" s="648" t="s">
        <v>625</v>
      </c>
      <c r="O722" s="25"/>
      <c r="P722" s="202" t="str">
        <f>EUconst_CNTR_HAL&amp;I714</f>
        <v>HAL_</v>
      </c>
      <c r="Q722" s="437"/>
      <c r="R722" s="437"/>
      <c r="S722" s="437"/>
      <c r="T722" s="26"/>
    </row>
    <row r="723" spans="1:20" s="697" customFormat="1" x14ac:dyDescent="0.2">
      <c r="A723" s="437"/>
      <c r="B723" s="414"/>
      <c r="C723" s="414"/>
      <c r="D723" s="414"/>
      <c r="E723" s="654" t="str">
        <f>Translations!$B$1237</f>
        <v>HAL aprēķinam izmantotās vērtības:</v>
      </c>
      <c r="F723" s="655"/>
      <c r="G723" s="656"/>
      <c r="H723" s="651" t="str">
        <f>H722</f>
        <v>tonnas</v>
      </c>
      <c r="I723" s="546" t="str">
        <f>IF($I714="","",INDEX(F_ProductBM!S$11:S$1814,MATCH($P723,F_ProductBM!$P$11:$P$1814,0)))</f>
        <v/>
      </c>
      <c r="J723" s="546" t="str">
        <f>IF($I714="","",INDEX(F_ProductBM!T$11:T$1814,MATCH($P723,F_ProductBM!$P$11:$P$1814,0)))</f>
        <v/>
      </c>
      <c r="K723" s="546" t="str">
        <f>IF($I714="","",INDEX(F_ProductBM!U$11:U$1814,MATCH($P723,F_ProductBM!$P$11:$P$1814,0)))</f>
        <v/>
      </c>
      <c r="L723" s="546" t="str">
        <f>IF($I714="","",INDEX(F_ProductBM!V$11:V$1814,MATCH($P723,F_ProductBM!$P$11:$P$1814,0)))</f>
        <v/>
      </c>
      <c r="M723" s="546" t="str">
        <f>IF($I714="","",INDEX(F_ProductBM!W$11:W$1814,MATCH($P723,F_ProductBM!$P$11:$P$1814,0)))</f>
        <v/>
      </c>
      <c r="N723" s="546" t="str">
        <f>IF(OR($I714="",$L717=TRUE),"",IF(COUNT($I723:$M723)&gt;0,MEDIAN($I723:$M723),""))</f>
        <v/>
      </c>
      <c r="O723" s="25"/>
      <c r="P723" s="202" t="str">
        <f>EUconst_CNTR_HAL&amp;I714</f>
        <v>HAL_</v>
      </c>
      <c r="Q723" s="437"/>
      <c r="R723" s="931" t="s">
        <v>604</v>
      </c>
      <c r="S723" s="931" t="s">
        <v>605</v>
      </c>
      <c r="T723" s="931" t="s">
        <v>606</v>
      </c>
    </row>
    <row r="724" spans="1:20" s="697" customFormat="1" ht="5.0999999999999996" customHeight="1" x14ac:dyDescent="0.2">
      <c r="A724" s="437"/>
      <c r="B724" s="414"/>
      <c r="C724" s="414"/>
      <c r="D724" s="414"/>
      <c r="E724" s="865"/>
      <c r="F724" s="865"/>
      <c r="G724" s="865"/>
      <c r="H724" s="865"/>
      <c r="I724" s="865"/>
      <c r="J724" s="865"/>
      <c r="K724" s="865"/>
      <c r="L724" s="865"/>
      <c r="O724" s="25"/>
      <c r="P724" s="437"/>
      <c r="Q724" s="437"/>
      <c r="R724" s="437"/>
      <c r="S724" s="437"/>
      <c r="T724" s="26"/>
    </row>
    <row r="725" spans="1:20" s="697" customFormat="1" ht="12.75" customHeight="1" x14ac:dyDescent="0.2">
      <c r="A725" s="437"/>
      <c r="B725" s="414"/>
      <c r="C725" s="414"/>
      <c r="D725" s="414"/>
      <c r="E725" s="1892" t="str">
        <f>Translations!$B$689</f>
        <v>Relevantais elektroenerģijas patēriņš</v>
      </c>
      <c r="F725" s="1892"/>
      <c r="G725" s="1892"/>
      <c r="H725" s="1101" t="str">
        <f>EUconst_MWhpa</f>
        <v>MWh / gads</v>
      </c>
      <c r="I725" s="1166" t="str">
        <f>IF($I714="","",IF(INDEX(F_ProductBM!I:I,MATCH($P725,F_ProductBM!$Q:$Q,0))="","",INDEX(F_ProductBM!I:I,MATCH($P725,F_ProductBM!$Q:$Q,0))))</f>
        <v/>
      </c>
      <c r="J725" s="1166" t="str">
        <f>IF($I714="","",IF(INDEX(F_ProductBM!J:J,MATCH($P725,F_ProductBM!$Q:$Q,0))="","",INDEX(F_ProductBM!J:J,MATCH($P725,F_ProductBM!$Q:$Q,0))))</f>
        <v/>
      </c>
      <c r="K725" s="1166" t="str">
        <f>IF($I714="","",IF(INDEX(F_ProductBM!K:K,MATCH($P725,F_ProductBM!$Q:$Q,0))="","",INDEX(F_ProductBM!K:K,MATCH($P725,F_ProductBM!$Q:$Q,0))))</f>
        <v/>
      </c>
      <c r="L725" s="1166" t="str">
        <f>IF($I714="","",IF(INDEX(F_ProductBM!L:L,MATCH($P725,F_ProductBM!$Q:$Q,0))="","",INDEX(F_ProductBM!L:L,MATCH($P725,F_ProductBM!$Q:$Q,0))))</f>
        <v/>
      </c>
      <c r="M725" s="1166" t="str">
        <f>IF($I714="","",IF(INDEX(F_ProductBM!M:M,MATCH($P725,F_ProductBM!$Q:$Q,0))="","",INDEX(F_ProductBM!M:M,MATCH($P725,F_ProductBM!$Q:$Q,0))))</f>
        <v/>
      </c>
      <c r="N725" s="38"/>
      <c r="O725" s="25"/>
      <c r="P725" s="202" t="str">
        <f>EUconst_CNTR_HAL&amp;EUconst_CNTR_ELEXCH &amp; I714</f>
        <v>HAL_ELEXCH_</v>
      </c>
      <c r="Q725" s="437"/>
      <c r="R725" s="437"/>
      <c r="S725" s="437"/>
      <c r="T725" s="26"/>
    </row>
    <row r="726" spans="1:20" s="697" customFormat="1" ht="5.0999999999999996" customHeight="1" thickBot="1" x14ac:dyDescent="0.25">
      <c r="A726" s="437"/>
      <c r="B726" s="414"/>
      <c r="C726" s="414"/>
      <c r="D726" s="414"/>
      <c r="E726" s="865"/>
      <c r="F726" s="865"/>
      <c r="G726" s="865"/>
      <c r="H726" s="865"/>
      <c r="I726" s="865"/>
      <c r="J726" s="865"/>
      <c r="K726" s="865"/>
      <c r="L726" s="865"/>
      <c r="O726" s="25"/>
      <c r="P726" s="437"/>
      <c r="Q726" s="437"/>
      <c r="R726" s="437"/>
      <c r="S726" s="437"/>
      <c r="T726" s="26"/>
    </row>
    <row r="727" spans="1:20" s="697" customFormat="1" ht="13.5" thickBot="1" x14ac:dyDescent="0.25">
      <c r="A727" s="437"/>
      <c r="B727" s="414"/>
      <c r="D727" s="414"/>
      <c r="E727" s="865"/>
      <c r="F727" s="816" t="str">
        <f>Translations!$B$1728</f>
        <v>HAL kopā</v>
      </c>
      <c r="G727" s="817"/>
      <c r="I727" s="816" t="str">
        <f>Translations!$B$1226</f>
        <v>1. gada prov. ied. apj. (min.)</v>
      </c>
      <c r="J727" s="817"/>
      <c r="K727" s="816" t="str">
        <f>Translations!$B$1229</f>
        <v>1. gada prov. ied. apj. (maks.)</v>
      </c>
      <c r="L727" s="817"/>
      <c r="M727" s="816" t="str">
        <f>Translations!$B$1231</f>
        <v>1. gada prov. ied. apj. (fakt.)</v>
      </c>
      <c r="N727" s="817"/>
      <c r="O727" s="25"/>
      <c r="P727" s="202" t="str">
        <f>EUconst_AllocPrelim&amp;I714</f>
        <v>AllocPrelim_</v>
      </c>
      <c r="Q727" s="437"/>
      <c r="R727" s="900" t="str">
        <f>IF(I728="","",IF(S717=0,0,SUM(I728)/S717))</f>
        <v/>
      </c>
      <c r="S727" s="900" t="str">
        <f>IF(K728="","",IF(S717=0,0,SUM(K728)/S717))</f>
        <v/>
      </c>
      <c r="T727" s="900" t="str">
        <f>T714</f>
        <v/>
      </c>
    </row>
    <row r="728" spans="1:20" s="697" customFormat="1" ht="13.5" thickBot="1" x14ac:dyDescent="0.25">
      <c r="A728" s="437"/>
      <c r="B728" s="414"/>
      <c r="E728" s="865"/>
      <c r="F728" s="658" t="str">
        <f>IF(I714="","",MAX(0, IF(L717=TRUE, SUM(L719), SUM(N723))))</f>
        <v/>
      </c>
      <c r="G728" s="659" t="str">
        <f>H722&amp;" / "&amp;EUconst_Year</f>
        <v>tonnas / gads</v>
      </c>
      <c r="I728" s="814" t="str">
        <f>IF(I714="","",ROUND((SUM(M717)*SUM(F728)*SUM(K719)-SUM(G719)-SUM(I719)+SUM(J719))*SUM(S717),0))</f>
        <v/>
      </c>
      <c r="J728" s="884" t="str">
        <f>EUconst_EUApa</f>
        <v>ESK / gads</v>
      </c>
      <c r="K728" s="814" t="str">
        <f>IF(I714="","",ROUND((SUM(M718)*SUM(F728)*SUM(K719)-SUM(G719)-SUM(I719)+SUM(J719))*SUM(S717),0))</f>
        <v/>
      </c>
      <c r="L728" s="884" t="str">
        <f>EUconst_EUApa</f>
        <v>ESK / gads</v>
      </c>
      <c r="M728" s="814" t="str">
        <f>IF(OR(I714="",M719=""),"",ROUND((SUM(M719)*SUM(F728)*SUM(K719)-SUM(G719)-SUM(I719)+SUM(J719))*SUM(S717),0))</f>
        <v/>
      </c>
      <c r="N728" s="884" t="str">
        <f>EUconst_EUApa</f>
        <v>ESK / gads</v>
      </c>
      <c r="O728" s="25"/>
      <c r="P728" s="202" t="str">
        <f>EUconst_HALsum &amp; I714</f>
        <v>HALsum_</v>
      </c>
      <c r="Q728" s="437"/>
      <c r="R728" s="437"/>
      <c r="S728" s="437"/>
      <c r="T728" s="26"/>
    </row>
    <row r="729" spans="1:20" s="697" customFormat="1" ht="5.0999999999999996" customHeight="1" x14ac:dyDescent="0.2">
      <c r="A729" s="437"/>
      <c r="B729" s="414"/>
      <c r="C729" s="414"/>
      <c r="E729" s="440"/>
      <c r="F729" s="414"/>
      <c r="G729" s="414"/>
      <c r="H729" s="414"/>
      <c r="I729" s="414"/>
      <c r="J729" s="414"/>
      <c r="K729" s="414"/>
      <c r="L729" s="414"/>
      <c r="M729" s="414"/>
      <c r="N729" s="414"/>
      <c r="O729" s="25"/>
      <c r="P729" s="437"/>
      <c r="Q729" s="437"/>
      <c r="R729" s="437"/>
      <c r="S729" s="437"/>
      <c r="T729" s="26"/>
    </row>
    <row r="730" spans="1:20" s="697" customFormat="1" ht="5.0999999999999996" customHeight="1" x14ac:dyDescent="0.2">
      <c r="A730" s="437"/>
      <c r="B730" s="414"/>
      <c r="C730" s="414"/>
      <c r="D730" s="414"/>
      <c r="E730" s="526"/>
      <c r="F730" s="823"/>
      <c r="G730" s="823"/>
      <c r="H730" s="823"/>
      <c r="I730" s="823"/>
      <c r="J730" s="823"/>
      <c r="K730" s="823"/>
      <c r="L730" s="823"/>
      <c r="M730" s="823"/>
      <c r="N730" s="823"/>
      <c r="O730" s="25"/>
      <c r="P730" s="437"/>
      <c r="Q730" s="437"/>
      <c r="R730" s="437"/>
      <c r="S730" s="437"/>
      <c r="T730" s="26"/>
    </row>
    <row r="731" spans="1:20" s="697" customFormat="1" ht="13.5" thickBot="1" x14ac:dyDescent="0.25">
      <c r="A731" s="437"/>
      <c r="B731" s="414"/>
      <c r="C731" s="414"/>
      <c r="D731" s="414"/>
      <c r="E731" s="526"/>
      <c r="F731" s="823"/>
      <c r="G731" s="823"/>
      <c r="H731" s="525" t="str">
        <f>EUconst_Unit</f>
        <v>Vienība</v>
      </c>
      <c r="I731" s="929">
        <f>I$1652</f>
        <v>2019</v>
      </c>
      <c r="J731" s="463">
        <f>J$1652</f>
        <v>2020</v>
      </c>
      <c r="K731" s="463">
        <f>K$1652</f>
        <v>2021</v>
      </c>
      <c r="L731" s="463">
        <f>L$1652</f>
        <v>2022</v>
      </c>
      <c r="M731" s="463">
        <f>M$1652</f>
        <v>2023</v>
      </c>
      <c r="N731" s="823"/>
      <c r="O731" s="25"/>
      <c r="P731" s="437"/>
      <c r="Q731" s="437"/>
      <c r="R731" s="437"/>
      <c r="S731" s="437"/>
      <c r="T731" s="26"/>
    </row>
    <row r="732" spans="1:20" s="697" customFormat="1" ht="13.5" customHeight="1" thickBot="1" x14ac:dyDescent="0.25">
      <c r="A732" s="437"/>
      <c r="B732" s="414"/>
      <c r="C732" s="414"/>
      <c r="D732" s="414"/>
      <c r="E732" s="1789" t="str">
        <f>Translations!$B$1238</f>
        <v>Kopējās attiecinātās emisijas</v>
      </c>
      <c r="F732" s="1789"/>
      <c r="G732" s="1789"/>
      <c r="H732" s="886" t="str">
        <f>EUconst_tCO2epa</f>
        <v>t CO2e/gads</v>
      </c>
      <c r="I732" s="1151" t="str">
        <f>INDEX(I$115:I$134,MATCH($I714,$E$115:$E$134,0))</f>
        <v/>
      </c>
      <c r="J732" s="1152" t="str">
        <f>INDEX(J$115:J$134,MATCH($I714,$E$115:$E$134,0))</f>
        <v/>
      </c>
      <c r="K732" s="1152" t="str">
        <f>INDEX(K$115:K$134,MATCH($I714,$E$115:$E$134,0))</f>
        <v/>
      </c>
      <c r="L732" s="1152" t="str">
        <f>INDEX(L$115:L$134,MATCH($I714,$E$115:$E$134,0))</f>
        <v/>
      </c>
      <c r="M732" s="1153" t="str">
        <f>INDEX(M$115:M$134,MATCH($I714,$E$115:$E$134,0))</f>
        <v/>
      </c>
      <c r="N732" s="823"/>
      <c r="O732" s="25"/>
      <c r="P732" s="437"/>
      <c r="Q732" s="437"/>
      <c r="R732" s="437"/>
      <c r="S732" s="437"/>
      <c r="T732" s="26"/>
    </row>
    <row r="733" spans="1:20" s="697" customFormat="1" ht="5.0999999999999996" customHeight="1" x14ac:dyDescent="0.2">
      <c r="A733" s="437"/>
      <c r="B733" s="414"/>
      <c r="C733" s="414"/>
      <c r="D733" s="414"/>
      <c r="E733" s="526"/>
      <c r="F733" s="526"/>
      <c r="G733" s="526"/>
      <c r="H733" s="526"/>
      <c r="I733" s="921"/>
      <c r="J733" s="921"/>
      <c r="K733" s="921"/>
      <c r="L733" s="921"/>
      <c r="M733" s="921"/>
      <c r="N733" s="526"/>
      <c r="O733" s="25"/>
      <c r="P733" s="437"/>
      <c r="Q733" s="437"/>
      <c r="R733" s="437"/>
      <c r="S733" s="437"/>
      <c r="T733" s="26"/>
    </row>
    <row r="734" spans="1:20" s="697" customFormat="1" x14ac:dyDescent="0.2">
      <c r="A734" s="437"/>
      <c r="B734" s="414"/>
      <c r="C734" s="414"/>
      <c r="D734" s="414"/>
      <c r="E734" s="1667" t="str">
        <f>Translations!$B$1623</f>
        <v>Kopējā enerģijas ielaide</v>
      </c>
      <c r="F734" s="1660"/>
      <c r="G734" s="1660"/>
      <c r="H734" s="466" t="str">
        <f>EUconst_TJpa</f>
        <v>TJ / gads</v>
      </c>
      <c r="I734" s="922" t="str">
        <f>IF($I714="","",IF(INDEX(F_ProductBM!I:I,MATCH($P734,F_ProductBM!$P:$P,0))="","",INDEX(F_ProductBM!I:I,MATCH($P734,F_ProductBM!$P:$P,0))))</f>
        <v/>
      </c>
      <c r="J734" s="922" t="str">
        <f>IF($I714="","",IF(INDEX(F_ProductBM!J:J,MATCH($P734,F_ProductBM!$P:$P,0))="","",INDEX(F_ProductBM!J:J,MATCH($P734,F_ProductBM!$P:$P,0))))</f>
        <v/>
      </c>
      <c r="K734" s="922" t="str">
        <f>IF($I714="","",IF(INDEX(F_ProductBM!K:K,MATCH($P734,F_ProductBM!$P:$P,0))="","",INDEX(F_ProductBM!K:K,MATCH($P734,F_ProductBM!$P:$P,0))))</f>
        <v/>
      </c>
      <c r="L734" s="922" t="str">
        <f>IF($I714="","",IF(INDEX(F_ProductBM!L:L,MATCH($P734,F_ProductBM!$P:$P,0))="","",INDEX(F_ProductBM!L:L,MATCH($P734,F_ProductBM!$P:$P,0))))</f>
        <v/>
      </c>
      <c r="M734" s="922" t="str">
        <f>IF($I714="","",IF(INDEX(F_ProductBM!M:M,MATCH($P734,F_ProductBM!$P:$P,0))="","",INDEX(F_ProductBM!M:M,MATCH($P734,F_ProductBM!$P:$P,0))))</f>
        <v/>
      </c>
      <c r="N734" s="823"/>
      <c r="O734" s="25"/>
      <c r="P734" s="822" t="str">
        <f>EUconst_CNTR_FuelInput &amp; I714</f>
        <v>FuelInput_</v>
      </c>
      <c r="Q734" s="437"/>
      <c r="R734" s="437"/>
      <c r="S734" s="437"/>
      <c r="T734" s="26"/>
    </row>
    <row r="735" spans="1:20" s="697" customFormat="1" ht="12.75" customHeight="1" x14ac:dyDescent="0.2">
      <c r="A735" s="437"/>
      <c r="B735" s="414"/>
      <c r="C735" s="414"/>
      <c r="D735" s="414"/>
      <c r="E735" s="1737" t="str">
        <f>Translations!$B$732</f>
        <v>Svērtais emisijas faktors</v>
      </c>
      <c r="F735" s="1659"/>
      <c r="G735" s="1659"/>
      <c r="H735" s="485" t="str">
        <f>EUconst_tCO2pTJ</f>
        <v>t CO2 / TJ</v>
      </c>
      <c r="I735" s="923" t="str">
        <f>IF($I714="","",IF(INDEX(F_ProductBM!I:I,MATCH($P735,F_ProductBM!$P:$P,0))="","",INDEX(F_ProductBM!I:I,MATCH($P735,F_ProductBM!$P:$P,0))))</f>
        <v/>
      </c>
      <c r="J735" s="923" t="str">
        <f>IF($I714="","",IF(INDEX(F_ProductBM!J:J,MATCH($P735,F_ProductBM!$P:$P,0))="","",INDEX(F_ProductBM!J:J,MATCH($P735,F_ProductBM!$P:$P,0))))</f>
        <v/>
      </c>
      <c r="K735" s="923" t="str">
        <f>IF($I714="","",IF(INDEX(F_ProductBM!K:K,MATCH($P735,F_ProductBM!$P:$P,0))="","",INDEX(F_ProductBM!K:K,MATCH($P735,F_ProductBM!$P:$P,0))))</f>
        <v/>
      </c>
      <c r="L735" s="923" t="str">
        <f>IF($I714="","",IF(INDEX(F_ProductBM!L:L,MATCH($P735,F_ProductBM!$P:$P,0))="","",INDEX(F_ProductBM!L:L,MATCH($P735,F_ProductBM!$P:$P,0))))</f>
        <v/>
      </c>
      <c r="M735" s="923" t="str">
        <f>IF($I714="","",IF(INDEX(F_ProductBM!M:M,MATCH($P735,F_ProductBM!$P:$P,0))="","",INDEX(F_ProductBM!M:M,MATCH($P735,F_ProductBM!$P:$P,0))))</f>
        <v/>
      </c>
      <c r="N735" s="823"/>
      <c r="O735" s="25"/>
      <c r="P735" s="367" t="str">
        <f>EUconst_CNTR_FuelEF &amp; I714</f>
        <v>FuelEF_</v>
      </c>
      <c r="Q735" s="437"/>
      <c r="R735" s="437"/>
      <c r="S735" s="437"/>
      <c r="T735" s="26"/>
    </row>
    <row r="736" spans="1:20" s="697" customFormat="1" ht="5.0999999999999996" customHeight="1" x14ac:dyDescent="0.2">
      <c r="A736" s="437"/>
      <c r="B736" s="414"/>
      <c r="C736" s="414"/>
      <c r="E736" s="526"/>
      <c r="F736" s="823"/>
      <c r="G736" s="823"/>
      <c r="H736" s="823"/>
      <c r="I736" s="924"/>
      <c r="J736" s="924"/>
      <c r="K736" s="924"/>
      <c r="L736" s="924"/>
      <c r="M736" s="924"/>
      <c r="N736" s="823"/>
      <c r="O736" s="25"/>
      <c r="P736" s="437"/>
      <c r="Q736" s="437"/>
      <c r="R736" s="437"/>
      <c r="S736" s="437"/>
      <c r="T736" s="26"/>
    </row>
    <row r="737" spans="1:20" s="697" customFormat="1" ht="12.75" customHeight="1" x14ac:dyDescent="0.2">
      <c r="A737" s="437"/>
      <c r="B737" s="414"/>
      <c r="C737" s="414"/>
      <c r="E737" s="1651" t="str">
        <f>Translations!$B$687</f>
        <v>Tiešās emisijas</v>
      </c>
      <c r="F737" s="1652"/>
      <c r="G737" s="1652"/>
      <c r="H737" s="465" t="str">
        <f>EUconst_tCO2pa</f>
        <v>t CO2 / gads</v>
      </c>
      <c r="I737" s="1103" t="str">
        <f>IF($I714="","",IF(INDEX(F_ProductBM!I:I,MATCH($P737,F_ProductBM!$P:$P,0))="","",INDEX(F_ProductBM!I:I,MATCH($P737,F_ProductBM!$P:$P,0))))</f>
        <v/>
      </c>
      <c r="J737" s="1103" t="str">
        <f>IF($I714="","",IF(INDEX(F_ProductBM!J:J,MATCH($P737,F_ProductBM!$P:$P,0))="","",INDEX(F_ProductBM!J:J,MATCH($P737,F_ProductBM!$P:$P,0))))</f>
        <v/>
      </c>
      <c r="K737" s="1103" t="str">
        <f>IF($I714="","",IF(INDEX(F_ProductBM!K:K,MATCH($P737,F_ProductBM!$P:$P,0))="","",INDEX(F_ProductBM!K:K,MATCH($P737,F_ProductBM!$P:$P,0))))</f>
        <v/>
      </c>
      <c r="L737" s="1103" t="str">
        <f>IF($I714="","",IF(INDEX(F_ProductBM!L:L,MATCH($P737,F_ProductBM!$P:$P,0))="","",INDEX(F_ProductBM!L:L,MATCH($P737,F_ProductBM!$P:$P,0))))</f>
        <v/>
      </c>
      <c r="M737" s="1103" t="str">
        <f>IF($I714="","",IF(INDEX(F_ProductBM!M:M,MATCH($P737,F_ProductBM!$P:$P,0))="","",INDEX(F_ProductBM!M:M,MATCH($P737,F_ProductBM!$P:$P,0))))</f>
        <v/>
      </c>
      <c r="N737" s="823"/>
      <c r="O737" s="25"/>
      <c r="P737" s="367" t="str">
        <f>EUconst_CNTR_Emissions &amp; I714</f>
        <v>DirEmissions_</v>
      </c>
      <c r="Q737" s="437"/>
      <c r="R737" s="437"/>
      <c r="S737" s="437"/>
      <c r="T737" s="26"/>
    </row>
    <row r="738" spans="1:20" s="697" customFormat="1" ht="12.75" customHeight="1" x14ac:dyDescent="0.2">
      <c r="A738" s="437"/>
      <c r="B738" s="414"/>
      <c r="C738" s="414"/>
      <c r="E738" s="1893" t="str">
        <f>Translations!$B$742</f>
        <v>Citas avota plūsmas, 1:</v>
      </c>
      <c r="F738" s="1893"/>
      <c r="G738" s="1893"/>
      <c r="H738" s="465" t="str">
        <f>EUconst_tCO2pa</f>
        <v>t CO2 / gads</v>
      </c>
      <c r="I738" s="1103" t="str">
        <f>IF($I714="","",IF(INDEX(F_ProductBM!I:I,MATCH($P738,F_ProductBM!$P:$P,0))="","",INDEX(F_ProductBM!I:I,MATCH($P738,F_ProductBM!$P:$P,0))))</f>
        <v/>
      </c>
      <c r="J738" s="1103" t="str">
        <f>IF($I714="","",IF(INDEX(F_ProductBM!J:J,MATCH($P738,F_ProductBM!$P:$P,0))="","",INDEX(F_ProductBM!J:J,MATCH($P738,F_ProductBM!$P:$P,0))))</f>
        <v/>
      </c>
      <c r="K738" s="1103" t="str">
        <f>IF($I714="","",IF(INDEX(F_ProductBM!K:K,MATCH($P738,F_ProductBM!$P:$P,0))="","",INDEX(F_ProductBM!K:K,MATCH($P738,F_ProductBM!$P:$P,0))))</f>
        <v/>
      </c>
      <c r="L738" s="1103" t="str">
        <f>IF($I714="","",IF(INDEX(F_ProductBM!L:L,MATCH($P738,F_ProductBM!$P:$P,0))="","",INDEX(F_ProductBM!L:L,MATCH($P738,F_ProductBM!$P:$P,0))))</f>
        <v/>
      </c>
      <c r="M738" s="1103" t="str">
        <f>IF($I714="","",IF(INDEX(F_ProductBM!M:M,MATCH($P738,F_ProductBM!$P:$P,0))="","",INDEX(F_ProductBM!M:M,MATCH($P738,F_ProductBM!$P:$P,0))))</f>
        <v/>
      </c>
      <c r="N738" s="823"/>
      <c r="O738" s="25"/>
      <c r="P738" s="367" t="str">
        <f>EUconst_CNTR_EmissionsIntSource1 &amp; I714</f>
        <v>EmInternalSource1_</v>
      </c>
      <c r="Q738" s="437"/>
      <c r="R738" s="437"/>
      <c r="S738" s="437"/>
      <c r="T738" s="26"/>
    </row>
    <row r="739" spans="1:20" s="697" customFormat="1" ht="12.75" customHeight="1" x14ac:dyDescent="0.2">
      <c r="A739" s="437"/>
      <c r="B739" s="414"/>
      <c r="C739" s="414"/>
      <c r="E739" s="1893" t="str">
        <f>Translations!$B$752</f>
        <v>Citas avota plūsmas, 2:</v>
      </c>
      <c r="F739" s="1893"/>
      <c r="G739" s="1893"/>
      <c r="H739" s="465" t="str">
        <f>EUconst_tCO2pa</f>
        <v>t CO2 / gads</v>
      </c>
      <c r="I739" s="1103" t="str">
        <f>IF($I714="","",IF(INDEX(F_ProductBM!I:I,MATCH($P739,F_ProductBM!$P:$P,0))="","",INDEX(F_ProductBM!I:I,MATCH($P739,F_ProductBM!$P:$P,0))))</f>
        <v/>
      </c>
      <c r="J739" s="1103" t="str">
        <f>IF($I714="","",IF(INDEX(F_ProductBM!J:J,MATCH($P739,F_ProductBM!$P:$P,0))="","",INDEX(F_ProductBM!J:J,MATCH($P739,F_ProductBM!$P:$P,0))))</f>
        <v/>
      </c>
      <c r="K739" s="1103" t="str">
        <f>IF($I714="","",IF(INDEX(F_ProductBM!K:K,MATCH($P739,F_ProductBM!$P:$P,0))="","",INDEX(F_ProductBM!K:K,MATCH($P739,F_ProductBM!$P:$P,0))))</f>
        <v/>
      </c>
      <c r="L739" s="1103" t="str">
        <f>IF($I714="","",IF(INDEX(F_ProductBM!L:L,MATCH($P739,F_ProductBM!$P:$P,0))="","",INDEX(F_ProductBM!L:L,MATCH($P739,F_ProductBM!$P:$P,0))))</f>
        <v/>
      </c>
      <c r="M739" s="1103" t="str">
        <f>IF($I714="","",IF(INDEX(F_ProductBM!M:M,MATCH($P739,F_ProductBM!$P:$P,0))="","",INDEX(F_ProductBM!M:M,MATCH($P739,F_ProductBM!$P:$P,0))))</f>
        <v/>
      </c>
      <c r="N739" s="823"/>
      <c r="O739" s="25"/>
      <c r="P739" s="367" t="str">
        <f>EUconst_CNTR_EmissionsIntSource2 &amp; I714</f>
        <v>EmInternalSource2_</v>
      </c>
      <c r="Q739" s="437"/>
      <c r="R739" s="437"/>
      <c r="S739" s="437"/>
      <c r="T739" s="26"/>
    </row>
    <row r="740" spans="1:20" s="697" customFormat="1" ht="12.75" customHeight="1" x14ac:dyDescent="0.2">
      <c r="A740" s="437"/>
      <c r="B740" s="414"/>
      <c r="C740" s="414"/>
      <c r="D740" s="414"/>
      <c r="E740" s="1651" t="str">
        <f>Translations!$B$756</f>
        <v>Importētās vai eksportētās SEG</v>
      </c>
      <c r="F740" s="1652"/>
      <c r="G740" s="1652"/>
      <c r="H740" s="465" t="str">
        <f>EUconst_tCO2epa</f>
        <v>t CO2e/gads</v>
      </c>
      <c r="I740" s="1103" t="str">
        <f>IF($I714="","",IF(INDEX(F_ProductBM!I:I,MATCH($P740,F_ProductBM!$P:$P,0))="","",INDEX(F_ProductBM!I:I,MATCH($P740,F_ProductBM!$P:$P,0))))</f>
        <v/>
      </c>
      <c r="J740" s="1103" t="str">
        <f>IF($I714="","",IF(INDEX(F_ProductBM!J:J,MATCH($P740,F_ProductBM!$P:$P,0))="","",INDEX(F_ProductBM!J:J,MATCH($P740,F_ProductBM!$P:$P,0))))</f>
        <v/>
      </c>
      <c r="K740" s="1103" t="str">
        <f>IF($I714="","",IF(INDEX(F_ProductBM!K:K,MATCH($P740,F_ProductBM!$P:$P,0))="","",INDEX(F_ProductBM!K:K,MATCH($P740,F_ProductBM!$P:$P,0))))</f>
        <v/>
      </c>
      <c r="L740" s="1103" t="str">
        <f>IF($I714="","",IF(INDEX(F_ProductBM!L:L,MATCH($P740,F_ProductBM!$P:$P,0))="","",INDEX(F_ProductBM!L:L,MATCH($P740,F_ProductBM!$P:$P,0))))</f>
        <v/>
      </c>
      <c r="M740" s="1103" t="str">
        <f>IF($I714="","",IF(INDEX(F_ProductBM!M:M,MATCH($P740,F_ProductBM!$P:$P,0))="","",INDEX(F_ProductBM!M:M,MATCH($P740,F_ProductBM!$P:$P,0))))</f>
        <v/>
      </c>
      <c r="N740" s="823"/>
      <c r="O740" s="25"/>
      <c r="P740" s="367" t="str">
        <f>EUconst_CNTR_CO2Feedstock &amp; I714</f>
        <v>EmCO2Feedstock_</v>
      </c>
      <c r="Q740" s="437"/>
      <c r="R740" s="437"/>
      <c r="S740" s="437"/>
      <c r="T740" s="26"/>
    </row>
    <row r="741" spans="1:20" s="697" customFormat="1" ht="5.0999999999999996" customHeight="1" x14ac:dyDescent="0.2">
      <c r="A741" s="437"/>
      <c r="B741" s="414"/>
      <c r="C741" s="414"/>
      <c r="D741" s="414"/>
      <c r="E741" s="823"/>
      <c r="F741" s="823"/>
      <c r="G741" s="823"/>
      <c r="H741" s="823"/>
      <c r="I741" s="924"/>
      <c r="J741" s="924"/>
      <c r="K741" s="924"/>
      <c r="L741" s="924"/>
      <c r="M741" s="924"/>
      <c r="N741" s="823"/>
      <c r="O741" s="25"/>
      <c r="P741" s="437"/>
      <c r="Q741" s="437"/>
      <c r="R741" s="437"/>
      <c r="S741" s="437"/>
      <c r="T741" s="26"/>
    </row>
    <row r="742" spans="1:20" s="697" customFormat="1" ht="12.75" customHeight="1" x14ac:dyDescent="0.2">
      <c r="A742" s="437"/>
      <c r="B742" s="414"/>
      <c r="C742" s="414"/>
      <c r="D742" s="414"/>
      <c r="E742" s="1667" t="str">
        <f>Translations!$B$764</f>
        <v>Neto importētais siltums</v>
      </c>
      <c r="F742" s="1660"/>
      <c r="G742" s="1660"/>
      <c r="H742" s="466" t="str">
        <f>EUconst_TJpa</f>
        <v>TJ / gads</v>
      </c>
      <c r="I742" s="922" t="str">
        <f>IF($I714="","",IF(INDEX(F_ProductBM!I:I,MATCH($P742,F_ProductBM!$P:$P,0))="","",INDEX(F_ProductBM!I:I,MATCH($P742,F_ProductBM!$P:$P,0))))</f>
        <v/>
      </c>
      <c r="J742" s="922" t="str">
        <f>IF($I714="","",IF(INDEX(F_ProductBM!J:J,MATCH($P742,F_ProductBM!$P:$P,0))="","",INDEX(F_ProductBM!J:J,MATCH($P742,F_ProductBM!$P:$P,0))))</f>
        <v/>
      </c>
      <c r="K742" s="922" t="str">
        <f>IF($I714="","",IF(INDEX(F_ProductBM!K:K,MATCH($P742,F_ProductBM!$P:$P,0))="","",INDEX(F_ProductBM!K:K,MATCH($P742,F_ProductBM!$P:$P,0))))</f>
        <v/>
      </c>
      <c r="L742" s="922" t="str">
        <f>IF($I714="","",IF(INDEX(F_ProductBM!L:L,MATCH($P742,F_ProductBM!$P:$P,0))="","",INDEX(F_ProductBM!L:L,MATCH($P742,F_ProductBM!$P:$P,0))))</f>
        <v/>
      </c>
      <c r="M742" s="922" t="str">
        <f>IF($I714="","",IF(INDEX(F_ProductBM!M:M,MATCH($P742,F_ProductBM!$P:$P,0))="","",INDEX(F_ProductBM!M:M,MATCH($P742,F_ProductBM!$P:$P,0))))</f>
        <v/>
      </c>
      <c r="N742" s="823"/>
      <c r="O742" s="25"/>
      <c r="P742" s="367" t="str">
        <f>EUconst_CNTR_HeatImport &amp; I714</f>
        <v>HeatIm_</v>
      </c>
      <c r="Q742" s="437"/>
      <c r="R742" s="437"/>
      <c r="S742" s="437"/>
      <c r="T742" s="26"/>
    </row>
    <row r="743" spans="1:20" s="697" customFormat="1" ht="12.75" customHeight="1" x14ac:dyDescent="0.2">
      <c r="A743" s="437"/>
      <c r="B743" s="414"/>
      <c r="C743" s="414"/>
      <c r="D743" s="414"/>
      <c r="E743" s="1737" t="str">
        <f>Translations!$B$765</f>
        <v>Īpatnējais EF (importētais siltums)</v>
      </c>
      <c r="F743" s="1659"/>
      <c r="G743" s="1659"/>
      <c r="H743" s="485" t="str">
        <f>EUconst_tCO2pTJ</f>
        <v>t CO2 / TJ</v>
      </c>
      <c r="I743" s="923" t="str">
        <f>IF($I714="","",IF(INDEX(F_ProductBM!I:I,MATCH($P743,F_ProductBM!$P:$P,0))="","",INDEX(F_ProductBM!I:I,MATCH($P743,F_ProductBM!$P:$P,0))))</f>
        <v/>
      </c>
      <c r="J743" s="923" t="str">
        <f>IF($I714="","",IF(INDEX(F_ProductBM!J:J,MATCH($P743,F_ProductBM!$P:$P,0))="","",INDEX(F_ProductBM!J:J,MATCH($P743,F_ProductBM!$P:$P,0))))</f>
        <v/>
      </c>
      <c r="K743" s="923" t="str">
        <f>IF($I714="","",IF(INDEX(F_ProductBM!K:K,MATCH($P743,F_ProductBM!$P:$P,0))="","",INDEX(F_ProductBM!K:K,MATCH($P743,F_ProductBM!$P:$P,0))))</f>
        <v/>
      </c>
      <c r="L743" s="923" t="str">
        <f>IF($I714="","",IF(INDEX(F_ProductBM!L:L,MATCH($P743,F_ProductBM!$P:$P,0))="","",INDEX(F_ProductBM!L:L,MATCH($P743,F_ProductBM!$P:$P,0))))</f>
        <v/>
      </c>
      <c r="M743" s="923" t="str">
        <f>IF($I714="","",IF(INDEX(F_ProductBM!M:M,MATCH($P743,F_ProductBM!$P:$P,0))="","",INDEX(F_ProductBM!M:M,MATCH($P743,F_ProductBM!$P:$P,0))))</f>
        <v/>
      </c>
      <c r="N743" s="823"/>
      <c r="O743" s="25"/>
      <c r="P743" s="367" t="str">
        <f>EUconst_CNTR_HeatImportEF &amp; I714</f>
        <v>HeatImEF_</v>
      </c>
      <c r="Q743" s="437"/>
      <c r="R743" s="437"/>
      <c r="S743" s="437"/>
      <c r="T743" s="26"/>
    </row>
    <row r="744" spans="1:20" s="697" customFormat="1" ht="5.0999999999999996" customHeight="1" x14ac:dyDescent="0.2">
      <c r="A744" s="437"/>
      <c r="B744" s="414"/>
      <c r="C744" s="414"/>
      <c r="D744" s="414"/>
      <c r="E744" s="526"/>
      <c r="F744" s="823"/>
      <c r="G744" s="823"/>
      <c r="H744" s="823"/>
      <c r="I744" s="924"/>
      <c r="J744" s="924"/>
      <c r="K744" s="924"/>
      <c r="L744" s="924"/>
      <c r="M744" s="924"/>
      <c r="N744" s="823"/>
      <c r="O744" s="25"/>
      <c r="P744" s="26"/>
      <c r="Q744" s="437"/>
      <c r="R744" s="437"/>
      <c r="S744" s="437"/>
      <c r="T744" s="26"/>
    </row>
    <row r="745" spans="1:20" s="697" customFormat="1" ht="12.75" customHeight="1" x14ac:dyDescent="0.2">
      <c r="A745" s="437"/>
      <c r="B745" s="414"/>
      <c r="C745" s="414"/>
      <c r="D745" s="414"/>
      <c r="E745" s="1651" t="str">
        <f>Translations!$B$820</f>
        <v>No pulpas apakšiekārtām importētais neto siltums</v>
      </c>
      <c r="F745" s="1652"/>
      <c r="G745" s="1652"/>
      <c r="H745" s="465" t="str">
        <f>EUconst_TJpa</f>
        <v>TJ / gads</v>
      </c>
      <c r="I745" s="925" t="str">
        <f>IF($I714="","",IF(INDEX(F_ProductBM!I:I,MATCH($P745,F_ProductBM!$P:$P,0))="","",INDEX(F_ProductBM!I:I,MATCH($P745,F_ProductBM!$P:$P,0))))</f>
        <v/>
      </c>
      <c r="J745" s="925" t="str">
        <f>IF($I714="","",IF(INDEX(F_ProductBM!J:J,MATCH($P745,F_ProductBM!$P:$P,0))="","",INDEX(F_ProductBM!J:J,MATCH($P745,F_ProductBM!$P:$P,0))))</f>
        <v/>
      </c>
      <c r="K745" s="925" t="str">
        <f>IF($I714="","",IF(INDEX(F_ProductBM!K:K,MATCH($P745,F_ProductBM!$P:$P,0))="","",INDEX(F_ProductBM!K:K,MATCH($P745,F_ProductBM!$P:$P,0))))</f>
        <v/>
      </c>
      <c r="L745" s="925" t="str">
        <f>IF($I714="","",IF(INDEX(F_ProductBM!L:L,MATCH($P745,F_ProductBM!$P:$P,0))="","",INDEX(F_ProductBM!L:L,MATCH($P745,F_ProductBM!$P:$P,0))))</f>
        <v/>
      </c>
      <c r="M745" s="925" t="str">
        <f>IF($I714="","",IF(INDEX(F_ProductBM!M:M,MATCH($P745,F_ProductBM!$P:$P,0))="","",INDEX(F_ProductBM!M:M,MATCH($P745,F_ProductBM!$P:$P,0))))</f>
        <v/>
      </c>
      <c r="N745" s="823"/>
      <c r="O745" s="25"/>
      <c r="P745" s="367" t="str">
        <f>EUconst_CNTR_HeatImportPulp &amp; I714</f>
        <v>HeatImPulp_</v>
      </c>
      <c r="Q745" s="437"/>
      <c r="R745" s="437"/>
      <c r="S745" s="437"/>
      <c r="T745" s="26"/>
    </row>
    <row r="746" spans="1:20" s="697" customFormat="1" ht="12.75" customHeight="1" x14ac:dyDescent="0.2">
      <c r="A746" s="437"/>
      <c r="B746" s="414"/>
      <c r="C746" s="414"/>
      <c r="D746" s="414"/>
      <c r="E746" s="1651" t="str">
        <f>Translations!$B$768</f>
        <v>No slāpekļskābes apakšiekārtas importētais neto siltums</v>
      </c>
      <c r="F746" s="1652"/>
      <c r="G746" s="1652"/>
      <c r="H746" s="465" t="str">
        <f>EUconst_TJpa</f>
        <v>TJ / gads</v>
      </c>
      <c r="I746" s="925" t="str">
        <f>IF($I714="","",IF(INDEX(F_ProductBM!I:I,MATCH($P746,F_ProductBM!$P:$P,0))="","",INDEX(F_ProductBM!I:I,MATCH($P746,F_ProductBM!$P:$P,0))))</f>
        <v/>
      </c>
      <c r="J746" s="925" t="str">
        <f>IF($I714="","",IF(INDEX(F_ProductBM!J:J,MATCH($P746,F_ProductBM!$P:$P,0))="","",INDEX(F_ProductBM!J:J,MATCH($P746,F_ProductBM!$P:$P,0))))</f>
        <v/>
      </c>
      <c r="K746" s="925" t="str">
        <f>IF($I714="","",IF(INDEX(F_ProductBM!K:K,MATCH($P746,F_ProductBM!$P:$P,0))="","",INDEX(F_ProductBM!K:K,MATCH($P746,F_ProductBM!$P:$P,0))))</f>
        <v/>
      </c>
      <c r="L746" s="925" t="str">
        <f>IF($I714="","",IF(INDEX(F_ProductBM!L:L,MATCH($P746,F_ProductBM!$P:$P,0))="","",INDEX(F_ProductBM!L:L,MATCH($P746,F_ProductBM!$P:$P,0))))</f>
        <v/>
      </c>
      <c r="M746" s="925" t="str">
        <f>IF($I714="","",IF(INDEX(F_ProductBM!M:M,MATCH($P746,F_ProductBM!$P:$P,0))="","",INDEX(F_ProductBM!M:M,MATCH($P746,F_ProductBM!$P:$P,0))))</f>
        <v/>
      </c>
      <c r="N746" s="823"/>
      <c r="O746" s="25"/>
      <c r="P746" s="367" t="str">
        <f>EUconst_CNTR_HeatImportNitric &amp; I714</f>
        <v>HeatImNitric_</v>
      </c>
      <c r="Q746" s="437"/>
      <c r="R746" s="437"/>
      <c r="S746" s="437"/>
      <c r="T746" s="26"/>
    </row>
    <row r="747" spans="1:20" s="697" customFormat="1" ht="5.0999999999999996" customHeight="1" x14ac:dyDescent="0.2">
      <c r="A747" s="437"/>
      <c r="B747" s="414"/>
      <c r="C747" s="414"/>
      <c r="D747" s="414"/>
      <c r="E747" s="526"/>
      <c r="F747" s="526"/>
      <c r="G747" s="526"/>
      <c r="H747" s="526"/>
      <c r="I747" s="924"/>
      <c r="J747" s="924"/>
      <c r="K747" s="924"/>
      <c r="L747" s="924"/>
      <c r="M747" s="924"/>
      <c r="N747" s="823"/>
      <c r="O747" s="25"/>
      <c r="P747" s="26"/>
      <c r="Q747" s="437"/>
      <c r="R747" s="437"/>
      <c r="S747" s="437"/>
      <c r="T747" s="26"/>
    </row>
    <row r="748" spans="1:20" s="697" customFormat="1" ht="12.75" customHeight="1" x14ac:dyDescent="0.2">
      <c r="A748" s="437"/>
      <c r="B748" s="414"/>
      <c r="C748" s="414"/>
      <c r="D748" s="414"/>
      <c r="E748" s="1667" t="str">
        <f>Translations!$B$770</f>
        <v>Neto eksportētais siltums</v>
      </c>
      <c r="F748" s="1660"/>
      <c r="G748" s="1660"/>
      <c r="H748" s="466" t="str">
        <f>EUconst_TJpa</f>
        <v>TJ / gads</v>
      </c>
      <c r="I748" s="922" t="str">
        <f>IF($I714="","",IF(INDEX(F_ProductBM!I:I,MATCH($P748,F_ProductBM!$P:$P,0))="","",INDEX(F_ProductBM!I:I,MATCH($P748,F_ProductBM!$P:$P,0))))</f>
        <v/>
      </c>
      <c r="J748" s="922" t="str">
        <f>IF($I714="","",IF(INDEX(F_ProductBM!J:J,MATCH($P748,F_ProductBM!$P:$P,0))="","",INDEX(F_ProductBM!J:J,MATCH($P748,F_ProductBM!$P:$P,0))))</f>
        <v/>
      </c>
      <c r="K748" s="922" t="str">
        <f>IF($I714="","",IF(INDEX(F_ProductBM!K:K,MATCH($P748,F_ProductBM!$P:$P,0))="","",INDEX(F_ProductBM!K:K,MATCH($P748,F_ProductBM!$P:$P,0))))</f>
        <v/>
      </c>
      <c r="L748" s="922" t="str">
        <f>IF($I714="","",IF(INDEX(F_ProductBM!L:L,MATCH($P748,F_ProductBM!$P:$P,0))="","",INDEX(F_ProductBM!L:L,MATCH($P748,F_ProductBM!$P:$P,0))))</f>
        <v/>
      </c>
      <c r="M748" s="922" t="str">
        <f>IF($I714="","",IF(INDEX(F_ProductBM!M:M,MATCH($P748,F_ProductBM!$P:$P,0))="","",INDEX(F_ProductBM!M:M,MATCH($P748,F_ProductBM!$P:$P,0))))</f>
        <v/>
      </c>
      <c r="N748" s="823"/>
      <c r="O748" s="25"/>
      <c r="P748" s="367" t="str">
        <f>EUconst_CNTR_HeatExport &amp; I714</f>
        <v>HeatEx_</v>
      </c>
      <c r="Q748" s="437"/>
      <c r="R748" s="437"/>
      <c r="S748" s="437"/>
      <c r="T748" s="26"/>
    </row>
    <row r="749" spans="1:20" s="697" customFormat="1" ht="12.75" customHeight="1" x14ac:dyDescent="0.2">
      <c r="A749" s="437"/>
      <c r="B749" s="414"/>
      <c r="C749" s="414"/>
      <c r="D749" s="414"/>
      <c r="E749" s="1737" t="str">
        <f>Translations!$B$771</f>
        <v>Īpatnējais EF (eksportētais siltums)</v>
      </c>
      <c r="F749" s="1659"/>
      <c r="G749" s="1659"/>
      <c r="H749" s="485" t="str">
        <f>EUconst_tCO2pTJ</f>
        <v>t CO2 / TJ</v>
      </c>
      <c r="I749" s="923" t="str">
        <f>IF($I714="","",IF(INDEX(F_ProductBM!I:I,MATCH($P749,F_ProductBM!$P:$P,0))="","",INDEX(F_ProductBM!I:I,MATCH($P749,F_ProductBM!$P:$P,0))))</f>
        <v/>
      </c>
      <c r="J749" s="923" t="str">
        <f>IF($I714="","",IF(INDEX(F_ProductBM!J:J,MATCH($P749,F_ProductBM!$P:$P,0))="","",INDEX(F_ProductBM!J:J,MATCH($P749,F_ProductBM!$P:$P,0))))</f>
        <v/>
      </c>
      <c r="K749" s="923" t="str">
        <f>IF($I714="","",IF(INDEX(F_ProductBM!K:K,MATCH($P749,F_ProductBM!$P:$P,0))="","",INDEX(F_ProductBM!K:K,MATCH($P749,F_ProductBM!$P:$P,0))))</f>
        <v/>
      </c>
      <c r="L749" s="923" t="str">
        <f>IF($I714="","",IF(INDEX(F_ProductBM!L:L,MATCH($P749,F_ProductBM!$P:$P,0))="","",INDEX(F_ProductBM!L:L,MATCH($P749,F_ProductBM!$P:$P,0))))</f>
        <v/>
      </c>
      <c r="M749" s="923" t="str">
        <f>IF($I714="","",IF(INDEX(F_ProductBM!M:M,MATCH($P749,F_ProductBM!$P:$P,0))="","",INDEX(F_ProductBM!M:M,MATCH($P749,F_ProductBM!$P:$P,0))))</f>
        <v/>
      </c>
      <c r="N749" s="823"/>
      <c r="O749" s="25"/>
      <c r="P749" s="367" t="str">
        <f>EUconst_CNTR_HeatExportEF &amp; I714</f>
        <v>HeatExEF_</v>
      </c>
      <c r="Q749" s="437"/>
      <c r="R749" s="437"/>
      <c r="S749" s="437"/>
      <c r="T749" s="26"/>
    </row>
    <row r="750" spans="1:20" s="697" customFormat="1" ht="5.0999999999999996" customHeight="1" x14ac:dyDescent="0.2">
      <c r="A750" s="437"/>
      <c r="B750" s="414"/>
      <c r="C750" s="414"/>
      <c r="D750" s="414"/>
      <c r="E750" s="526"/>
      <c r="F750" s="526"/>
      <c r="G750" s="526"/>
      <c r="H750" s="526"/>
      <c r="I750" s="924"/>
      <c r="J750" s="924"/>
      <c r="K750" s="924"/>
      <c r="L750" s="924"/>
      <c r="M750" s="924"/>
      <c r="N750" s="823"/>
      <c r="O750" s="25"/>
      <c r="P750" s="199"/>
      <c r="Q750" s="437"/>
      <c r="R750" s="437"/>
      <c r="S750" s="437"/>
      <c r="T750" s="26"/>
    </row>
    <row r="751" spans="1:20" s="697" customFormat="1" ht="12.75" customHeight="1" x14ac:dyDescent="0.2">
      <c r="A751" s="437"/>
      <c r="B751" s="414"/>
      <c r="C751" s="414"/>
      <c r="D751" s="414"/>
      <c r="E751" s="1667" t="str">
        <f>Translations!$B$778</f>
        <v>Radusies atlikumgāze</v>
      </c>
      <c r="F751" s="1660"/>
      <c r="G751" s="1660"/>
      <c r="H751" s="466" t="str">
        <f>EUconst_TJpa</f>
        <v>TJ / gads</v>
      </c>
      <c r="I751" s="922" t="str">
        <f>IF($I714="","",IF(INDEX(F_ProductBM!I:I,MATCH($P751,F_ProductBM!$P:$P,0))="","",INDEX(F_ProductBM!I:I,MATCH($P751,F_ProductBM!$P:$P,0))))</f>
        <v/>
      </c>
      <c r="J751" s="922" t="str">
        <f>IF($I714="","",IF(INDEX(F_ProductBM!J:J,MATCH($P751,F_ProductBM!$P:$P,0))="","",INDEX(F_ProductBM!J:J,MATCH($P751,F_ProductBM!$P:$P,0))))</f>
        <v/>
      </c>
      <c r="K751" s="922" t="str">
        <f>IF($I714="","",IF(INDEX(F_ProductBM!K:K,MATCH($P751,F_ProductBM!$P:$P,0))="","",INDEX(F_ProductBM!K:K,MATCH($P751,F_ProductBM!$P:$P,0))))</f>
        <v/>
      </c>
      <c r="L751" s="922" t="str">
        <f>IF($I714="","",IF(INDEX(F_ProductBM!L:L,MATCH($P751,F_ProductBM!$P:$P,0))="","",INDEX(F_ProductBM!L:L,MATCH($P751,F_ProductBM!$P:$P,0))))</f>
        <v/>
      </c>
      <c r="M751" s="922" t="str">
        <f>IF($I714="","",IF(INDEX(F_ProductBM!M:M,MATCH($P751,F_ProductBM!$P:$P,0))="","",INDEX(F_ProductBM!M:M,MATCH($P751,F_ProductBM!$P:$P,0))))</f>
        <v/>
      </c>
      <c r="N751" s="823"/>
      <c r="O751" s="25"/>
      <c r="P751" s="822" t="str">
        <f>EUconst_CNTR_WGProduced &amp; I714</f>
        <v>WasteGasProd_</v>
      </c>
      <c r="Q751" s="437"/>
      <c r="R751" s="437"/>
      <c r="S751" s="437"/>
      <c r="T751" s="26"/>
    </row>
    <row r="752" spans="1:20" s="697" customFormat="1" ht="12.75" customHeight="1" x14ac:dyDescent="0.2">
      <c r="A752" s="437"/>
      <c r="B752" s="414"/>
      <c r="C752" s="414"/>
      <c r="D752" s="414"/>
      <c r="E752" s="1737" t="str">
        <f>Translations!$B$779</f>
        <v>Īpatnējais EF (radusies atlikumgāze)</v>
      </c>
      <c r="F752" s="1659"/>
      <c r="G752" s="1659"/>
      <c r="H752" s="485" t="str">
        <f>EUconst_tCO2pTJ</f>
        <v>t CO2 / TJ</v>
      </c>
      <c r="I752" s="923" t="str">
        <f>IF($I714="","",IF(INDEX(F_ProductBM!I:I,MATCH($P752,F_ProductBM!$P:$P,0))="","",INDEX(F_ProductBM!I:I,MATCH($P752,F_ProductBM!$P:$P,0))))</f>
        <v/>
      </c>
      <c r="J752" s="923" t="str">
        <f>IF($I714="","",IF(INDEX(F_ProductBM!J:J,MATCH($P752,F_ProductBM!$P:$P,0))="","",INDEX(F_ProductBM!J:J,MATCH($P752,F_ProductBM!$P:$P,0))))</f>
        <v/>
      </c>
      <c r="K752" s="923" t="str">
        <f>IF($I714="","",IF(INDEX(F_ProductBM!K:K,MATCH($P752,F_ProductBM!$P:$P,0))="","",INDEX(F_ProductBM!K:K,MATCH($P752,F_ProductBM!$P:$P,0))))</f>
        <v/>
      </c>
      <c r="L752" s="923" t="str">
        <f>IF($I714="","",IF(INDEX(F_ProductBM!L:L,MATCH($P752,F_ProductBM!$P:$P,0))="","",INDEX(F_ProductBM!L:L,MATCH($P752,F_ProductBM!$P:$P,0))))</f>
        <v/>
      </c>
      <c r="M752" s="923" t="str">
        <f>IF($I714="","",IF(INDEX(F_ProductBM!M:M,MATCH($P752,F_ProductBM!$P:$P,0))="","",INDEX(F_ProductBM!M:M,MATCH($P752,F_ProductBM!$P:$P,0))))</f>
        <v/>
      </c>
      <c r="N752" s="823"/>
      <c r="O752" s="25"/>
      <c r="P752" s="367" t="str">
        <f>EUconst_CNTR_WGProducedEF &amp; I714</f>
        <v>WasteGasProdEF_</v>
      </c>
      <c r="Q752" s="437"/>
      <c r="R752" s="437"/>
      <c r="S752" s="437"/>
      <c r="T752" s="26"/>
    </row>
    <row r="753" spans="1:20" s="697" customFormat="1" ht="12.75" customHeight="1" x14ac:dyDescent="0.2">
      <c r="A753" s="437"/>
      <c r="B753" s="414"/>
      <c r="C753" s="414"/>
      <c r="D753" s="414"/>
      <c r="E753" s="1667" t="str">
        <f>Translations!$B$783</f>
        <v>Patērētā atlikumgāze</v>
      </c>
      <c r="F753" s="1660"/>
      <c r="G753" s="1660"/>
      <c r="H753" s="466" t="str">
        <f>EUconst_TJpa</f>
        <v>TJ / gads</v>
      </c>
      <c r="I753" s="922" t="str">
        <f>IF($I714="","",IF(INDEX(F_ProductBM!I:I,MATCH($P753,F_ProductBM!$P:$P,0))="","",INDEX(F_ProductBM!I:I,MATCH($P753,F_ProductBM!$P:$P,0))))</f>
        <v/>
      </c>
      <c r="J753" s="922" t="str">
        <f>IF($I714="","",IF(INDEX(F_ProductBM!J:J,MATCH($P753,F_ProductBM!$P:$P,0))="","",INDEX(F_ProductBM!J:J,MATCH($P753,F_ProductBM!$P:$P,0))))</f>
        <v/>
      </c>
      <c r="K753" s="922" t="str">
        <f>IF($I714="","",IF(INDEX(F_ProductBM!K:K,MATCH($P753,F_ProductBM!$P:$P,0))="","",INDEX(F_ProductBM!K:K,MATCH($P753,F_ProductBM!$P:$P,0))))</f>
        <v/>
      </c>
      <c r="L753" s="922" t="str">
        <f>IF($I714="","",IF(INDEX(F_ProductBM!L:L,MATCH($P753,F_ProductBM!$P:$P,0))="","",INDEX(F_ProductBM!L:L,MATCH($P753,F_ProductBM!$P:$P,0))))</f>
        <v/>
      </c>
      <c r="M753" s="922" t="str">
        <f>IF($I714="","",IF(INDEX(F_ProductBM!M:M,MATCH($P753,F_ProductBM!$P:$P,0))="","",INDEX(F_ProductBM!M:M,MATCH($P753,F_ProductBM!$P:$P,0))))</f>
        <v/>
      </c>
      <c r="N753" s="823"/>
      <c r="O753" s="25"/>
      <c r="P753" s="367" t="str">
        <f>EUconst_CNTR_WGConsumed &amp; I714</f>
        <v>WasteGasCons_</v>
      </c>
      <c r="Q753" s="437"/>
      <c r="R753" s="437"/>
      <c r="S753" s="437"/>
      <c r="T753" s="26"/>
    </row>
    <row r="754" spans="1:20" s="697" customFormat="1" ht="12.75" customHeight="1" x14ac:dyDescent="0.2">
      <c r="A754" s="437"/>
      <c r="B754" s="414"/>
      <c r="C754" s="414"/>
      <c r="D754" s="414"/>
      <c r="E754" s="1737" t="str">
        <f>Translations!$B$784</f>
        <v>Īpatnējais EF (patērētā atlikumgāze)</v>
      </c>
      <c r="F754" s="1659"/>
      <c r="G754" s="1659"/>
      <c r="H754" s="485" t="str">
        <f>EUconst_tCO2pTJ</f>
        <v>t CO2 / TJ</v>
      </c>
      <c r="I754" s="923" t="str">
        <f>IF($I714="","",IF(INDEX(F_ProductBM!I:I,MATCH($P754,F_ProductBM!$P:$P,0))="","",INDEX(F_ProductBM!I:I,MATCH($P754,F_ProductBM!$P:$P,0))))</f>
        <v/>
      </c>
      <c r="J754" s="923" t="str">
        <f>IF($I714="","",IF(INDEX(F_ProductBM!J:J,MATCH($P754,F_ProductBM!$P:$P,0))="","",INDEX(F_ProductBM!J:J,MATCH($P754,F_ProductBM!$P:$P,0))))</f>
        <v/>
      </c>
      <c r="K754" s="923" t="str">
        <f>IF($I714="","",IF(INDEX(F_ProductBM!K:K,MATCH($P754,F_ProductBM!$P:$P,0))="","",INDEX(F_ProductBM!K:K,MATCH($P754,F_ProductBM!$P:$P,0))))</f>
        <v/>
      </c>
      <c r="L754" s="923" t="str">
        <f>IF($I714="","",IF(INDEX(F_ProductBM!L:L,MATCH($P754,F_ProductBM!$P:$P,0))="","",INDEX(F_ProductBM!L:L,MATCH($P754,F_ProductBM!$P:$P,0))))</f>
        <v/>
      </c>
      <c r="M754" s="923" t="str">
        <f>IF($I714="","",IF(INDEX(F_ProductBM!M:M,MATCH($P754,F_ProductBM!$P:$P,0))="","",INDEX(F_ProductBM!M:M,MATCH($P754,F_ProductBM!$P:$P,0))))</f>
        <v/>
      </c>
      <c r="N754" s="823"/>
      <c r="O754" s="25"/>
      <c r="P754" s="367" t="str">
        <f>EUconst_CNTR_WGConsumedEF &amp; I714</f>
        <v>WasteGasConsEF_</v>
      </c>
      <c r="Q754" s="437"/>
      <c r="R754" s="437"/>
      <c r="S754" s="437"/>
      <c r="T754" s="26"/>
    </row>
    <row r="755" spans="1:20" s="697" customFormat="1" ht="12.75" customHeight="1" x14ac:dyDescent="0.2">
      <c r="A755" s="437"/>
      <c r="B755" s="414"/>
      <c r="C755" s="414"/>
      <c r="D755" s="414"/>
      <c r="E755" s="1667" t="str">
        <f>Translations!$B$790</f>
        <v>Lāpā sadedzinātā atlikumgāze</v>
      </c>
      <c r="F755" s="1660"/>
      <c r="G755" s="1660"/>
      <c r="H755" s="466" t="str">
        <f>EUconst_TJpa</f>
        <v>TJ / gads</v>
      </c>
      <c r="I755" s="922" t="str">
        <f>IF($I714="","",IF(INDEX(F_ProductBM!I:I,MATCH($P755,F_ProductBM!$P:$P,0))="","",INDEX(F_ProductBM!I:I,MATCH($P755,F_ProductBM!$P:$P,0))))</f>
        <v/>
      </c>
      <c r="J755" s="922" t="str">
        <f>IF($I714="","",IF(INDEX(F_ProductBM!J:J,MATCH($P755,F_ProductBM!$P:$P,0))="","",INDEX(F_ProductBM!J:J,MATCH($P755,F_ProductBM!$P:$P,0))))</f>
        <v/>
      </c>
      <c r="K755" s="922" t="str">
        <f>IF($I714="","",IF(INDEX(F_ProductBM!K:K,MATCH($P755,F_ProductBM!$P:$P,0))="","",INDEX(F_ProductBM!K:K,MATCH($P755,F_ProductBM!$P:$P,0))))</f>
        <v/>
      </c>
      <c r="L755" s="922" t="str">
        <f>IF($I714="","",IF(INDEX(F_ProductBM!L:L,MATCH($P755,F_ProductBM!$P:$P,0))="","",INDEX(F_ProductBM!L:L,MATCH($P755,F_ProductBM!$P:$P,0))))</f>
        <v/>
      </c>
      <c r="M755" s="922" t="str">
        <f>IF($I714="","",IF(INDEX(F_ProductBM!M:M,MATCH($P755,F_ProductBM!$P:$P,0))="","",INDEX(F_ProductBM!M:M,MATCH($P755,F_ProductBM!$P:$P,0))))</f>
        <v/>
      </c>
      <c r="N755" s="823"/>
      <c r="O755" s="25"/>
      <c r="P755" s="367" t="str">
        <f>EUconst_CNTR_WGFlared &amp; I714</f>
        <v>WasteGasFlare_</v>
      </c>
      <c r="Q755" s="437"/>
      <c r="R755" s="437"/>
      <c r="S755" s="437"/>
      <c r="T755" s="26"/>
    </row>
    <row r="756" spans="1:20" s="697" customFormat="1" ht="12.75" customHeight="1" x14ac:dyDescent="0.2">
      <c r="A756" s="437"/>
      <c r="B756" s="414"/>
      <c r="C756" s="414"/>
      <c r="D756" s="414"/>
      <c r="E756" s="1737" t="str">
        <f>Translations!$B$791</f>
        <v>Īpatnējais EF (lāpā sadedzinātā atlikumgāze)</v>
      </c>
      <c r="F756" s="1659"/>
      <c r="G756" s="1659"/>
      <c r="H756" s="485" t="str">
        <f>EUconst_tCO2pTJ</f>
        <v>t CO2 / TJ</v>
      </c>
      <c r="I756" s="923" t="str">
        <f>IF($I714="","",IF(INDEX(F_ProductBM!I:I,MATCH($P756,F_ProductBM!$P:$P,0))="","",INDEX(F_ProductBM!I:I,MATCH($P756,F_ProductBM!$P:$P,0))))</f>
        <v/>
      </c>
      <c r="J756" s="923" t="str">
        <f>IF($I714="","",IF(INDEX(F_ProductBM!J:J,MATCH($P756,F_ProductBM!$P:$P,0))="","",INDEX(F_ProductBM!J:J,MATCH($P756,F_ProductBM!$P:$P,0))))</f>
        <v/>
      </c>
      <c r="K756" s="923" t="str">
        <f>IF($I714="","",IF(INDEX(F_ProductBM!K:K,MATCH($P756,F_ProductBM!$P:$P,0))="","",INDEX(F_ProductBM!K:K,MATCH($P756,F_ProductBM!$P:$P,0))))</f>
        <v/>
      </c>
      <c r="L756" s="923" t="str">
        <f>IF($I714="","",IF(INDEX(F_ProductBM!L:L,MATCH($P756,F_ProductBM!$P:$P,0))="","",INDEX(F_ProductBM!L:L,MATCH($P756,F_ProductBM!$P:$P,0))))</f>
        <v/>
      </c>
      <c r="M756" s="923" t="str">
        <f>IF($I714="","",IF(INDEX(F_ProductBM!M:M,MATCH($P756,F_ProductBM!$P:$P,0))="","",INDEX(F_ProductBM!M:M,MATCH($P756,F_ProductBM!$P:$P,0))))</f>
        <v/>
      </c>
      <c r="N756" s="823"/>
      <c r="O756" s="25"/>
      <c r="P756" s="367" t="str">
        <f>EUconst_CNTR_WGFlaredEF &amp; I714</f>
        <v>WasteGasFlareEF_</v>
      </c>
      <c r="Q756" s="437"/>
      <c r="R756" s="437"/>
      <c r="S756" s="437"/>
      <c r="T756" s="26"/>
    </row>
    <row r="757" spans="1:20" s="697" customFormat="1" ht="12.75" customHeight="1" x14ac:dyDescent="0.2">
      <c r="A757" s="437"/>
      <c r="B757" s="414"/>
      <c r="C757" s="414"/>
      <c r="D757" s="414"/>
      <c r="E757" s="1667" t="str">
        <f>Translations!$B$796</f>
        <v>Importētā atlikumgāze</v>
      </c>
      <c r="F757" s="1660"/>
      <c r="G757" s="1660"/>
      <c r="H757" s="466" t="str">
        <f>EUconst_TJpa</f>
        <v>TJ / gads</v>
      </c>
      <c r="I757" s="922" t="str">
        <f>IF($I714="","",IF(INDEX(F_ProductBM!I:I,MATCH($P757,F_ProductBM!$P:$P,0))="","",INDEX(F_ProductBM!I:I,MATCH($P757,F_ProductBM!$P:$P,0))))</f>
        <v/>
      </c>
      <c r="J757" s="922" t="str">
        <f>IF($I714="","",IF(INDEX(F_ProductBM!J:J,MATCH($P757,F_ProductBM!$P:$P,0))="","",INDEX(F_ProductBM!J:J,MATCH($P757,F_ProductBM!$P:$P,0))))</f>
        <v/>
      </c>
      <c r="K757" s="922" t="str">
        <f>IF($I714="","",IF(INDEX(F_ProductBM!K:K,MATCH($P757,F_ProductBM!$P:$P,0))="","",INDEX(F_ProductBM!K:K,MATCH($P757,F_ProductBM!$P:$P,0))))</f>
        <v/>
      </c>
      <c r="L757" s="922" t="str">
        <f>IF($I714="","",IF(INDEX(F_ProductBM!L:L,MATCH($P757,F_ProductBM!$P:$P,0))="","",INDEX(F_ProductBM!L:L,MATCH($P757,F_ProductBM!$P:$P,0))))</f>
        <v/>
      </c>
      <c r="M757" s="922" t="str">
        <f>IF($I714="","",IF(INDEX(F_ProductBM!M:M,MATCH($P757,F_ProductBM!$P:$P,0))="","",INDEX(F_ProductBM!M:M,MATCH($P757,F_ProductBM!$P:$P,0))))</f>
        <v/>
      </c>
      <c r="N757" s="823"/>
      <c r="O757" s="25"/>
      <c r="P757" s="367" t="str">
        <f>EUconst_CNTR_WGImport &amp; I714</f>
        <v>WasteGasIm_</v>
      </c>
      <c r="Q757" s="437"/>
      <c r="R757" s="437"/>
      <c r="S757" s="437"/>
      <c r="T757" s="26"/>
    </row>
    <row r="758" spans="1:20" s="697" customFormat="1" ht="12.75" customHeight="1" x14ac:dyDescent="0.2">
      <c r="A758" s="437"/>
      <c r="B758" s="414"/>
      <c r="C758" s="414"/>
      <c r="D758" s="414"/>
      <c r="E758" s="1737" t="str">
        <f>Translations!$B$797</f>
        <v>Īpatnējais EF (importētā atlikumgāze)</v>
      </c>
      <c r="F758" s="1737"/>
      <c r="G758" s="1737"/>
      <c r="H758" s="824" t="str">
        <f>EUconst_tCO2pTJ</f>
        <v>t CO2 / TJ</v>
      </c>
      <c r="I758" s="923" t="str">
        <f>IF($I714="","",IF(INDEX(F_ProductBM!I:I,MATCH($P758,F_ProductBM!$P:$P,0))="","",INDEX(F_ProductBM!I:I,MATCH($P758,F_ProductBM!$P:$P,0))))</f>
        <v/>
      </c>
      <c r="J758" s="923" t="str">
        <f>IF($I714="","",IF(INDEX(F_ProductBM!J:J,MATCH($P758,F_ProductBM!$P:$P,0))="","",INDEX(F_ProductBM!J:J,MATCH($P758,F_ProductBM!$P:$P,0))))</f>
        <v/>
      </c>
      <c r="K758" s="923" t="str">
        <f>IF($I714="","",IF(INDEX(F_ProductBM!K:K,MATCH($P758,F_ProductBM!$P:$P,0))="","",INDEX(F_ProductBM!K:K,MATCH($P758,F_ProductBM!$P:$P,0))))</f>
        <v/>
      </c>
      <c r="L758" s="923" t="str">
        <f>IF($I714="","",IF(INDEX(F_ProductBM!L:L,MATCH($P758,F_ProductBM!$P:$P,0))="","",INDEX(F_ProductBM!L:L,MATCH($P758,F_ProductBM!$P:$P,0))))</f>
        <v/>
      </c>
      <c r="M758" s="923" t="str">
        <f>IF($I714="","",IF(INDEX(F_ProductBM!M:M,MATCH($P758,F_ProductBM!$P:$P,0))="","",INDEX(F_ProductBM!M:M,MATCH($P758,F_ProductBM!$P:$P,0))))</f>
        <v/>
      </c>
      <c r="N758" s="823"/>
      <c r="O758" s="25"/>
      <c r="P758" s="367" t="str">
        <f>EUconst_CNTR_WGImportEF &amp; I714</f>
        <v>WasteGasImEF_</v>
      </c>
      <c r="Q758" s="437"/>
      <c r="R758" s="437"/>
      <c r="S758" s="437"/>
      <c r="T758" s="26"/>
    </row>
    <row r="759" spans="1:20" s="697" customFormat="1" ht="12.75" customHeight="1" x14ac:dyDescent="0.2">
      <c r="A759" s="437"/>
      <c r="B759" s="414"/>
      <c r="C759" s="414"/>
      <c r="D759" s="414"/>
      <c r="E759" s="1667" t="str">
        <f>Translations!$B$801</f>
        <v>Eksportētā atlikumgāze</v>
      </c>
      <c r="F759" s="1660"/>
      <c r="G759" s="1660"/>
      <c r="H759" s="466" t="str">
        <f>EUconst_TJpa</f>
        <v>TJ / gads</v>
      </c>
      <c r="I759" s="922" t="str">
        <f>IF($I714="","",IF(INDEX(F_ProductBM!I:I,MATCH($P759,F_ProductBM!$P:$P,0))="","",INDEX(F_ProductBM!I:I,MATCH($P759,F_ProductBM!$P:$P,0))))</f>
        <v/>
      </c>
      <c r="J759" s="922" t="str">
        <f>IF($I714="","",IF(INDEX(F_ProductBM!J:J,MATCH($P759,F_ProductBM!$P:$P,0))="","",INDEX(F_ProductBM!J:J,MATCH($P759,F_ProductBM!$P:$P,0))))</f>
        <v/>
      </c>
      <c r="K759" s="922" t="str">
        <f>IF($I714="","",IF(INDEX(F_ProductBM!K:K,MATCH($P759,F_ProductBM!$P:$P,0))="","",INDEX(F_ProductBM!K:K,MATCH($P759,F_ProductBM!$P:$P,0))))</f>
        <v/>
      </c>
      <c r="L759" s="922" t="str">
        <f>IF($I714="","",IF(INDEX(F_ProductBM!L:L,MATCH($P759,F_ProductBM!$P:$P,0))="","",INDEX(F_ProductBM!L:L,MATCH($P759,F_ProductBM!$P:$P,0))))</f>
        <v/>
      </c>
      <c r="M759" s="922" t="str">
        <f>IF($I714="","",IF(INDEX(F_ProductBM!M:M,MATCH($P759,F_ProductBM!$P:$P,0))="","",INDEX(F_ProductBM!M:M,MATCH($P759,F_ProductBM!$P:$P,0))))</f>
        <v/>
      </c>
      <c r="N759" s="823"/>
      <c r="O759" s="25"/>
      <c r="P759" s="367" t="str">
        <f>EUconst_CNTR_WGExport &amp; I714</f>
        <v>WasteGasEx_</v>
      </c>
      <c r="Q759" s="437"/>
      <c r="R759" s="437"/>
      <c r="S759" s="437"/>
      <c r="T759" s="26"/>
    </row>
    <row r="760" spans="1:20" s="697" customFormat="1" ht="12.75" customHeight="1" x14ac:dyDescent="0.2">
      <c r="A760" s="437"/>
      <c r="B760" s="414"/>
      <c r="C760" s="414"/>
      <c r="D760" s="414"/>
      <c r="E760" s="1737" t="str">
        <f>Translations!$B$802</f>
        <v>Īpatnējais EF (eksportētā atlikumgāze)</v>
      </c>
      <c r="F760" s="1737"/>
      <c r="G760" s="1737"/>
      <c r="H760" s="824" t="str">
        <f>EUconst_tCO2pTJ</f>
        <v>t CO2 / TJ</v>
      </c>
      <c r="I760" s="923" t="str">
        <f>IF($I714="","",IF(INDEX(F_ProductBM!I:I,MATCH($P760,F_ProductBM!$P:$P,0))="","",INDEX(F_ProductBM!I:I,MATCH($P760,F_ProductBM!$P:$P,0))))</f>
        <v/>
      </c>
      <c r="J760" s="923" t="str">
        <f>IF($I714="","",IF(INDEX(F_ProductBM!J:J,MATCH($P760,F_ProductBM!$P:$P,0))="","",INDEX(F_ProductBM!J:J,MATCH($P760,F_ProductBM!$P:$P,0))))</f>
        <v/>
      </c>
      <c r="K760" s="923" t="str">
        <f>IF($I714="","",IF(INDEX(F_ProductBM!K:K,MATCH($P760,F_ProductBM!$P:$P,0))="","",INDEX(F_ProductBM!K:K,MATCH($P760,F_ProductBM!$P:$P,0))))</f>
        <v/>
      </c>
      <c r="L760" s="923" t="str">
        <f>IF($I714="","",IF(INDEX(F_ProductBM!L:L,MATCH($P760,F_ProductBM!$P:$P,0))="","",INDEX(F_ProductBM!L:L,MATCH($P760,F_ProductBM!$P:$P,0))))</f>
        <v/>
      </c>
      <c r="M760" s="923" t="str">
        <f>IF($I714="","",IF(INDEX(F_ProductBM!M:M,MATCH($P760,F_ProductBM!$P:$P,0))="","",INDEX(F_ProductBM!M:M,MATCH($P760,F_ProductBM!$P:$P,0))))</f>
        <v/>
      </c>
      <c r="N760" s="823"/>
      <c r="O760" s="25"/>
      <c r="P760" s="367" t="str">
        <f>EUconst_CNTR_WGExportEF &amp; I714</f>
        <v>WasteGasExEF_</v>
      </c>
      <c r="Q760" s="437"/>
      <c r="R760" s="437"/>
      <c r="S760" s="437"/>
      <c r="T760" s="26"/>
    </row>
    <row r="761" spans="1:20" s="697" customFormat="1" ht="5.0999999999999996" customHeight="1" x14ac:dyDescent="0.2">
      <c r="A761" s="437"/>
      <c r="B761" s="414"/>
      <c r="C761" s="414"/>
      <c r="D761" s="414"/>
      <c r="E761" s="526"/>
      <c r="F761" s="526"/>
      <c r="G761" s="526"/>
      <c r="H761" s="526"/>
      <c r="I761" s="924"/>
      <c r="J761" s="924"/>
      <c r="K761" s="924"/>
      <c r="L761" s="924"/>
      <c r="M761" s="924"/>
      <c r="N761" s="823"/>
      <c r="O761" s="25"/>
      <c r="P761" s="199"/>
      <c r="Q761" s="437"/>
      <c r="R761" s="437"/>
      <c r="S761" s="437"/>
      <c r="T761" s="26"/>
    </row>
    <row r="762" spans="1:20" s="697" customFormat="1" ht="12.75" customHeight="1" x14ac:dyDescent="0.2">
      <c r="A762" s="437"/>
      <c r="B762" s="414"/>
      <c r="C762" s="414"/>
      <c r="D762" s="414"/>
      <c r="E762" s="1651" t="str">
        <f>Translations!$B$805</f>
        <v>Saražotā elektroenerģija</v>
      </c>
      <c r="F762" s="1652"/>
      <c r="G762" s="1652"/>
      <c r="H762" s="465" t="str">
        <f>EUconst_MWhpa</f>
        <v>MWh / gads</v>
      </c>
      <c r="I762" s="925" t="str">
        <f>IF($I714="","",IF(INDEX(F_ProductBM!I:I,MATCH($P762,F_ProductBM!$P:$P,0))="","",INDEX(F_ProductBM!I:I,MATCH($P762,F_ProductBM!$P:$P,0))))</f>
        <v/>
      </c>
      <c r="J762" s="925" t="str">
        <f>IF($I714="","",IF(INDEX(F_ProductBM!J:J,MATCH($P762,F_ProductBM!$P:$P,0))="","",INDEX(F_ProductBM!J:J,MATCH($P762,F_ProductBM!$P:$P,0))))</f>
        <v/>
      </c>
      <c r="K762" s="925" t="str">
        <f>IF($I714="","",IF(INDEX(F_ProductBM!K:K,MATCH($P762,F_ProductBM!$P:$P,0))="","",INDEX(F_ProductBM!K:K,MATCH($P762,F_ProductBM!$P:$P,0))))</f>
        <v/>
      </c>
      <c r="L762" s="925" t="str">
        <f>IF($I714="","",IF(INDEX(F_ProductBM!L:L,MATCH($P762,F_ProductBM!$P:$P,0))="","",INDEX(F_ProductBM!L:L,MATCH($P762,F_ProductBM!$P:$P,0))))</f>
        <v/>
      </c>
      <c r="M762" s="925" t="str">
        <f>IF($I714="","",IF(INDEX(F_ProductBM!M:M,MATCH($P762,F_ProductBM!$P:$P,0))="","",INDEX(F_ProductBM!M:M,MATCH($P762,F_ProductBM!$P:$P,0))))</f>
        <v/>
      </c>
      <c r="N762" s="823"/>
      <c r="O762" s="25"/>
      <c r="P762" s="367" t="str">
        <f>EUconst_CNTR_ElectricityExported &amp; I714</f>
        <v>ElecEx_</v>
      </c>
      <c r="Q762" s="437"/>
      <c r="R762" s="437"/>
      <c r="S762" s="437"/>
      <c r="T762" s="26"/>
    </row>
    <row r="763" spans="1:20" s="697" customFormat="1" ht="5.0999999999999996" customHeight="1" x14ac:dyDescent="0.2">
      <c r="A763" s="437"/>
      <c r="B763" s="414"/>
      <c r="C763" s="414"/>
      <c r="D763" s="414"/>
      <c r="E763" s="526"/>
      <c r="F763" s="526"/>
      <c r="G763" s="526"/>
      <c r="H763" s="526"/>
      <c r="I763" s="924"/>
      <c r="J763" s="924"/>
      <c r="K763" s="924"/>
      <c r="L763" s="924"/>
      <c r="M763" s="924"/>
      <c r="N763" s="823"/>
      <c r="O763" s="25"/>
      <c r="P763" s="199"/>
      <c r="Q763" s="437"/>
      <c r="R763" s="437"/>
      <c r="S763" s="437"/>
      <c r="T763" s="26"/>
    </row>
    <row r="764" spans="1:20" s="697" customFormat="1" x14ac:dyDescent="0.2">
      <c r="A764" s="437"/>
      <c r="B764" s="414"/>
      <c r="C764" s="414"/>
      <c r="D764" s="414"/>
      <c r="E764" s="1206" t="str">
        <f>Translations!$B$1239</f>
        <v>Starpproduktu imports:</v>
      </c>
      <c r="F764" s="526"/>
      <c r="G764" s="526"/>
      <c r="H764" s="526"/>
      <c r="I764" s="924"/>
      <c r="J764" s="924"/>
      <c r="K764" s="924"/>
      <c r="L764" s="924"/>
      <c r="M764" s="924"/>
      <c r="N764" s="823"/>
      <c r="O764" s="25"/>
      <c r="P764" s="199"/>
      <c r="Q764" s="437"/>
      <c r="R764" s="437"/>
      <c r="S764" s="437"/>
      <c r="T764" s="26"/>
    </row>
    <row r="765" spans="1:20" s="697" customFormat="1" x14ac:dyDescent="0.2">
      <c r="A765" s="437"/>
      <c r="B765" s="414"/>
      <c r="C765" s="414"/>
      <c r="D765" s="414"/>
      <c r="E765" s="1689" t="str">
        <f>IF($I714="","",IF(INDEX(F_ProductBM!E:E,MATCH($P765,F_ProductBM!$P:$P,0))="","",INDEX(F_ProductBM!E:E,MATCH($P765,F_ProductBM!$P:$P,0))))</f>
        <v/>
      </c>
      <c r="F765" s="1689"/>
      <c r="G765" s="1689"/>
      <c r="H765" s="465" t="str">
        <f>EUconst_Tons</f>
        <v>tonnas</v>
      </c>
      <c r="I765" s="1103" t="str">
        <f>IF($I714="","",IF(INDEX(F_ProductBM!I:I,MATCH($P765,F_ProductBM!$P:$P,0))="","",INDEX(F_ProductBM!I:I,MATCH($P765,F_ProductBM!$P:$P,0))))</f>
        <v/>
      </c>
      <c r="J765" s="1103" t="str">
        <f>IF($I714="","",IF(INDEX(F_ProductBM!J:J,MATCH($P765,F_ProductBM!$P:$P,0))="","",INDEX(F_ProductBM!J:J,MATCH($P765,F_ProductBM!$P:$P,0))))</f>
        <v/>
      </c>
      <c r="K765" s="1103" t="str">
        <f>IF($I714="","",IF(INDEX(F_ProductBM!K:K,MATCH($P765,F_ProductBM!$P:$P,0))="","",INDEX(F_ProductBM!K:K,MATCH($P765,F_ProductBM!$P:$P,0))))</f>
        <v/>
      </c>
      <c r="L765" s="1103" t="str">
        <f>IF($I714="","",IF(INDEX(F_ProductBM!L:L,MATCH($P765,F_ProductBM!$P:$P,0))="","",INDEX(F_ProductBM!L:L,MATCH($P765,F_ProductBM!$P:$P,0))))</f>
        <v/>
      </c>
      <c r="M765" s="1103" t="str">
        <f>IF($I714="","",IF(INDEX(F_ProductBM!M:M,MATCH($P765,F_ProductBM!$P:$P,0))="","",INDEX(F_ProductBM!M:M,MATCH($P765,F_ProductBM!$P:$P,0))))</f>
        <v/>
      </c>
      <c r="N765" s="823"/>
      <c r="O765" s="25"/>
      <c r="P765" s="367" t="str">
        <f>EUconst_CNTR_IntermediateImport &amp; R765 &amp; "_" &amp; I714</f>
        <v>IntImp_1_</v>
      </c>
      <c r="Q765" s="437"/>
      <c r="R765" s="869">
        <v>1</v>
      </c>
      <c r="S765" s="437"/>
      <c r="T765" s="26"/>
    </row>
    <row r="766" spans="1:20" s="697" customFormat="1" x14ac:dyDescent="0.2">
      <c r="A766" s="437"/>
      <c r="B766" s="414"/>
      <c r="C766" s="414"/>
      <c r="D766" s="414"/>
      <c r="E766" s="1689" t="str">
        <f>IF($I714="","",IF(INDEX(F_ProductBM!E:E,MATCH($P766,F_ProductBM!$P:$P,0))="","",INDEX(F_ProductBM!E:E,MATCH($P766,F_ProductBM!$P:$P,0))))</f>
        <v/>
      </c>
      <c r="F766" s="1689"/>
      <c r="G766" s="1689"/>
      <c r="H766" s="465" t="str">
        <f>EUconst_Tons</f>
        <v>tonnas</v>
      </c>
      <c r="I766" s="1103" t="str">
        <f>IF($I714="","",IF(INDEX(F_ProductBM!I:I,MATCH($P766,F_ProductBM!$P:$P,0))="","",INDEX(F_ProductBM!I:I,MATCH($P766,F_ProductBM!$P:$P,0))))</f>
        <v/>
      </c>
      <c r="J766" s="1103" t="str">
        <f>IF($I714="","",IF(INDEX(F_ProductBM!J:J,MATCH($P766,F_ProductBM!$P:$P,0))="","",INDEX(F_ProductBM!J:J,MATCH($P766,F_ProductBM!$P:$P,0))))</f>
        <v/>
      </c>
      <c r="K766" s="1103" t="str">
        <f>IF($I714="","",IF(INDEX(F_ProductBM!K:K,MATCH($P766,F_ProductBM!$P:$P,0))="","",INDEX(F_ProductBM!K:K,MATCH($P766,F_ProductBM!$P:$P,0))))</f>
        <v/>
      </c>
      <c r="L766" s="1103" t="str">
        <f>IF($I714="","",IF(INDEX(F_ProductBM!L:L,MATCH($P766,F_ProductBM!$P:$P,0))="","",INDEX(F_ProductBM!L:L,MATCH($P766,F_ProductBM!$P:$P,0))))</f>
        <v/>
      </c>
      <c r="M766" s="1103" t="str">
        <f>IF($I714="","",IF(INDEX(F_ProductBM!M:M,MATCH($P766,F_ProductBM!$P:$P,0))="","",INDEX(F_ProductBM!M:M,MATCH($P766,F_ProductBM!$P:$P,0))))</f>
        <v/>
      </c>
      <c r="N766" s="823"/>
      <c r="O766" s="25"/>
      <c r="P766" s="367" t="str">
        <f>EUconst_CNTR_IntermediateImport &amp; R766 &amp; "_" &amp; I714</f>
        <v>IntImp_2_</v>
      </c>
      <c r="Q766" s="437"/>
      <c r="R766" s="869">
        <v>2</v>
      </c>
      <c r="S766" s="437"/>
      <c r="T766" s="26"/>
    </row>
    <row r="767" spans="1:20" s="697" customFormat="1" x14ac:dyDescent="0.2">
      <c r="A767" s="437"/>
      <c r="B767" s="414"/>
      <c r="C767" s="414"/>
      <c r="D767" s="414"/>
      <c r="E767" s="1206" t="str">
        <f>Translations!$B$1240</f>
        <v>Starpproduktu eksports:</v>
      </c>
      <c r="F767" s="526"/>
      <c r="G767" s="526"/>
      <c r="H767" s="526"/>
      <c r="I767" s="1140"/>
      <c r="J767" s="1140"/>
      <c r="K767" s="1140"/>
      <c r="L767" s="1140"/>
      <c r="M767" s="1140"/>
      <c r="N767" s="823"/>
      <c r="O767" s="25"/>
      <c r="P767" s="199"/>
      <c r="Q767" s="437"/>
      <c r="R767" s="437"/>
      <c r="S767" s="437"/>
      <c r="T767" s="26"/>
    </row>
    <row r="768" spans="1:20" s="697" customFormat="1" x14ac:dyDescent="0.2">
      <c r="A768" s="437"/>
      <c r="B768" s="414"/>
      <c r="C768" s="414"/>
      <c r="D768" s="414"/>
      <c r="E768" s="1689" t="str">
        <f>IF($I714="","",IF(INDEX(F_ProductBM!E:E,MATCH($P768,F_ProductBM!$P:$P,0))="","",INDEX(F_ProductBM!E:E,MATCH($P768,F_ProductBM!$P:$P,0))))</f>
        <v/>
      </c>
      <c r="F768" s="1689"/>
      <c r="G768" s="1689"/>
      <c r="H768" s="465" t="str">
        <f>EUconst_Tons</f>
        <v>tonnas</v>
      </c>
      <c r="I768" s="1103" t="str">
        <f>IF($I714="","",IF(INDEX(F_ProductBM!I:I,MATCH($P768,F_ProductBM!$P:$P,0))="","",INDEX(F_ProductBM!I:I,MATCH($P768,F_ProductBM!$P:$P,0))))</f>
        <v/>
      </c>
      <c r="J768" s="1103" t="str">
        <f>IF($I714="","",IF(INDEX(F_ProductBM!J:J,MATCH($P768,F_ProductBM!$P:$P,0))="","",INDEX(F_ProductBM!J:J,MATCH($P768,F_ProductBM!$P:$P,0))))</f>
        <v/>
      </c>
      <c r="K768" s="1103" t="str">
        <f>IF($I714="","",IF(INDEX(F_ProductBM!K:K,MATCH($P768,F_ProductBM!$P:$P,0))="","",INDEX(F_ProductBM!K:K,MATCH($P768,F_ProductBM!$P:$P,0))))</f>
        <v/>
      </c>
      <c r="L768" s="1103" t="str">
        <f>IF($I714="","",IF(INDEX(F_ProductBM!L:L,MATCH($P768,F_ProductBM!$P:$P,0))="","",INDEX(F_ProductBM!L:L,MATCH($P768,F_ProductBM!$P:$P,0))))</f>
        <v/>
      </c>
      <c r="M768" s="1103" t="str">
        <f>IF($I714="","",IF(INDEX(F_ProductBM!M:M,MATCH($P768,F_ProductBM!$P:$P,0))="","",INDEX(F_ProductBM!M:M,MATCH($P768,F_ProductBM!$P:$P,0))))</f>
        <v/>
      </c>
      <c r="N768" s="823"/>
      <c r="O768" s="25"/>
      <c r="P768" s="367" t="str">
        <f>EUconst_CNTR_IntermediateExport &amp; R765 &amp; "_" &amp; I714</f>
        <v>IntExp_1_</v>
      </c>
      <c r="Q768" s="437"/>
      <c r="R768" s="869">
        <v>1</v>
      </c>
      <c r="S768" s="437"/>
      <c r="T768" s="26"/>
    </row>
    <row r="769" spans="1:20" s="697" customFormat="1" x14ac:dyDescent="0.2">
      <c r="A769" s="437"/>
      <c r="B769" s="414"/>
      <c r="C769" s="414"/>
      <c r="D769" s="414"/>
      <c r="E769" s="1689" t="str">
        <f>IF($I714="","",IF(INDEX(F_ProductBM!E:E,MATCH($P769,F_ProductBM!$P:$P,0))="","",INDEX(F_ProductBM!E:E,MATCH($P769,F_ProductBM!$P:$P,0))))</f>
        <v/>
      </c>
      <c r="F769" s="1689"/>
      <c r="G769" s="1689"/>
      <c r="H769" s="465" t="str">
        <f>EUconst_Tons</f>
        <v>tonnas</v>
      </c>
      <c r="I769" s="1103" t="str">
        <f>IF($I714="","",IF(INDEX(F_ProductBM!I:I,MATCH($P769,F_ProductBM!$P:$P,0))="","",INDEX(F_ProductBM!I:I,MATCH($P769,F_ProductBM!$P:$P,0))))</f>
        <v/>
      </c>
      <c r="J769" s="1103" t="str">
        <f>IF($I714="","",IF(INDEX(F_ProductBM!J:J,MATCH($P769,F_ProductBM!$P:$P,0))="","",INDEX(F_ProductBM!J:J,MATCH($P769,F_ProductBM!$P:$P,0))))</f>
        <v/>
      </c>
      <c r="K769" s="1103" t="str">
        <f>IF($I714="","",IF(INDEX(F_ProductBM!K:K,MATCH($P769,F_ProductBM!$P:$P,0))="","",INDEX(F_ProductBM!K:K,MATCH($P769,F_ProductBM!$P:$P,0))))</f>
        <v/>
      </c>
      <c r="L769" s="1103" t="str">
        <f>IF($I714="","",IF(INDEX(F_ProductBM!L:L,MATCH($P769,F_ProductBM!$P:$P,0))="","",INDEX(F_ProductBM!L:L,MATCH($P769,F_ProductBM!$P:$P,0))))</f>
        <v/>
      </c>
      <c r="M769" s="1103" t="str">
        <f>IF($I714="","",IF(INDEX(F_ProductBM!M:M,MATCH($P769,F_ProductBM!$P:$P,0))="","",INDEX(F_ProductBM!M:M,MATCH($P769,F_ProductBM!$P:$P,0))))</f>
        <v/>
      </c>
      <c r="N769" s="823"/>
      <c r="O769" s="25"/>
      <c r="P769" s="367" t="str">
        <f>EUconst_CNTR_IntermediateExport &amp; R769 &amp; "_" &amp; I714</f>
        <v>IntExp_2_</v>
      </c>
      <c r="Q769" s="437"/>
      <c r="R769" s="869">
        <v>2</v>
      </c>
      <c r="S769" s="437"/>
      <c r="T769" s="26"/>
    </row>
    <row r="770" spans="1:20" s="697" customFormat="1" ht="5.0999999999999996" customHeight="1" x14ac:dyDescent="0.2">
      <c r="A770" s="437"/>
      <c r="B770" s="414"/>
      <c r="C770" s="414"/>
      <c r="D770" s="414"/>
      <c r="E770" s="526"/>
      <c r="F770" s="526"/>
      <c r="G770" s="526"/>
      <c r="H770" s="526"/>
      <c r="I770" s="823"/>
      <c r="J770" s="823"/>
      <c r="K770" s="823"/>
      <c r="L770" s="823"/>
      <c r="M770" s="823"/>
      <c r="N770" s="823"/>
      <c r="O770" s="25"/>
      <c r="P770" s="199"/>
      <c r="Q770" s="437"/>
      <c r="R770" s="931"/>
      <c r="S770" s="437"/>
      <c r="T770" s="26"/>
    </row>
    <row r="771" spans="1:20" s="697" customFormat="1" x14ac:dyDescent="0.2">
      <c r="A771" s="437"/>
      <c r="B771" s="414"/>
      <c r="C771" s="414"/>
      <c r="D771" s="414"/>
      <c r="E771" s="1881" t="str">
        <f>Translations!$B$1729</f>
        <v>Korekcijas īpašās līmeņatzīmes atjaunināšanai (attiecīgā gadījumā)</v>
      </c>
      <c r="F771" s="1881"/>
      <c r="G771" s="1881"/>
      <c r="H771" s="1881"/>
      <c r="I771" s="1881"/>
      <c r="J771" s="1881"/>
      <c r="K771" s="1881"/>
      <c r="L771" s="1881"/>
      <c r="M771" s="1881"/>
      <c r="N771" s="823"/>
      <c r="O771" s="25"/>
      <c r="P771" s="199"/>
      <c r="Q771" s="437"/>
      <c r="R771" s="931"/>
      <c r="S771" s="437"/>
      <c r="T771" s="26"/>
    </row>
    <row r="772" spans="1:20" s="697" customFormat="1" ht="12.75" customHeight="1" x14ac:dyDescent="0.2">
      <c r="A772" s="437"/>
      <c r="B772" s="414"/>
      <c r="C772" s="414"/>
      <c r="D772" s="414"/>
      <c r="E772" s="1651" t="str">
        <f>Translations!$B$806</f>
        <v>Kopējais saražotās pulpas daudzums</v>
      </c>
      <c r="F772" s="1651"/>
      <c r="G772" s="1651"/>
      <c r="H772" s="465" t="str">
        <f>EUconst_Tons</f>
        <v>tonnas</v>
      </c>
      <c r="I772" s="1103" t="str">
        <f>IF($I714="","",IF(INDEX(F_ProductBM!I:I,MATCH($P772,F_ProductBM!$P:$P,0))="","",INDEX(F_ProductBM!I:I,MATCH($P772,F_ProductBM!$P:$P,0))))</f>
        <v/>
      </c>
      <c r="J772" s="1103" t="str">
        <f>IF($I714="","",IF(INDEX(F_ProductBM!J:J,MATCH($P772,F_ProductBM!$P:$P,0))="","",INDEX(F_ProductBM!J:J,MATCH($P772,F_ProductBM!$P:$P,0))))</f>
        <v/>
      </c>
      <c r="K772" s="1103" t="str">
        <f>IF($I714="","",IF(INDEX(F_ProductBM!K:K,MATCH($P772,F_ProductBM!$P:$P,0))="","",INDEX(F_ProductBM!K:K,MATCH($P772,F_ProductBM!$P:$P,0))))</f>
        <v/>
      </c>
      <c r="L772" s="1103" t="str">
        <f>IF($I714="","",IF(INDEX(F_ProductBM!L:L,MATCH($P772,F_ProductBM!$P:$P,0))="","",INDEX(F_ProductBM!L:L,MATCH($P772,F_ProductBM!$P:$P,0))))</f>
        <v/>
      </c>
      <c r="M772" s="1103" t="str">
        <f>IF($I714="","",IF(INDEX(F_ProductBM!M:M,MATCH($P772,F_ProductBM!$P:$P,0))="","",INDEX(F_ProductBM!M:M,MATCH($P772,F_ProductBM!$P:$P,0))))</f>
        <v/>
      </c>
      <c r="N772" s="823"/>
      <c r="O772" s="25"/>
      <c r="P772" s="367" t="str">
        <f>EUconst_CNTR_HALPulpTotal &amp; I714</f>
        <v>HALPulpTotal_</v>
      </c>
      <c r="Q772" s="437"/>
      <c r="R772" s="437"/>
      <c r="S772" s="437"/>
      <c r="T772" s="26"/>
    </row>
    <row r="773" spans="1:20" s="697" customFormat="1" ht="5.0999999999999996" customHeight="1" x14ac:dyDescent="0.2">
      <c r="A773" s="437"/>
      <c r="B773" s="414"/>
      <c r="C773" s="414"/>
      <c r="D773" s="414"/>
      <c r="E773" s="526"/>
      <c r="F773" s="526"/>
      <c r="G773" s="526"/>
      <c r="H773" s="526"/>
      <c r="I773" s="1140"/>
      <c r="J773" s="1140"/>
      <c r="K773" s="1140"/>
      <c r="L773" s="1140"/>
      <c r="M773" s="1140"/>
      <c r="N773" s="823"/>
      <c r="O773" s="25"/>
      <c r="P773" s="199"/>
      <c r="Q773" s="437"/>
      <c r="R773" s="437"/>
      <c r="S773" s="437"/>
      <c r="T773" s="26"/>
    </row>
    <row r="774" spans="1:20" s="697" customFormat="1" ht="12.75" customHeight="1" x14ac:dyDescent="0.2">
      <c r="A774" s="437"/>
      <c r="B774" s="414"/>
      <c r="C774" s="414"/>
      <c r="D774" s="414"/>
      <c r="E774" s="1651" t="str">
        <f>Translations!$B$1730</f>
        <v>Ūdeņraža ražošana (faktiskā + teorētiskā)</v>
      </c>
      <c r="F774" s="1651"/>
      <c r="G774" s="1651"/>
      <c r="H774" s="465" t="str">
        <f>EUconst_Tons</f>
        <v>tonnas</v>
      </c>
      <c r="I774" s="1103" t="str">
        <f>IF($K717=$R774,SUMIFS(H_SpecialBM!I:I,H_SpecialBM!$P:$P,$P774),"")</f>
        <v/>
      </c>
      <c r="J774" s="1103" t="str">
        <f>IF($K717=$R774,SUMIFS(H_SpecialBM!J:J,H_SpecialBM!$P:$P,$P774),"")</f>
        <v/>
      </c>
      <c r="K774" s="1103" t="str">
        <f>IF($K717=$R774,SUMIFS(H_SpecialBM!K:K,H_SpecialBM!$P:$P,$P774),"")</f>
        <v/>
      </c>
      <c r="L774" s="1103" t="str">
        <f>IF($K717=$R774,SUMIFS(H_SpecialBM!L:L,H_SpecialBM!$P:$P,$P774),"")</f>
        <v/>
      </c>
      <c r="M774" s="1103" t="str">
        <f>IF($K717=$R774,SUMIFS(H_SpecialBM!M:M,H_SpecialBM!$P:$P,$P774),"")</f>
        <v/>
      </c>
      <c r="N774" s="823"/>
      <c r="O774" s="25"/>
      <c r="P774" s="134" t="str">
        <f>EUconst_CNTR_H2ActualPlusTheoretical</f>
        <v>H2Total_</v>
      </c>
      <c r="Q774" s="437"/>
      <c r="R774" s="869">
        <v>50</v>
      </c>
      <c r="S774" s="437"/>
      <c r="T774" s="26"/>
    </row>
    <row r="775" spans="1:20" s="697" customFormat="1" ht="12.75" customHeight="1" x14ac:dyDescent="0.2">
      <c r="A775" s="437"/>
      <c r="B775" s="414"/>
      <c r="C775" s="414"/>
      <c r="D775" s="414"/>
      <c r="E775" s="1651" t="str">
        <f>Translations!$B$1731</f>
        <v>Ar ūdeņradi saistītās emisijas</v>
      </c>
      <c r="F775" s="1651"/>
      <c r="G775" s="1651"/>
      <c r="H775" s="465" t="str">
        <f>EUconst_tCO2pa</f>
        <v>t CO2 / gads</v>
      </c>
      <c r="I775" s="1103" t="str">
        <f>IF($K717=$R775,SUMIFS(H_SpecialBM!I:I,H_SpecialBM!$P:$P,$P775),"")</f>
        <v/>
      </c>
      <c r="J775" s="1103" t="str">
        <f>IF($K717=$R775,SUMIFS(H_SpecialBM!J:J,H_SpecialBM!$P:$P,$P775),"")</f>
        <v/>
      </c>
      <c r="K775" s="1103" t="str">
        <f>IF($K717=$R775,SUMIFS(H_SpecialBM!K:K,H_SpecialBM!$P:$P,$P775),"")</f>
        <v/>
      </c>
      <c r="L775" s="1103" t="str">
        <f>IF($K717=$R775,SUMIFS(H_SpecialBM!L:L,H_SpecialBM!$P:$P,$P775),"")</f>
        <v/>
      </c>
      <c r="M775" s="1103" t="str">
        <f>IF($K717=$R775,SUMIFS(H_SpecialBM!M:M,H_SpecialBM!$P:$P,$P775),"")</f>
        <v/>
      </c>
      <c r="N775" s="823"/>
      <c r="O775" s="25"/>
      <c r="P775" s="202" t="str">
        <f>EUconst_CNTR_H2AdditionalEmissions</f>
        <v>H2AddEm_</v>
      </c>
      <c r="Q775" s="437"/>
      <c r="R775" s="869">
        <v>50</v>
      </c>
      <c r="S775" s="437"/>
      <c r="T775" s="26"/>
    </row>
    <row r="776" spans="1:20" s="697" customFormat="1" ht="5.0999999999999996" customHeight="1" x14ac:dyDescent="0.2">
      <c r="A776" s="437"/>
      <c r="B776" s="414"/>
      <c r="C776" s="414"/>
      <c r="D776" s="414"/>
      <c r="E776" s="526"/>
      <c r="F776" s="526"/>
      <c r="G776" s="526"/>
      <c r="H776" s="526"/>
      <c r="I776" s="1140"/>
      <c r="J776" s="1140"/>
      <c r="K776" s="1140"/>
      <c r="L776" s="1140"/>
      <c r="M776" s="1140"/>
      <c r="N776" s="823"/>
      <c r="O776" s="25"/>
      <c r="P776" s="437"/>
      <c r="Q776" s="437"/>
      <c r="R776" s="437"/>
      <c r="S776" s="437"/>
      <c r="T776" s="26"/>
    </row>
    <row r="777" spans="1:20" s="697" customFormat="1" ht="12.75" customHeight="1" x14ac:dyDescent="0.2">
      <c r="A777" s="437"/>
      <c r="B777" s="414"/>
      <c r="C777" s="414"/>
      <c r="D777" s="414"/>
      <c r="E777" s="1651" t="str">
        <f>Translations!$B$1732</f>
        <v>HVC emisiju korekcija</v>
      </c>
      <c r="F777" s="1651"/>
      <c r="G777" s="1651"/>
      <c r="H777" s="465" t="str">
        <f>EUconst_tCO2pa</f>
        <v>t CO2 / gads</v>
      </c>
      <c r="I777" s="1103" t="str">
        <f>IF($K717=$R777,-SUMIFS(H_SpecialBM!S:S,H_SpecialBM!$P:$P,$P777),"")</f>
        <v/>
      </c>
      <c r="J777" s="1103" t="str">
        <f>IF($K717=$R777,-SUMIFS(H_SpecialBM!T:T,H_SpecialBM!$P:$P,$P777),"")</f>
        <v/>
      </c>
      <c r="K777" s="1103" t="str">
        <f>IF($K717=$R777,-SUMIFS(H_SpecialBM!U:U,H_SpecialBM!$P:$P,$P777),"")</f>
        <v/>
      </c>
      <c r="L777" s="1103" t="str">
        <f>IF($K717=$R777,-SUMIFS(H_SpecialBM!V:V,H_SpecialBM!$P:$P,$P777),"")</f>
        <v/>
      </c>
      <c r="M777" s="1103" t="str">
        <f>IF($K717=$R777,-SUMIFS(H_SpecialBM!W:W,H_SpecialBM!$P:$P,$P777),"")</f>
        <v/>
      </c>
      <c r="N777" s="823"/>
      <c r="O777" s="25"/>
      <c r="P777" s="367" t="str">
        <f>EUconst_CNTR_HVC</f>
        <v>HVC_</v>
      </c>
      <c r="Q777" s="437"/>
      <c r="R777" s="869">
        <v>42</v>
      </c>
      <c r="S777" s="437"/>
      <c r="T777" s="26"/>
    </row>
    <row r="778" spans="1:20" s="697" customFormat="1" ht="5.0999999999999996" customHeight="1" x14ac:dyDescent="0.2">
      <c r="A778" s="437"/>
      <c r="B778" s="414"/>
      <c r="C778" s="414"/>
      <c r="D778" s="414"/>
      <c r="E778" s="526"/>
      <c r="F778" s="526"/>
      <c r="G778" s="526"/>
      <c r="H778" s="526"/>
      <c r="I778" s="1140"/>
      <c r="J778" s="1140"/>
      <c r="K778" s="1140"/>
      <c r="L778" s="1140"/>
      <c r="M778" s="1140"/>
      <c r="N778" s="823"/>
      <c r="O778" s="25"/>
      <c r="P778" s="199"/>
      <c r="Q778" s="437"/>
      <c r="R778" s="437"/>
      <c r="S778" s="437"/>
      <c r="T778" s="26"/>
    </row>
    <row r="779" spans="1:20" s="697" customFormat="1" ht="12.75" customHeight="1" x14ac:dyDescent="0.2">
      <c r="A779" s="437"/>
      <c r="B779" s="414"/>
      <c r="C779" s="414"/>
      <c r="D779" s="414"/>
      <c r="E779" s="1651" t="str">
        <f>Translations!$B$1733</f>
        <v>VCM emisiju korekcija</v>
      </c>
      <c r="F779" s="1651"/>
      <c r="G779" s="1651"/>
      <c r="H779" s="465" t="str">
        <f>EUconst_tCO2pa</f>
        <v>t CO2 / gads</v>
      </c>
      <c r="I779" s="1103" t="str">
        <f>IF($K717=$R779,SUMIFS(H_SpecialBM!I:I,H_SpecialBM!$P:$P,$P779)/EUconst_HeatBMvalue*EUconst_HeatBMvalueForBM,"")</f>
        <v/>
      </c>
      <c r="J779" s="1103" t="str">
        <f>IF($K717=$R779,SUMIFS(H_SpecialBM!J:J,H_SpecialBM!$P:$P,$P779)/EUconst_HeatBMvalue*EUconst_HeatBMvalueForBM,"")</f>
        <v/>
      </c>
      <c r="K779" s="1103" t="str">
        <f>IF($K717=$R779,SUMIFS(H_SpecialBM!K:K,H_SpecialBM!$P:$P,$P779)/EUconst_HeatBMvalue*EUconst_HeatBMvalueForBM,"")</f>
        <v/>
      </c>
      <c r="L779" s="1103" t="str">
        <f>IF($K717=$R779,SUMIFS(H_SpecialBM!L:L,H_SpecialBM!$P:$P,$P779)/EUconst_HeatBMvalue*EUconst_HeatBMvalueForBM,"")</f>
        <v/>
      </c>
      <c r="M779" s="1103" t="str">
        <f>IF($K717=$R779,SUMIFS(H_SpecialBM!M:M,H_SpecialBM!$P:$P,$P779)/EUconst_HeatBMvalue*EUconst_HeatBMvalueForBM,"")</f>
        <v/>
      </c>
      <c r="N779" s="823"/>
      <c r="O779" s="25"/>
      <c r="P779" s="134" t="str">
        <f>EUconst_CNTR_VCM</f>
        <v>VCM_</v>
      </c>
      <c r="Q779" s="437"/>
      <c r="R779" s="869">
        <v>47</v>
      </c>
      <c r="S779" s="437"/>
      <c r="T779" s="26"/>
    </row>
    <row r="780" spans="1:20" s="697" customFormat="1" ht="12.75" customHeight="1" x14ac:dyDescent="0.2">
      <c r="A780" s="437"/>
      <c r="B780" s="414"/>
      <c r="C780" s="414"/>
      <c r="D780" s="414"/>
      <c r="E780" s="526"/>
      <c r="F780" s="526"/>
      <c r="G780" s="526"/>
      <c r="H780" s="526"/>
      <c r="I780" s="823"/>
      <c r="J780" s="823"/>
      <c r="K780" s="823"/>
      <c r="L780" s="823"/>
      <c r="M780" s="823"/>
      <c r="N780" s="823"/>
      <c r="O780" s="25"/>
      <c r="P780" s="199"/>
      <c r="Q780" s="437"/>
      <c r="R780" s="437"/>
      <c r="S780" s="437"/>
      <c r="T780" s="26"/>
    </row>
    <row r="781" spans="1:20" s="697" customFormat="1" ht="12.75" customHeight="1" thickBot="1" x14ac:dyDescent="0.25">
      <c r="A781" s="437"/>
      <c r="B781" s="414"/>
      <c r="C781" s="414"/>
      <c r="D781" s="414"/>
      <c r="E781" s="935"/>
      <c r="O781" s="25"/>
      <c r="P781" s="437"/>
      <c r="Q781" s="437"/>
      <c r="R781" s="437"/>
      <c r="S781" s="437"/>
      <c r="T781" s="26"/>
    </row>
    <row r="782" spans="1:20" s="697" customFormat="1" ht="5.0999999999999996" customHeight="1" thickBot="1" x14ac:dyDescent="0.25">
      <c r="A782" s="437"/>
      <c r="B782" s="21"/>
      <c r="C782" s="294"/>
      <c r="D782" s="294"/>
      <c r="E782" s="294"/>
      <c r="F782" s="294"/>
      <c r="G782" s="294"/>
      <c r="H782" s="294"/>
      <c r="I782" s="294"/>
      <c r="J782" s="294"/>
      <c r="K782" s="294"/>
      <c r="L782" s="294"/>
      <c r="M782" s="294"/>
      <c r="N782" s="294"/>
      <c r="O782" s="25"/>
      <c r="P782" s="437"/>
      <c r="Q782" s="437"/>
      <c r="R782" s="437"/>
      <c r="S782" s="437"/>
      <c r="T782" s="26"/>
    </row>
    <row r="783" spans="1:20" s="697" customFormat="1" ht="15" customHeight="1" thickBot="1" x14ac:dyDescent="0.3">
      <c r="A783" s="437"/>
      <c r="B783" s="414"/>
      <c r="C783" s="36">
        <f>C714+1</f>
        <v>5</v>
      </c>
      <c r="D783" s="1890" t="str">
        <f>CONCATENATE(EUconst_BMSubinst," ",C783, ":")</f>
        <v>Apakšiekārta ar produkta līmeņatzīmi 5:</v>
      </c>
      <c r="E783" s="1890"/>
      <c r="F783" s="1890"/>
      <c r="G783" s="1890"/>
      <c r="H783" s="1891"/>
      <c r="I783" s="1887" t="str">
        <f>IF(INDEX(CNTR_SubInstListIsProdBM,$C783),INDEX(CNTR_SubInstListNames,$C783),"")</f>
        <v/>
      </c>
      <c r="J783" s="1888"/>
      <c r="K783" s="1888"/>
      <c r="L783" s="1888"/>
      <c r="M783" s="1888"/>
      <c r="N783" s="1889"/>
      <c r="O783" s="25"/>
      <c r="P783" s="437"/>
      <c r="Q783" s="904">
        <f>C783</f>
        <v>5</v>
      </c>
      <c r="R783" s="901" t="str">
        <f>I783</f>
        <v/>
      </c>
      <c r="S783" s="903" t="str">
        <f>H786</f>
        <v>NA</v>
      </c>
      <c r="T783" s="902" t="str">
        <f>IF(M797="","",IF(S786=0,0,SUM(M797)/S786))</f>
        <v/>
      </c>
    </row>
    <row r="784" spans="1:20" s="697" customFormat="1" ht="5.0999999999999996" customHeight="1" thickBot="1" x14ac:dyDescent="0.25">
      <c r="A784" s="437"/>
      <c r="B784" s="414"/>
      <c r="C784" s="414"/>
      <c r="D784" s="414"/>
      <c r="E784" s="414"/>
      <c r="F784" s="414"/>
      <c r="G784" s="414"/>
      <c r="H784" s="414"/>
      <c r="I784" s="414"/>
      <c r="J784" s="414"/>
      <c r="K784" s="414"/>
      <c r="L784" s="414"/>
      <c r="M784" s="414"/>
      <c r="N784" s="414"/>
      <c r="O784" s="25"/>
      <c r="P784" s="437"/>
      <c r="Q784" s="437"/>
      <c r="R784" s="437"/>
      <c r="S784" s="437"/>
      <c r="T784" s="26"/>
    </row>
    <row r="785" spans="1:20" s="697" customFormat="1" ht="13.5" thickBot="1" x14ac:dyDescent="0.25">
      <c r="A785" s="437"/>
      <c r="B785" s="414"/>
      <c r="C785" s="414"/>
      <c r="D785" s="414"/>
      <c r="E785" s="414"/>
      <c r="F785" s="414"/>
      <c r="G785" s="414"/>
      <c r="H785" s="647" t="str">
        <f>Translations!$B$1204</f>
        <v>Pakļauta OEP</v>
      </c>
      <c r="I785" s="38"/>
      <c r="J785" s="648" t="str">
        <f>Translations!$B$1208</f>
        <v>Ekspl. sākta</v>
      </c>
      <c r="K785" s="648" t="str">
        <f>Translations!$B$1206</f>
        <v>LA Nr.</v>
      </c>
      <c r="L785" s="812" t="str">
        <f>Translations!$B$1212</f>
        <v>15(7)3?</v>
      </c>
      <c r="M785" s="989" t="str">
        <f>Translations!$B$1234</f>
        <v>LA vērtība (min./maks./fakt.)</v>
      </c>
      <c r="N785" s="990"/>
      <c r="O785" s="25"/>
      <c r="P785" s="437"/>
      <c r="Q785" s="437"/>
      <c r="R785" s="646" t="s">
        <v>641</v>
      </c>
      <c r="S785" s="903" t="str">
        <f>H788</f>
        <v>NA</v>
      </c>
      <c r="T785" s="26"/>
    </row>
    <row r="786" spans="1:20" s="697" customFormat="1" x14ac:dyDescent="0.2">
      <c r="A786" s="437"/>
      <c r="B786" s="414"/>
      <c r="C786" s="414"/>
      <c r="D786" s="414"/>
      <c r="E786" s="649" t="str">
        <f>I783</f>
        <v/>
      </c>
      <c r="F786" s="650"/>
      <c r="G786" s="594"/>
      <c r="H786" s="651" t="str">
        <f>IF(K786=EUconst_NA,EUconst_NA,INDEX(EUconst_BMlistCLstatus,MATCH(K786,EUconst_BMlistMainNumberOfBM,0)))</f>
        <v>NA</v>
      </c>
      <c r="I786" s="38"/>
      <c r="J786" s="846" t="str">
        <f>IF($I783="",EUconst_NA,INDEX(CNTR_SubInstStartDate,MATCH(E786,CNTR_SubInstListNames,0)))</f>
        <v>NA</v>
      </c>
      <c r="K786" s="546" t="str">
        <f>IF($I783="",EUconst_NA,INDEX(EUconst_BMlistMainNumberOfBM,MATCH(E786,EUconst_BMlistNames,0)))</f>
        <v>NA</v>
      </c>
      <c r="L786" s="988" t="str">
        <f>IF(E786="","",INDEX(CNTR_SubInstLess1Year,MATCH(E786,CNTR_SubInstListNames,0)))</f>
        <v/>
      </c>
      <c r="M786" s="991" t="str">
        <f>IF(I783="",EUconst_NA,INDEX(EUconst_BMlistBMvaluesMatrix,MATCH(K786,EUconst_BMlistMainNumberOfBM,0),2))</f>
        <v>NA</v>
      </c>
      <c r="N786" s="992" t="str">
        <f>EUconst_EUA &amp; "/" &amp; H791</f>
        <v>ESK/tonnas</v>
      </c>
      <c r="O786" s="25"/>
      <c r="P786" s="437"/>
      <c r="Q786" s="437"/>
      <c r="R786" s="732" t="s">
        <v>554</v>
      </c>
      <c r="S786" s="815" t="str">
        <f>IF(H786=EUconst_NA,"",IF(H786,1,INDEX(EUconst_CLEFYears,1)))</f>
        <v/>
      </c>
      <c r="T786" s="26"/>
    </row>
    <row r="787" spans="1:20" s="697" customFormat="1" x14ac:dyDescent="0.2">
      <c r="A787" s="437"/>
      <c r="B787" s="414"/>
      <c r="C787" s="414"/>
      <c r="D787" s="414"/>
      <c r="G787" s="648" t="str">
        <f>Translations!$B$1218</f>
        <v>ETS neaptverts siltums</v>
      </c>
      <c r="H787" s="647" t="s">
        <v>623</v>
      </c>
      <c r="I787" s="812" t="str">
        <f>Translations!$B$1220</f>
        <v>AGlāpā</v>
      </c>
      <c r="J787" s="648" t="s">
        <v>550</v>
      </c>
      <c r="K787" s="648" t="s">
        <v>551</v>
      </c>
      <c r="L787" s="38"/>
      <c r="M787" s="991" t="str">
        <f>IF(I783="",EUconst_NA,INDEX(EUconst_BMlistBMvaluesMatrix,MATCH(K786,EUconst_BMlistMainNumberOfBM,0),1))</f>
        <v>NA</v>
      </c>
      <c r="N787" s="992" t="str">
        <f>EUconst_EUA &amp; "/" &amp; H791</f>
        <v>ESK/tonnas</v>
      </c>
      <c r="O787" s="25"/>
      <c r="P787" s="437"/>
      <c r="Q787" s="437"/>
      <c r="R787" s="732" t="s">
        <v>658</v>
      </c>
      <c r="S787" s="1150" t="str">
        <f>IF($I783="",EUconst_NA,INDEX(EUconst_BMlistNumberOfBM,MATCH(I783,EUconst_BMlistNames,0)))</f>
        <v>NA</v>
      </c>
      <c r="T787" s="26"/>
    </row>
    <row r="788" spans="1:20" s="697" customFormat="1" ht="13.5" thickBot="1" x14ac:dyDescent="0.25">
      <c r="A788" s="437"/>
      <c r="B788" s="414"/>
      <c r="C788" s="414"/>
      <c r="D788" s="414"/>
      <c r="E788" s="868" t="str">
        <f>Translations!$B$1235</f>
        <v>Īpaši koeficienti/faktori:</v>
      </c>
      <c r="F788" s="868"/>
      <c r="G788" s="546" t="str">
        <f>IF($I783="","",SUMIF(F_ProductBM!$P:$P,EUconst_CNTR_HEAT&amp;$I783,F_ProductBM!$Q:$Q))</f>
        <v/>
      </c>
      <c r="H788" s="651" t="str">
        <f>IF(S787=EUconst_NA,EUconst_NA,INDEX(EUconst_BMlistCBAMstatus,MATCH(S787,EUconst_BMlistNumberOfBM,0)))</f>
        <v>NA</v>
      </c>
      <c r="I788" s="844" t="str">
        <f>IF(OR($I783="",CNTR_BaselinePeriod&lt;&gt;2),"",SUMIF(F_ProductBM!$P:$P,EUconst_CNTR_WGFlaredEF &amp; I783,F_ProductBM!$R:$R))</f>
        <v/>
      </c>
      <c r="J788" s="546" t="str">
        <f>IF($I783="","",IF($K786=42,SUMIF(H_SpecialBM!$P$9:$P$401,EUconst_CNTR_HVC,H_SpecialBM!$I$9:$I$401),0))</f>
        <v/>
      </c>
      <c r="K788" s="867" t="str">
        <f>IF($I783="","",IF($K786=47,IF(ISNUMBER(INDEX(H_SpecialBM!$Q$9:$Q$401,MATCH(EUconst_CNTR_VCM,H_SpecialBM!$P$9:$P$401,0))),INDEX(H_SpecialBM!$Q$9:$Q$401,MATCH(EUconst_CNTR_VCM,H_SpecialBM!$P$9:$P$401,0)),1),1))</f>
        <v/>
      </c>
      <c r="L788" s="38"/>
      <c r="M788" s="993" t="str">
        <f>IF(I783="",EUconst_NA,IF(EUconst_StatusOfDataCollection,INDEX(EUconst_BMlistBMvaluesMatrix,MATCH(K786,EUconst_BMlistMainNumberOfBM,0),3),""))</f>
        <v>NA</v>
      </c>
      <c r="N788" s="994" t="str">
        <f>EUconst_EUA &amp; "/" &amp; H791</f>
        <v>ESK/tonnas</v>
      </c>
      <c r="O788" s="25"/>
      <c r="P788" s="437"/>
      <c r="Q788" s="437"/>
      <c r="R788" s="732"/>
      <c r="S788" s="866"/>
      <c r="T788" s="26"/>
    </row>
    <row r="789" spans="1:20" s="697" customFormat="1" ht="5.0999999999999996" customHeight="1" x14ac:dyDescent="0.2">
      <c r="A789" s="437"/>
      <c r="B789" s="414"/>
      <c r="C789" s="414"/>
      <c r="D789" s="414"/>
      <c r="E789" s="414"/>
      <c r="F789" s="414"/>
      <c r="G789" s="414"/>
      <c r="H789" s="414"/>
      <c r="I789" s="414"/>
      <c r="J789" s="414"/>
      <c r="K789" s="414"/>
      <c r="L789" s="414"/>
      <c r="M789" s="414"/>
      <c r="N789" s="414"/>
      <c r="O789" s="25"/>
      <c r="P789" s="437"/>
      <c r="Q789" s="437"/>
      <c r="R789" s="437"/>
      <c r="S789" s="437"/>
      <c r="T789" s="26"/>
    </row>
    <row r="790" spans="1:20" s="697" customFormat="1" x14ac:dyDescent="0.2">
      <c r="A790" s="437"/>
      <c r="B790" s="414"/>
      <c r="C790" s="414"/>
      <c r="D790" s="414"/>
      <c r="E790" s="652"/>
      <c r="F790" s="652"/>
      <c r="G790" s="653"/>
      <c r="H790" s="864" t="str">
        <f>EUconst_Unit</f>
        <v>Vienība</v>
      </c>
      <c r="I790" s="447">
        <f>I$1652</f>
        <v>2019</v>
      </c>
      <c r="J790" s="447">
        <f>J$1652</f>
        <v>2020</v>
      </c>
      <c r="K790" s="447">
        <f>K$1652</f>
        <v>2021</v>
      </c>
      <c r="L790" s="447">
        <f>L$1652</f>
        <v>2022</v>
      </c>
      <c r="M790" s="447">
        <f>M$1652</f>
        <v>2023</v>
      </c>
      <c r="N790" s="414"/>
      <c r="O790" s="25"/>
      <c r="P790" s="202" t="s">
        <v>228</v>
      </c>
      <c r="Q790" s="437"/>
      <c r="R790" s="437"/>
      <c r="S790" s="437"/>
      <c r="T790" s="26"/>
    </row>
    <row r="791" spans="1:20" s="697" customFormat="1" x14ac:dyDescent="0.2">
      <c r="A791" s="437"/>
      <c r="B791" s="414"/>
      <c r="C791" s="414"/>
      <c r="D791" s="414"/>
      <c r="E791" s="654" t="str">
        <f>Translations!$B$1236</f>
        <v>Ziņotais HAL (vēsturiskais darbības līmenis)</v>
      </c>
      <c r="F791" s="655"/>
      <c r="G791" s="656"/>
      <c r="H791" s="651" t="str">
        <f>IF(ISNUMBER(K786),INDEX(EUconst_BMlistUnits,MATCH(K786,EUconst_BMlistMainNumberOfBM,0)),EUconst_Tons)</f>
        <v>tonnas</v>
      </c>
      <c r="I791" s="546" t="str">
        <f>IF($I783="","",SUMIF(F_ProductBM!$P$11:$P$1814,$P791,F_ProductBM!I$11:I$1814))</f>
        <v/>
      </c>
      <c r="J791" s="546" t="str">
        <f>IF($I783="","",SUMIF(F_ProductBM!$P$11:$P$1814,$P791,F_ProductBM!J$11:J$1814))</f>
        <v/>
      </c>
      <c r="K791" s="546" t="str">
        <f>IF($I783="","",SUMIF(F_ProductBM!$P$11:$P$1814,$P791,F_ProductBM!K$11:K$1814))</f>
        <v/>
      </c>
      <c r="L791" s="546" t="str">
        <f>IF($I783="","",SUMIF(F_ProductBM!$P$11:$P$1814,$P791,F_ProductBM!L$11:L$1814))</f>
        <v/>
      </c>
      <c r="M791" s="546" t="str">
        <f>IF($I783="","",SUMIF(F_ProductBM!$P$11:$P$1814,$P791,F_ProductBM!M$11:M$1814))</f>
        <v/>
      </c>
      <c r="N791" s="648" t="s">
        <v>625</v>
      </c>
      <c r="O791" s="25"/>
      <c r="P791" s="202" t="str">
        <f>EUconst_CNTR_HAL&amp;I783</f>
        <v>HAL_</v>
      </c>
      <c r="Q791" s="437"/>
      <c r="R791" s="437"/>
      <c r="S791" s="437"/>
      <c r="T791" s="26"/>
    </row>
    <row r="792" spans="1:20" s="697" customFormat="1" x14ac:dyDescent="0.2">
      <c r="A792" s="437"/>
      <c r="B792" s="414"/>
      <c r="C792" s="414"/>
      <c r="D792" s="414"/>
      <c r="E792" s="654" t="str">
        <f>Translations!$B$1237</f>
        <v>HAL aprēķinam izmantotās vērtības:</v>
      </c>
      <c r="F792" s="655"/>
      <c r="G792" s="656"/>
      <c r="H792" s="651" t="str">
        <f>H791</f>
        <v>tonnas</v>
      </c>
      <c r="I792" s="546" t="str">
        <f>IF($I783="","",INDEX(F_ProductBM!S$11:S$1814,MATCH($P792,F_ProductBM!$P$11:$P$1814,0)))</f>
        <v/>
      </c>
      <c r="J792" s="546" t="str">
        <f>IF($I783="","",INDEX(F_ProductBM!T$11:T$1814,MATCH($P792,F_ProductBM!$P$11:$P$1814,0)))</f>
        <v/>
      </c>
      <c r="K792" s="546" t="str">
        <f>IF($I783="","",INDEX(F_ProductBM!U$11:U$1814,MATCH($P792,F_ProductBM!$P$11:$P$1814,0)))</f>
        <v/>
      </c>
      <c r="L792" s="546" t="str">
        <f>IF($I783="","",INDEX(F_ProductBM!V$11:V$1814,MATCH($P792,F_ProductBM!$P$11:$P$1814,0)))</f>
        <v/>
      </c>
      <c r="M792" s="546" t="str">
        <f>IF($I783="","",INDEX(F_ProductBM!W$11:W$1814,MATCH($P792,F_ProductBM!$P$11:$P$1814,0)))</f>
        <v/>
      </c>
      <c r="N792" s="546" t="str">
        <f>IF(OR($I783="",$L786=TRUE),"",IF(COUNT($I792:$M792)&gt;0,MEDIAN($I792:$M792),""))</f>
        <v/>
      </c>
      <c r="O792" s="25"/>
      <c r="P792" s="202" t="str">
        <f>EUconst_CNTR_HAL&amp;I783</f>
        <v>HAL_</v>
      </c>
      <c r="Q792" s="437"/>
      <c r="R792" s="931" t="s">
        <v>604</v>
      </c>
      <c r="S792" s="931" t="s">
        <v>605</v>
      </c>
      <c r="T792" s="931" t="s">
        <v>606</v>
      </c>
    </row>
    <row r="793" spans="1:20" s="697" customFormat="1" ht="5.0999999999999996" customHeight="1" x14ac:dyDescent="0.2">
      <c r="A793" s="437"/>
      <c r="B793" s="414"/>
      <c r="C793" s="414"/>
      <c r="D793" s="414"/>
      <c r="E793" s="865"/>
      <c r="F793" s="865"/>
      <c r="G793" s="865"/>
      <c r="H793" s="865"/>
      <c r="I793" s="865"/>
      <c r="J793" s="865"/>
      <c r="K793" s="865"/>
      <c r="L793" s="865"/>
      <c r="O793" s="25"/>
      <c r="P793" s="437"/>
      <c r="Q793" s="437"/>
      <c r="R793" s="437"/>
      <c r="S793" s="437"/>
      <c r="T793" s="26"/>
    </row>
    <row r="794" spans="1:20" s="697" customFormat="1" ht="12.75" customHeight="1" x14ac:dyDescent="0.2">
      <c r="A794" s="437"/>
      <c r="B794" s="414"/>
      <c r="C794" s="414"/>
      <c r="D794" s="414"/>
      <c r="E794" s="1892" t="str">
        <f>Translations!$B$689</f>
        <v>Relevantais elektroenerģijas patēriņš</v>
      </c>
      <c r="F794" s="1892"/>
      <c r="G794" s="1892"/>
      <c r="H794" s="1101" t="str">
        <f>EUconst_MWhpa</f>
        <v>MWh / gads</v>
      </c>
      <c r="I794" s="1166" t="str">
        <f>IF($I783="","",IF(INDEX(F_ProductBM!I:I,MATCH($P794,F_ProductBM!$Q:$Q,0))="","",INDEX(F_ProductBM!I:I,MATCH($P794,F_ProductBM!$Q:$Q,0))))</f>
        <v/>
      </c>
      <c r="J794" s="1166" t="str">
        <f>IF($I783="","",IF(INDEX(F_ProductBM!J:J,MATCH($P794,F_ProductBM!$Q:$Q,0))="","",INDEX(F_ProductBM!J:J,MATCH($P794,F_ProductBM!$Q:$Q,0))))</f>
        <v/>
      </c>
      <c r="K794" s="1166" t="str">
        <f>IF($I783="","",IF(INDEX(F_ProductBM!K:K,MATCH($P794,F_ProductBM!$Q:$Q,0))="","",INDEX(F_ProductBM!K:K,MATCH($P794,F_ProductBM!$Q:$Q,0))))</f>
        <v/>
      </c>
      <c r="L794" s="1166" t="str">
        <f>IF($I783="","",IF(INDEX(F_ProductBM!L:L,MATCH($P794,F_ProductBM!$Q:$Q,0))="","",INDEX(F_ProductBM!L:L,MATCH($P794,F_ProductBM!$Q:$Q,0))))</f>
        <v/>
      </c>
      <c r="M794" s="1166" t="str">
        <f>IF($I783="","",IF(INDEX(F_ProductBM!M:M,MATCH($P794,F_ProductBM!$Q:$Q,0))="","",INDEX(F_ProductBM!M:M,MATCH($P794,F_ProductBM!$Q:$Q,0))))</f>
        <v/>
      </c>
      <c r="N794" s="38"/>
      <c r="O794" s="25"/>
      <c r="P794" s="202" t="str">
        <f>EUconst_CNTR_HAL&amp;EUconst_CNTR_ELEXCH &amp; I783</f>
        <v>HAL_ELEXCH_</v>
      </c>
      <c r="Q794" s="437"/>
      <c r="R794" s="437"/>
      <c r="S794" s="437"/>
      <c r="T794" s="26"/>
    </row>
    <row r="795" spans="1:20" s="697" customFormat="1" ht="5.0999999999999996" customHeight="1" thickBot="1" x14ac:dyDescent="0.25">
      <c r="A795" s="437"/>
      <c r="B795" s="414"/>
      <c r="C795" s="414"/>
      <c r="D795" s="414"/>
      <c r="E795" s="865"/>
      <c r="F795" s="865"/>
      <c r="G795" s="865"/>
      <c r="H795" s="865"/>
      <c r="I795" s="865"/>
      <c r="J795" s="865"/>
      <c r="K795" s="865"/>
      <c r="L795" s="865"/>
      <c r="O795" s="25"/>
      <c r="P795" s="437"/>
      <c r="Q795" s="437"/>
      <c r="R795" s="437"/>
      <c r="S795" s="437"/>
      <c r="T795" s="26"/>
    </row>
    <row r="796" spans="1:20" s="697" customFormat="1" ht="13.5" thickBot="1" x14ac:dyDescent="0.25">
      <c r="A796" s="437"/>
      <c r="B796" s="414"/>
      <c r="D796" s="414"/>
      <c r="E796" s="865"/>
      <c r="F796" s="816" t="str">
        <f>Translations!$B$1728</f>
        <v>HAL kopā</v>
      </c>
      <c r="G796" s="817"/>
      <c r="I796" s="816" t="str">
        <f>Translations!$B$1226</f>
        <v>1. gada prov. ied. apj. (min.)</v>
      </c>
      <c r="J796" s="817"/>
      <c r="K796" s="816" t="str">
        <f>Translations!$B$1229</f>
        <v>1. gada prov. ied. apj. (maks.)</v>
      </c>
      <c r="L796" s="817"/>
      <c r="M796" s="816" t="str">
        <f>Translations!$B$1231</f>
        <v>1. gada prov. ied. apj. (fakt.)</v>
      </c>
      <c r="N796" s="817"/>
      <c r="O796" s="25"/>
      <c r="P796" s="202" t="str">
        <f>EUconst_AllocPrelim&amp;I783</f>
        <v>AllocPrelim_</v>
      </c>
      <c r="Q796" s="437"/>
      <c r="R796" s="900" t="str">
        <f>IF(I797="","",IF(S786=0,0,SUM(I797)/S786))</f>
        <v/>
      </c>
      <c r="S796" s="900" t="str">
        <f>IF(K797="","",IF(S786=0,0,SUM(K797)/S786))</f>
        <v/>
      </c>
      <c r="T796" s="900" t="str">
        <f>T783</f>
        <v/>
      </c>
    </row>
    <row r="797" spans="1:20" s="697" customFormat="1" ht="13.5" thickBot="1" x14ac:dyDescent="0.25">
      <c r="A797" s="437"/>
      <c r="B797" s="414"/>
      <c r="E797" s="865"/>
      <c r="F797" s="658" t="str">
        <f>IF(I783="","",MAX(0, IF(L786=TRUE, SUM(L788), SUM(N792))))</f>
        <v/>
      </c>
      <c r="G797" s="659" t="str">
        <f>H791&amp;" / "&amp;EUconst_Year</f>
        <v>tonnas / gads</v>
      </c>
      <c r="I797" s="814" t="str">
        <f>IF(I783="","",ROUND((SUM(M786)*SUM(F797)*SUM(K788)-SUM(G788)-SUM(I788)+SUM(J788))*SUM(S786),0))</f>
        <v/>
      </c>
      <c r="J797" s="884" t="str">
        <f>EUconst_EUApa</f>
        <v>ESK / gads</v>
      </c>
      <c r="K797" s="814" t="str">
        <f>IF(I783="","",ROUND((SUM(M787)*SUM(F797)*SUM(K788)-SUM(G788)-SUM(I788)+SUM(J788))*SUM(S786),0))</f>
        <v/>
      </c>
      <c r="L797" s="884" t="str">
        <f>EUconst_EUApa</f>
        <v>ESK / gads</v>
      </c>
      <c r="M797" s="814" t="str">
        <f>IF(OR(I783="",M788=""),"",ROUND((SUM(M788)*SUM(F797)*SUM(K788)-SUM(G788)-SUM(I788)+SUM(J788))*SUM(S786),0))</f>
        <v/>
      </c>
      <c r="N797" s="884" t="str">
        <f>EUconst_EUApa</f>
        <v>ESK / gads</v>
      </c>
      <c r="O797" s="25"/>
      <c r="P797" s="202" t="str">
        <f>EUconst_HALsum &amp; I783</f>
        <v>HALsum_</v>
      </c>
      <c r="Q797" s="437"/>
      <c r="R797" s="437"/>
      <c r="S797" s="437"/>
      <c r="T797" s="26"/>
    </row>
    <row r="798" spans="1:20" s="697" customFormat="1" ht="5.0999999999999996" customHeight="1" x14ac:dyDescent="0.2">
      <c r="A798" s="437"/>
      <c r="B798" s="414"/>
      <c r="C798" s="414"/>
      <c r="E798" s="440"/>
      <c r="F798" s="414"/>
      <c r="G798" s="414"/>
      <c r="H798" s="414"/>
      <c r="I798" s="414"/>
      <c r="J798" s="414"/>
      <c r="K798" s="414"/>
      <c r="L798" s="414"/>
      <c r="M798" s="414"/>
      <c r="N798" s="414"/>
      <c r="O798" s="25"/>
      <c r="P798" s="437"/>
      <c r="Q798" s="437"/>
      <c r="R798" s="437"/>
      <c r="S798" s="437"/>
      <c r="T798" s="26"/>
    </row>
    <row r="799" spans="1:20" s="697" customFormat="1" ht="5.0999999999999996" customHeight="1" x14ac:dyDescent="0.2">
      <c r="A799" s="437"/>
      <c r="B799" s="414"/>
      <c r="C799" s="414"/>
      <c r="D799" s="414"/>
      <c r="E799" s="526"/>
      <c r="F799" s="823"/>
      <c r="G799" s="823"/>
      <c r="H799" s="823"/>
      <c r="I799" s="823"/>
      <c r="J799" s="823"/>
      <c r="K799" s="823"/>
      <c r="L799" s="823"/>
      <c r="M799" s="823"/>
      <c r="N799" s="823"/>
      <c r="O799" s="25"/>
      <c r="P799" s="437"/>
      <c r="Q799" s="437"/>
      <c r="R799" s="437"/>
      <c r="S799" s="437"/>
      <c r="T799" s="26"/>
    </row>
    <row r="800" spans="1:20" s="697" customFormat="1" ht="13.5" thickBot="1" x14ac:dyDescent="0.25">
      <c r="A800" s="437"/>
      <c r="B800" s="414"/>
      <c r="C800" s="414"/>
      <c r="D800" s="414"/>
      <c r="E800" s="526"/>
      <c r="F800" s="823"/>
      <c r="G800" s="823"/>
      <c r="H800" s="525" t="str">
        <f>EUconst_Unit</f>
        <v>Vienība</v>
      </c>
      <c r="I800" s="929">
        <f>I$1652</f>
        <v>2019</v>
      </c>
      <c r="J800" s="463">
        <f>J$1652</f>
        <v>2020</v>
      </c>
      <c r="K800" s="463">
        <f>K$1652</f>
        <v>2021</v>
      </c>
      <c r="L800" s="463">
        <f>L$1652</f>
        <v>2022</v>
      </c>
      <c r="M800" s="463">
        <f>M$1652</f>
        <v>2023</v>
      </c>
      <c r="N800" s="823"/>
      <c r="O800" s="25"/>
      <c r="P800" s="437"/>
      <c r="Q800" s="437"/>
      <c r="R800" s="437"/>
      <c r="S800" s="437"/>
      <c r="T800" s="26"/>
    </row>
    <row r="801" spans="1:20" s="697" customFormat="1" ht="13.5" customHeight="1" thickBot="1" x14ac:dyDescent="0.25">
      <c r="A801" s="437"/>
      <c r="B801" s="414"/>
      <c r="C801" s="414"/>
      <c r="D801" s="414"/>
      <c r="E801" s="1789" t="str">
        <f>Translations!$B$1238</f>
        <v>Kopējās attiecinātās emisijas</v>
      </c>
      <c r="F801" s="1789"/>
      <c r="G801" s="1789"/>
      <c r="H801" s="886" t="str">
        <f>EUconst_tCO2epa</f>
        <v>t CO2e/gads</v>
      </c>
      <c r="I801" s="1151" t="str">
        <f>INDEX(I$115:I$134,MATCH($I783,$E$115:$E$134,0))</f>
        <v/>
      </c>
      <c r="J801" s="1152" t="str">
        <f>INDEX(J$115:J$134,MATCH($I783,$E$115:$E$134,0))</f>
        <v/>
      </c>
      <c r="K801" s="1152" t="str">
        <f>INDEX(K$115:K$134,MATCH($I783,$E$115:$E$134,0))</f>
        <v/>
      </c>
      <c r="L801" s="1152" t="str">
        <f>INDEX(L$115:L$134,MATCH($I783,$E$115:$E$134,0))</f>
        <v/>
      </c>
      <c r="M801" s="1153" t="str">
        <f>INDEX(M$115:M$134,MATCH($I783,$E$115:$E$134,0))</f>
        <v/>
      </c>
      <c r="N801" s="823"/>
      <c r="O801" s="25"/>
      <c r="P801" s="437"/>
      <c r="Q801" s="437"/>
      <c r="R801" s="437"/>
      <c r="S801" s="437"/>
      <c r="T801" s="26"/>
    </row>
    <row r="802" spans="1:20" s="697" customFormat="1" ht="5.0999999999999996" customHeight="1" x14ac:dyDescent="0.2">
      <c r="A802" s="437"/>
      <c r="B802" s="414"/>
      <c r="C802" s="414"/>
      <c r="D802" s="414"/>
      <c r="E802" s="526"/>
      <c r="F802" s="526"/>
      <c r="G802" s="526"/>
      <c r="H802" s="526"/>
      <c r="I802" s="921"/>
      <c r="J802" s="921"/>
      <c r="K802" s="921"/>
      <c r="L802" s="921"/>
      <c r="M802" s="921"/>
      <c r="N802" s="526"/>
      <c r="O802" s="25"/>
      <c r="P802" s="437"/>
      <c r="Q802" s="437"/>
      <c r="R802" s="437"/>
      <c r="S802" s="437"/>
      <c r="T802" s="26"/>
    </row>
    <row r="803" spans="1:20" s="697" customFormat="1" x14ac:dyDescent="0.2">
      <c r="A803" s="437"/>
      <c r="B803" s="414"/>
      <c r="C803" s="414"/>
      <c r="D803" s="414"/>
      <c r="E803" s="1667" t="str">
        <f>Translations!$B$1623</f>
        <v>Kopējā enerģijas ielaide</v>
      </c>
      <c r="F803" s="1660"/>
      <c r="G803" s="1660"/>
      <c r="H803" s="466" t="str">
        <f>EUconst_TJpa</f>
        <v>TJ / gads</v>
      </c>
      <c r="I803" s="922" t="str">
        <f>IF($I783="","",IF(INDEX(F_ProductBM!I:I,MATCH($P803,F_ProductBM!$P:$P,0))="","",INDEX(F_ProductBM!I:I,MATCH($P803,F_ProductBM!$P:$P,0))))</f>
        <v/>
      </c>
      <c r="J803" s="922" t="str">
        <f>IF($I783="","",IF(INDEX(F_ProductBM!J:J,MATCH($P803,F_ProductBM!$P:$P,0))="","",INDEX(F_ProductBM!J:J,MATCH($P803,F_ProductBM!$P:$P,0))))</f>
        <v/>
      </c>
      <c r="K803" s="922" t="str">
        <f>IF($I783="","",IF(INDEX(F_ProductBM!K:K,MATCH($P803,F_ProductBM!$P:$P,0))="","",INDEX(F_ProductBM!K:K,MATCH($P803,F_ProductBM!$P:$P,0))))</f>
        <v/>
      </c>
      <c r="L803" s="922" t="str">
        <f>IF($I783="","",IF(INDEX(F_ProductBM!L:L,MATCH($P803,F_ProductBM!$P:$P,0))="","",INDEX(F_ProductBM!L:L,MATCH($P803,F_ProductBM!$P:$P,0))))</f>
        <v/>
      </c>
      <c r="M803" s="922" t="str">
        <f>IF($I783="","",IF(INDEX(F_ProductBM!M:M,MATCH($P803,F_ProductBM!$P:$P,0))="","",INDEX(F_ProductBM!M:M,MATCH($P803,F_ProductBM!$P:$P,0))))</f>
        <v/>
      </c>
      <c r="N803" s="823"/>
      <c r="O803" s="25"/>
      <c r="P803" s="822" t="str">
        <f>EUconst_CNTR_FuelInput &amp; I783</f>
        <v>FuelInput_</v>
      </c>
      <c r="Q803" s="437"/>
      <c r="R803" s="437"/>
      <c r="S803" s="437"/>
      <c r="T803" s="26"/>
    </row>
    <row r="804" spans="1:20" s="697" customFormat="1" ht="12.75" customHeight="1" x14ac:dyDescent="0.2">
      <c r="A804" s="437"/>
      <c r="B804" s="414"/>
      <c r="C804" s="414"/>
      <c r="D804" s="414"/>
      <c r="E804" s="1737" t="str">
        <f>Translations!$B$732</f>
        <v>Svērtais emisijas faktors</v>
      </c>
      <c r="F804" s="1659"/>
      <c r="G804" s="1659"/>
      <c r="H804" s="485" t="str">
        <f>EUconst_tCO2pTJ</f>
        <v>t CO2 / TJ</v>
      </c>
      <c r="I804" s="923" t="str">
        <f>IF($I783="","",IF(INDEX(F_ProductBM!I:I,MATCH($P804,F_ProductBM!$P:$P,0))="","",INDEX(F_ProductBM!I:I,MATCH($P804,F_ProductBM!$P:$P,0))))</f>
        <v/>
      </c>
      <c r="J804" s="923" t="str">
        <f>IF($I783="","",IF(INDEX(F_ProductBM!J:J,MATCH($P804,F_ProductBM!$P:$P,0))="","",INDEX(F_ProductBM!J:J,MATCH($P804,F_ProductBM!$P:$P,0))))</f>
        <v/>
      </c>
      <c r="K804" s="923" t="str">
        <f>IF($I783="","",IF(INDEX(F_ProductBM!K:K,MATCH($P804,F_ProductBM!$P:$P,0))="","",INDEX(F_ProductBM!K:K,MATCH($P804,F_ProductBM!$P:$P,0))))</f>
        <v/>
      </c>
      <c r="L804" s="923" t="str">
        <f>IF($I783="","",IF(INDEX(F_ProductBM!L:L,MATCH($P804,F_ProductBM!$P:$P,0))="","",INDEX(F_ProductBM!L:L,MATCH($P804,F_ProductBM!$P:$P,0))))</f>
        <v/>
      </c>
      <c r="M804" s="923" t="str">
        <f>IF($I783="","",IF(INDEX(F_ProductBM!M:M,MATCH($P804,F_ProductBM!$P:$P,0))="","",INDEX(F_ProductBM!M:M,MATCH($P804,F_ProductBM!$P:$P,0))))</f>
        <v/>
      </c>
      <c r="N804" s="823"/>
      <c r="O804" s="25"/>
      <c r="P804" s="367" t="str">
        <f>EUconst_CNTR_FuelEF &amp; I783</f>
        <v>FuelEF_</v>
      </c>
      <c r="Q804" s="437"/>
      <c r="R804" s="437"/>
      <c r="S804" s="437"/>
      <c r="T804" s="26"/>
    </row>
    <row r="805" spans="1:20" s="697" customFormat="1" ht="5.0999999999999996" customHeight="1" x14ac:dyDescent="0.2">
      <c r="A805" s="437"/>
      <c r="B805" s="414"/>
      <c r="C805" s="414"/>
      <c r="E805" s="526"/>
      <c r="F805" s="823"/>
      <c r="G805" s="823"/>
      <c r="H805" s="823"/>
      <c r="I805" s="924"/>
      <c r="J805" s="924"/>
      <c r="K805" s="924"/>
      <c r="L805" s="924"/>
      <c r="M805" s="924"/>
      <c r="N805" s="823"/>
      <c r="O805" s="25"/>
      <c r="P805" s="437"/>
      <c r="Q805" s="437"/>
      <c r="R805" s="437"/>
      <c r="S805" s="437"/>
      <c r="T805" s="26"/>
    </row>
    <row r="806" spans="1:20" s="697" customFormat="1" ht="12.75" customHeight="1" x14ac:dyDescent="0.2">
      <c r="A806" s="437"/>
      <c r="B806" s="414"/>
      <c r="C806" s="414"/>
      <c r="E806" s="1651" t="str">
        <f>Translations!$B$687</f>
        <v>Tiešās emisijas</v>
      </c>
      <c r="F806" s="1652"/>
      <c r="G806" s="1652"/>
      <c r="H806" s="465" t="str">
        <f>EUconst_tCO2pa</f>
        <v>t CO2 / gads</v>
      </c>
      <c r="I806" s="1103" t="str">
        <f>IF($I783="","",IF(INDEX(F_ProductBM!I:I,MATCH($P806,F_ProductBM!$P:$P,0))="","",INDEX(F_ProductBM!I:I,MATCH($P806,F_ProductBM!$P:$P,0))))</f>
        <v/>
      </c>
      <c r="J806" s="1103" t="str">
        <f>IF($I783="","",IF(INDEX(F_ProductBM!J:J,MATCH($P806,F_ProductBM!$P:$P,0))="","",INDEX(F_ProductBM!J:J,MATCH($P806,F_ProductBM!$P:$P,0))))</f>
        <v/>
      </c>
      <c r="K806" s="1103" t="str">
        <f>IF($I783="","",IF(INDEX(F_ProductBM!K:K,MATCH($P806,F_ProductBM!$P:$P,0))="","",INDEX(F_ProductBM!K:K,MATCH($P806,F_ProductBM!$P:$P,0))))</f>
        <v/>
      </c>
      <c r="L806" s="1103" t="str">
        <f>IF($I783="","",IF(INDEX(F_ProductBM!L:L,MATCH($P806,F_ProductBM!$P:$P,0))="","",INDEX(F_ProductBM!L:L,MATCH($P806,F_ProductBM!$P:$P,0))))</f>
        <v/>
      </c>
      <c r="M806" s="1103" t="str">
        <f>IF($I783="","",IF(INDEX(F_ProductBM!M:M,MATCH($P806,F_ProductBM!$P:$P,0))="","",INDEX(F_ProductBM!M:M,MATCH($P806,F_ProductBM!$P:$P,0))))</f>
        <v/>
      </c>
      <c r="N806" s="823"/>
      <c r="O806" s="25"/>
      <c r="P806" s="367" t="str">
        <f>EUconst_CNTR_Emissions &amp; I783</f>
        <v>DirEmissions_</v>
      </c>
      <c r="Q806" s="437"/>
      <c r="R806" s="437"/>
      <c r="S806" s="437"/>
      <c r="T806" s="26"/>
    </row>
    <row r="807" spans="1:20" s="697" customFormat="1" ht="12.75" customHeight="1" x14ac:dyDescent="0.2">
      <c r="A807" s="437"/>
      <c r="B807" s="414"/>
      <c r="C807" s="414"/>
      <c r="E807" s="1893" t="str">
        <f>Translations!$B$742</f>
        <v>Citas avota plūsmas, 1:</v>
      </c>
      <c r="F807" s="1893"/>
      <c r="G807" s="1893"/>
      <c r="H807" s="465" t="str">
        <f>EUconst_tCO2pa</f>
        <v>t CO2 / gads</v>
      </c>
      <c r="I807" s="1103" t="str">
        <f>IF($I783="","",IF(INDEX(F_ProductBM!I:I,MATCH($P807,F_ProductBM!$P:$P,0))="","",INDEX(F_ProductBM!I:I,MATCH($P807,F_ProductBM!$P:$P,0))))</f>
        <v/>
      </c>
      <c r="J807" s="1103" t="str">
        <f>IF($I783="","",IF(INDEX(F_ProductBM!J:J,MATCH($P807,F_ProductBM!$P:$P,0))="","",INDEX(F_ProductBM!J:J,MATCH($P807,F_ProductBM!$P:$P,0))))</f>
        <v/>
      </c>
      <c r="K807" s="1103" t="str">
        <f>IF($I783="","",IF(INDEX(F_ProductBM!K:K,MATCH($P807,F_ProductBM!$P:$P,0))="","",INDEX(F_ProductBM!K:K,MATCH($P807,F_ProductBM!$P:$P,0))))</f>
        <v/>
      </c>
      <c r="L807" s="1103" t="str">
        <f>IF($I783="","",IF(INDEX(F_ProductBM!L:L,MATCH($P807,F_ProductBM!$P:$P,0))="","",INDEX(F_ProductBM!L:L,MATCH($P807,F_ProductBM!$P:$P,0))))</f>
        <v/>
      </c>
      <c r="M807" s="1103" t="str">
        <f>IF($I783="","",IF(INDEX(F_ProductBM!M:M,MATCH($P807,F_ProductBM!$P:$P,0))="","",INDEX(F_ProductBM!M:M,MATCH($P807,F_ProductBM!$P:$P,0))))</f>
        <v/>
      </c>
      <c r="N807" s="823"/>
      <c r="O807" s="25"/>
      <c r="P807" s="367" t="str">
        <f>EUconst_CNTR_EmissionsIntSource1 &amp; I783</f>
        <v>EmInternalSource1_</v>
      </c>
      <c r="Q807" s="437"/>
      <c r="R807" s="437"/>
      <c r="S807" s="437"/>
      <c r="T807" s="26"/>
    </row>
    <row r="808" spans="1:20" s="697" customFormat="1" ht="12.75" customHeight="1" x14ac:dyDescent="0.2">
      <c r="A808" s="437"/>
      <c r="B808" s="414"/>
      <c r="C808" s="414"/>
      <c r="E808" s="1893" t="str">
        <f>Translations!$B$752</f>
        <v>Citas avota plūsmas, 2:</v>
      </c>
      <c r="F808" s="1893"/>
      <c r="G808" s="1893"/>
      <c r="H808" s="465" t="str">
        <f>EUconst_tCO2pa</f>
        <v>t CO2 / gads</v>
      </c>
      <c r="I808" s="1103" t="str">
        <f>IF($I783="","",IF(INDEX(F_ProductBM!I:I,MATCH($P808,F_ProductBM!$P:$P,0))="","",INDEX(F_ProductBM!I:I,MATCH($P808,F_ProductBM!$P:$P,0))))</f>
        <v/>
      </c>
      <c r="J808" s="1103" t="str">
        <f>IF($I783="","",IF(INDEX(F_ProductBM!J:J,MATCH($P808,F_ProductBM!$P:$P,0))="","",INDEX(F_ProductBM!J:J,MATCH($P808,F_ProductBM!$P:$P,0))))</f>
        <v/>
      </c>
      <c r="K808" s="1103" t="str">
        <f>IF($I783="","",IF(INDEX(F_ProductBM!K:K,MATCH($P808,F_ProductBM!$P:$P,0))="","",INDEX(F_ProductBM!K:K,MATCH($P808,F_ProductBM!$P:$P,0))))</f>
        <v/>
      </c>
      <c r="L808" s="1103" t="str">
        <f>IF($I783="","",IF(INDEX(F_ProductBM!L:L,MATCH($P808,F_ProductBM!$P:$P,0))="","",INDEX(F_ProductBM!L:L,MATCH($P808,F_ProductBM!$P:$P,0))))</f>
        <v/>
      </c>
      <c r="M808" s="1103" t="str">
        <f>IF($I783="","",IF(INDEX(F_ProductBM!M:M,MATCH($P808,F_ProductBM!$P:$P,0))="","",INDEX(F_ProductBM!M:M,MATCH($P808,F_ProductBM!$P:$P,0))))</f>
        <v/>
      </c>
      <c r="N808" s="823"/>
      <c r="O808" s="25"/>
      <c r="P808" s="367" t="str">
        <f>EUconst_CNTR_EmissionsIntSource2 &amp; I783</f>
        <v>EmInternalSource2_</v>
      </c>
      <c r="Q808" s="437"/>
      <c r="R808" s="437"/>
      <c r="S808" s="437"/>
      <c r="T808" s="26"/>
    </row>
    <row r="809" spans="1:20" s="697" customFormat="1" ht="12.75" customHeight="1" x14ac:dyDescent="0.2">
      <c r="A809" s="437"/>
      <c r="B809" s="414"/>
      <c r="C809" s="414"/>
      <c r="D809" s="414"/>
      <c r="E809" s="1651" t="str">
        <f>Translations!$B$756</f>
        <v>Importētās vai eksportētās SEG</v>
      </c>
      <c r="F809" s="1652"/>
      <c r="G809" s="1652"/>
      <c r="H809" s="465" t="str">
        <f>EUconst_tCO2epa</f>
        <v>t CO2e/gads</v>
      </c>
      <c r="I809" s="1103" t="str">
        <f>IF($I783="","",IF(INDEX(F_ProductBM!I:I,MATCH($P809,F_ProductBM!$P:$P,0))="","",INDEX(F_ProductBM!I:I,MATCH($P809,F_ProductBM!$P:$P,0))))</f>
        <v/>
      </c>
      <c r="J809" s="1103" t="str">
        <f>IF($I783="","",IF(INDEX(F_ProductBM!J:J,MATCH($P809,F_ProductBM!$P:$P,0))="","",INDEX(F_ProductBM!J:J,MATCH($P809,F_ProductBM!$P:$P,0))))</f>
        <v/>
      </c>
      <c r="K809" s="1103" t="str">
        <f>IF($I783="","",IF(INDEX(F_ProductBM!K:K,MATCH($P809,F_ProductBM!$P:$P,0))="","",INDEX(F_ProductBM!K:K,MATCH($P809,F_ProductBM!$P:$P,0))))</f>
        <v/>
      </c>
      <c r="L809" s="1103" t="str">
        <f>IF($I783="","",IF(INDEX(F_ProductBM!L:L,MATCH($P809,F_ProductBM!$P:$P,0))="","",INDEX(F_ProductBM!L:L,MATCH($P809,F_ProductBM!$P:$P,0))))</f>
        <v/>
      </c>
      <c r="M809" s="1103" t="str">
        <f>IF($I783="","",IF(INDEX(F_ProductBM!M:M,MATCH($P809,F_ProductBM!$P:$P,0))="","",INDEX(F_ProductBM!M:M,MATCH($P809,F_ProductBM!$P:$P,0))))</f>
        <v/>
      </c>
      <c r="N809" s="823"/>
      <c r="O809" s="25"/>
      <c r="P809" s="367" t="str">
        <f>EUconst_CNTR_CO2Feedstock &amp; I783</f>
        <v>EmCO2Feedstock_</v>
      </c>
      <c r="Q809" s="437"/>
      <c r="R809" s="437"/>
      <c r="S809" s="437"/>
      <c r="T809" s="26"/>
    </row>
    <row r="810" spans="1:20" s="697" customFormat="1" ht="5.0999999999999996" customHeight="1" x14ac:dyDescent="0.2">
      <c r="A810" s="437"/>
      <c r="B810" s="414"/>
      <c r="C810" s="414"/>
      <c r="D810" s="414"/>
      <c r="E810" s="823"/>
      <c r="F810" s="823"/>
      <c r="G810" s="823"/>
      <c r="H810" s="823"/>
      <c r="I810" s="924"/>
      <c r="J810" s="924"/>
      <c r="K810" s="924"/>
      <c r="L810" s="924"/>
      <c r="M810" s="924"/>
      <c r="N810" s="823"/>
      <c r="O810" s="25"/>
      <c r="P810" s="437"/>
      <c r="Q810" s="437"/>
      <c r="R810" s="437"/>
      <c r="S810" s="437"/>
      <c r="T810" s="26"/>
    </row>
    <row r="811" spans="1:20" s="697" customFormat="1" ht="12.75" customHeight="1" x14ac:dyDescent="0.2">
      <c r="A811" s="437"/>
      <c r="B811" s="414"/>
      <c r="C811" s="414"/>
      <c r="D811" s="414"/>
      <c r="E811" s="1667" t="str">
        <f>Translations!$B$764</f>
        <v>Neto importētais siltums</v>
      </c>
      <c r="F811" s="1660"/>
      <c r="G811" s="1660"/>
      <c r="H811" s="466" t="str">
        <f>EUconst_TJpa</f>
        <v>TJ / gads</v>
      </c>
      <c r="I811" s="922" t="str">
        <f>IF($I783="","",IF(INDEX(F_ProductBM!I:I,MATCH($P811,F_ProductBM!$P:$P,0))="","",INDEX(F_ProductBM!I:I,MATCH($P811,F_ProductBM!$P:$P,0))))</f>
        <v/>
      </c>
      <c r="J811" s="922" t="str">
        <f>IF($I783="","",IF(INDEX(F_ProductBM!J:J,MATCH($P811,F_ProductBM!$P:$P,0))="","",INDEX(F_ProductBM!J:J,MATCH($P811,F_ProductBM!$P:$P,0))))</f>
        <v/>
      </c>
      <c r="K811" s="922" t="str">
        <f>IF($I783="","",IF(INDEX(F_ProductBM!K:K,MATCH($P811,F_ProductBM!$P:$P,0))="","",INDEX(F_ProductBM!K:K,MATCH($P811,F_ProductBM!$P:$P,0))))</f>
        <v/>
      </c>
      <c r="L811" s="922" t="str">
        <f>IF($I783="","",IF(INDEX(F_ProductBM!L:L,MATCH($P811,F_ProductBM!$P:$P,0))="","",INDEX(F_ProductBM!L:L,MATCH($P811,F_ProductBM!$P:$P,0))))</f>
        <v/>
      </c>
      <c r="M811" s="922" t="str">
        <f>IF($I783="","",IF(INDEX(F_ProductBM!M:M,MATCH($P811,F_ProductBM!$P:$P,0))="","",INDEX(F_ProductBM!M:M,MATCH($P811,F_ProductBM!$P:$P,0))))</f>
        <v/>
      </c>
      <c r="N811" s="823"/>
      <c r="O811" s="25"/>
      <c r="P811" s="367" t="str">
        <f>EUconst_CNTR_HeatImport &amp; I783</f>
        <v>HeatIm_</v>
      </c>
      <c r="Q811" s="437"/>
      <c r="R811" s="437"/>
      <c r="S811" s="437"/>
      <c r="T811" s="26"/>
    </row>
    <row r="812" spans="1:20" s="697" customFormat="1" ht="12.75" customHeight="1" x14ac:dyDescent="0.2">
      <c r="A812" s="437"/>
      <c r="B812" s="414"/>
      <c r="C812" s="414"/>
      <c r="D812" s="414"/>
      <c r="E812" s="1737" t="str">
        <f>Translations!$B$765</f>
        <v>Īpatnējais EF (importētais siltums)</v>
      </c>
      <c r="F812" s="1659"/>
      <c r="G812" s="1659"/>
      <c r="H812" s="485" t="str">
        <f>EUconst_tCO2pTJ</f>
        <v>t CO2 / TJ</v>
      </c>
      <c r="I812" s="923" t="str">
        <f>IF($I783="","",IF(INDEX(F_ProductBM!I:I,MATCH($P812,F_ProductBM!$P:$P,0))="","",INDEX(F_ProductBM!I:I,MATCH($P812,F_ProductBM!$P:$P,0))))</f>
        <v/>
      </c>
      <c r="J812" s="923" t="str">
        <f>IF($I783="","",IF(INDEX(F_ProductBM!J:J,MATCH($P812,F_ProductBM!$P:$P,0))="","",INDEX(F_ProductBM!J:J,MATCH($P812,F_ProductBM!$P:$P,0))))</f>
        <v/>
      </c>
      <c r="K812" s="923" t="str">
        <f>IF($I783="","",IF(INDEX(F_ProductBM!K:K,MATCH($P812,F_ProductBM!$P:$P,0))="","",INDEX(F_ProductBM!K:K,MATCH($P812,F_ProductBM!$P:$P,0))))</f>
        <v/>
      </c>
      <c r="L812" s="923" t="str">
        <f>IF($I783="","",IF(INDEX(F_ProductBM!L:L,MATCH($P812,F_ProductBM!$P:$P,0))="","",INDEX(F_ProductBM!L:L,MATCH($P812,F_ProductBM!$P:$P,0))))</f>
        <v/>
      </c>
      <c r="M812" s="923" t="str">
        <f>IF($I783="","",IF(INDEX(F_ProductBM!M:M,MATCH($P812,F_ProductBM!$P:$P,0))="","",INDEX(F_ProductBM!M:M,MATCH($P812,F_ProductBM!$P:$P,0))))</f>
        <v/>
      </c>
      <c r="N812" s="823"/>
      <c r="O812" s="25"/>
      <c r="P812" s="367" t="str">
        <f>EUconst_CNTR_HeatImportEF &amp; I783</f>
        <v>HeatImEF_</v>
      </c>
      <c r="Q812" s="437"/>
      <c r="R812" s="437"/>
      <c r="S812" s="437"/>
      <c r="T812" s="26"/>
    </row>
    <row r="813" spans="1:20" s="697" customFormat="1" ht="5.0999999999999996" customHeight="1" x14ac:dyDescent="0.2">
      <c r="A813" s="437"/>
      <c r="B813" s="414"/>
      <c r="C813" s="414"/>
      <c r="D813" s="414"/>
      <c r="E813" s="526"/>
      <c r="F813" s="823"/>
      <c r="G813" s="823"/>
      <c r="H813" s="823"/>
      <c r="I813" s="924"/>
      <c r="J813" s="924"/>
      <c r="K813" s="924"/>
      <c r="L813" s="924"/>
      <c r="M813" s="924"/>
      <c r="N813" s="823"/>
      <c r="O813" s="25"/>
      <c r="P813" s="26"/>
      <c r="Q813" s="437"/>
      <c r="R813" s="437"/>
      <c r="S813" s="437"/>
      <c r="T813" s="26"/>
    </row>
    <row r="814" spans="1:20" s="697" customFormat="1" ht="12.75" customHeight="1" x14ac:dyDescent="0.2">
      <c r="A814" s="437"/>
      <c r="B814" s="414"/>
      <c r="C814" s="414"/>
      <c r="D814" s="414"/>
      <c r="E814" s="1651" t="str">
        <f>Translations!$B$820</f>
        <v>No pulpas apakšiekārtām importētais neto siltums</v>
      </c>
      <c r="F814" s="1652"/>
      <c r="G814" s="1652"/>
      <c r="H814" s="465" t="str">
        <f>EUconst_TJpa</f>
        <v>TJ / gads</v>
      </c>
      <c r="I814" s="925" t="str">
        <f>IF($I783="","",IF(INDEX(F_ProductBM!I:I,MATCH($P814,F_ProductBM!$P:$P,0))="","",INDEX(F_ProductBM!I:I,MATCH($P814,F_ProductBM!$P:$P,0))))</f>
        <v/>
      </c>
      <c r="J814" s="925" t="str">
        <f>IF($I783="","",IF(INDEX(F_ProductBM!J:J,MATCH($P814,F_ProductBM!$P:$P,0))="","",INDEX(F_ProductBM!J:J,MATCH($P814,F_ProductBM!$P:$P,0))))</f>
        <v/>
      </c>
      <c r="K814" s="925" t="str">
        <f>IF($I783="","",IF(INDEX(F_ProductBM!K:K,MATCH($P814,F_ProductBM!$P:$P,0))="","",INDEX(F_ProductBM!K:K,MATCH($P814,F_ProductBM!$P:$P,0))))</f>
        <v/>
      </c>
      <c r="L814" s="925" t="str">
        <f>IF($I783="","",IF(INDEX(F_ProductBM!L:L,MATCH($P814,F_ProductBM!$P:$P,0))="","",INDEX(F_ProductBM!L:L,MATCH($P814,F_ProductBM!$P:$P,0))))</f>
        <v/>
      </c>
      <c r="M814" s="925" t="str">
        <f>IF($I783="","",IF(INDEX(F_ProductBM!M:M,MATCH($P814,F_ProductBM!$P:$P,0))="","",INDEX(F_ProductBM!M:M,MATCH($P814,F_ProductBM!$P:$P,0))))</f>
        <v/>
      </c>
      <c r="N814" s="823"/>
      <c r="O814" s="25"/>
      <c r="P814" s="367" t="str">
        <f>EUconst_CNTR_HeatImportPulp &amp; I783</f>
        <v>HeatImPulp_</v>
      </c>
      <c r="Q814" s="437"/>
      <c r="R814" s="437"/>
      <c r="S814" s="437"/>
      <c r="T814" s="26"/>
    </row>
    <row r="815" spans="1:20" s="697" customFormat="1" ht="12.75" customHeight="1" x14ac:dyDescent="0.2">
      <c r="A815" s="437"/>
      <c r="B815" s="414"/>
      <c r="C815" s="414"/>
      <c r="D815" s="414"/>
      <c r="E815" s="1651" t="str">
        <f>Translations!$B$768</f>
        <v>No slāpekļskābes apakšiekārtas importētais neto siltums</v>
      </c>
      <c r="F815" s="1652"/>
      <c r="G815" s="1652"/>
      <c r="H815" s="465" t="str">
        <f>EUconst_TJpa</f>
        <v>TJ / gads</v>
      </c>
      <c r="I815" s="925" t="str">
        <f>IF($I783="","",IF(INDEX(F_ProductBM!I:I,MATCH($P815,F_ProductBM!$P:$P,0))="","",INDEX(F_ProductBM!I:I,MATCH($P815,F_ProductBM!$P:$P,0))))</f>
        <v/>
      </c>
      <c r="J815" s="925" t="str">
        <f>IF($I783="","",IF(INDEX(F_ProductBM!J:J,MATCH($P815,F_ProductBM!$P:$P,0))="","",INDEX(F_ProductBM!J:J,MATCH($P815,F_ProductBM!$P:$P,0))))</f>
        <v/>
      </c>
      <c r="K815" s="925" t="str">
        <f>IF($I783="","",IF(INDEX(F_ProductBM!K:K,MATCH($P815,F_ProductBM!$P:$P,0))="","",INDEX(F_ProductBM!K:K,MATCH($P815,F_ProductBM!$P:$P,0))))</f>
        <v/>
      </c>
      <c r="L815" s="925" t="str">
        <f>IF($I783="","",IF(INDEX(F_ProductBM!L:L,MATCH($P815,F_ProductBM!$P:$P,0))="","",INDEX(F_ProductBM!L:L,MATCH($P815,F_ProductBM!$P:$P,0))))</f>
        <v/>
      </c>
      <c r="M815" s="925" t="str">
        <f>IF($I783="","",IF(INDEX(F_ProductBM!M:M,MATCH($P815,F_ProductBM!$P:$P,0))="","",INDEX(F_ProductBM!M:M,MATCH($P815,F_ProductBM!$P:$P,0))))</f>
        <v/>
      </c>
      <c r="N815" s="823"/>
      <c r="O815" s="25"/>
      <c r="P815" s="367" t="str">
        <f>EUconst_CNTR_HeatImportNitric &amp; I783</f>
        <v>HeatImNitric_</v>
      </c>
      <c r="Q815" s="437"/>
      <c r="R815" s="437"/>
      <c r="S815" s="437"/>
      <c r="T815" s="26"/>
    </row>
    <row r="816" spans="1:20" s="697" customFormat="1" ht="5.0999999999999996" customHeight="1" x14ac:dyDescent="0.2">
      <c r="A816" s="437"/>
      <c r="B816" s="414"/>
      <c r="C816" s="414"/>
      <c r="D816" s="414"/>
      <c r="E816" s="526"/>
      <c r="F816" s="526"/>
      <c r="G816" s="526"/>
      <c r="H816" s="526"/>
      <c r="I816" s="924"/>
      <c r="J816" s="924"/>
      <c r="K816" s="924"/>
      <c r="L816" s="924"/>
      <c r="M816" s="924"/>
      <c r="N816" s="823"/>
      <c r="O816" s="25"/>
      <c r="P816" s="26"/>
      <c r="Q816" s="437"/>
      <c r="R816" s="437"/>
      <c r="S816" s="437"/>
      <c r="T816" s="26"/>
    </row>
    <row r="817" spans="1:20" s="697" customFormat="1" ht="12.75" customHeight="1" x14ac:dyDescent="0.2">
      <c r="A817" s="437"/>
      <c r="B817" s="414"/>
      <c r="C817" s="414"/>
      <c r="D817" s="414"/>
      <c r="E817" s="1667" t="str">
        <f>Translations!$B$770</f>
        <v>Neto eksportētais siltums</v>
      </c>
      <c r="F817" s="1660"/>
      <c r="G817" s="1660"/>
      <c r="H817" s="466" t="str">
        <f>EUconst_TJpa</f>
        <v>TJ / gads</v>
      </c>
      <c r="I817" s="922" t="str">
        <f>IF($I783="","",IF(INDEX(F_ProductBM!I:I,MATCH($P817,F_ProductBM!$P:$P,0))="","",INDEX(F_ProductBM!I:I,MATCH($P817,F_ProductBM!$P:$P,0))))</f>
        <v/>
      </c>
      <c r="J817" s="922" t="str">
        <f>IF($I783="","",IF(INDEX(F_ProductBM!J:J,MATCH($P817,F_ProductBM!$P:$P,0))="","",INDEX(F_ProductBM!J:J,MATCH($P817,F_ProductBM!$P:$P,0))))</f>
        <v/>
      </c>
      <c r="K817" s="922" t="str">
        <f>IF($I783="","",IF(INDEX(F_ProductBM!K:K,MATCH($P817,F_ProductBM!$P:$P,0))="","",INDEX(F_ProductBM!K:K,MATCH($P817,F_ProductBM!$P:$P,0))))</f>
        <v/>
      </c>
      <c r="L817" s="922" t="str">
        <f>IF($I783="","",IF(INDEX(F_ProductBM!L:L,MATCH($P817,F_ProductBM!$P:$P,0))="","",INDEX(F_ProductBM!L:L,MATCH($P817,F_ProductBM!$P:$P,0))))</f>
        <v/>
      </c>
      <c r="M817" s="922" t="str">
        <f>IF($I783="","",IF(INDEX(F_ProductBM!M:M,MATCH($P817,F_ProductBM!$P:$P,0))="","",INDEX(F_ProductBM!M:M,MATCH($P817,F_ProductBM!$P:$P,0))))</f>
        <v/>
      </c>
      <c r="N817" s="823"/>
      <c r="O817" s="25"/>
      <c r="P817" s="367" t="str">
        <f>EUconst_CNTR_HeatExport &amp; I783</f>
        <v>HeatEx_</v>
      </c>
      <c r="Q817" s="437"/>
      <c r="R817" s="437"/>
      <c r="S817" s="437"/>
      <c r="T817" s="26"/>
    </row>
    <row r="818" spans="1:20" s="697" customFormat="1" ht="12.75" customHeight="1" x14ac:dyDescent="0.2">
      <c r="A818" s="437"/>
      <c r="B818" s="414"/>
      <c r="C818" s="414"/>
      <c r="D818" s="414"/>
      <c r="E818" s="1737" t="str">
        <f>Translations!$B$771</f>
        <v>Īpatnējais EF (eksportētais siltums)</v>
      </c>
      <c r="F818" s="1659"/>
      <c r="G818" s="1659"/>
      <c r="H818" s="485" t="str">
        <f>EUconst_tCO2pTJ</f>
        <v>t CO2 / TJ</v>
      </c>
      <c r="I818" s="923" t="str">
        <f>IF($I783="","",IF(INDEX(F_ProductBM!I:I,MATCH($P818,F_ProductBM!$P:$P,0))="","",INDEX(F_ProductBM!I:I,MATCH($P818,F_ProductBM!$P:$P,0))))</f>
        <v/>
      </c>
      <c r="J818" s="923" t="str">
        <f>IF($I783="","",IF(INDEX(F_ProductBM!J:J,MATCH($P818,F_ProductBM!$P:$P,0))="","",INDEX(F_ProductBM!J:J,MATCH($P818,F_ProductBM!$P:$P,0))))</f>
        <v/>
      </c>
      <c r="K818" s="923" t="str">
        <f>IF($I783="","",IF(INDEX(F_ProductBM!K:K,MATCH($P818,F_ProductBM!$P:$P,0))="","",INDEX(F_ProductBM!K:K,MATCH($P818,F_ProductBM!$P:$P,0))))</f>
        <v/>
      </c>
      <c r="L818" s="923" t="str">
        <f>IF($I783="","",IF(INDEX(F_ProductBM!L:L,MATCH($P818,F_ProductBM!$P:$P,0))="","",INDEX(F_ProductBM!L:L,MATCH($P818,F_ProductBM!$P:$P,0))))</f>
        <v/>
      </c>
      <c r="M818" s="923" t="str">
        <f>IF($I783="","",IF(INDEX(F_ProductBM!M:M,MATCH($P818,F_ProductBM!$P:$P,0))="","",INDEX(F_ProductBM!M:M,MATCH($P818,F_ProductBM!$P:$P,0))))</f>
        <v/>
      </c>
      <c r="N818" s="823"/>
      <c r="O818" s="25"/>
      <c r="P818" s="367" t="str">
        <f>EUconst_CNTR_HeatExportEF &amp; I783</f>
        <v>HeatExEF_</v>
      </c>
      <c r="Q818" s="437"/>
      <c r="R818" s="437"/>
      <c r="S818" s="437"/>
      <c r="T818" s="26"/>
    </row>
    <row r="819" spans="1:20" s="697" customFormat="1" ht="5.0999999999999996" customHeight="1" x14ac:dyDescent="0.2">
      <c r="A819" s="437"/>
      <c r="B819" s="414"/>
      <c r="C819" s="414"/>
      <c r="D819" s="414"/>
      <c r="E819" s="526"/>
      <c r="F819" s="526"/>
      <c r="G819" s="526"/>
      <c r="H819" s="526"/>
      <c r="I819" s="924"/>
      <c r="J819" s="924"/>
      <c r="K819" s="924"/>
      <c r="L819" s="924"/>
      <c r="M819" s="924"/>
      <c r="N819" s="823"/>
      <c r="O819" s="25"/>
      <c r="P819" s="199"/>
      <c r="Q819" s="437"/>
      <c r="R819" s="437"/>
      <c r="S819" s="437"/>
      <c r="T819" s="26"/>
    </row>
    <row r="820" spans="1:20" s="697" customFormat="1" ht="12.75" customHeight="1" x14ac:dyDescent="0.2">
      <c r="A820" s="437"/>
      <c r="B820" s="414"/>
      <c r="C820" s="414"/>
      <c r="D820" s="414"/>
      <c r="E820" s="1667" t="str">
        <f>Translations!$B$778</f>
        <v>Radusies atlikumgāze</v>
      </c>
      <c r="F820" s="1660"/>
      <c r="G820" s="1660"/>
      <c r="H820" s="466" t="str">
        <f>EUconst_TJpa</f>
        <v>TJ / gads</v>
      </c>
      <c r="I820" s="922" t="str">
        <f>IF($I783="","",IF(INDEX(F_ProductBM!I:I,MATCH($P820,F_ProductBM!$P:$P,0))="","",INDEX(F_ProductBM!I:I,MATCH($P820,F_ProductBM!$P:$P,0))))</f>
        <v/>
      </c>
      <c r="J820" s="922" t="str">
        <f>IF($I783="","",IF(INDEX(F_ProductBM!J:J,MATCH($P820,F_ProductBM!$P:$P,0))="","",INDEX(F_ProductBM!J:J,MATCH($P820,F_ProductBM!$P:$P,0))))</f>
        <v/>
      </c>
      <c r="K820" s="922" t="str">
        <f>IF($I783="","",IF(INDEX(F_ProductBM!K:K,MATCH($P820,F_ProductBM!$P:$P,0))="","",INDEX(F_ProductBM!K:K,MATCH($P820,F_ProductBM!$P:$P,0))))</f>
        <v/>
      </c>
      <c r="L820" s="922" t="str">
        <f>IF($I783="","",IF(INDEX(F_ProductBM!L:L,MATCH($P820,F_ProductBM!$P:$P,0))="","",INDEX(F_ProductBM!L:L,MATCH($P820,F_ProductBM!$P:$P,0))))</f>
        <v/>
      </c>
      <c r="M820" s="922" t="str">
        <f>IF($I783="","",IF(INDEX(F_ProductBM!M:M,MATCH($P820,F_ProductBM!$P:$P,0))="","",INDEX(F_ProductBM!M:M,MATCH($P820,F_ProductBM!$P:$P,0))))</f>
        <v/>
      </c>
      <c r="N820" s="823"/>
      <c r="O820" s="25"/>
      <c r="P820" s="822" t="str">
        <f>EUconst_CNTR_WGProduced &amp; I783</f>
        <v>WasteGasProd_</v>
      </c>
      <c r="Q820" s="437"/>
      <c r="R820" s="437"/>
      <c r="S820" s="437"/>
      <c r="T820" s="26"/>
    </row>
    <row r="821" spans="1:20" s="697" customFormat="1" ht="12.75" customHeight="1" x14ac:dyDescent="0.2">
      <c r="A821" s="437"/>
      <c r="B821" s="414"/>
      <c r="C821" s="414"/>
      <c r="D821" s="414"/>
      <c r="E821" s="1737" t="str">
        <f>Translations!$B$779</f>
        <v>Īpatnējais EF (radusies atlikumgāze)</v>
      </c>
      <c r="F821" s="1659"/>
      <c r="G821" s="1659"/>
      <c r="H821" s="485" t="str">
        <f>EUconst_tCO2pTJ</f>
        <v>t CO2 / TJ</v>
      </c>
      <c r="I821" s="923" t="str">
        <f>IF($I783="","",IF(INDEX(F_ProductBM!I:I,MATCH($P821,F_ProductBM!$P:$P,0))="","",INDEX(F_ProductBM!I:I,MATCH($P821,F_ProductBM!$P:$P,0))))</f>
        <v/>
      </c>
      <c r="J821" s="923" t="str">
        <f>IF($I783="","",IF(INDEX(F_ProductBM!J:J,MATCH($P821,F_ProductBM!$P:$P,0))="","",INDEX(F_ProductBM!J:J,MATCH($P821,F_ProductBM!$P:$P,0))))</f>
        <v/>
      </c>
      <c r="K821" s="923" t="str">
        <f>IF($I783="","",IF(INDEX(F_ProductBM!K:K,MATCH($P821,F_ProductBM!$P:$P,0))="","",INDEX(F_ProductBM!K:K,MATCH($P821,F_ProductBM!$P:$P,0))))</f>
        <v/>
      </c>
      <c r="L821" s="923" t="str">
        <f>IF($I783="","",IF(INDEX(F_ProductBM!L:L,MATCH($P821,F_ProductBM!$P:$P,0))="","",INDEX(F_ProductBM!L:L,MATCH($P821,F_ProductBM!$P:$P,0))))</f>
        <v/>
      </c>
      <c r="M821" s="923" t="str">
        <f>IF($I783="","",IF(INDEX(F_ProductBM!M:M,MATCH($P821,F_ProductBM!$P:$P,0))="","",INDEX(F_ProductBM!M:M,MATCH($P821,F_ProductBM!$P:$P,0))))</f>
        <v/>
      </c>
      <c r="N821" s="823"/>
      <c r="O821" s="25"/>
      <c r="P821" s="367" t="str">
        <f>EUconst_CNTR_WGProducedEF &amp; I783</f>
        <v>WasteGasProdEF_</v>
      </c>
      <c r="Q821" s="437"/>
      <c r="R821" s="437"/>
      <c r="S821" s="437"/>
      <c r="T821" s="26"/>
    </row>
    <row r="822" spans="1:20" s="697" customFormat="1" ht="12.75" customHeight="1" x14ac:dyDescent="0.2">
      <c r="A822" s="437"/>
      <c r="B822" s="414"/>
      <c r="C822" s="414"/>
      <c r="D822" s="414"/>
      <c r="E822" s="1667" t="str">
        <f>Translations!$B$783</f>
        <v>Patērētā atlikumgāze</v>
      </c>
      <c r="F822" s="1660"/>
      <c r="G822" s="1660"/>
      <c r="H822" s="466" t="str">
        <f>EUconst_TJpa</f>
        <v>TJ / gads</v>
      </c>
      <c r="I822" s="922" t="str">
        <f>IF($I783="","",IF(INDEX(F_ProductBM!I:I,MATCH($P822,F_ProductBM!$P:$P,0))="","",INDEX(F_ProductBM!I:I,MATCH($P822,F_ProductBM!$P:$P,0))))</f>
        <v/>
      </c>
      <c r="J822" s="922" t="str">
        <f>IF($I783="","",IF(INDEX(F_ProductBM!J:J,MATCH($P822,F_ProductBM!$P:$P,0))="","",INDEX(F_ProductBM!J:J,MATCH($P822,F_ProductBM!$P:$P,0))))</f>
        <v/>
      </c>
      <c r="K822" s="922" t="str">
        <f>IF($I783="","",IF(INDEX(F_ProductBM!K:K,MATCH($P822,F_ProductBM!$P:$P,0))="","",INDEX(F_ProductBM!K:K,MATCH($P822,F_ProductBM!$P:$P,0))))</f>
        <v/>
      </c>
      <c r="L822" s="922" t="str">
        <f>IF($I783="","",IF(INDEX(F_ProductBM!L:L,MATCH($P822,F_ProductBM!$P:$P,0))="","",INDEX(F_ProductBM!L:L,MATCH($P822,F_ProductBM!$P:$P,0))))</f>
        <v/>
      </c>
      <c r="M822" s="922" t="str">
        <f>IF($I783="","",IF(INDEX(F_ProductBM!M:M,MATCH($P822,F_ProductBM!$P:$P,0))="","",INDEX(F_ProductBM!M:M,MATCH($P822,F_ProductBM!$P:$P,0))))</f>
        <v/>
      </c>
      <c r="N822" s="823"/>
      <c r="O822" s="25"/>
      <c r="P822" s="367" t="str">
        <f>EUconst_CNTR_WGConsumed &amp; I783</f>
        <v>WasteGasCons_</v>
      </c>
      <c r="Q822" s="437"/>
      <c r="R822" s="437"/>
      <c r="S822" s="437"/>
      <c r="T822" s="26"/>
    </row>
    <row r="823" spans="1:20" s="697" customFormat="1" ht="12.75" customHeight="1" x14ac:dyDescent="0.2">
      <c r="A823" s="437"/>
      <c r="B823" s="414"/>
      <c r="C823" s="414"/>
      <c r="D823" s="414"/>
      <c r="E823" s="1737" t="str">
        <f>Translations!$B$784</f>
        <v>Īpatnējais EF (patērētā atlikumgāze)</v>
      </c>
      <c r="F823" s="1659"/>
      <c r="G823" s="1659"/>
      <c r="H823" s="485" t="str">
        <f>EUconst_tCO2pTJ</f>
        <v>t CO2 / TJ</v>
      </c>
      <c r="I823" s="923" t="str">
        <f>IF($I783="","",IF(INDEX(F_ProductBM!I:I,MATCH($P823,F_ProductBM!$P:$P,0))="","",INDEX(F_ProductBM!I:I,MATCH($P823,F_ProductBM!$P:$P,0))))</f>
        <v/>
      </c>
      <c r="J823" s="923" t="str">
        <f>IF($I783="","",IF(INDEX(F_ProductBM!J:J,MATCH($P823,F_ProductBM!$P:$P,0))="","",INDEX(F_ProductBM!J:J,MATCH($P823,F_ProductBM!$P:$P,0))))</f>
        <v/>
      </c>
      <c r="K823" s="923" t="str">
        <f>IF($I783="","",IF(INDEX(F_ProductBM!K:K,MATCH($P823,F_ProductBM!$P:$P,0))="","",INDEX(F_ProductBM!K:K,MATCH($P823,F_ProductBM!$P:$P,0))))</f>
        <v/>
      </c>
      <c r="L823" s="923" t="str">
        <f>IF($I783="","",IF(INDEX(F_ProductBM!L:L,MATCH($P823,F_ProductBM!$P:$P,0))="","",INDEX(F_ProductBM!L:L,MATCH($P823,F_ProductBM!$P:$P,0))))</f>
        <v/>
      </c>
      <c r="M823" s="923" t="str">
        <f>IF($I783="","",IF(INDEX(F_ProductBM!M:M,MATCH($P823,F_ProductBM!$P:$P,0))="","",INDEX(F_ProductBM!M:M,MATCH($P823,F_ProductBM!$P:$P,0))))</f>
        <v/>
      </c>
      <c r="N823" s="823"/>
      <c r="O823" s="25"/>
      <c r="P823" s="367" t="str">
        <f>EUconst_CNTR_WGConsumedEF &amp; I783</f>
        <v>WasteGasConsEF_</v>
      </c>
      <c r="Q823" s="437"/>
      <c r="R823" s="437"/>
      <c r="S823" s="437"/>
      <c r="T823" s="26"/>
    </row>
    <row r="824" spans="1:20" s="697" customFormat="1" ht="12.75" customHeight="1" x14ac:dyDescent="0.2">
      <c r="A824" s="437"/>
      <c r="B824" s="414"/>
      <c r="C824" s="414"/>
      <c r="D824" s="414"/>
      <c r="E824" s="1667" t="str">
        <f>Translations!$B$790</f>
        <v>Lāpā sadedzinātā atlikumgāze</v>
      </c>
      <c r="F824" s="1660"/>
      <c r="G824" s="1660"/>
      <c r="H824" s="466" t="str">
        <f>EUconst_TJpa</f>
        <v>TJ / gads</v>
      </c>
      <c r="I824" s="922" t="str">
        <f>IF($I783="","",IF(INDEX(F_ProductBM!I:I,MATCH($P824,F_ProductBM!$P:$P,0))="","",INDEX(F_ProductBM!I:I,MATCH($P824,F_ProductBM!$P:$P,0))))</f>
        <v/>
      </c>
      <c r="J824" s="922" t="str">
        <f>IF($I783="","",IF(INDEX(F_ProductBM!J:J,MATCH($P824,F_ProductBM!$P:$P,0))="","",INDEX(F_ProductBM!J:J,MATCH($P824,F_ProductBM!$P:$P,0))))</f>
        <v/>
      </c>
      <c r="K824" s="922" t="str">
        <f>IF($I783="","",IF(INDEX(F_ProductBM!K:K,MATCH($P824,F_ProductBM!$P:$P,0))="","",INDEX(F_ProductBM!K:K,MATCH($P824,F_ProductBM!$P:$P,0))))</f>
        <v/>
      </c>
      <c r="L824" s="922" t="str">
        <f>IF($I783="","",IF(INDEX(F_ProductBM!L:L,MATCH($P824,F_ProductBM!$P:$P,0))="","",INDEX(F_ProductBM!L:L,MATCH($P824,F_ProductBM!$P:$P,0))))</f>
        <v/>
      </c>
      <c r="M824" s="922" t="str">
        <f>IF($I783="","",IF(INDEX(F_ProductBM!M:M,MATCH($P824,F_ProductBM!$P:$P,0))="","",INDEX(F_ProductBM!M:M,MATCH($P824,F_ProductBM!$P:$P,0))))</f>
        <v/>
      </c>
      <c r="N824" s="823"/>
      <c r="O824" s="25"/>
      <c r="P824" s="367" t="str">
        <f>EUconst_CNTR_WGFlared &amp; I783</f>
        <v>WasteGasFlare_</v>
      </c>
      <c r="Q824" s="437"/>
      <c r="R824" s="437"/>
      <c r="S824" s="437"/>
      <c r="T824" s="26"/>
    </row>
    <row r="825" spans="1:20" s="697" customFormat="1" ht="12.75" customHeight="1" x14ac:dyDescent="0.2">
      <c r="A825" s="437"/>
      <c r="B825" s="414"/>
      <c r="C825" s="414"/>
      <c r="D825" s="414"/>
      <c r="E825" s="1737" t="str">
        <f>Translations!$B$791</f>
        <v>Īpatnējais EF (lāpā sadedzinātā atlikumgāze)</v>
      </c>
      <c r="F825" s="1659"/>
      <c r="G825" s="1659"/>
      <c r="H825" s="485" t="str">
        <f>EUconst_tCO2pTJ</f>
        <v>t CO2 / TJ</v>
      </c>
      <c r="I825" s="923" t="str">
        <f>IF($I783="","",IF(INDEX(F_ProductBM!I:I,MATCH($P825,F_ProductBM!$P:$P,0))="","",INDEX(F_ProductBM!I:I,MATCH($P825,F_ProductBM!$P:$P,0))))</f>
        <v/>
      </c>
      <c r="J825" s="923" t="str">
        <f>IF($I783="","",IF(INDEX(F_ProductBM!J:J,MATCH($P825,F_ProductBM!$P:$P,0))="","",INDEX(F_ProductBM!J:J,MATCH($P825,F_ProductBM!$P:$P,0))))</f>
        <v/>
      </c>
      <c r="K825" s="923" t="str">
        <f>IF($I783="","",IF(INDEX(F_ProductBM!K:K,MATCH($P825,F_ProductBM!$P:$P,0))="","",INDEX(F_ProductBM!K:K,MATCH($P825,F_ProductBM!$P:$P,0))))</f>
        <v/>
      </c>
      <c r="L825" s="923" t="str">
        <f>IF($I783="","",IF(INDEX(F_ProductBM!L:L,MATCH($P825,F_ProductBM!$P:$P,0))="","",INDEX(F_ProductBM!L:L,MATCH($P825,F_ProductBM!$P:$P,0))))</f>
        <v/>
      </c>
      <c r="M825" s="923" t="str">
        <f>IF($I783="","",IF(INDEX(F_ProductBM!M:M,MATCH($P825,F_ProductBM!$P:$P,0))="","",INDEX(F_ProductBM!M:M,MATCH($P825,F_ProductBM!$P:$P,0))))</f>
        <v/>
      </c>
      <c r="N825" s="823"/>
      <c r="O825" s="25"/>
      <c r="P825" s="367" t="str">
        <f>EUconst_CNTR_WGFlaredEF &amp; I783</f>
        <v>WasteGasFlareEF_</v>
      </c>
      <c r="Q825" s="437"/>
      <c r="R825" s="437"/>
      <c r="S825" s="437"/>
      <c r="T825" s="26"/>
    </row>
    <row r="826" spans="1:20" s="697" customFormat="1" ht="12.75" customHeight="1" x14ac:dyDescent="0.2">
      <c r="A826" s="437"/>
      <c r="B826" s="414"/>
      <c r="C826" s="414"/>
      <c r="D826" s="414"/>
      <c r="E826" s="1667" t="str">
        <f>Translations!$B$796</f>
        <v>Importētā atlikumgāze</v>
      </c>
      <c r="F826" s="1660"/>
      <c r="G826" s="1660"/>
      <c r="H826" s="466" t="str">
        <f>EUconst_TJpa</f>
        <v>TJ / gads</v>
      </c>
      <c r="I826" s="922" t="str">
        <f>IF($I783="","",IF(INDEX(F_ProductBM!I:I,MATCH($P826,F_ProductBM!$P:$P,0))="","",INDEX(F_ProductBM!I:I,MATCH($P826,F_ProductBM!$P:$P,0))))</f>
        <v/>
      </c>
      <c r="J826" s="922" t="str">
        <f>IF($I783="","",IF(INDEX(F_ProductBM!J:J,MATCH($P826,F_ProductBM!$P:$P,0))="","",INDEX(F_ProductBM!J:J,MATCH($P826,F_ProductBM!$P:$P,0))))</f>
        <v/>
      </c>
      <c r="K826" s="922" t="str">
        <f>IF($I783="","",IF(INDEX(F_ProductBM!K:K,MATCH($P826,F_ProductBM!$P:$P,0))="","",INDEX(F_ProductBM!K:K,MATCH($P826,F_ProductBM!$P:$P,0))))</f>
        <v/>
      </c>
      <c r="L826" s="922" t="str">
        <f>IF($I783="","",IF(INDEX(F_ProductBM!L:L,MATCH($P826,F_ProductBM!$P:$P,0))="","",INDEX(F_ProductBM!L:L,MATCH($P826,F_ProductBM!$P:$P,0))))</f>
        <v/>
      </c>
      <c r="M826" s="922" t="str">
        <f>IF($I783="","",IF(INDEX(F_ProductBM!M:M,MATCH($P826,F_ProductBM!$P:$P,0))="","",INDEX(F_ProductBM!M:M,MATCH($P826,F_ProductBM!$P:$P,0))))</f>
        <v/>
      </c>
      <c r="N826" s="823"/>
      <c r="O826" s="25"/>
      <c r="P826" s="367" t="str">
        <f>EUconst_CNTR_WGImport &amp; I783</f>
        <v>WasteGasIm_</v>
      </c>
      <c r="Q826" s="437"/>
      <c r="R826" s="437"/>
      <c r="S826" s="437"/>
      <c r="T826" s="26"/>
    </row>
    <row r="827" spans="1:20" s="697" customFormat="1" ht="12.75" customHeight="1" x14ac:dyDescent="0.2">
      <c r="A827" s="437"/>
      <c r="B827" s="414"/>
      <c r="C827" s="414"/>
      <c r="D827" s="414"/>
      <c r="E827" s="1737" t="str">
        <f>Translations!$B$797</f>
        <v>Īpatnējais EF (importētā atlikumgāze)</v>
      </c>
      <c r="F827" s="1737"/>
      <c r="G827" s="1737"/>
      <c r="H827" s="824" t="str">
        <f>EUconst_tCO2pTJ</f>
        <v>t CO2 / TJ</v>
      </c>
      <c r="I827" s="923" t="str">
        <f>IF($I783="","",IF(INDEX(F_ProductBM!I:I,MATCH($P827,F_ProductBM!$P:$P,0))="","",INDEX(F_ProductBM!I:I,MATCH($P827,F_ProductBM!$P:$P,0))))</f>
        <v/>
      </c>
      <c r="J827" s="923" t="str">
        <f>IF($I783="","",IF(INDEX(F_ProductBM!J:J,MATCH($P827,F_ProductBM!$P:$P,0))="","",INDEX(F_ProductBM!J:J,MATCH($P827,F_ProductBM!$P:$P,0))))</f>
        <v/>
      </c>
      <c r="K827" s="923" t="str">
        <f>IF($I783="","",IF(INDEX(F_ProductBM!K:K,MATCH($P827,F_ProductBM!$P:$P,0))="","",INDEX(F_ProductBM!K:K,MATCH($P827,F_ProductBM!$P:$P,0))))</f>
        <v/>
      </c>
      <c r="L827" s="923" t="str">
        <f>IF($I783="","",IF(INDEX(F_ProductBM!L:L,MATCH($P827,F_ProductBM!$P:$P,0))="","",INDEX(F_ProductBM!L:L,MATCH($P827,F_ProductBM!$P:$P,0))))</f>
        <v/>
      </c>
      <c r="M827" s="923" t="str">
        <f>IF($I783="","",IF(INDEX(F_ProductBM!M:M,MATCH($P827,F_ProductBM!$P:$P,0))="","",INDEX(F_ProductBM!M:M,MATCH($P827,F_ProductBM!$P:$P,0))))</f>
        <v/>
      </c>
      <c r="N827" s="823"/>
      <c r="O827" s="25"/>
      <c r="P827" s="367" t="str">
        <f>EUconst_CNTR_WGImportEF &amp; I783</f>
        <v>WasteGasImEF_</v>
      </c>
      <c r="Q827" s="437"/>
      <c r="R827" s="437"/>
      <c r="S827" s="437"/>
      <c r="T827" s="26"/>
    </row>
    <row r="828" spans="1:20" s="697" customFormat="1" ht="12.75" customHeight="1" x14ac:dyDescent="0.2">
      <c r="A828" s="437"/>
      <c r="B828" s="414"/>
      <c r="C828" s="414"/>
      <c r="D828" s="414"/>
      <c r="E828" s="1667" t="str">
        <f>Translations!$B$801</f>
        <v>Eksportētā atlikumgāze</v>
      </c>
      <c r="F828" s="1660"/>
      <c r="G828" s="1660"/>
      <c r="H828" s="466" t="str">
        <f>EUconst_TJpa</f>
        <v>TJ / gads</v>
      </c>
      <c r="I828" s="922" t="str">
        <f>IF($I783="","",IF(INDEX(F_ProductBM!I:I,MATCH($P828,F_ProductBM!$P:$P,0))="","",INDEX(F_ProductBM!I:I,MATCH($P828,F_ProductBM!$P:$P,0))))</f>
        <v/>
      </c>
      <c r="J828" s="922" t="str">
        <f>IF($I783="","",IF(INDEX(F_ProductBM!J:J,MATCH($P828,F_ProductBM!$P:$P,0))="","",INDEX(F_ProductBM!J:J,MATCH($P828,F_ProductBM!$P:$P,0))))</f>
        <v/>
      </c>
      <c r="K828" s="922" t="str">
        <f>IF($I783="","",IF(INDEX(F_ProductBM!K:K,MATCH($P828,F_ProductBM!$P:$P,0))="","",INDEX(F_ProductBM!K:K,MATCH($P828,F_ProductBM!$P:$P,0))))</f>
        <v/>
      </c>
      <c r="L828" s="922" t="str">
        <f>IF($I783="","",IF(INDEX(F_ProductBM!L:L,MATCH($P828,F_ProductBM!$P:$P,0))="","",INDEX(F_ProductBM!L:L,MATCH($P828,F_ProductBM!$P:$P,0))))</f>
        <v/>
      </c>
      <c r="M828" s="922" t="str">
        <f>IF($I783="","",IF(INDEX(F_ProductBM!M:M,MATCH($P828,F_ProductBM!$P:$P,0))="","",INDEX(F_ProductBM!M:M,MATCH($P828,F_ProductBM!$P:$P,0))))</f>
        <v/>
      </c>
      <c r="N828" s="823"/>
      <c r="O828" s="25"/>
      <c r="P828" s="367" t="str">
        <f>EUconst_CNTR_WGExport &amp; I783</f>
        <v>WasteGasEx_</v>
      </c>
      <c r="Q828" s="437"/>
      <c r="R828" s="437"/>
      <c r="S828" s="437"/>
      <c r="T828" s="26"/>
    </row>
    <row r="829" spans="1:20" s="697" customFormat="1" ht="12.75" customHeight="1" x14ac:dyDescent="0.2">
      <c r="A829" s="437"/>
      <c r="B829" s="414"/>
      <c r="C829" s="414"/>
      <c r="D829" s="414"/>
      <c r="E829" s="1737" t="str">
        <f>Translations!$B$802</f>
        <v>Īpatnējais EF (eksportētā atlikumgāze)</v>
      </c>
      <c r="F829" s="1737"/>
      <c r="G829" s="1737"/>
      <c r="H829" s="824" t="str">
        <f>EUconst_tCO2pTJ</f>
        <v>t CO2 / TJ</v>
      </c>
      <c r="I829" s="923" t="str">
        <f>IF($I783="","",IF(INDEX(F_ProductBM!I:I,MATCH($P829,F_ProductBM!$P:$P,0))="","",INDEX(F_ProductBM!I:I,MATCH($P829,F_ProductBM!$P:$P,0))))</f>
        <v/>
      </c>
      <c r="J829" s="923" t="str">
        <f>IF($I783="","",IF(INDEX(F_ProductBM!J:J,MATCH($P829,F_ProductBM!$P:$P,0))="","",INDEX(F_ProductBM!J:J,MATCH($P829,F_ProductBM!$P:$P,0))))</f>
        <v/>
      </c>
      <c r="K829" s="923" t="str">
        <f>IF($I783="","",IF(INDEX(F_ProductBM!K:K,MATCH($P829,F_ProductBM!$P:$P,0))="","",INDEX(F_ProductBM!K:K,MATCH($P829,F_ProductBM!$P:$P,0))))</f>
        <v/>
      </c>
      <c r="L829" s="923" t="str">
        <f>IF($I783="","",IF(INDEX(F_ProductBM!L:L,MATCH($P829,F_ProductBM!$P:$P,0))="","",INDEX(F_ProductBM!L:L,MATCH($P829,F_ProductBM!$P:$P,0))))</f>
        <v/>
      </c>
      <c r="M829" s="923" t="str">
        <f>IF($I783="","",IF(INDEX(F_ProductBM!M:M,MATCH($P829,F_ProductBM!$P:$P,0))="","",INDEX(F_ProductBM!M:M,MATCH($P829,F_ProductBM!$P:$P,0))))</f>
        <v/>
      </c>
      <c r="N829" s="823"/>
      <c r="O829" s="25"/>
      <c r="P829" s="367" t="str">
        <f>EUconst_CNTR_WGExportEF &amp; I783</f>
        <v>WasteGasExEF_</v>
      </c>
      <c r="Q829" s="437"/>
      <c r="R829" s="437"/>
      <c r="S829" s="437"/>
      <c r="T829" s="26"/>
    </row>
    <row r="830" spans="1:20" s="697" customFormat="1" ht="5.0999999999999996" customHeight="1" x14ac:dyDescent="0.2">
      <c r="A830" s="437"/>
      <c r="B830" s="414"/>
      <c r="C830" s="414"/>
      <c r="D830" s="414"/>
      <c r="E830" s="526"/>
      <c r="F830" s="526"/>
      <c r="G830" s="526"/>
      <c r="H830" s="526"/>
      <c r="I830" s="924"/>
      <c r="J830" s="924"/>
      <c r="K830" s="924"/>
      <c r="L830" s="924"/>
      <c r="M830" s="924"/>
      <c r="N830" s="823"/>
      <c r="O830" s="25"/>
      <c r="P830" s="199"/>
      <c r="Q830" s="437"/>
      <c r="R830" s="437"/>
      <c r="S830" s="437"/>
      <c r="T830" s="26"/>
    </row>
    <row r="831" spans="1:20" s="697" customFormat="1" ht="12.75" customHeight="1" x14ac:dyDescent="0.2">
      <c r="A831" s="437"/>
      <c r="B831" s="414"/>
      <c r="C831" s="414"/>
      <c r="D831" s="414"/>
      <c r="E831" s="1651" t="str">
        <f>Translations!$B$805</f>
        <v>Saražotā elektroenerģija</v>
      </c>
      <c r="F831" s="1652"/>
      <c r="G831" s="1652"/>
      <c r="H831" s="465" t="str">
        <f>EUconst_MWhpa</f>
        <v>MWh / gads</v>
      </c>
      <c r="I831" s="925" t="str">
        <f>IF($I783="","",IF(INDEX(F_ProductBM!I:I,MATCH($P831,F_ProductBM!$P:$P,0))="","",INDEX(F_ProductBM!I:I,MATCH($P831,F_ProductBM!$P:$P,0))))</f>
        <v/>
      </c>
      <c r="J831" s="925" t="str">
        <f>IF($I783="","",IF(INDEX(F_ProductBM!J:J,MATCH($P831,F_ProductBM!$P:$P,0))="","",INDEX(F_ProductBM!J:J,MATCH($P831,F_ProductBM!$P:$P,0))))</f>
        <v/>
      </c>
      <c r="K831" s="925" t="str">
        <f>IF($I783="","",IF(INDEX(F_ProductBM!K:K,MATCH($P831,F_ProductBM!$P:$P,0))="","",INDEX(F_ProductBM!K:K,MATCH($P831,F_ProductBM!$P:$P,0))))</f>
        <v/>
      </c>
      <c r="L831" s="925" t="str">
        <f>IF($I783="","",IF(INDEX(F_ProductBM!L:L,MATCH($P831,F_ProductBM!$P:$P,0))="","",INDEX(F_ProductBM!L:L,MATCH($P831,F_ProductBM!$P:$P,0))))</f>
        <v/>
      </c>
      <c r="M831" s="925" t="str">
        <f>IF($I783="","",IF(INDEX(F_ProductBM!M:M,MATCH($P831,F_ProductBM!$P:$P,0))="","",INDEX(F_ProductBM!M:M,MATCH($P831,F_ProductBM!$P:$P,0))))</f>
        <v/>
      </c>
      <c r="N831" s="823"/>
      <c r="O831" s="25"/>
      <c r="P831" s="367" t="str">
        <f>EUconst_CNTR_ElectricityExported &amp; I783</f>
        <v>ElecEx_</v>
      </c>
      <c r="Q831" s="437"/>
      <c r="R831" s="437"/>
      <c r="S831" s="437"/>
      <c r="T831" s="26"/>
    </row>
    <row r="832" spans="1:20" s="697" customFormat="1" ht="5.0999999999999996" customHeight="1" x14ac:dyDescent="0.2">
      <c r="A832" s="437"/>
      <c r="B832" s="414"/>
      <c r="C832" s="414"/>
      <c r="D832" s="414"/>
      <c r="E832" s="526"/>
      <c r="F832" s="526"/>
      <c r="G832" s="526"/>
      <c r="H832" s="526"/>
      <c r="I832" s="924"/>
      <c r="J832" s="924"/>
      <c r="K832" s="924"/>
      <c r="L832" s="924"/>
      <c r="M832" s="924"/>
      <c r="N832" s="823"/>
      <c r="O832" s="25"/>
      <c r="P832" s="199"/>
      <c r="Q832" s="437"/>
      <c r="R832" s="437"/>
      <c r="S832" s="437"/>
      <c r="T832" s="26"/>
    </row>
    <row r="833" spans="1:20" s="697" customFormat="1" x14ac:dyDescent="0.2">
      <c r="A833" s="437"/>
      <c r="B833" s="414"/>
      <c r="C833" s="414"/>
      <c r="D833" s="414"/>
      <c r="E833" s="1206" t="str">
        <f>Translations!$B$1239</f>
        <v>Starpproduktu imports:</v>
      </c>
      <c r="F833" s="526"/>
      <c r="G833" s="526"/>
      <c r="H833" s="526"/>
      <c r="I833" s="924"/>
      <c r="J833" s="924"/>
      <c r="K833" s="924"/>
      <c r="L833" s="924"/>
      <c r="M833" s="924"/>
      <c r="N833" s="823"/>
      <c r="O833" s="25"/>
      <c r="P833" s="199"/>
      <c r="Q833" s="437"/>
      <c r="R833" s="437"/>
      <c r="S833" s="437"/>
      <c r="T833" s="26"/>
    </row>
    <row r="834" spans="1:20" s="697" customFormat="1" x14ac:dyDescent="0.2">
      <c r="A834" s="437"/>
      <c r="B834" s="414"/>
      <c r="C834" s="414"/>
      <c r="D834" s="414"/>
      <c r="E834" s="1689" t="str">
        <f>IF($I783="","",IF(INDEX(F_ProductBM!E:E,MATCH($P834,F_ProductBM!$P:$P,0))="","",INDEX(F_ProductBM!E:E,MATCH($P834,F_ProductBM!$P:$P,0))))</f>
        <v/>
      </c>
      <c r="F834" s="1689"/>
      <c r="G834" s="1689"/>
      <c r="H834" s="465" t="str">
        <f>EUconst_Tons</f>
        <v>tonnas</v>
      </c>
      <c r="I834" s="1103" t="str">
        <f>IF($I783="","",IF(INDEX(F_ProductBM!I:I,MATCH($P834,F_ProductBM!$P:$P,0))="","",INDEX(F_ProductBM!I:I,MATCH($P834,F_ProductBM!$P:$P,0))))</f>
        <v/>
      </c>
      <c r="J834" s="1103" t="str">
        <f>IF($I783="","",IF(INDEX(F_ProductBM!J:J,MATCH($P834,F_ProductBM!$P:$P,0))="","",INDEX(F_ProductBM!J:J,MATCH($P834,F_ProductBM!$P:$P,0))))</f>
        <v/>
      </c>
      <c r="K834" s="1103" t="str">
        <f>IF($I783="","",IF(INDEX(F_ProductBM!K:K,MATCH($P834,F_ProductBM!$P:$P,0))="","",INDEX(F_ProductBM!K:K,MATCH($P834,F_ProductBM!$P:$P,0))))</f>
        <v/>
      </c>
      <c r="L834" s="1103" t="str">
        <f>IF($I783="","",IF(INDEX(F_ProductBM!L:L,MATCH($P834,F_ProductBM!$P:$P,0))="","",INDEX(F_ProductBM!L:L,MATCH($P834,F_ProductBM!$P:$P,0))))</f>
        <v/>
      </c>
      <c r="M834" s="1103" t="str">
        <f>IF($I783="","",IF(INDEX(F_ProductBM!M:M,MATCH($P834,F_ProductBM!$P:$P,0))="","",INDEX(F_ProductBM!M:M,MATCH($P834,F_ProductBM!$P:$P,0))))</f>
        <v/>
      </c>
      <c r="N834" s="823"/>
      <c r="O834" s="25"/>
      <c r="P834" s="367" t="str">
        <f>EUconst_CNTR_IntermediateImport &amp; R834 &amp; "_" &amp; I783</f>
        <v>IntImp_1_</v>
      </c>
      <c r="Q834" s="437"/>
      <c r="R834" s="869">
        <v>1</v>
      </c>
      <c r="S834" s="437"/>
      <c r="T834" s="26"/>
    </row>
    <row r="835" spans="1:20" s="697" customFormat="1" x14ac:dyDescent="0.2">
      <c r="A835" s="437"/>
      <c r="B835" s="414"/>
      <c r="C835" s="414"/>
      <c r="D835" s="414"/>
      <c r="E835" s="1689" t="str">
        <f>IF($I783="","",IF(INDEX(F_ProductBM!E:E,MATCH($P835,F_ProductBM!$P:$P,0))="","",INDEX(F_ProductBM!E:E,MATCH($P835,F_ProductBM!$P:$P,0))))</f>
        <v/>
      </c>
      <c r="F835" s="1689"/>
      <c r="G835" s="1689"/>
      <c r="H835" s="465" t="str">
        <f>EUconst_Tons</f>
        <v>tonnas</v>
      </c>
      <c r="I835" s="1103" t="str">
        <f>IF($I783="","",IF(INDEX(F_ProductBM!I:I,MATCH($P835,F_ProductBM!$P:$P,0))="","",INDEX(F_ProductBM!I:I,MATCH($P835,F_ProductBM!$P:$P,0))))</f>
        <v/>
      </c>
      <c r="J835" s="1103" t="str">
        <f>IF($I783="","",IF(INDEX(F_ProductBM!J:J,MATCH($P835,F_ProductBM!$P:$P,0))="","",INDEX(F_ProductBM!J:J,MATCH($P835,F_ProductBM!$P:$P,0))))</f>
        <v/>
      </c>
      <c r="K835" s="1103" t="str">
        <f>IF($I783="","",IF(INDEX(F_ProductBM!K:K,MATCH($P835,F_ProductBM!$P:$P,0))="","",INDEX(F_ProductBM!K:K,MATCH($P835,F_ProductBM!$P:$P,0))))</f>
        <v/>
      </c>
      <c r="L835" s="1103" t="str">
        <f>IF($I783="","",IF(INDEX(F_ProductBM!L:L,MATCH($P835,F_ProductBM!$P:$P,0))="","",INDEX(F_ProductBM!L:L,MATCH($P835,F_ProductBM!$P:$P,0))))</f>
        <v/>
      </c>
      <c r="M835" s="1103" t="str">
        <f>IF($I783="","",IF(INDEX(F_ProductBM!M:M,MATCH($P835,F_ProductBM!$P:$P,0))="","",INDEX(F_ProductBM!M:M,MATCH($P835,F_ProductBM!$P:$P,0))))</f>
        <v/>
      </c>
      <c r="N835" s="823"/>
      <c r="O835" s="25"/>
      <c r="P835" s="367" t="str">
        <f>EUconst_CNTR_IntermediateImport &amp; R835 &amp; "_" &amp; I783</f>
        <v>IntImp_2_</v>
      </c>
      <c r="Q835" s="437"/>
      <c r="R835" s="869">
        <v>2</v>
      </c>
      <c r="S835" s="437"/>
      <c r="T835" s="26"/>
    </row>
    <row r="836" spans="1:20" s="697" customFormat="1" x14ac:dyDescent="0.2">
      <c r="A836" s="437"/>
      <c r="B836" s="414"/>
      <c r="C836" s="414"/>
      <c r="D836" s="414"/>
      <c r="E836" s="1206" t="str">
        <f>Translations!$B$1240</f>
        <v>Starpproduktu eksports:</v>
      </c>
      <c r="F836" s="526"/>
      <c r="G836" s="526"/>
      <c r="H836" s="526"/>
      <c r="I836" s="1140"/>
      <c r="J836" s="1140"/>
      <c r="K836" s="1140"/>
      <c r="L836" s="1140"/>
      <c r="M836" s="1140"/>
      <c r="N836" s="823"/>
      <c r="O836" s="25"/>
      <c r="P836" s="199"/>
      <c r="Q836" s="437"/>
      <c r="R836" s="437"/>
      <c r="S836" s="437"/>
      <c r="T836" s="26"/>
    </row>
    <row r="837" spans="1:20" s="697" customFormat="1" x14ac:dyDescent="0.2">
      <c r="A837" s="437"/>
      <c r="B837" s="414"/>
      <c r="C837" s="414"/>
      <c r="D837" s="414"/>
      <c r="E837" s="1689" t="str">
        <f>IF($I783="","",IF(INDEX(F_ProductBM!E:E,MATCH($P837,F_ProductBM!$P:$P,0))="","",INDEX(F_ProductBM!E:E,MATCH($P837,F_ProductBM!$P:$P,0))))</f>
        <v/>
      </c>
      <c r="F837" s="1689"/>
      <c r="G837" s="1689"/>
      <c r="H837" s="465" t="str">
        <f>EUconst_Tons</f>
        <v>tonnas</v>
      </c>
      <c r="I837" s="1103" t="str">
        <f>IF($I783="","",IF(INDEX(F_ProductBM!I:I,MATCH($P837,F_ProductBM!$P:$P,0))="","",INDEX(F_ProductBM!I:I,MATCH($P837,F_ProductBM!$P:$P,0))))</f>
        <v/>
      </c>
      <c r="J837" s="1103" t="str">
        <f>IF($I783="","",IF(INDEX(F_ProductBM!J:J,MATCH($P837,F_ProductBM!$P:$P,0))="","",INDEX(F_ProductBM!J:J,MATCH($P837,F_ProductBM!$P:$P,0))))</f>
        <v/>
      </c>
      <c r="K837" s="1103" t="str">
        <f>IF($I783="","",IF(INDEX(F_ProductBM!K:K,MATCH($P837,F_ProductBM!$P:$P,0))="","",INDEX(F_ProductBM!K:K,MATCH($P837,F_ProductBM!$P:$P,0))))</f>
        <v/>
      </c>
      <c r="L837" s="1103" t="str">
        <f>IF($I783="","",IF(INDEX(F_ProductBM!L:L,MATCH($P837,F_ProductBM!$P:$P,0))="","",INDEX(F_ProductBM!L:L,MATCH($P837,F_ProductBM!$P:$P,0))))</f>
        <v/>
      </c>
      <c r="M837" s="1103" t="str">
        <f>IF($I783="","",IF(INDEX(F_ProductBM!M:M,MATCH($P837,F_ProductBM!$P:$P,0))="","",INDEX(F_ProductBM!M:M,MATCH($P837,F_ProductBM!$P:$P,0))))</f>
        <v/>
      </c>
      <c r="N837" s="823"/>
      <c r="O837" s="25"/>
      <c r="P837" s="367" t="str">
        <f>EUconst_CNTR_IntermediateExport &amp; R834 &amp; "_" &amp; I783</f>
        <v>IntExp_1_</v>
      </c>
      <c r="Q837" s="437"/>
      <c r="R837" s="869">
        <v>1</v>
      </c>
      <c r="S837" s="437"/>
      <c r="T837" s="26"/>
    </row>
    <row r="838" spans="1:20" s="697" customFormat="1" x14ac:dyDescent="0.2">
      <c r="A838" s="437"/>
      <c r="B838" s="414"/>
      <c r="C838" s="414"/>
      <c r="D838" s="414"/>
      <c r="E838" s="1689" t="str">
        <f>IF($I783="","",IF(INDEX(F_ProductBM!E:E,MATCH($P838,F_ProductBM!$P:$P,0))="","",INDEX(F_ProductBM!E:E,MATCH($P838,F_ProductBM!$P:$P,0))))</f>
        <v/>
      </c>
      <c r="F838" s="1689"/>
      <c r="G838" s="1689"/>
      <c r="H838" s="465" t="str">
        <f>EUconst_Tons</f>
        <v>tonnas</v>
      </c>
      <c r="I838" s="1103" t="str">
        <f>IF($I783="","",IF(INDEX(F_ProductBM!I:I,MATCH($P838,F_ProductBM!$P:$P,0))="","",INDEX(F_ProductBM!I:I,MATCH($P838,F_ProductBM!$P:$P,0))))</f>
        <v/>
      </c>
      <c r="J838" s="1103" t="str">
        <f>IF($I783="","",IF(INDEX(F_ProductBM!J:J,MATCH($P838,F_ProductBM!$P:$P,0))="","",INDEX(F_ProductBM!J:J,MATCH($P838,F_ProductBM!$P:$P,0))))</f>
        <v/>
      </c>
      <c r="K838" s="1103" t="str">
        <f>IF($I783="","",IF(INDEX(F_ProductBM!K:K,MATCH($P838,F_ProductBM!$P:$P,0))="","",INDEX(F_ProductBM!K:K,MATCH($P838,F_ProductBM!$P:$P,0))))</f>
        <v/>
      </c>
      <c r="L838" s="1103" t="str">
        <f>IF($I783="","",IF(INDEX(F_ProductBM!L:L,MATCH($P838,F_ProductBM!$P:$P,0))="","",INDEX(F_ProductBM!L:L,MATCH($P838,F_ProductBM!$P:$P,0))))</f>
        <v/>
      </c>
      <c r="M838" s="1103" t="str">
        <f>IF($I783="","",IF(INDEX(F_ProductBM!M:M,MATCH($P838,F_ProductBM!$P:$P,0))="","",INDEX(F_ProductBM!M:M,MATCH($P838,F_ProductBM!$P:$P,0))))</f>
        <v/>
      </c>
      <c r="N838" s="823"/>
      <c r="O838" s="25"/>
      <c r="P838" s="367" t="str">
        <f>EUconst_CNTR_IntermediateExport &amp; R838 &amp; "_" &amp; I783</f>
        <v>IntExp_2_</v>
      </c>
      <c r="Q838" s="437"/>
      <c r="R838" s="869">
        <v>2</v>
      </c>
      <c r="S838" s="437"/>
      <c r="T838" s="26"/>
    </row>
    <row r="839" spans="1:20" s="697" customFormat="1" ht="5.0999999999999996" customHeight="1" x14ac:dyDescent="0.2">
      <c r="A839" s="437"/>
      <c r="B839" s="414"/>
      <c r="C839" s="414"/>
      <c r="D839" s="414"/>
      <c r="E839" s="526"/>
      <c r="F839" s="526"/>
      <c r="G839" s="526"/>
      <c r="H839" s="526"/>
      <c r="I839" s="823"/>
      <c r="J839" s="823"/>
      <c r="K839" s="823"/>
      <c r="L839" s="823"/>
      <c r="M839" s="823"/>
      <c r="N839" s="823"/>
      <c r="O839" s="25"/>
      <c r="P839" s="199"/>
      <c r="Q839" s="437"/>
      <c r="R839" s="931"/>
      <c r="S839" s="437"/>
      <c r="T839" s="26"/>
    </row>
    <row r="840" spans="1:20" s="697" customFormat="1" x14ac:dyDescent="0.2">
      <c r="A840" s="437"/>
      <c r="B840" s="414"/>
      <c r="C840" s="414"/>
      <c r="D840" s="414"/>
      <c r="E840" s="1881" t="str">
        <f>Translations!$B$1729</f>
        <v>Korekcijas īpašās līmeņatzīmes atjaunināšanai (attiecīgā gadījumā)</v>
      </c>
      <c r="F840" s="1881"/>
      <c r="G840" s="1881"/>
      <c r="H840" s="1881"/>
      <c r="I840" s="1881"/>
      <c r="J840" s="1881"/>
      <c r="K840" s="1881"/>
      <c r="L840" s="1881"/>
      <c r="M840" s="1881"/>
      <c r="N840" s="823"/>
      <c r="O840" s="25"/>
      <c r="P840" s="199"/>
      <c r="Q840" s="437"/>
      <c r="R840" s="931"/>
      <c r="S840" s="437"/>
      <c r="T840" s="26"/>
    </row>
    <row r="841" spans="1:20" s="697" customFormat="1" ht="12.75" customHeight="1" x14ac:dyDescent="0.2">
      <c r="A841" s="437"/>
      <c r="B841" s="414"/>
      <c r="C841" s="414"/>
      <c r="D841" s="414"/>
      <c r="E841" s="1651" t="str">
        <f>Translations!$B$806</f>
        <v>Kopējais saražotās pulpas daudzums</v>
      </c>
      <c r="F841" s="1651"/>
      <c r="G841" s="1651"/>
      <c r="H841" s="465" t="str">
        <f>EUconst_Tons</f>
        <v>tonnas</v>
      </c>
      <c r="I841" s="1103" t="str">
        <f>IF($I783="","",IF(INDEX(F_ProductBM!I:I,MATCH($P841,F_ProductBM!$P:$P,0))="","",INDEX(F_ProductBM!I:I,MATCH($P841,F_ProductBM!$P:$P,0))))</f>
        <v/>
      </c>
      <c r="J841" s="1103" t="str">
        <f>IF($I783="","",IF(INDEX(F_ProductBM!J:J,MATCH($P841,F_ProductBM!$P:$P,0))="","",INDEX(F_ProductBM!J:J,MATCH($P841,F_ProductBM!$P:$P,0))))</f>
        <v/>
      </c>
      <c r="K841" s="1103" t="str">
        <f>IF($I783="","",IF(INDEX(F_ProductBM!K:K,MATCH($P841,F_ProductBM!$P:$P,0))="","",INDEX(F_ProductBM!K:K,MATCH($P841,F_ProductBM!$P:$P,0))))</f>
        <v/>
      </c>
      <c r="L841" s="1103" t="str">
        <f>IF($I783="","",IF(INDEX(F_ProductBM!L:L,MATCH($P841,F_ProductBM!$P:$P,0))="","",INDEX(F_ProductBM!L:L,MATCH($P841,F_ProductBM!$P:$P,0))))</f>
        <v/>
      </c>
      <c r="M841" s="1103" t="str">
        <f>IF($I783="","",IF(INDEX(F_ProductBM!M:M,MATCH($P841,F_ProductBM!$P:$P,0))="","",INDEX(F_ProductBM!M:M,MATCH($P841,F_ProductBM!$P:$P,0))))</f>
        <v/>
      </c>
      <c r="N841" s="823"/>
      <c r="O841" s="25"/>
      <c r="P841" s="367" t="str">
        <f>EUconst_CNTR_HALPulpTotal &amp; I783</f>
        <v>HALPulpTotal_</v>
      </c>
      <c r="Q841" s="437"/>
      <c r="R841" s="437"/>
      <c r="S841" s="437"/>
      <c r="T841" s="26"/>
    </row>
    <row r="842" spans="1:20" s="697" customFormat="1" ht="5.0999999999999996" customHeight="1" x14ac:dyDescent="0.2">
      <c r="A842" s="437"/>
      <c r="B842" s="414"/>
      <c r="C842" s="414"/>
      <c r="D842" s="414"/>
      <c r="E842" s="526"/>
      <c r="F842" s="526"/>
      <c r="G842" s="526"/>
      <c r="H842" s="526"/>
      <c r="I842" s="1140"/>
      <c r="J842" s="1140"/>
      <c r="K842" s="1140"/>
      <c r="L842" s="1140"/>
      <c r="M842" s="1140"/>
      <c r="N842" s="823"/>
      <c r="O842" s="25"/>
      <c r="P842" s="199"/>
      <c r="Q842" s="437"/>
      <c r="R842" s="437"/>
      <c r="S842" s="437"/>
      <c r="T842" s="26"/>
    </row>
    <row r="843" spans="1:20" s="697" customFormat="1" ht="12.75" customHeight="1" x14ac:dyDescent="0.2">
      <c r="A843" s="437"/>
      <c r="B843" s="414"/>
      <c r="C843" s="414"/>
      <c r="D843" s="414"/>
      <c r="E843" s="1651" t="str">
        <f>Translations!$B$1730</f>
        <v>Ūdeņraža ražošana (faktiskā + teorētiskā)</v>
      </c>
      <c r="F843" s="1651"/>
      <c r="G843" s="1651"/>
      <c r="H843" s="465" t="str">
        <f>EUconst_Tons</f>
        <v>tonnas</v>
      </c>
      <c r="I843" s="1103" t="str">
        <f>IF($K786=$R843,SUMIFS(H_SpecialBM!I:I,H_SpecialBM!$P:$P,$P843),"")</f>
        <v/>
      </c>
      <c r="J843" s="1103" t="str">
        <f>IF($K786=$R843,SUMIFS(H_SpecialBM!J:J,H_SpecialBM!$P:$P,$P843),"")</f>
        <v/>
      </c>
      <c r="K843" s="1103" t="str">
        <f>IF($K786=$R843,SUMIFS(H_SpecialBM!K:K,H_SpecialBM!$P:$P,$P843),"")</f>
        <v/>
      </c>
      <c r="L843" s="1103" t="str">
        <f>IF($K786=$R843,SUMIFS(H_SpecialBM!L:L,H_SpecialBM!$P:$P,$P843),"")</f>
        <v/>
      </c>
      <c r="M843" s="1103" t="str">
        <f>IF($K786=$R843,SUMIFS(H_SpecialBM!M:M,H_SpecialBM!$P:$P,$P843),"")</f>
        <v/>
      </c>
      <c r="N843" s="823"/>
      <c r="O843" s="25"/>
      <c r="P843" s="134" t="str">
        <f>EUconst_CNTR_H2ActualPlusTheoretical</f>
        <v>H2Total_</v>
      </c>
      <c r="Q843" s="437"/>
      <c r="R843" s="869">
        <v>50</v>
      </c>
      <c r="S843" s="437"/>
      <c r="T843" s="26"/>
    </row>
    <row r="844" spans="1:20" s="697" customFormat="1" ht="12.75" customHeight="1" x14ac:dyDescent="0.2">
      <c r="A844" s="437"/>
      <c r="B844" s="414"/>
      <c r="C844" s="414"/>
      <c r="D844" s="414"/>
      <c r="E844" s="1651" t="str">
        <f>Translations!$B$1731</f>
        <v>Ar ūdeņradi saistītās emisijas</v>
      </c>
      <c r="F844" s="1651"/>
      <c r="G844" s="1651"/>
      <c r="H844" s="465" t="str">
        <f>EUconst_tCO2pa</f>
        <v>t CO2 / gads</v>
      </c>
      <c r="I844" s="1103" t="str">
        <f>IF($K786=$R844,SUMIFS(H_SpecialBM!I:I,H_SpecialBM!$P:$P,$P844),"")</f>
        <v/>
      </c>
      <c r="J844" s="1103" t="str">
        <f>IF($K786=$R844,SUMIFS(H_SpecialBM!J:J,H_SpecialBM!$P:$P,$P844),"")</f>
        <v/>
      </c>
      <c r="K844" s="1103" t="str">
        <f>IF($K786=$R844,SUMIFS(H_SpecialBM!K:K,H_SpecialBM!$P:$P,$P844),"")</f>
        <v/>
      </c>
      <c r="L844" s="1103" t="str">
        <f>IF($K786=$R844,SUMIFS(H_SpecialBM!L:L,H_SpecialBM!$P:$P,$P844),"")</f>
        <v/>
      </c>
      <c r="M844" s="1103" t="str">
        <f>IF($K786=$R844,SUMIFS(H_SpecialBM!M:M,H_SpecialBM!$P:$P,$P844),"")</f>
        <v/>
      </c>
      <c r="N844" s="823"/>
      <c r="O844" s="25"/>
      <c r="P844" s="202" t="str">
        <f>EUconst_CNTR_H2AdditionalEmissions</f>
        <v>H2AddEm_</v>
      </c>
      <c r="Q844" s="437"/>
      <c r="R844" s="869">
        <v>50</v>
      </c>
      <c r="S844" s="437"/>
      <c r="T844" s="26"/>
    </row>
    <row r="845" spans="1:20" s="697" customFormat="1" ht="5.0999999999999996" customHeight="1" x14ac:dyDescent="0.2">
      <c r="A845" s="437"/>
      <c r="B845" s="414"/>
      <c r="C845" s="414"/>
      <c r="D845" s="414"/>
      <c r="E845" s="526"/>
      <c r="F845" s="526"/>
      <c r="G845" s="526"/>
      <c r="H845" s="526"/>
      <c r="I845" s="1140"/>
      <c r="J845" s="1140"/>
      <c r="K845" s="1140"/>
      <c r="L845" s="1140"/>
      <c r="M845" s="1140"/>
      <c r="N845" s="823"/>
      <c r="O845" s="25"/>
      <c r="P845" s="437"/>
      <c r="Q845" s="437"/>
      <c r="R845" s="437"/>
      <c r="S845" s="437"/>
      <c r="T845" s="26"/>
    </row>
    <row r="846" spans="1:20" s="697" customFormat="1" ht="12.75" customHeight="1" x14ac:dyDescent="0.2">
      <c r="A846" s="437"/>
      <c r="B846" s="414"/>
      <c r="C846" s="414"/>
      <c r="D846" s="414"/>
      <c r="E846" s="1651" t="str">
        <f>Translations!$B$1732</f>
        <v>HVC emisiju korekcija</v>
      </c>
      <c r="F846" s="1651"/>
      <c r="G846" s="1651"/>
      <c r="H846" s="465" t="str">
        <f>EUconst_tCO2pa</f>
        <v>t CO2 / gads</v>
      </c>
      <c r="I846" s="1103" t="str">
        <f>IF($K786=$R846,-SUMIFS(H_SpecialBM!S:S,H_SpecialBM!$P:$P,$P846),"")</f>
        <v/>
      </c>
      <c r="J846" s="1103" t="str">
        <f>IF($K786=$R846,-SUMIFS(H_SpecialBM!T:T,H_SpecialBM!$P:$P,$P846),"")</f>
        <v/>
      </c>
      <c r="K846" s="1103" t="str">
        <f>IF($K786=$R846,-SUMIFS(H_SpecialBM!U:U,H_SpecialBM!$P:$P,$P846),"")</f>
        <v/>
      </c>
      <c r="L846" s="1103" t="str">
        <f>IF($K786=$R846,-SUMIFS(H_SpecialBM!V:V,H_SpecialBM!$P:$P,$P846),"")</f>
        <v/>
      </c>
      <c r="M846" s="1103" t="str">
        <f>IF($K786=$R846,-SUMIFS(H_SpecialBM!W:W,H_SpecialBM!$P:$P,$P846),"")</f>
        <v/>
      </c>
      <c r="N846" s="823"/>
      <c r="O846" s="25"/>
      <c r="P846" s="367" t="str">
        <f>EUconst_CNTR_HVC</f>
        <v>HVC_</v>
      </c>
      <c r="Q846" s="437"/>
      <c r="R846" s="869">
        <v>42</v>
      </c>
      <c r="S846" s="437"/>
      <c r="T846" s="26"/>
    </row>
    <row r="847" spans="1:20" s="697" customFormat="1" ht="5.0999999999999996" customHeight="1" x14ac:dyDescent="0.2">
      <c r="A847" s="437"/>
      <c r="B847" s="414"/>
      <c r="C847" s="414"/>
      <c r="D847" s="414"/>
      <c r="E847" s="526"/>
      <c r="F847" s="526"/>
      <c r="G847" s="526"/>
      <c r="H847" s="526"/>
      <c r="I847" s="1140"/>
      <c r="J847" s="1140"/>
      <c r="K847" s="1140"/>
      <c r="L847" s="1140"/>
      <c r="M847" s="1140"/>
      <c r="N847" s="823"/>
      <c r="O847" s="25"/>
      <c r="P847" s="199"/>
      <c r="Q847" s="437"/>
      <c r="R847" s="437"/>
      <c r="S847" s="437"/>
      <c r="T847" s="26"/>
    </row>
    <row r="848" spans="1:20" s="697" customFormat="1" ht="12.75" customHeight="1" x14ac:dyDescent="0.2">
      <c r="A848" s="437"/>
      <c r="B848" s="414"/>
      <c r="C848" s="414"/>
      <c r="D848" s="414"/>
      <c r="E848" s="1651" t="str">
        <f>Translations!$B$1733</f>
        <v>VCM emisiju korekcija</v>
      </c>
      <c r="F848" s="1651"/>
      <c r="G848" s="1651"/>
      <c r="H848" s="465" t="str">
        <f>EUconst_tCO2pa</f>
        <v>t CO2 / gads</v>
      </c>
      <c r="I848" s="1103" t="str">
        <f>IF($K786=$R848,SUMIFS(H_SpecialBM!I:I,H_SpecialBM!$P:$P,$P848)/EUconst_HeatBMvalue*EUconst_HeatBMvalueForBM,"")</f>
        <v/>
      </c>
      <c r="J848" s="1103" t="str">
        <f>IF($K786=$R848,SUMIFS(H_SpecialBM!J:J,H_SpecialBM!$P:$P,$P848)/EUconst_HeatBMvalue*EUconst_HeatBMvalueForBM,"")</f>
        <v/>
      </c>
      <c r="K848" s="1103" t="str">
        <f>IF($K786=$R848,SUMIFS(H_SpecialBM!K:K,H_SpecialBM!$P:$P,$P848)/EUconst_HeatBMvalue*EUconst_HeatBMvalueForBM,"")</f>
        <v/>
      </c>
      <c r="L848" s="1103" t="str">
        <f>IF($K786=$R848,SUMIFS(H_SpecialBM!L:L,H_SpecialBM!$P:$P,$P848)/EUconst_HeatBMvalue*EUconst_HeatBMvalueForBM,"")</f>
        <v/>
      </c>
      <c r="M848" s="1103" t="str">
        <f>IF($K786=$R848,SUMIFS(H_SpecialBM!M:M,H_SpecialBM!$P:$P,$P848)/EUconst_HeatBMvalue*EUconst_HeatBMvalueForBM,"")</f>
        <v/>
      </c>
      <c r="N848" s="823"/>
      <c r="O848" s="25"/>
      <c r="P848" s="134" t="str">
        <f>EUconst_CNTR_VCM</f>
        <v>VCM_</v>
      </c>
      <c r="Q848" s="437"/>
      <c r="R848" s="869">
        <v>47</v>
      </c>
      <c r="S848" s="437"/>
      <c r="T848" s="26"/>
    </row>
    <row r="849" spans="1:20" s="697" customFormat="1" ht="12.75" customHeight="1" x14ac:dyDescent="0.2">
      <c r="A849" s="437"/>
      <c r="B849" s="414"/>
      <c r="C849" s="414"/>
      <c r="D849" s="414"/>
      <c r="E849" s="526"/>
      <c r="F849" s="526"/>
      <c r="G849" s="526"/>
      <c r="H849" s="526"/>
      <c r="I849" s="823"/>
      <c r="J849" s="823"/>
      <c r="K849" s="823"/>
      <c r="L849" s="823"/>
      <c r="M849" s="823"/>
      <c r="N849" s="823"/>
      <c r="O849" s="25"/>
      <c r="P849" s="199"/>
      <c r="Q849" s="437"/>
      <c r="R849" s="437"/>
      <c r="S849" s="437"/>
      <c r="T849" s="26"/>
    </row>
    <row r="850" spans="1:20" s="697" customFormat="1" ht="12.75" customHeight="1" thickBot="1" x14ac:dyDescent="0.25">
      <c r="A850" s="437"/>
      <c r="B850" s="414"/>
      <c r="C850" s="414"/>
      <c r="D850" s="414"/>
      <c r="E850" s="935"/>
      <c r="O850" s="25"/>
      <c r="P850" s="437"/>
      <c r="Q850" s="437"/>
      <c r="R850" s="437"/>
      <c r="S850" s="437"/>
      <c r="T850" s="26"/>
    </row>
    <row r="851" spans="1:20" s="697" customFormat="1" ht="5.0999999999999996" customHeight="1" thickBot="1" x14ac:dyDescent="0.25">
      <c r="A851" s="437"/>
      <c r="B851" s="21"/>
      <c r="C851" s="294"/>
      <c r="D851" s="294"/>
      <c r="E851" s="294"/>
      <c r="F851" s="294"/>
      <c r="G851" s="294"/>
      <c r="H851" s="294"/>
      <c r="I851" s="294"/>
      <c r="J851" s="294"/>
      <c r="K851" s="294"/>
      <c r="L851" s="294"/>
      <c r="M851" s="294"/>
      <c r="N851" s="294"/>
      <c r="O851" s="25"/>
      <c r="P851" s="437"/>
      <c r="Q851" s="437"/>
      <c r="R851" s="437"/>
      <c r="S851" s="437"/>
      <c r="T851" s="26"/>
    </row>
    <row r="852" spans="1:20" s="697" customFormat="1" ht="15" customHeight="1" thickBot="1" x14ac:dyDescent="0.3">
      <c r="A852" s="437"/>
      <c r="B852" s="414"/>
      <c r="C852" s="36">
        <f>C783+1</f>
        <v>6</v>
      </c>
      <c r="D852" s="1890" t="str">
        <f>CONCATENATE(EUconst_BMSubinst," ",C852, ":")</f>
        <v>Apakšiekārta ar produkta līmeņatzīmi 6:</v>
      </c>
      <c r="E852" s="1890"/>
      <c r="F852" s="1890"/>
      <c r="G852" s="1890"/>
      <c r="H852" s="1891"/>
      <c r="I852" s="1887" t="str">
        <f>IF(INDEX(CNTR_SubInstListIsProdBM,$C852),INDEX(CNTR_SubInstListNames,$C852),"")</f>
        <v/>
      </c>
      <c r="J852" s="1888"/>
      <c r="K852" s="1888"/>
      <c r="L852" s="1888"/>
      <c r="M852" s="1888"/>
      <c r="N852" s="1889"/>
      <c r="O852" s="25"/>
      <c r="P852" s="437"/>
      <c r="Q852" s="904">
        <f>C852</f>
        <v>6</v>
      </c>
      <c r="R852" s="901" t="str">
        <f>I852</f>
        <v/>
      </c>
      <c r="S852" s="903" t="str">
        <f>H855</f>
        <v>NA</v>
      </c>
      <c r="T852" s="902" t="str">
        <f>IF(M866="","",IF(S855=0,0,SUM(M866)/S855))</f>
        <v/>
      </c>
    </row>
    <row r="853" spans="1:20" s="697" customFormat="1" ht="5.0999999999999996" customHeight="1" thickBot="1" x14ac:dyDescent="0.25">
      <c r="A853" s="437"/>
      <c r="B853" s="414"/>
      <c r="C853" s="414"/>
      <c r="D853" s="414"/>
      <c r="E853" s="414"/>
      <c r="F853" s="414"/>
      <c r="G853" s="414"/>
      <c r="H853" s="414"/>
      <c r="I853" s="414"/>
      <c r="J853" s="414"/>
      <c r="K853" s="414"/>
      <c r="L853" s="414"/>
      <c r="M853" s="414"/>
      <c r="N853" s="414"/>
      <c r="O853" s="25"/>
      <c r="P853" s="437"/>
      <c r="Q853" s="437"/>
      <c r="R853" s="437"/>
      <c r="S853" s="437"/>
      <c r="T853" s="26"/>
    </row>
    <row r="854" spans="1:20" s="697" customFormat="1" ht="13.5" thickBot="1" x14ac:dyDescent="0.25">
      <c r="A854" s="437"/>
      <c r="B854" s="414"/>
      <c r="C854" s="414"/>
      <c r="D854" s="414"/>
      <c r="E854" s="414"/>
      <c r="F854" s="414"/>
      <c r="G854" s="414"/>
      <c r="H854" s="647" t="str">
        <f>Translations!$B$1204</f>
        <v>Pakļauta OEP</v>
      </c>
      <c r="I854" s="38"/>
      <c r="J854" s="648" t="str">
        <f>Translations!$B$1208</f>
        <v>Ekspl. sākta</v>
      </c>
      <c r="K854" s="648" t="str">
        <f>Translations!$B$1206</f>
        <v>LA Nr.</v>
      </c>
      <c r="L854" s="812" t="str">
        <f>Translations!$B$1212</f>
        <v>15(7)3?</v>
      </c>
      <c r="M854" s="989" t="str">
        <f>Translations!$B$1234</f>
        <v>LA vērtība (min./maks./fakt.)</v>
      </c>
      <c r="N854" s="990"/>
      <c r="O854" s="25"/>
      <c r="P854" s="437"/>
      <c r="Q854" s="437"/>
      <c r="R854" s="646" t="s">
        <v>641</v>
      </c>
      <c r="S854" s="903" t="str">
        <f>H857</f>
        <v>NA</v>
      </c>
      <c r="T854" s="26"/>
    </row>
    <row r="855" spans="1:20" s="697" customFormat="1" x14ac:dyDescent="0.2">
      <c r="A855" s="437"/>
      <c r="B855" s="414"/>
      <c r="C855" s="414"/>
      <c r="D855" s="414"/>
      <c r="E855" s="649" t="str">
        <f>I852</f>
        <v/>
      </c>
      <c r="F855" s="650"/>
      <c r="G855" s="594"/>
      <c r="H855" s="651" t="str">
        <f>IF(K855=EUconst_NA,EUconst_NA,INDEX(EUconst_BMlistCLstatus,MATCH(K855,EUconst_BMlistMainNumberOfBM,0)))</f>
        <v>NA</v>
      </c>
      <c r="I855" s="38"/>
      <c r="J855" s="846" t="str">
        <f>IF($I852="",EUconst_NA,INDEX(CNTR_SubInstStartDate,MATCH(E855,CNTR_SubInstListNames,0)))</f>
        <v>NA</v>
      </c>
      <c r="K855" s="546" t="str">
        <f>IF($I852="",EUconst_NA,INDEX(EUconst_BMlistMainNumberOfBM,MATCH(E855,EUconst_BMlistNames,0)))</f>
        <v>NA</v>
      </c>
      <c r="L855" s="988" t="str">
        <f>IF(E855="","",INDEX(CNTR_SubInstLess1Year,MATCH(E855,CNTR_SubInstListNames,0)))</f>
        <v/>
      </c>
      <c r="M855" s="991" t="str">
        <f>IF(I852="",EUconst_NA,INDEX(EUconst_BMlistBMvaluesMatrix,MATCH(K855,EUconst_BMlistMainNumberOfBM,0),2))</f>
        <v>NA</v>
      </c>
      <c r="N855" s="992" t="str">
        <f>EUconst_EUA &amp; "/" &amp; H860</f>
        <v>ESK/tonnas</v>
      </c>
      <c r="O855" s="25"/>
      <c r="P855" s="437"/>
      <c r="Q855" s="437"/>
      <c r="R855" s="732" t="s">
        <v>554</v>
      </c>
      <c r="S855" s="815" t="str">
        <f>IF(H855=EUconst_NA,"",IF(H855,1,INDEX(EUconst_CLEFYears,1)))</f>
        <v/>
      </c>
      <c r="T855" s="26"/>
    </row>
    <row r="856" spans="1:20" s="697" customFormat="1" x14ac:dyDescent="0.2">
      <c r="A856" s="437"/>
      <c r="B856" s="414"/>
      <c r="C856" s="414"/>
      <c r="D856" s="414"/>
      <c r="G856" s="648" t="str">
        <f>Translations!$B$1218</f>
        <v>ETS neaptverts siltums</v>
      </c>
      <c r="H856" s="647" t="s">
        <v>623</v>
      </c>
      <c r="I856" s="812" t="str">
        <f>Translations!$B$1220</f>
        <v>AGlāpā</v>
      </c>
      <c r="J856" s="648" t="s">
        <v>550</v>
      </c>
      <c r="K856" s="648" t="s">
        <v>551</v>
      </c>
      <c r="L856" s="38"/>
      <c r="M856" s="991" t="str">
        <f>IF(I852="",EUconst_NA,INDEX(EUconst_BMlistBMvaluesMatrix,MATCH(K855,EUconst_BMlistMainNumberOfBM,0),1))</f>
        <v>NA</v>
      </c>
      <c r="N856" s="992" t="str">
        <f>EUconst_EUA &amp; "/" &amp; H860</f>
        <v>ESK/tonnas</v>
      </c>
      <c r="O856" s="25"/>
      <c r="P856" s="437"/>
      <c r="Q856" s="437"/>
      <c r="R856" s="732" t="s">
        <v>658</v>
      </c>
      <c r="S856" s="1150" t="str">
        <f>IF($I852="",EUconst_NA,INDEX(EUconst_BMlistNumberOfBM,MATCH(I852,EUconst_BMlistNames,0)))</f>
        <v>NA</v>
      </c>
      <c r="T856" s="26"/>
    </row>
    <row r="857" spans="1:20" s="697" customFormat="1" ht="13.5" thickBot="1" x14ac:dyDescent="0.25">
      <c r="A857" s="437"/>
      <c r="B857" s="414"/>
      <c r="C857" s="414"/>
      <c r="D857" s="414"/>
      <c r="E857" s="868" t="str">
        <f>Translations!$B$1235</f>
        <v>Īpaši koeficienti/faktori:</v>
      </c>
      <c r="F857" s="868"/>
      <c r="G857" s="546" t="str">
        <f>IF($I852="","",SUMIF(F_ProductBM!$P:$P,EUconst_CNTR_HEAT&amp;$I852,F_ProductBM!$Q:$Q))</f>
        <v/>
      </c>
      <c r="H857" s="651" t="str">
        <f>IF(S856=EUconst_NA,EUconst_NA,INDEX(EUconst_BMlistCBAMstatus,MATCH(S856,EUconst_BMlistNumberOfBM,0)))</f>
        <v>NA</v>
      </c>
      <c r="I857" s="844" t="str">
        <f>IF(OR($I852="",CNTR_BaselinePeriod&lt;&gt;2),"",SUMIF(F_ProductBM!$P:$P,EUconst_CNTR_WGFlaredEF &amp; I852,F_ProductBM!$R:$R))</f>
        <v/>
      </c>
      <c r="J857" s="546" t="str">
        <f>IF($I852="","",IF($K855=42,SUMIF(H_SpecialBM!$P$9:$P$401,EUconst_CNTR_HVC,H_SpecialBM!$I$9:$I$401),0))</f>
        <v/>
      </c>
      <c r="K857" s="867" t="str">
        <f>IF($I852="","",IF($K855=47,IF(ISNUMBER(INDEX(H_SpecialBM!$Q$9:$Q$401,MATCH(EUconst_CNTR_VCM,H_SpecialBM!$P$9:$P$401,0))),INDEX(H_SpecialBM!$Q$9:$Q$401,MATCH(EUconst_CNTR_VCM,H_SpecialBM!$P$9:$P$401,0)),1),1))</f>
        <v/>
      </c>
      <c r="L857" s="38"/>
      <c r="M857" s="993" t="str">
        <f>IF(I852="",EUconst_NA,IF(EUconst_StatusOfDataCollection,INDEX(EUconst_BMlistBMvaluesMatrix,MATCH(K855,EUconst_BMlistMainNumberOfBM,0),3),""))</f>
        <v>NA</v>
      </c>
      <c r="N857" s="994" t="str">
        <f>EUconst_EUA &amp; "/" &amp; H860</f>
        <v>ESK/tonnas</v>
      </c>
      <c r="O857" s="25"/>
      <c r="P857" s="437"/>
      <c r="Q857" s="437"/>
      <c r="R857" s="732"/>
      <c r="S857" s="866"/>
      <c r="T857" s="26"/>
    </row>
    <row r="858" spans="1:20" s="697" customFormat="1" ht="5.0999999999999996" customHeight="1" x14ac:dyDescent="0.2">
      <c r="A858" s="437"/>
      <c r="B858" s="414"/>
      <c r="C858" s="414"/>
      <c r="D858" s="414"/>
      <c r="E858" s="414"/>
      <c r="F858" s="414"/>
      <c r="G858" s="414"/>
      <c r="H858" s="414"/>
      <c r="I858" s="414"/>
      <c r="J858" s="414"/>
      <c r="K858" s="414"/>
      <c r="L858" s="414"/>
      <c r="M858" s="414"/>
      <c r="N858" s="414"/>
      <c r="O858" s="25"/>
      <c r="P858" s="437"/>
      <c r="Q858" s="437"/>
      <c r="R858" s="437"/>
      <c r="S858" s="437"/>
      <c r="T858" s="26"/>
    </row>
    <row r="859" spans="1:20" s="697" customFormat="1" x14ac:dyDescent="0.2">
      <c r="A859" s="437"/>
      <c r="B859" s="414"/>
      <c r="C859" s="414"/>
      <c r="D859" s="414"/>
      <c r="E859" s="652"/>
      <c r="F859" s="652"/>
      <c r="G859" s="653"/>
      <c r="H859" s="864" t="str">
        <f>EUconst_Unit</f>
        <v>Vienība</v>
      </c>
      <c r="I859" s="447">
        <f>I$1652</f>
        <v>2019</v>
      </c>
      <c r="J859" s="447">
        <f>J$1652</f>
        <v>2020</v>
      </c>
      <c r="K859" s="447">
        <f>K$1652</f>
        <v>2021</v>
      </c>
      <c r="L859" s="447">
        <f>L$1652</f>
        <v>2022</v>
      </c>
      <c r="M859" s="447">
        <f>M$1652</f>
        <v>2023</v>
      </c>
      <c r="N859" s="414"/>
      <c r="O859" s="25"/>
      <c r="P859" s="202" t="s">
        <v>228</v>
      </c>
      <c r="Q859" s="437"/>
      <c r="R859" s="437"/>
      <c r="S859" s="437"/>
      <c r="T859" s="26"/>
    </row>
    <row r="860" spans="1:20" s="697" customFormat="1" x14ac:dyDescent="0.2">
      <c r="A860" s="437"/>
      <c r="B860" s="414"/>
      <c r="C860" s="414"/>
      <c r="D860" s="414"/>
      <c r="E860" s="654" t="str">
        <f>Translations!$B$1236</f>
        <v>Ziņotais HAL (vēsturiskais darbības līmenis)</v>
      </c>
      <c r="F860" s="655"/>
      <c r="G860" s="656"/>
      <c r="H860" s="651" t="str">
        <f>IF(ISNUMBER(K855),INDEX(EUconst_BMlistUnits,MATCH(K855,EUconst_BMlistMainNumberOfBM,0)),EUconst_Tons)</f>
        <v>tonnas</v>
      </c>
      <c r="I860" s="546" t="str">
        <f>IF($I852="","",SUMIF(F_ProductBM!$P$11:$P$1814,$P860,F_ProductBM!I$11:I$1814))</f>
        <v/>
      </c>
      <c r="J860" s="546" t="str">
        <f>IF($I852="","",SUMIF(F_ProductBM!$P$11:$P$1814,$P860,F_ProductBM!J$11:J$1814))</f>
        <v/>
      </c>
      <c r="K860" s="546" t="str">
        <f>IF($I852="","",SUMIF(F_ProductBM!$P$11:$P$1814,$P860,F_ProductBM!K$11:K$1814))</f>
        <v/>
      </c>
      <c r="L860" s="546" t="str">
        <f>IF($I852="","",SUMIF(F_ProductBM!$P$11:$P$1814,$P860,F_ProductBM!L$11:L$1814))</f>
        <v/>
      </c>
      <c r="M860" s="546" t="str">
        <f>IF($I852="","",SUMIF(F_ProductBM!$P$11:$P$1814,$P860,F_ProductBM!M$11:M$1814))</f>
        <v/>
      </c>
      <c r="N860" s="648" t="s">
        <v>625</v>
      </c>
      <c r="O860" s="25"/>
      <c r="P860" s="202" t="str">
        <f>EUconst_CNTR_HAL&amp;I852</f>
        <v>HAL_</v>
      </c>
      <c r="Q860" s="437"/>
      <c r="R860" s="437"/>
      <c r="S860" s="437"/>
      <c r="T860" s="26"/>
    </row>
    <row r="861" spans="1:20" s="697" customFormat="1" x14ac:dyDescent="0.2">
      <c r="A861" s="437"/>
      <c r="B861" s="414"/>
      <c r="C861" s="414"/>
      <c r="D861" s="414"/>
      <c r="E861" s="654" t="str">
        <f>Translations!$B$1237</f>
        <v>HAL aprēķinam izmantotās vērtības:</v>
      </c>
      <c r="F861" s="655"/>
      <c r="G861" s="656"/>
      <c r="H861" s="651" t="str">
        <f>H860</f>
        <v>tonnas</v>
      </c>
      <c r="I861" s="546" t="str">
        <f>IF($I852="","",INDEX(F_ProductBM!S$11:S$1814,MATCH($P861,F_ProductBM!$P$11:$P$1814,0)))</f>
        <v/>
      </c>
      <c r="J861" s="546" t="str">
        <f>IF($I852="","",INDEX(F_ProductBM!T$11:T$1814,MATCH($P861,F_ProductBM!$P$11:$P$1814,0)))</f>
        <v/>
      </c>
      <c r="K861" s="546" t="str">
        <f>IF($I852="","",INDEX(F_ProductBM!U$11:U$1814,MATCH($P861,F_ProductBM!$P$11:$P$1814,0)))</f>
        <v/>
      </c>
      <c r="L861" s="546" t="str">
        <f>IF($I852="","",INDEX(F_ProductBM!V$11:V$1814,MATCH($P861,F_ProductBM!$P$11:$P$1814,0)))</f>
        <v/>
      </c>
      <c r="M861" s="546" t="str">
        <f>IF($I852="","",INDEX(F_ProductBM!W$11:W$1814,MATCH($P861,F_ProductBM!$P$11:$P$1814,0)))</f>
        <v/>
      </c>
      <c r="N861" s="546" t="str">
        <f>IF(OR($I852="",$L855=TRUE),"",IF(COUNT($I861:$M861)&gt;0,MEDIAN($I861:$M861),""))</f>
        <v/>
      </c>
      <c r="O861" s="25"/>
      <c r="P861" s="202" t="str">
        <f>EUconst_CNTR_HAL&amp;I852</f>
        <v>HAL_</v>
      </c>
      <c r="Q861" s="437"/>
      <c r="R861" s="931" t="s">
        <v>604</v>
      </c>
      <c r="S861" s="931" t="s">
        <v>605</v>
      </c>
      <c r="T861" s="931" t="s">
        <v>606</v>
      </c>
    </row>
    <row r="862" spans="1:20" s="697" customFormat="1" ht="5.0999999999999996" customHeight="1" x14ac:dyDescent="0.2">
      <c r="A862" s="437"/>
      <c r="B862" s="414"/>
      <c r="C862" s="414"/>
      <c r="D862" s="414"/>
      <c r="E862" s="865"/>
      <c r="F862" s="865"/>
      <c r="G862" s="865"/>
      <c r="H862" s="865"/>
      <c r="I862" s="865"/>
      <c r="J862" s="865"/>
      <c r="K862" s="865"/>
      <c r="L862" s="865"/>
      <c r="O862" s="25"/>
      <c r="P862" s="437"/>
      <c r="Q862" s="437"/>
      <c r="R862" s="437"/>
      <c r="S862" s="437"/>
      <c r="T862" s="26"/>
    </row>
    <row r="863" spans="1:20" s="697" customFormat="1" ht="12.75" customHeight="1" x14ac:dyDescent="0.2">
      <c r="A863" s="437"/>
      <c r="B863" s="414"/>
      <c r="C863" s="414"/>
      <c r="D863" s="414"/>
      <c r="E863" s="1892" t="str">
        <f>Translations!$B$689</f>
        <v>Relevantais elektroenerģijas patēriņš</v>
      </c>
      <c r="F863" s="1892"/>
      <c r="G863" s="1892"/>
      <c r="H863" s="1101" t="str">
        <f>EUconst_MWhpa</f>
        <v>MWh / gads</v>
      </c>
      <c r="I863" s="1166" t="str">
        <f>IF($I852="","",IF(INDEX(F_ProductBM!I:I,MATCH($P863,F_ProductBM!$Q:$Q,0))="","",INDEX(F_ProductBM!I:I,MATCH($P863,F_ProductBM!$Q:$Q,0))))</f>
        <v/>
      </c>
      <c r="J863" s="1166" t="str">
        <f>IF($I852="","",IF(INDEX(F_ProductBM!J:J,MATCH($P863,F_ProductBM!$Q:$Q,0))="","",INDEX(F_ProductBM!J:J,MATCH($P863,F_ProductBM!$Q:$Q,0))))</f>
        <v/>
      </c>
      <c r="K863" s="1166" t="str">
        <f>IF($I852="","",IF(INDEX(F_ProductBM!K:K,MATCH($P863,F_ProductBM!$Q:$Q,0))="","",INDEX(F_ProductBM!K:K,MATCH($P863,F_ProductBM!$Q:$Q,0))))</f>
        <v/>
      </c>
      <c r="L863" s="1166" t="str">
        <f>IF($I852="","",IF(INDEX(F_ProductBM!L:L,MATCH($P863,F_ProductBM!$Q:$Q,0))="","",INDEX(F_ProductBM!L:L,MATCH($P863,F_ProductBM!$Q:$Q,0))))</f>
        <v/>
      </c>
      <c r="M863" s="1166" t="str">
        <f>IF($I852="","",IF(INDEX(F_ProductBM!M:M,MATCH($P863,F_ProductBM!$Q:$Q,0))="","",INDEX(F_ProductBM!M:M,MATCH($P863,F_ProductBM!$Q:$Q,0))))</f>
        <v/>
      </c>
      <c r="N863" s="38"/>
      <c r="O863" s="25"/>
      <c r="P863" s="202" t="str">
        <f>EUconst_CNTR_HAL&amp;EUconst_CNTR_ELEXCH &amp; I852</f>
        <v>HAL_ELEXCH_</v>
      </c>
      <c r="Q863" s="437"/>
      <c r="R863" s="437"/>
      <c r="S863" s="437"/>
      <c r="T863" s="26"/>
    </row>
    <row r="864" spans="1:20" s="697" customFormat="1" ht="5.0999999999999996" customHeight="1" thickBot="1" x14ac:dyDescent="0.25">
      <c r="A864" s="437"/>
      <c r="B864" s="414"/>
      <c r="C864" s="414"/>
      <c r="D864" s="414"/>
      <c r="E864" s="865"/>
      <c r="F864" s="865"/>
      <c r="G864" s="865"/>
      <c r="H864" s="865"/>
      <c r="I864" s="865"/>
      <c r="J864" s="865"/>
      <c r="K864" s="865"/>
      <c r="L864" s="865"/>
      <c r="O864" s="25"/>
      <c r="P864" s="437"/>
      <c r="Q864" s="437"/>
      <c r="R864" s="437"/>
      <c r="S864" s="437"/>
      <c r="T864" s="26"/>
    </row>
    <row r="865" spans="1:20" s="697" customFormat="1" ht="13.5" thickBot="1" x14ac:dyDescent="0.25">
      <c r="A865" s="437"/>
      <c r="B865" s="414"/>
      <c r="D865" s="414"/>
      <c r="E865" s="865"/>
      <c r="F865" s="816" t="str">
        <f>Translations!$B$1728</f>
        <v>HAL kopā</v>
      </c>
      <c r="G865" s="817"/>
      <c r="I865" s="816" t="str">
        <f>Translations!$B$1226</f>
        <v>1. gada prov. ied. apj. (min.)</v>
      </c>
      <c r="J865" s="817"/>
      <c r="K865" s="816" t="str">
        <f>Translations!$B$1229</f>
        <v>1. gada prov. ied. apj. (maks.)</v>
      </c>
      <c r="L865" s="817"/>
      <c r="M865" s="816" t="str">
        <f>Translations!$B$1231</f>
        <v>1. gada prov. ied. apj. (fakt.)</v>
      </c>
      <c r="N865" s="817"/>
      <c r="O865" s="25"/>
      <c r="P865" s="202" t="str">
        <f>EUconst_AllocPrelim&amp;I852</f>
        <v>AllocPrelim_</v>
      </c>
      <c r="Q865" s="437"/>
      <c r="R865" s="900" t="str">
        <f>IF(I866="","",IF(S855=0,0,SUM(I866)/S855))</f>
        <v/>
      </c>
      <c r="S865" s="900" t="str">
        <f>IF(K866="","",IF(S855=0,0,SUM(K866)/S855))</f>
        <v/>
      </c>
      <c r="T865" s="900" t="str">
        <f>T852</f>
        <v/>
      </c>
    </row>
    <row r="866" spans="1:20" s="697" customFormat="1" ht="13.5" thickBot="1" x14ac:dyDescent="0.25">
      <c r="A866" s="437"/>
      <c r="B866" s="414"/>
      <c r="E866" s="865"/>
      <c r="F866" s="658" t="str">
        <f>IF(I852="","",MAX(0, IF(L855=TRUE, SUM(L857), SUM(N861))))</f>
        <v/>
      </c>
      <c r="G866" s="659" t="str">
        <f>H860&amp;" / "&amp;EUconst_Year</f>
        <v>tonnas / gads</v>
      </c>
      <c r="I866" s="814" t="str">
        <f>IF(I852="","",ROUND((SUM(M855)*SUM(F866)*SUM(K857)-SUM(G857)-SUM(I857)+SUM(J857))*SUM(S855),0))</f>
        <v/>
      </c>
      <c r="J866" s="884" t="str">
        <f>EUconst_EUApa</f>
        <v>ESK / gads</v>
      </c>
      <c r="K866" s="814" t="str">
        <f>IF(I852="","",ROUND((SUM(M856)*SUM(F866)*SUM(K857)-SUM(G857)-SUM(I857)+SUM(J857))*SUM(S855),0))</f>
        <v/>
      </c>
      <c r="L866" s="884" t="str">
        <f>EUconst_EUApa</f>
        <v>ESK / gads</v>
      </c>
      <c r="M866" s="814" t="str">
        <f>IF(OR(I852="",M857=""),"",ROUND((SUM(M857)*SUM(F866)*SUM(K857)-SUM(G857)-SUM(I857)+SUM(J857))*SUM(S855),0))</f>
        <v/>
      </c>
      <c r="N866" s="884" t="str">
        <f>EUconst_EUApa</f>
        <v>ESK / gads</v>
      </c>
      <c r="O866" s="25"/>
      <c r="P866" s="202" t="str">
        <f>EUconst_HALsum &amp; I852</f>
        <v>HALsum_</v>
      </c>
      <c r="Q866" s="437"/>
      <c r="R866" s="437"/>
      <c r="S866" s="437"/>
      <c r="T866" s="26"/>
    </row>
    <row r="867" spans="1:20" s="697" customFormat="1" ht="5.0999999999999996" customHeight="1" x14ac:dyDescent="0.2">
      <c r="A867" s="437"/>
      <c r="B867" s="414"/>
      <c r="C867" s="414"/>
      <c r="E867" s="440"/>
      <c r="F867" s="414"/>
      <c r="G867" s="414"/>
      <c r="H867" s="414"/>
      <c r="I867" s="414"/>
      <c r="J867" s="414"/>
      <c r="K867" s="414"/>
      <c r="L867" s="414"/>
      <c r="M867" s="414"/>
      <c r="N867" s="414"/>
      <c r="O867" s="25"/>
      <c r="P867" s="437"/>
      <c r="Q867" s="437"/>
      <c r="R867" s="437"/>
      <c r="S867" s="437"/>
      <c r="T867" s="26"/>
    </row>
    <row r="868" spans="1:20" s="697" customFormat="1" ht="5.0999999999999996" customHeight="1" x14ac:dyDescent="0.2">
      <c r="A868" s="437"/>
      <c r="B868" s="414"/>
      <c r="C868" s="414"/>
      <c r="D868" s="414"/>
      <c r="E868" s="526"/>
      <c r="F868" s="823"/>
      <c r="G868" s="823"/>
      <c r="H868" s="823"/>
      <c r="I868" s="823"/>
      <c r="J868" s="823"/>
      <c r="K868" s="823"/>
      <c r="L868" s="823"/>
      <c r="M868" s="823"/>
      <c r="N868" s="823"/>
      <c r="O868" s="25"/>
      <c r="P868" s="437"/>
      <c r="Q868" s="437"/>
      <c r="R868" s="437"/>
      <c r="S868" s="437"/>
      <c r="T868" s="26"/>
    </row>
    <row r="869" spans="1:20" s="697" customFormat="1" ht="13.5" thickBot="1" x14ac:dyDescent="0.25">
      <c r="A869" s="437"/>
      <c r="B869" s="414"/>
      <c r="C869" s="414"/>
      <c r="D869" s="414"/>
      <c r="E869" s="526"/>
      <c r="F869" s="823"/>
      <c r="G869" s="823"/>
      <c r="H869" s="525" t="str">
        <f>EUconst_Unit</f>
        <v>Vienība</v>
      </c>
      <c r="I869" s="929">
        <f>I$1652</f>
        <v>2019</v>
      </c>
      <c r="J869" s="463">
        <f>J$1652</f>
        <v>2020</v>
      </c>
      <c r="K869" s="463">
        <f>K$1652</f>
        <v>2021</v>
      </c>
      <c r="L869" s="463">
        <f>L$1652</f>
        <v>2022</v>
      </c>
      <c r="M869" s="463">
        <f>M$1652</f>
        <v>2023</v>
      </c>
      <c r="N869" s="823"/>
      <c r="O869" s="25"/>
      <c r="P869" s="437"/>
      <c r="Q869" s="437"/>
      <c r="R869" s="437"/>
      <c r="S869" s="437"/>
      <c r="T869" s="26"/>
    </row>
    <row r="870" spans="1:20" s="697" customFormat="1" ht="13.5" customHeight="1" thickBot="1" x14ac:dyDescent="0.25">
      <c r="A870" s="437"/>
      <c r="B870" s="414"/>
      <c r="C870" s="414"/>
      <c r="D870" s="414"/>
      <c r="E870" s="1789" t="str">
        <f>Translations!$B$1238</f>
        <v>Kopējās attiecinātās emisijas</v>
      </c>
      <c r="F870" s="1789"/>
      <c r="G870" s="1789"/>
      <c r="H870" s="886" t="str">
        <f>EUconst_tCO2epa</f>
        <v>t CO2e/gads</v>
      </c>
      <c r="I870" s="1151" t="str">
        <f>INDEX(I$115:I$134,MATCH($I852,$E$115:$E$134,0))</f>
        <v/>
      </c>
      <c r="J870" s="1152" t="str">
        <f>INDEX(J$115:J$134,MATCH($I852,$E$115:$E$134,0))</f>
        <v/>
      </c>
      <c r="K870" s="1152" t="str">
        <f>INDEX(K$115:K$134,MATCH($I852,$E$115:$E$134,0))</f>
        <v/>
      </c>
      <c r="L870" s="1152" t="str">
        <f>INDEX(L$115:L$134,MATCH($I852,$E$115:$E$134,0))</f>
        <v/>
      </c>
      <c r="M870" s="1153" t="str">
        <f>INDEX(M$115:M$134,MATCH($I852,$E$115:$E$134,0))</f>
        <v/>
      </c>
      <c r="N870" s="823"/>
      <c r="O870" s="25"/>
      <c r="P870" s="437"/>
      <c r="Q870" s="437"/>
      <c r="R870" s="437"/>
      <c r="S870" s="437"/>
      <c r="T870" s="26"/>
    </row>
    <row r="871" spans="1:20" s="697" customFormat="1" ht="5.0999999999999996" customHeight="1" x14ac:dyDescent="0.2">
      <c r="A871" s="437"/>
      <c r="B871" s="414"/>
      <c r="C871" s="414"/>
      <c r="D871" s="414"/>
      <c r="E871" s="526"/>
      <c r="F871" s="526"/>
      <c r="G871" s="526"/>
      <c r="H871" s="526"/>
      <c r="I871" s="921"/>
      <c r="J871" s="921"/>
      <c r="K871" s="921"/>
      <c r="L871" s="921"/>
      <c r="M871" s="921"/>
      <c r="N871" s="526"/>
      <c r="O871" s="25"/>
      <c r="P871" s="437"/>
      <c r="Q871" s="437"/>
      <c r="R871" s="437"/>
      <c r="S871" s="437"/>
      <c r="T871" s="26"/>
    </row>
    <row r="872" spans="1:20" s="697" customFormat="1" x14ac:dyDescent="0.2">
      <c r="A872" s="437"/>
      <c r="B872" s="414"/>
      <c r="C872" s="414"/>
      <c r="D872" s="414"/>
      <c r="E872" s="1667" t="str">
        <f>Translations!$B$1623</f>
        <v>Kopējā enerģijas ielaide</v>
      </c>
      <c r="F872" s="1660"/>
      <c r="G872" s="1660"/>
      <c r="H872" s="466" t="str">
        <f>EUconst_TJpa</f>
        <v>TJ / gads</v>
      </c>
      <c r="I872" s="922" t="str">
        <f>IF($I852="","",IF(INDEX(F_ProductBM!I:I,MATCH($P872,F_ProductBM!$P:$P,0))="","",INDEX(F_ProductBM!I:I,MATCH($P872,F_ProductBM!$P:$P,0))))</f>
        <v/>
      </c>
      <c r="J872" s="922" t="str">
        <f>IF($I852="","",IF(INDEX(F_ProductBM!J:J,MATCH($P872,F_ProductBM!$P:$P,0))="","",INDEX(F_ProductBM!J:J,MATCH($P872,F_ProductBM!$P:$P,0))))</f>
        <v/>
      </c>
      <c r="K872" s="922" t="str">
        <f>IF($I852="","",IF(INDEX(F_ProductBM!K:K,MATCH($P872,F_ProductBM!$P:$P,0))="","",INDEX(F_ProductBM!K:K,MATCH($P872,F_ProductBM!$P:$P,0))))</f>
        <v/>
      </c>
      <c r="L872" s="922" t="str">
        <f>IF($I852="","",IF(INDEX(F_ProductBM!L:L,MATCH($P872,F_ProductBM!$P:$P,0))="","",INDEX(F_ProductBM!L:L,MATCH($P872,F_ProductBM!$P:$P,0))))</f>
        <v/>
      </c>
      <c r="M872" s="922" t="str">
        <f>IF($I852="","",IF(INDEX(F_ProductBM!M:M,MATCH($P872,F_ProductBM!$P:$P,0))="","",INDEX(F_ProductBM!M:M,MATCH($P872,F_ProductBM!$P:$P,0))))</f>
        <v/>
      </c>
      <c r="N872" s="823"/>
      <c r="O872" s="25"/>
      <c r="P872" s="822" t="str">
        <f>EUconst_CNTR_FuelInput &amp; I852</f>
        <v>FuelInput_</v>
      </c>
      <c r="Q872" s="437"/>
      <c r="R872" s="437"/>
      <c r="S872" s="437"/>
      <c r="T872" s="26"/>
    </row>
    <row r="873" spans="1:20" s="697" customFormat="1" ht="12.75" customHeight="1" x14ac:dyDescent="0.2">
      <c r="A873" s="437"/>
      <c r="B873" s="414"/>
      <c r="C873" s="414"/>
      <c r="D873" s="414"/>
      <c r="E873" s="1737" t="str">
        <f>Translations!$B$732</f>
        <v>Svērtais emisijas faktors</v>
      </c>
      <c r="F873" s="1659"/>
      <c r="G873" s="1659"/>
      <c r="H873" s="485" t="str">
        <f>EUconst_tCO2pTJ</f>
        <v>t CO2 / TJ</v>
      </c>
      <c r="I873" s="923" t="str">
        <f>IF($I852="","",IF(INDEX(F_ProductBM!I:I,MATCH($P873,F_ProductBM!$P:$P,0))="","",INDEX(F_ProductBM!I:I,MATCH($P873,F_ProductBM!$P:$P,0))))</f>
        <v/>
      </c>
      <c r="J873" s="923" t="str">
        <f>IF($I852="","",IF(INDEX(F_ProductBM!J:J,MATCH($P873,F_ProductBM!$P:$P,0))="","",INDEX(F_ProductBM!J:J,MATCH($P873,F_ProductBM!$P:$P,0))))</f>
        <v/>
      </c>
      <c r="K873" s="923" t="str">
        <f>IF($I852="","",IF(INDEX(F_ProductBM!K:K,MATCH($P873,F_ProductBM!$P:$P,0))="","",INDEX(F_ProductBM!K:K,MATCH($P873,F_ProductBM!$P:$P,0))))</f>
        <v/>
      </c>
      <c r="L873" s="923" t="str">
        <f>IF($I852="","",IF(INDEX(F_ProductBM!L:L,MATCH($P873,F_ProductBM!$P:$P,0))="","",INDEX(F_ProductBM!L:L,MATCH($P873,F_ProductBM!$P:$P,0))))</f>
        <v/>
      </c>
      <c r="M873" s="923" t="str">
        <f>IF($I852="","",IF(INDEX(F_ProductBM!M:M,MATCH($P873,F_ProductBM!$P:$P,0))="","",INDEX(F_ProductBM!M:M,MATCH($P873,F_ProductBM!$P:$P,0))))</f>
        <v/>
      </c>
      <c r="N873" s="823"/>
      <c r="O873" s="25"/>
      <c r="P873" s="367" t="str">
        <f>EUconst_CNTR_FuelEF &amp; I852</f>
        <v>FuelEF_</v>
      </c>
      <c r="Q873" s="437"/>
      <c r="R873" s="437"/>
      <c r="S873" s="437"/>
      <c r="T873" s="26"/>
    </row>
    <row r="874" spans="1:20" s="697" customFormat="1" ht="5.0999999999999996" customHeight="1" x14ac:dyDescent="0.2">
      <c r="A874" s="437"/>
      <c r="B874" s="414"/>
      <c r="C874" s="414"/>
      <c r="E874" s="526"/>
      <c r="F874" s="823"/>
      <c r="G874" s="823"/>
      <c r="H874" s="823"/>
      <c r="I874" s="924"/>
      <c r="J874" s="924"/>
      <c r="K874" s="924"/>
      <c r="L874" s="924"/>
      <c r="M874" s="924"/>
      <c r="N874" s="823"/>
      <c r="O874" s="25"/>
      <c r="P874" s="437"/>
      <c r="Q874" s="437"/>
      <c r="R874" s="437"/>
      <c r="S874" s="437"/>
      <c r="T874" s="26"/>
    </row>
    <row r="875" spans="1:20" s="697" customFormat="1" ht="12.75" customHeight="1" x14ac:dyDescent="0.2">
      <c r="A875" s="437"/>
      <c r="B875" s="414"/>
      <c r="C875" s="414"/>
      <c r="E875" s="1651" t="str">
        <f>Translations!$B$687</f>
        <v>Tiešās emisijas</v>
      </c>
      <c r="F875" s="1652"/>
      <c r="G875" s="1652"/>
      <c r="H875" s="465" t="str">
        <f>EUconst_tCO2pa</f>
        <v>t CO2 / gads</v>
      </c>
      <c r="I875" s="1103" t="str">
        <f>IF($I852="","",IF(INDEX(F_ProductBM!I:I,MATCH($P875,F_ProductBM!$P:$P,0))="","",INDEX(F_ProductBM!I:I,MATCH($P875,F_ProductBM!$P:$P,0))))</f>
        <v/>
      </c>
      <c r="J875" s="1103" t="str">
        <f>IF($I852="","",IF(INDEX(F_ProductBM!J:J,MATCH($P875,F_ProductBM!$P:$P,0))="","",INDEX(F_ProductBM!J:J,MATCH($P875,F_ProductBM!$P:$P,0))))</f>
        <v/>
      </c>
      <c r="K875" s="1103" t="str">
        <f>IF($I852="","",IF(INDEX(F_ProductBM!K:K,MATCH($P875,F_ProductBM!$P:$P,0))="","",INDEX(F_ProductBM!K:K,MATCH($P875,F_ProductBM!$P:$P,0))))</f>
        <v/>
      </c>
      <c r="L875" s="1103" t="str">
        <f>IF($I852="","",IF(INDEX(F_ProductBM!L:L,MATCH($P875,F_ProductBM!$P:$P,0))="","",INDEX(F_ProductBM!L:L,MATCH($P875,F_ProductBM!$P:$P,0))))</f>
        <v/>
      </c>
      <c r="M875" s="1103" t="str">
        <f>IF($I852="","",IF(INDEX(F_ProductBM!M:M,MATCH($P875,F_ProductBM!$P:$P,0))="","",INDEX(F_ProductBM!M:M,MATCH($P875,F_ProductBM!$P:$P,0))))</f>
        <v/>
      </c>
      <c r="N875" s="823"/>
      <c r="O875" s="25"/>
      <c r="P875" s="367" t="str">
        <f>EUconst_CNTR_Emissions &amp; I852</f>
        <v>DirEmissions_</v>
      </c>
      <c r="Q875" s="437"/>
      <c r="R875" s="437"/>
      <c r="S875" s="437"/>
      <c r="T875" s="26"/>
    </row>
    <row r="876" spans="1:20" s="697" customFormat="1" ht="12.75" customHeight="1" x14ac:dyDescent="0.2">
      <c r="A876" s="437"/>
      <c r="B876" s="414"/>
      <c r="C876" s="414"/>
      <c r="E876" s="1893" t="str">
        <f>Translations!$B$742</f>
        <v>Citas avota plūsmas, 1:</v>
      </c>
      <c r="F876" s="1893"/>
      <c r="G876" s="1893"/>
      <c r="H876" s="465" t="str">
        <f>EUconst_tCO2pa</f>
        <v>t CO2 / gads</v>
      </c>
      <c r="I876" s="1103" t="str">
        <f>IF($I852="","",IF(INDEX(F_ProductBM!I:I,MATCH($P876,F_ProductBM!$P:$P,0))="","",INDEX(F_ProductBM!I:I,MATCH($P876,F_ProductBM!$P:$P,0))))</f>
        <v/>
      </c>
      <c r="J876" s="1103" t="str">
        <f>IF($I852="","",IF(INDEX(F_ProductBM!J:J,MATCH($P876,F_ProductBM!$P:$P,0))="","",INDEX(F_ProductBM!J:J,MATCH($P876,F_ProductBM!$P:$P,0))))</f>
        <v/>
      </c>
      <c r="K876" s="1103" t="str">
        <f>IF($I852="","",IF(INDEX(F_ProductBM!K:K,MATCH($P876,F_ProductBM!$P:$P,0))="","",INDEX(F_ProductBM!K:K,MATCH($P876,F_ProductBM!$P:$P,0))))</f>
        <v/>
      </c>
      <c r="L876" s="1103" t="str">
        <f>IF($I852="","",IF(INDEX(F_ProductBM!L:L,MATCH($P876,F_ProductBM!$P:$P,0))="","",INDEX(F_ProductBM!L:L,MATCH($P876,F_ProductBM!$P:$P,0))))</f>
        <v/>
      </c>
      <c r="M876" s="1103" t="str">
        <f>IF($I852="","",IF(INDEX(F_ProductBM!M:M,MATCH($P876,F_ProductBM!$P:$P,0))="","",INDEX(F_ProductBM!M:M,MATCH($P876,F_ProductBM!$P:$P,0))))</f>
        <v/>
      </c>
      <c r="N876" s="823"/>
      <c r="O876" s="25"/>
      <c r="P876" s="367" t="str">
        <f>EUconst_CNTR_EmissionsIntSource1 &amp; I852</f>
        <v>EmInternalSource1_</v>
      </c>
      <c r="Q876" s="437"/>
      <c r="R876" s="437"/>
      <c r="S876" s="437"/>
      <c r="T876" s="26"/>
    </row>
    <row r="877" spans="1:20" s="697" customFormat="1" ht="12.75" customHeight="1" x14ac:dyDescent="0.2">
      <c r="A877" s="437"/>
      <c r="B877" s="414"/>
      <c r="C877" s="414"/>
      <c r="E877" s="1893" t="str">
        <f>Translations!$B$752</f>
        <v>Citas avota plūsmas, 2:</v>
      </c>
      <c r="F877" s="1893"/>
      <c r="G877" s="1893"/>
      <c r="H877" s="465" t="str">
        <f>EUconst_tCO2pa</f>
        <v>t CO2 / gads</v>
      </c>
      <c r="I877" s="1103" t="str">
        <f>IF($I852="","",IF(INDEX(F_ProductBM!I:I,MATCH($P877,F_ProductBM!$P:$P,0))="","",INDEX(F_ProductBM!I:I,MATCH($P877,F_ProductBM!$P:$P,0))))</f>
        <v/>
      </c>
      <c r="J877" s="1103" t="str">
        <f>IF($I852="","",IF(INDEX(F_ProductBM!J:J,MATCH($P877,F_ProductBM!$P:$P,0))="","",INDEX(F_ProductBM!J:J,MATCH($P877,F_ProductBM!$P:$P,0))))</f>
        <v/>
      </c>
      <c r="K877" s="1103" t="str">
        <f>IF($I852="","",IF(INDEX(F_ProductBM!K:K,MATCH($P877,F_ProductBM!$P:$P,0))="","",INDEX(F_ProductBM!K:K,MATCH($P877,F_ProductBM!$P:$P,0))))</f>
        <v/>
      </c>
      <c r="L877" s="1103" t="str">
        <f>IF($I852="","",IF(INDEX(F_ProductBM!L:L,MATCH($P877,F_ProductBM!$P:$P,0))="","",INDEX(F_ProductBM!L:L,MATCH($P877,F_ProductBM!$P:$P,0))))</f>
        <v/>
      </c>
      <c r="M877" s="1103" t="str">
        <f>IF($I852="","",IF(INDEX(F_ProductBM!M:M,MATCH($P877,F_ProductBM!$P:$P,0))="","",INDEX(F_ProductBM!M:M,MATCH($P877,F_ProductBM!$P:$P,0))))</f>
        <v/>
      </c>
      <c r="N877" s="823"/>
      <c r="O877" s="25"/>
      <c r="P877" s="367" t="str">
        <f>EUconst_CNTR_EmissionsIntSource2 &amp; I852</f>
        <v>EmInternalSource2_</v>
      </c>
      <c r="Q877" s="437"/>
      <c r="R877" s="437"/>
      <c r="S877" s="437"/>
      <c r="T877" s="26"/>
    </row>
    <row r="878" spans="1:20" s="697" customFormat="1" ht="12.75" customHeight="1" x14ac:dyDescent="0.2">
      <c r="A878" s="437"/>
      <c r="B878" s="414"/>
      <c r="C878" s="414"/>
      <c r="D878" s="414"/>
      <c r="E878" s="1651" t="str">
        <f>Translations!$B$756</f>
        <v>Importētās vai eksportētās SEG</v>
      </c>
      <c r="F878" s="1652"/>
      <c r="G878" s="1652"/>
      <c r="H878" s="465" t="str">
        <f>EUconst_tCO2epa</f>
        <v>t CO2e/gads</v>
      </c>
      <c r="I878" s="1103" t="str">
        <f>IF($I852="","",IF(INDEX(F_ProductBM!I:I,MATCH($P878,F_ProductBM!$P:$P,0))="","",INDEX(F_ProductBM!I:I,MATCH($P878,F_ProductBM!$P:$P,0))))</f>
        <v/>
      </c>
      <c r="J878" s="1103" t="str">
        <f>IF($I852="","",IF(INDEX(F_ProductBM!J:J,MATCH($P878,F_ProductBM!$P:$P,0))="","",INDEX(F_ProductBM!J:J,MATCH($P878,F_ProductBM!$P:$P,0))))</f>
        <v/>
      </c>
      <c r="K878" s="1103" t="str">
        <f>IF($I852="","",IF(INDEX(F_ProductBM!K:K,MATCH($P878,F_ProductBM!$P:$P,0))="","",INDEX(F_ProductBM!K:K,MATCH($P878,F_ProductBM!$P:$P,0))))</f>
        <v/>
      </c>
      <c r="L878" s="1103" t="str">
        <f>IF($I852="","",IF(INDEX(F_ProductBM!L:L,MATCH($P878,F_ProductBM!$P:$P,0))="","",INDEX(F_ProductBM!L:L,MATCH($P878,F_ProductBM!$P:$P,0))))</f>
        <v/>
      </c>
      <c r="M878" s="1103" t="str">
        <f>IF($I852="","",IF(INDEX(F_ProductBM!M:M,MATCH($P878,F_ProductBM!$P:$P,0))="","",INDEX(F_ProductBM!M:M,MATCH($P878,F_ProductBM!$P:$P,0))))</f>
        <v/>
      </c>
      <c r="N878" s="823"/>
      <c r="O878" s="25"/>
      <c r="P878" s="367" t="str">
        <f>EUconst_CNTR_CO2Feedstock &amp; I852</f>
        <v>EmCO2Feedstock_</v>
      </c>
      <c r="Q878" s="437"/>
      <c r="R878" s="437"/>
      <c r="S878" s="437"/>
      <c r="T878" s="26"/>
    </row>
    <row r="879" spans="1:20" s="697" customFormat="1" ht="5.0999999999999996" customHeight="1" x14ac:dyDescent="0.2">
      <c r="A879" s="437"/>
      <c r="B879" s="414"/>
      <c r="C879" s="414"/>
      <c r="D879" s="414"/>
      <c r="E879" s="823"/>
      <c r="F879" s="823"/>
      <c r="G879" s="823"/>
      <c r="H879" s="823"/>
      <c r="I879" s="924"/>
      <c r="J879" s="924"/>
      <c r="K879" s="924"/>
      <c r="L879" s="924"/>
      <c r="M879" s="924"/>
      <c r="N879" s="823"/>
      <c r="O879" s="25"/>
      <c r="P879" s="437"/>
      <c r="Q879" s="437"/>
      <c r="R879" s="437"/>
      <c r="S879" s="437"/>
      <c r="T879" s="26"/>
    </row>
    <row r="880" spans="1:20" s="697" customFormat="1" ht="12.75" customHeight="1" x14ac:dyDescent="0.2">
      <c r="A880" s="437"/>
      <c r="B880" s="414"/>
      <c r="C880" s="414"/>
      <c r="D880" s="414"/>
      <c r="E880" s="1667" t="str">
        <f>Translations!$B$764</f>
        <v>Neto importētais siltums</v>
      </c>
      <c r="F880" s="1660"/>
      <c r="G880" s="1660"/>
      <c r="H880" s="466" t="str">
        <f>EUconst_TJpa</f>
        <v>TJ / gads</v>
      </c>
      <c r="I880" s="922" t="str">
        <f>IF($I852="","",IF(INDEX(F_ProductBM!I:I,MATCH($P880,F_ProductBM!$P:$P,0))="","",INDEX(F_ProductBM!I:I,MATCH($P880,F_ProductBM!$P:$P,0))))</f>
        <v/>
      </c>
      <c r="J880" s="922" t="str">
        <f>IF($I852="","",IF(INDEX(F_ProductBM!J:J,MATCH($P880,F_ProductBM!$P:$P,0))="","",INDEX(F_ProductBM!J:J,MATCH($P880,F_ProductBM!$P:$P,0))))</f>
        <v/>
      </c>
      <c r="K880" s="922" t="str">
        <f>IF($I852="","",IF(INDEX(F_ProductBM!K:K,MATCH($P880,F_ProductBM!$P:$P,0))="","",INDEX(F_ProductBM!K:K,MATCH($P880,F_ProductBM!$P:$P,0))))</f>
        <v/>
      </c>
      <c r="L880" s="922" t="str">
        <f>IF($I852="","",IF(INDEX(F_ProductBM!L:L,MATCH($P880,F_ProductBM!$P:$P,0))="","",INDEX(F_ProductBM!L:L,MATCH($P880,F_ProductBM!$P:$P,0))))</f>
        <v/>
      </c>
      <c r="M880" s="922" t="str">
        <f>IF($I852="","",IF(INDEX(F_ProductBM!M:M,MATCH($P880,F_ProductBM!$P:$P,0))="","",INDEX(F_ProductBM!M:M,MATCH($P880,F_ProductBM!$P:$P,0))))</f>
        <v/>
      </c>
      <c r="N880" s="823"/>
      <c r="O880" s="25"/>
      <c r="P880" s="367" t="str">
        <f>EUconst_CNTR_HeatImport &amp; I852</f>
        <v>HeatIm_</v>
      </c>
      <c r="Q880" s="437"/>
      <c r="R880" s="437"/>
      <c r="S880" s="437"/>
      <c r="T880" s="26"/>
    </row>
    <row r="881" spans="1:20" s="697" customFormat="1" ht="12.75" customHeight="1" x14ac:dyDescent="0.2">
      <c r="A881" s="437"/>
      <c r="B881" s="414"/>
      <c r="C881" s="414"/>
      <c r="D881" s="414"/>
      <c r="E881" s="1737" t="str">
        <f>Translations!$B$765</f>
        <v>Īpatnējais EF (importētais siltums)</v>
      </c>
      <c r="F881" s="1659"/>
      <c r="G881" s="1659"/>
      <c r="H881" s="485" t="str">
        <f>EUconst_tCO2pTJ</f>
        <v>t CO2 / TJ</v>
      </c>
      <c r="I881" s="923" t="str">
        <f>IF($I852="","",IF(INDEX(F_ProductBM!I:I,MATCH($P881,F_ProductBM!$P:$P,0))="","",INDEX(F_ProductBM!I:I,MATCH($P881,F_ProductBM!$P:$P,0))))</f>
        <v/>
      </c>
      <c r="J881" s="923" t="str">
        <f>IF($I852="","",IF(INDEX(F_ProductBM!J:J,MATCH($P881,F_ProductBM!$P:$P,0))="","",INDEX(F_ProductBM!J:J,MATCH($P881,F_ProductBM!$P:$P,0))))</f>
        <v/>
      </c>
      <c r="K881" s="923" t="str">
        <f>IF($I852="","",IF(INDEX(F_ProductBM!K:K,MATCH($P881,F_ProductBM!$P:$P,0))="","",INDEX(F_ProductBM!K:K,MATCH($P881,F_ProductBM!$P:$P,0))))</f>
        <v/>
      </c>
      <c r="L881" s="923" t="str">
        <f>IF($I852="","",IF(INDEX(F_ProductBM!L:L,MATCH($P881,F_ProductBM!$P:$P,0))="","",INDEX(F_ProductBM!L:L,MATCH($P881,F_ProductBM!$P:$P,0))))</f>
        <v/>
      </c>
      <c r="M881" s="923" t="str">
        <f>IF($I852="","",IF(INDEX(F_ProductBM!M:M,MATCH($P881,F_ProductBM!$P:$P,0))="","",INDEX(F_ProductBM!M:M,MATCH($P881,F_ProductBM!$P:$P,0))))</f>
        <v/>
      </c>
      <c r="N881" s="823"/>
      <c r="O881" s="25"/>
      <c r="P881" s="367" t="str">
        <f>EUconst_CNTR_HeatImportEF &amp; I852</f>
        <v>HeatImEF_</v>
      </c>
      <c r="Q881" s="437"/>
      <c r="R881" s="437"/>
      <c r="S881" s="437"/>
      <c r="T881" s="26"/>
    </row>
    <row r="882" spans="1:20" s="697" customFormat="1" ht="5.0999999999999996" customHeight="1" x14ac:dyDescent="0.2">
      <c r="A882" s="437"/>
      <c r="B882" s="414"/>
      <c r="C882" s="414"/>
      <c r="D882" s="414"/>
      <c r="E882" s="526"/>
      <c r="F882" s="823"/>
      <c r="G882" s="823"/>
      <c r="H882" s="823"/>
      <c r="I882" s="924"/>
      <c r="J882" s="924"/>
      <c r="K882" s="924"/>
      <c r="L882" s="924"/>
      <c r="M882" s="924"/>
      <c r="N882" s="823"/>
      <c r="O882" s="25"/>
      <c r="P882" s="26"/>
      <c r="Q882" s="437"/>
      <c r="R882" s="437"/>
      <c r="S882" s="437"/>
      <c r="T882" s="26"/>
    </row>
    <row r="883" spans="1:20" s="697" customFormat="1" ht="12.75" customHeight="1" x14ac:dyDescent="0.2">
      <c r="A883" s="437"/>
      <c r="B883" s="414"/>
      <c r="C883" s="414"/>
      <c r="D883" s="414"/>
      <c r="E883" s="1651" t="str">
        <f>Translations!$B$820</f>
        <v>No pulpas apakšiekārtām importētais neto siltums</v>
      </c>
      <c r="F883" s="1652"/>
      <c r="G883" s="1652"/>
      <c r="H883" s="465" t="str">
        <f>EUconst_TJpa</f>
        <v>TJ / gads</v>
      </c>
      <c r="I883" s="925" t="str">
        <f>IF($I852="","",IF(INDEX(F_ProductBM!I:I,MATCH($P883,F_ProductBM!$P:$P,0))="","",INDEX(F_ProductBM!I:I,MATCH($P883,F_ProductBM!$P:$P,0))))</f>
        <v/>
      </c>
      <c r="J883" s="925" t="str">
        <f>IF($I852="","",IF(INDEX(F_ProductBM!J:J,MATCH($P883,F_ProductBM!$P:$P,0))="","",INDEX(F_ProductBM!J:J,MATCH($P883,F_ProductBM!$P:$P,0))))</f>
        <v/>
      </c>
      <c r="K883" s="925" t="str">
        <f>IF($I852="","",IF(INDEX(F_ProductBM!K:K,MATCH($P883,F_ProductBM!$P:$P,0))="","",INDEX(F_ProductBM!K:K,MATCH($P883,F_ProductBM!$P:$P,0))))</f>
        <v/>
      </c>
      <c r="L883" s="925" t="str">
        <f>IF($I852="","",IF(INDEX(F_ProductBM!L:L,MATCH($P883,F_ProductBM!$P:$P,0))="","",INDEX(F_ProductBM!L:L,MATCH($P883,F_ProductBM!$P:$P,0))))</f>
        <v/>
      </c>
      <c r="M883" s="925" t="str">
        <f>IF($I852="","",IF(INDEX(F_ProductBM!M:M,MATCH($P883,F_ProductBM!$P:$P,0))="","",INDEX(F_ProductBM!M:M,MATCH($P883,F_ProductBM!$P:$P,0))))</f>
        <v/>
      </c>
      <c r="N883" s="823"/>
      <c r="O883" s="25"/>
      <c r="P883" s="367" t="str">
        <f>EUconst_CNTR_HeatImportPulp &amp; I852</f>
        <v>HeatImPulp_</v>
      </c>
      <c r="Q883" s="437"/>
      <c r="R883" s="437"/>
      <c r="S883" s="437"/>
      <c r="T883" s="26"/>
    </row>
    <row r="884" spans="1:20" s="697" customFormat="1" ht="12.75" customHeight="1" x14ac:dyDescent="0.2">
      <c r="A884" s="437"/>
      <c r="B884" s="414"/>
      <c r="C884" s="414"/>
      <c r="D884" s="414"/>
      <c r="E884" s="1651" t="str">
        <f>Translations!$B$768</f>
        <v>No slāpekļskābes apakšiekārtas importētais neto siltums</v>
      </c>
      <c r="F884" s="1652"/>
      <c r="G884" s="1652"/>
      <c r="H884" s="465" t="str">
        <f>EUconst_TJpa</f>
        <v>TJ / gads</v>
      </c>
      <c r="I884" s="925" t="str">
        <f>IF($I852="","",IF(INDEX(F_ProductBM!I:I,MATCH($P884,F_ProductBM!$P:$P,0))="","",INDEX(F_ProductBM!I:I,MATCH($P884,F_ProductBM!$P:$P,0))))</f>
        <v/>
      </c>
      <c r="J884" s="925" t="str">
        <f>IF($I852="","",IF(INDEX(F_ProductBM!J:J,MATCH($P884,F_ProductBM!$P:$P,0))="","",INDEX(F_ProductBM!J:J,MATCH($P884,F_ProductBM!$P:$P,0))))</f>
        <v/>
      </c>
      <c r="K884" s="925" t="str">
        <f>IF($I852="","",IF(INDEX(F_ProductBM!K:K,MATCH($P884,F_ProductBM!$P:$P,0))="","",INDEX(F_ProductBM!K:K,MATCH($P884,F_ProductBM!$P:$P,0))))</f>
        <v/>
      </c>
      <c r="L884" s="925" t="str">
        <f>IF($I852="","",IF(INDEX(F_ProductBM!L:L,MATCH($P884,F_ProductBM!$P:$P,0))="","",INDEX(F_ProductBM!L:L,MATCH($P884,F_ProductBM!$P:$P,0))))</f>
        <v/>
      </c>
      <c r="M884" s="925" t="str">
        <f>IF($I852="","",IF(INDEX(F_ProductBM!M:M,MATCH($P884,F_ProductBM!$P:$P,0))="","",INDEX(F_ProductBM!M:M,MATCH($P884,F_ProductBM!$P:$P,0))))</f>
        <v/>
      </c>
      <c r="N884" s="823"/>
      <c r="O884" s="25"/>
      <c r="P884" s="367" t="str">
        <f>EUconst_CNTR_HeatImportNitric &amp; I852</f>
        <v>HeatImNitric_</v>
      </c>
      <c r="Q884" s="437"/>
      <c r="R884" s="437"/>
      <c r="S884" s="437"/>
      <c r="T884" s="26"/>
    </row>
    <row r="885" spans="1:20" s="697" customFormat="1" ht="5.0999999999999996" customHeight="1" x14ac:dyDescent="0.2">
      <c r="A885" s="437"/>
      <c r="B885" s="414"/>
      <c r="C885" s="414"/>
      <c r="D885" s="414"/>
      <c r="E885" s="526"/>
      <c r="F885" s="526"/>
      <c r="G885" s="526"/>
      <c r="H885" s="526"/>
      <c r="I885" s="924"/>
      <c r="J885" s="924"/>
      <c r="K885" s="924"/>
      <c r="L885" s="924"/>
      <c r="M885" s="924"/>
      <c r="N885" s="823"/>
      <c r="O885" s="25"/>
      <c r="P885" s="26"/>
      <c r="Q885" s="437"/>
      <c r="R885" s="437"/>
      <c r="S885" s="437"/>
      <c r="T885" s="26"/>
    </row>
    <row r="886" spans="1:20" s="697" customFormat="1" ht="12.75" customHeight="1" x14ac:dyDescent="0.2">
      <c r="A886" s="437"/>
      <c r="B886" s="414"/>
      <c r="C886" s="414"/>
      <c r="D886" s="414"/>
      <c r="E886" s="1667" t="str">
        <f>Translations!$B$770</f>
        <v>Neto eksportētais siltums</v>
      </c>
      <c r="F886" s="1660"/>
      <c r="G886" s="1660"/>
      <c r="H886" s="466" t="str">
        <f>EUconst_TJpa</f>
        <v>TJ / gads</v>
      </c>
      <c r="I886" s="922" t="str">
        <f>IF($I852="","",IF(INDEX(F_ProductBM!I:I,MATCH($P886,F_ProductBM!$P:$P,0))="","",INDEX(F_ProductBM!I:I,MATCH($P886,F_ProductBM!$P:$P,0))))</f>
        <v/>
      </c>
      <c r="J886" s="922" t="str">
        <f>IF($I852="","",IF(INDEX(F_ProductBM!J:J,MATCH($P886,F_ProductBM!$P:$P,0))="","",INDEX(F_ProductBM!J:J,MATCH($P886,F_ProductBM!$P:$P,0))))</f>
        <v/>
      </c>
      <c r="K886" s="922" t="str">
        <f>IF($I852="","",IF(INDEX(F_ProductBM!K:K,MATCH($P886,F_ProductBM!$P:$P,0))="","",INDEX(F_ProductBM!K:K,MATCH($P886,F_ProductBM!$P:$P,0))))</f>
        <v/>
      </c>
      <c r="L886" s="922" t="str">
        <f>IF($I852="","",IF(INDEX(F_ProductBM!L:L,MATCH($P886,F_ProductBM!$P:$P,0))="","",INDEX(F_ProductBM!L:L,MATCH($P886,F_ProductBM!$P:$P,0))))</f>
        <v/>
      </c>
      <c r="M886" s="922" t="str">
        <f>IF($I852="","",IF(INDEX(F_ProductBM!M:M,MATCH($P886,F_ProductBM!$P:$P,0))="","",INDEX(F_ProductBM!M:M,MATCH($P886,F_ProductBM!$P:$P,0))))</f>
        <v/>
      </c>
      <c r="N886" s="823"/>
      <c r="O886" s="25"/>
      <c r="P886" s="367" t="str">
        <f>EUconst_CNTR_HeatExport &amp; I852</f>
        <v>HeatEx_</v>
      </c>
      <c r="Q886" s="437"/>
      <c r="R886" s="437"/>
      <c r="S886" s="437"/>
      <c r="T886" s="26"/>
    </row>
    <row r="887" spans="1:20" s="697" customFormat="1" ht="12.75" customHeight="1" x14ac:dyDescent="0.2">
      <c r="A887" s="437"/>
      <c r="B887" s="414"/>
      <c r="C887" s="414"/>
      <c r="D887" s="414"/>
      <c r="E887" s="1737" t="str">
        <f>Translations!$B$771</f>
        <v>Īpatnējais EF (eksportētais siltums)</v>
      </c>
      <c r="F887" s="1659"/>
      <c r="G887" s="1659"/>
      <c r="H887" s="485" t="str">
        <f>EUconst_tCO2pTJ</f>
        <v>t CO2 / TJ</v>
      </c>
      <c r="I887" s="923" t="str">
        <f>IF($I852="","",IF(INDEX(F_ProductBM!I:I,MATCH($P887,F_ProductBM!$P:$P,0))="","",INDEX(F_ProductBM!I:I,MATCH($P887,F_ProductBM!$P:$P,0))))</f>
        <v/>
      </c>
      <c r="J887" s="923" t="str">
        <f>IF($I852="","",IF(INDEX(F_ProductBM!J:J,MATCH($P887,F_ProductBM!$P:$P,0))="","",INDEX(F_ProductBM!J:J,MATCH($P887,F_ProductBM!$P:$P,0))))</f>
        <v/>
      </c>
      <c r="K887" s="923" t="str">
        <f>IF($I852="","",IF(INDEX(F_ProductBM!K:K,MATCH($P887,F_ProductBM!$P:$P,0))="","",INDEX(F_ProductBM!K:K,MATCH($P887,F_ProductBM!$P:$P,0))))</f>
        <v/>
      </c>
      <c r="L887" s="923" t="str">
        <f>IF($I852="","",IF(INDEX(F_ProductBM!L:L,MATCH($P887,F_ProductBM!$P:$P,0))="","",INDEX(F_ProductBM!L:L,MATCH($P887,F_ProductBM!$P:$P,0))))</f>
        <v/>
      </c>
      <c r="M887" s="923" t="str">
        <f>IF($I852="","",IF(INDEX(F_ProductBM!M:M,MATCH($P887,F_ProductBM!$P:$P,0))="","",INDEX(F_ProductBM!M:M,MATCH($P887,F_ProductBM!$P:$P,0))))</f>
        <v/>
      </c>
      <c r="N887" s="823"/>
      <c r="O887" s="25"/>
      <c r="P887" s="367" t="str">
        <f>EUconst_CNTR_HeatExportEF &amp; I852</f>
        <v>HeatExEF_</v>
      </c>
      <c r="Q887" s="437"/>
      <c r="R887" s="437"/>
      <c r="S887" s="437"/>
      <c r="T887" s="26"/>
    </row>
    <row r="888" spans="1:20" s="697" customFormat="1" ht="5.0999999999999996" customHeight="1" x14ac:dyDescent="0.2">
      <c r="A888" s="437"/>
      <c r="B888" s="414"/>
      <c r="C888" s="414"/>
      <c r="D888" s="414"/>
      <c r="E888" s="526"/>
      <c r="F888" s="526"/>
      <c r="G888" s="526"/>
      <c r="H888" s="526"/>
      <c r="I888" s="924"/>
      <c r="J888" s="924"/>
      <c r="K888" s="924"/>
      <c r="L888" s="924"/>
      <c r="M888" s="924"/>
      <c r="N888" s="823"/>
      <c r="O888" s="25"/>
      <c r="P888" s="199"/>
      <c r="Q888" s="437"/>
      <c r="R888" s="437"/>
      <c r="S888" s="437"/>
      <c r="T888" s="26"/>
    </row>
    <row r="889" spans="1:20" s="697" customFormat="1" ht="12.75" customHeight="1" x14ac:dyDescent="0.2">
      <c r="A889" s="437"/>
      <c r="B889" s="414"/>
      <c r="C889" s="414"/>
      <c r="D889" s="414"/>
      <c r="E889" s="1667" t="str">
        <f>Translations!$B$778</f>
        <v>Radusies atlikumgāze</v>
      </c>
      <c r="F889" s="1660"/>
      <c r="G889" s="1660"/>
      <c r="H889" s="466" t="str">
        <f>EUconst_TJpa</f>
        <v>TJ / gads</v>
      </c>
      <c r="I889" s="922" t="str">
        <f>IF($I852="","",IF(INDEX(F_ProductBM!I:I,MATCH($P889,F_ProductBM!$P:$P,0))="","",INDEX(F_ProductBM!I:I,MATCH($P889,F_ProductBM!$P:$P,0))))</f>
        <v/>
      </c>
      <c r="J889" s="922" t="str">
        <f>IF($I852="","",IF(INDEX(F_ProductBM!J:J,MATCH($P889,F_ProductBM!$P:$P,0))="","",INDEX(F_ProductBM!J:J,MATCH($P889,F_ProductBM!$P:$P,0))))</f>
        <v/>
      </c>
      <c r="K889" s="922" t="str">
        <f>IF($I852="","",IF(INDEX(F_ProductBM!K:K,MATCH($P889,F_ProductBM!$P:$P,0))="","",INDEX(F_ProductBM!K:K,MATCH($P889,F_ProductBM!$P:$P,0))))</f>
        <v/>
      </c>
      <c r="L889" s="922" t="str">
        <f>IF($I852="","",IF(INDEX(F_ProductBM!L:L,MATCH($P889,F_ProductBM!$P:$P,0))="","",INDEX(F_ProductBM!L:L,MATCH($P889,F_ProductBM!$P:$P,0))))</f>
        <v/>
      </c>
      <c r="M889" s="922" t="str">
        <f>IF($I852="","",IF(INDEX(F_ProductBM!M:M,MATCH($P889,F_ProductBM!$P:$P,0))="","",INDEX(F_ProductBM!M:M,MATCH($P889,F_ProductBM!$P:$P,0))))</f>
        <v/>
      </c>
      <c r="N889" s="823"/>
      <c r="O889" s="25"/>
      <c r="P889" s="822" t="str">
        <f>EUconst_CNTR_WGProduced &amp; I852</f>
        <v>WasteGasProd_</v>
      </c>
      <c r="Q889" s="437"/>
      <c r="R889" s="437"/>
      <c r="S889" s="437"/>
      <c r="T889" s="26"/>
    </row>
    <row r="890" spans="1:20" s="697" customFormat="1" ht="12.75" customHeight="1" x14ac:dyDescent="0.2">
      <c r="A890" s="437"/>
      <c r="B890" s="414"/>
      <c r="C890" s="414"/>
      <c r="D890" s="414"/>
      <c r="E890" s="1737" t="str">
        <f>Translations!$B$779</f>
        <v>Īpatnējais EF (radusies atlikumgāze)</v>
      </c>
      <c r="F890" s="1659"/>
      <c r="G890" s="1659"/>
      <c r="H890" s="485" t="str">
        <f>EUconst_tCO2pTJ</f>
        <v>t CO2 / TJ</v>
      </c>
      <c r="I890" s="923" t="str">
        <f>IF($I852="","",IF(INDEX(F_ProductBM!I:I,MATCH($P890,F_ProductBM!$P:$P,0))="","",INDEX(F_ProductBM!I:I,MATCH($P890,F_ProductBM!$P:$P,0))))</f>
        <v/>
      </c>
      <c r="J890" s="923" t="str">
        <f>IF($I852="","",IF(INDEX(F_ProductBM!J:J,MATCH($P890,F_ProductBM!$P:$P,0))="","",INDEX(F_ProductBM!J:J,MATCH($P890,F_ProductBM!$P:$P,0))))</f>
        <v/>
      </c>
      <c r="K890" s="923" t="str">
        <f>IF($I852="","",IF(INDEX(F_ProductBM!K:K,MATCH($P890,F_ProductBM!$P:$P,0))="","",INDEX(F_ProductBM!K:K,MATCH($P890,F_ProductBM!$P:$P,0))))</f>
        <v/>
      </c>
      <c r="L890" s="923" t="str">
        <f>IF($I852="","",IF(INDEX(F_ProductBM!L:L,MATCH($P890,F_ProductBM!$P:$P,0))="","",INDEX(F_ProductBM!L:L,MATCH($P890,F_ProductBM!$P:$P,0))))</f>
        <v/>
      </c>
      <c r="M890" s="923" t="str">
        <f>IF($I852="","",IF(INDEX(F_ProductBM!M:M,MATCH($P890,F_ProductBM!$P:$P,0))="","",INDEX(F_ProductBM!M:M,MATCH($P890,F_ProductBM!$P:$P,0))))</f>
        <v/>
      </c>
      <c r="N890" s="823"/>
      <c r="O890" s="25"/>
      <c r="P890" s="367" t="str">
        <f>EUconst_CNTR_WGProducedEF &amp; I852</f>
        <v>WasteGasProdEF_</v>
      </c>
      <c r="Q890" s="437"/>
      <c r="R890" s="437"/>
      <c r="S890" s="437"/>
      <c r="T890" s="26"/>
    </row>
    <row r="891" spans="1:20" s="697" customFormat="1" ht="12.75" customHeight="1" x14ac:dyDescent="0.2">
      <c r="A891" s="437"/>
      <c r="B891" s="414"/>
      <c r="C891" s="414"/>
      <c r="D891" s="414"/>
      <c r="E891" s="1667" t="str">
        <f>Translations!$B$783</f>
        <v>Patērētā atlikumgāze</v>
      </c>
      <c r="F891" s="1660"/>
      <c r="G891" s="1660"/>
      <c r="H891" s="466" t="str">
        <f>EUconst_TJpa</f>
        <v>TJ / gads</v>
      </c>
      <c r="I891" s="922" t="str">
        <f>IF($I852="","",IF(INDEX(F_ProductBM!I:I,MATCH($P891,F_ProductBM!$P:$P,0))="","",INDEX(F_ProductBM!I:I,MATCH($P891,F_ProductBM!$P:$P,0))))</f>
        <v/>
      </c>
      <c r="J891" s="922" t="str">
        <f>IF($I852="","",IF(INDEX(F_ProductBM!J:J,MATCH($P891,F_ProductBM!$P:$P,0))="","",INDEX(F_ProductBM!J:J,MATCH($P891,F_ProductBM!$P:$P,0))))</f>
        <v/>
      </c>
      <c r="K891" s="922" t="str">
        <f>IF($I852="","",IF(INDEX(F_ProductBM!K:K,MATCH($P891,F_ProductBM!$P:$P,0))="","",INDEX(F_ProductBM!K:K,MATCH($P891,F_ProductBM!$P:$P,0))))</f>
        <v/>
      </c>
      <c r="L891" s="922" t="str">
        <f>IF($I852="","",IF(INDEX(F_ProductBM!L:L,MATCH($P891,F_ProductBM!$P:$P,0))="","",INDEX(F_ProductBM!L:L,MATCH($P891,F_ProductBM!$P:$P,0))))</f>
        <v/>
      </c>
      <c r="M891" s="922" t="str">
        <f>IF($I852="","",IF(INDEX(F_ProductBM!M:M,MATCH($P891,F_ProductBM!$P:$P,0))="","",INDEX(F_ProductBM!M:M,MATCH($P891,F_ProductBM!$P:$P,0))))</f>
        <v/>
      </c>
      <c r="N891" s="823"/>
      <c r="O891" s="25"/>
      <c r="P891" s="367" t="str">
        <f>EUconst_CNTR_WGConsumed &amp; I852</f>
        <v>WasteGasCons_</v>
      </c>
      <c r="Q891" s="437"/>
      <c r="R891" s="437"/>
      <c r="S891" s="437"/>
      <c r="T891" s="26"/>
    </row>
    <row r="892" spans="1:20" s="697" customFormat="1" ht="12.75" customHeight="1" x14ac:dyDescent="0.2">
      <c r="A892" s="437"/>
      <c r="B892" s="414"/>
      <c r="C892" s="414"/>
      <c r="D892" s="414"/>
      <c r="E892" s="1737" t="str">
        <f>Translations!$B$784</f>
        <v>Īpatnējais EF (patērētā atlikumgāze)</v>
      </c>
      <c r="F892" s="1659"/>
      <c r="G892" s="1659"/>
      <c r="H892" s="485" t="str">
        <f>EUconst_tCO2pTJ</f>
        <v>t CO2 / TJ</v>
      </c>
      <c r="I892" s="923" t="str">
        <f>IF($I852="","",IF(INDEX(F_ProductBM!I:I,MATCH($P892,F_ProductBM!$P:$P,0))="","",INDEX(F_ProductBM!I:I,MATCH($P892,F_ProductBM!$P:$P,0))))</f>
        <v/>
      </c>
      <c r="J892" s="923" t="str">
        <f>IF($I852="","",IF(INDEX(F_ProductBM!J:J,MATCH($P892,F_ProductBM!$P:$P,0))="","",INDEX(F_ProductBM!J:J,MATCH($P892,F_ProductBM!$P:$P,0))))</f>
        <v/>
      </c>
      <c r="K892" s="923" t="str">
        <f>IF($I852="","",IF(INDEX(F_ProductBM!K:K,MATCH($P892,F_ProductBM!$P:$P,0))="","",INDEX(F_ProductBM!K:K,MATCH($P892,F_ProductBM!$P:$P,0))))</f>
        <v/>
      </c>
      <c r="L892" s="923" t="str">
        <f>IF($I852="","",IF(INDEX(F_ProductBM!L:L,MATCH($P892,F_ProductBM!$P:$P,0))="","",INDEX(F_ProductBM!L:L,MATCH($P892,F_ProductBM!$P:$P,0))))</f>
        <v/>
      </c>
      <c r="M892" s="923" t="str">
        <f>IF($I852="","",IF(INDEX(F_ProductBM!M:M,MATCH($P892,F_ProductBM!$P:$P,0))="","",INDEX(F_ProductBM!M:M,MATCH($P892,F_ProductBM!$P:$P,0))))</f>
        <v/>
      </c>
      <c r="N892" s="823"/>
      <c r="O892" s="25"/>
      <c r="P892" s="367" t="str">
        <f>EUconst_CNTR_WGConsumedEF &amp; I852</f>
        <v>WasteGasConsEF_</v>
      </c>
      <c r="Q892" s="437"/>
      <c r="R892" s="437"/>
      <c r="S892" s="437"/>
      <c r="T892" s="26"/>
    </row>
    <row r="893" spans="1:20" s="697" customFormat="1" ht="12.75" customHeight="1" x14ac:dyDescent="0.2">
      <c r="A893" s="437"/>
      <c r="B893" s="414"/>
      <c r="C893" s="414"/>
      <c r="D893" s="414"/>
      <c r="E893" s="1667" t="str">
        <f>Translations!$B$790</f>
        <v>Lāpā sadedzinātā atlikumgāze</v>
      </c>
      <c r="F893" s="1660"/>
      <c r="G893" s="1660"/>
      <c r="H893" s="466" t="str">
        <f>EUconst_TJpa</f>
        <v>TJ / gads</v>
      </c>
      <c r="I893" s="922" t="str">
        <f>IF($I852="","",IF(INDEX(F_ProductBM!I:I,MATCH($P893,F_ProductBM!$P:$P,0))="","",INDEX(F_ProductBM!I:I,MATCH($P893,F_ProductBM!$P:$P,0))))</f>
        <v/>
      </c>
      <c r="J893" s="922" t="str">
        <f>IF($I852="","",IF(INDEX(F_ProductBM!J:J,MATCH($P893,F_ProductBM!$P:$P,0))="","",INDEX(F_ProductBM!J:J,MATCH($P893,F_ProductBM!$P:$P,0))))</f>
        <v/>
      </c>
      <c r="K893" s="922" t="str">
        <f>IF($I852="","",IF(INDEX(F_ProductBM!K:K,MATCH($P893,F_ProductBM!$P:$P,0))="","",INDEX(F_ProductBM!K:K,MATCH($P893,F_ProductBM!$P:$P,0))))</f>
        <v/>
      </c>
      <c r="L893" s="922" t="str">
        <f>IF($I852="","",IF(INDEX(F_ProductBM!L:L,MATCH($P893,F_ProductBM!$P:$P,0))="","",INDEX(F_ProductBM!L:L,MATCH($P893,F_ProductBM!$P:$P,0))))</f>
        <v/>
      </c>
      <c r="M893" s="922" t="str">
        <f>IF($I852="","",IF(INDEX(F_ProductBM!M:M,MATCH($P893,F_ProductBM!$P:$P,0))="","",INDEX(F_ProductBM!M:M,MATCH($P893,F_ProductBM!$P:$P,0))))</f>
        <v/>
      </c>
      <c r="N893" s="823"/>
      <c r="O893" s="25"/>
      <c r="P893" s="367" t="str">
        <f>EUconst_CNTR_WGFlared &amp; I852</f>
        <v>WasteGasFlare_</v>
      </c>
      <c r="Q893" s="437"/>
      <c r="R893" s="437"/>
      <c r="S893" s="437"/>
      <c r="T893" s="26"/>
    </row>
    <row r="894" spans="1:20" s="697" customFormat="1" ht="12.75" customHeight="1" x14ac:dyDescent="0.2">
      <c r="A894" s="437"/>
      <c r="B894" s="414"/>
      <c r="C894" s="414"/>
      <c r="D894" s="414"/>
      <c r="E894" s="1737" t="str">
        <f>Translations!$B$791</f>
        <v>Īpatnējais EF (lāpā sadedzinātā atlikumgāze)</v>
      </c>
      <c r="F894" s="1659"/>
      <c r="G894" s="1659"/>
      <c r="H894" s="485" t="str">
        <f>EUconst_tCO2pTJ</f>
        <v>t CO2 / TJ</v>
      </c>
      <c r="I894" s="923" t="str">
        <f>IF($I852="","",IF(INDEX(F_ProductBM!I:I,MATCH($P894,F_ProductBM!$P:$P,0))="","",INDEX(F_ProductBM!I:I,MATCH($P894,F_ProductBM!$P:$P,0))))</f>
        <v/>
      </c>
      <c r="J894" s="923" t="str">
        <f>IF($I852="","",IF(INDEX(F_ProductBM!J:J,MATCH($P894,F_ProductBM!$P:$P,0))="","",INDEX(F_ProductBM!J:J,MATCH($P894,F_ProductBM!$P:$P,0))))</f>
        <v/>
      </c>
      <c r="K894" s="923" t="str">
        <f>IF($I852="","",IF(INDEX(F_ProductBM!K:K,MATCH($P894,F_ProductBM!$P:$P,0))="","",INDEX(F_ProductBM!K:K,MATCH($P894,F_ProductBM!$P:$P,0))))</f>
        <v/>
      </c>
      <c r="L894" s="923" t="str">
        <f>IF($I852="","",IF(INDEX(F_ProductBM!L:L,MATCH($P894,F_ProductBM!$P:$P,0))="","",INDEX(F_ProductBM!L:L,MATCH($P894,F_ProductBM!$P:$P,0))))</f>
        <v/>
      </c>
      <c r="M894" s="923" t="str">
        <f>IF($I852="","",IF(INDEX(F_ProductBM!M:M,MATCH($P894,F_ProductBM!$P:$P,0))="","",INDEX(F_ProductBM!M:M,MATCH($P894,F_ProductBM!$P:$P,0))))</f>
        <v/>
      </c>
      <c r="N894" s="823"/>
      <c r="O894" s="25"/>
      <c r="P894" s="367" t="str">
        <f>EUconst_CNTR_WGFlaredEF &amp; I852</f>
        <v>WasteGasFlareEF_</v>
      </c>
      <c r="Q894" s="437"/>
      <c r="R894" s="437"/>
      <c r="S894" s="437"/>
      <c r="T894" s="26"/>
    </row>
    <row r="895" spans="1:20" s="697" customFormat="1" ht="12.75" customHeight="1" x14ac:dyDescent="0.2">
      <c r="A895" s="437"/>
      <c r="B895" s="414"/>
      <c r="C895" s="414"/>
      <c r="D895" s="414"/>
      <c r="E895" s="1667" t="str">
        <f>Translations!$B$796</f>
        <v>Importētā atlikumgāze</v>
      </c>
      <c r="F895" s="1660"/>
      <c r="G895" s="1660"/>
      <c r="H895" s="466" t="str">
        <f>EUconst_TJpa</f>
        <v>TJ / gads</v>
      </c>
      <c r="I895" s="922" t="str">
        <f>IF($I852="","",IF(INDEX(F_ProductBM!I:I,MATCH($P895,F_ProductBM!$P:$P,0))="","",INDEX(F_ProductBM!I:I,MATCH($P895,F_ProductBM!$P:$P,0))))</f>
        <v/>
      </c>
      <c r="J895" s="922" t="str">
        <f>IF($I852="","",IF(INDEX(F_ProductBM!J:J,MATCH($P895,F_ProductBM!$P:$P,0))="","",INDEX(F_ProductBM!J:J,MATCH($P895,F_ProductBM!$P:$P,0))))</f>
        <v/>
      </c>
      <c r="K895" s="922" t="str">
        <f>IF($I852="","",IF(INDEX(F_ProductBM!K:K,MATCH($P895,F_ProductBM!$P:$P,0))="","",INDEX(F_ProductBM!K:K,MATCH($P895,F_ProductBM!$P:$P,0))))</f>
        <v/>
      </c>
      <c r="L895" s="922" t="str">
        <f>IF($I852="","",IF(INDEX(F_ProductBM!L:L,MATCH($P895,F_ProductBM!$P:$P,0))="","",INDEX(F_ProductBM!L:L,MATCH($P895,F_ProductBM!$P:$P,0))))</f>
        <v/>
      </c>
      <c r="M895" s="922" t="str">
        <f>IF($I852="","",IF(INDEX(F_ProductBM!M:M,MATCH($P895,F_ProductBM!$P:$P,0))="","",INDEX(F_ProductBM!M:M,MATCH($P895,F_ProductBM!$P:$P,0))))</f>
        <v/>
      </c>
      <c r="N895" s="823"/>
      <c r="O895" s="25"/>
      <c r="P895" s="367" t="str">
        <f>EUconst_CNTR_WGImport &amp; I852</f>
        <v>WasteGasIm_</v>
      </c>
      <c r="Q895" s="437"/>
      <c r="R895" s="437"/>
      <c r="S895" s="437"/>
      <c r="T895" s="26"/>
    </row>
    <row r="896" spans="1:20" s="697" customFormat="1" ht="12.75" customHeight="1" x14ac:dyDescent="0.2">
      <c r="A896" s="437"/>
      <c r="B896" s="414"/>
      <c r="C896" s="414"/>
      <c r="D896" s="414"/>
      <c r="E896" s="1737" t="str">
        <f>Translations!$B$797</f>
        <v>Īpatnējais EF (importētā atlikumgāze)</v>
      </c>
      <c r="F896" s="1737"/>
      <c r="G896" s="1737"/>
      <c r="H896" s="824" t="str">
        <f>EUconst_tCO2pTJ</f>
        <v>t CO2 / TJ</v>
      </c>
      <c r="I896" s="923" t="str">
        <f>IF($I852="","",IF(INDEX(F_ProductBM!I:I,MATCH($P896,F_ProductBM!$P:$P,0))="","",INDEX(F_ProductBM!I:I,MATCH($P896,F_ProductBM!$P:$P,0))))</f>
        <v/>
      </c>
      <c r="J896" s="923" t="str">
        <f>IF($I852="","",IF(INDEX(F_ProductBM!J:J,MATCH($P896,F_ProductBM!$P:$P,0))="","",INDEX(F_ProductBM!J:J,MATCH($P896,F_ProductBM!$P:$P,0))))</f>
        <v/>
      </c>
      <c r="K896" s="923" t="str">
        <f>IF($I852="","",IF(INDEX(F_ProductBM!K:K,MATCH($P896,F_ProductBM!$P:$P,0))="","",INDEX(F_ProductBM!K:K,MATCH($P896,F_ProductBM!$P:$P,0))))</f>
        <v/>
      </c>
      <c r="L896" s="923" t="str">
        <f>IF($I852="","",IF(INDEX(F_ProductBM!L:L,MATCH($P896,F_ProductBM!$P:$P,0))="","",INDEX(F_ProductBM!L:L,MATCH($P896,F_ProductBM!$P:$P,0))))</f>
        <v/>
      </c>
      <c r="M896" s="923" t="str">
        <f>IF($I852="","",IF(INDEX(F_ProductBM!M:M,MATCH($P896,F_ProductBM!$P:$P,0))="","",INDEX(F_ProductBM!M:M,MATCH($P896,F_ProductBM!$P:$P,0))))</f>
        <v/>
      </c>
      <c r="N896" s="823"/>
      <c r="O896" s="25"/>
      <c r="P896" s="367" t="str">
        <f>EUconst_CNTR_WGImportEF &amp; I852</f>
        <v>WasteGasImEF_</v>
      </c>
      <c r="Q896" s="437"/>
      <c r="R896" s="437"/>
      <c r="S896" s="437"/>
      <c r="T896" s="26"/>
    </row>
    <row r="897" spans="1:20" s="697" customFormat="1" ht="12.75" customHeight="1" x14ac:dyDescent="0.2">
      <c r="A897" s="437"/>
      <c r="B897" s="414"/>
      <c r="C897" s="414"/>
      <c r="D897" s="414"/>
      <c r="E897" s="1667" t="str">
        <f>Translations!$B$801</f>
        <v>Eksportētā atlikumgāze</v>
      </c>
      <c r="F897" s="1660"/>
      <c r="G897" s="1660"/>
      <c r="H897" s="466" t="str">
        <f>EUconst_TJpa</f>
        <v>TJ / gads</v>
      </c>
      <c r="I897" s="922" t="str">
        <f>IF($I852="","",IF(INDEX(F_ProductBM!I:I,MATCH($P897,F_ProductBM!$P:$P,0))="","",INDEX(F_ProductBM!I:I,MATCH($P897,F_ProductBM!$P:$P,0))))</f>
        <v/>
      </c>
      <c r="J897" s="922" t="str">
        <f>IF($I852="","",IF(INDEX(F_ProductBM!J:J,MATCH($P897,F_ProductBM!$P:$P,0))="","",INDEX(F_ProductBM!J:J,MATCH($P897,F_ProductBM!$P:$P,0))))</f>
        <v/>
      </c>
      <c r="K897" s="922" t="str">
        <f>IF($I852="","",IF(INDEX(F_ProductBM!K:K,MATCH($P897,F_ProductBM!$P:$P,0))="","",INDEX(F_ProductBM!K:K,MATCH($P897,F_ProductBM!$P:$P,0))))</f>
        <v/>
      </c>
      <c r="L897" s="922" t="str">
        <f>IF($I852="","",IF(INDEX(F_ProductBM!L:L,MATCH($P897,F_ProductBM!$P:$P,0))="","",INDEX(F_ProductBM!L:L,MATCH($P897,F_ProductBM!$P:$P,0))))</f>
        <v/>
      </c>
      <c r="M897" s="922" t="str">
        <f>IF($I852="","",IF(INDEX(F_ProductBM!M:M,MATCH($P897,F_ProductBM!$P:$P,0))="","",INDEX(F_ProductBM!M:M,MATCH($P897,F_ProductBM!$P:$P,0))))</f>
        <v/>
      </c>
      <c r="N897" s="823"/>
      <c r="O897" s="25"/>
      <c r="P897" s="367" t="str">
        <f>EUconst_CNTR_WGExport &amp; I852</f>
        <v>WasteGasEx_</v>
      </c>
      <c r="Q897" s="437"/>
      <c r="R897" s="437"/>
      <c r="S897" s="437"/>
      <c r="T897" s="26"/>
    </row>
    <row r="898" spans="1:20" s="697" customFormat="1" ht="12.75" customHeight="1" x14ac:dyDescent="0.2">
      <c r="A898" s="437"/>
      <c r="B898" s="414"/>
      <c r="C898" s="414"/>
      <c r="D898" s="414"/>
      <c r="E898" s="1737" t="str">
        <f>Translations!$B$802</f>
        <v>Īpatnējais EF (eksportētā atlikumgāze)</v>
      </c>
      <c r="F898" s="1737"/>
      <c r="G898" s="1737"/>
      <c r="H898" s="824" t="str">
        <f>EUconst_tCO2pTJ</f>
        <v>t CO2 / TJ</v>
      </c>
      <c r="I898" s="923" t="str">
        <f>IF($I852="","",IF(INDEX(F_ProductBM!I:I,MATCH($P898,F_ProductBM!$P:$P,0))="","",INDEX(F_ProductBM!I:I,MATCH($P898,F_ProductBM!$P:$P,0))))</f>
        <v/>
      </c>
      <c r="J898" s="923" t="str">
        <f>IF($I852="","",IF(INDEX(F_ProductBM!J:J,MATCH($P898,F_ProductBM!$P:$P,0))="","",INDEX(F_ProductBM!J:J,MATCH($P898,F_ProductBM!$P:$P,0))))</f>
        <v/>
      </c>
      <c r="K898" s="923" t="str">
        <f>IF($I852="","",IF(INDEX(F_ProductBM!K:K,MATCH($P898,F_ProductBM!$P:$P,0))="","",INDEX(F_ProductBM!K:K,MATCH($P898,F_ProductBM!$P:$P,0))))</f>
        <v/>
      </c>
      <c r="L898" s="923" t="str">
        <f>IF($I852="","",IF(INDEX(F_ProductBM!L:L,MATCH($P898,F_ProductBM!$P:$P,0))="","",INDEX(F_ProductBM!L:L,MATCH($P898,F_ProductBM!$P:$P,0))))</f>
        <v/>
      </c>
      <c r="M898" s="923" t="str">
        <f>IF($I852="","",IF(INDEX(F_ProductBM!M:M,MATCH($P898,F_ProductBM!$P:$P,0))="","",INDEX(F_ProductBM!M:M,MATCH($P898,F_ProductBM!$P:$P,0))))</f>
        <v/>
      </c>
      <c r="N898" s="823"/>
      <c r="O898" s="25"/>
      <c r="P898" s="367" t="str">
        <f>EUconst_CNTR_WGExportEF &amp; I852</f>
        <v>WasteGasExEF_</v>
      </c>
      <c r="Q898" s="437"/>
      <c r="R898" s="437"/>
      <c r="S898" s="437"/>
      <c r="T898" s="26"/>
    </row>
    <row r="899" spans="1:20" s="697" customFormat="1" ht="5.0999999999999996" customHeight="1" x14ac:dyDescent="0.2">
      <c r="A899" s="437"/>
      <c r="B899" s="414"/>
      <c r="C899" s="414"/>
      <c r="D899" s="414"/>
      <c r="E899" s="526"/>
      <c r="F899" s="526"/>
      <c r="G899" s="526"/>
      <c r="H899" s="526"/>
      <c r="I899" s="924"/>
      <c r="J899" s="924"/>
      <c r="K899" s="924"/>
      <c r="L899" s="924"/>
      <c r="M899" s="924"/>
      <c r="N899" s="823"/>
      <c r="O899" s="25"/>
      <c r="P899" s="199"/>
      <c r="Q899" s="437"/>
      <c r="R899" s="437"/>
      <c r="S899" s="437"/>
      <c r="T899" s="26"/>
    </row>
    <row r="900" spans="1:20" s="697" customFormat="1" ht="12.75" customHeight="1" x14ac:dyDescent="0.2">
      <c r="A900" s="437"/>
      <c r="B900" s="414"/>
      <c r="C900" s="414"/>
      <c r="D900" s="414"/>
      <c r="E900" s="1651" t="str">
        <f>Translations!$B$805</f>
        <v>Saražotā elektroenerģija</v>
      </c>
      <c r="F900" s="1652"/>
      <c r="G900" s="1652"/>
      <c r="H900" s="465" t="str">
        <f>EUconst_MWhpa</f>
        <v>MWh / gads</v>
      </c>
      <c r="I900" s="925" t="str">
        <f>IF($I852="","",IF(INDEX(F_ProductBM!I:I,MATCH($P900,F_ProductBM!$P:$P,0))="","",INDEX(F_ProductBM!I:I,MATCH($P900,F_ProductBM!$P:$P,0))))</f>
        <v/>
      </c>
      <c r="J900" s="925" t="str">
        <f>IF($I852="","",IF(INDEX(F_ProductBM!J:J,MATCH($P900,F_ProductBM!$P:$P,0))="","",INDEX(F_ProductBM!J:J,MATCH($P900,F_ProductBM!$P:$P,0))))</f>
        <v/>
      </c>
      <c r="K900" s="925" t="str">
        <f>IF($I852="","",IF(INDEX(F_ProductBM!K:K,MATCH($P900,F_ProductBM!$P:$P,0))="","",INDEX(F_ProductBM!K:K,MATCH($P900,F_ProductBM!$P:$P,0))))</f>
        <v/>
      </c>
      <c r="L900" s="925" t="str">
        <f>IF($I852="","",IF(INDEX(F_ProductBM!L:L,MATCH($P900,F_ProductBM!$P:$P,0))="","",INDEX(F_ProductBM!L:L,MATCH($P900,F_ProductBM!$P:$P,0))))</f>
        <v/>
      </c>
      <c r="M900" s="925" t="str">
        <f>IF($I852="","",IF(INDEX(F_ProductBM!M:M,MATCH($P900,F_ProductBM!$P:$P,0))="","",INDEX(F_ProductBM!M:M,MATCH($P900,F_ProductBM!$P:$P,0))))</f>
        <v/>
      </c>
      <c r="N900" s="823"/>
      <c r="O900" s="25"/>
      <c r="P900" s="367" t="str">
        <f>EUconst_CNTR_ElectricityExported &amp; I852</f>
        <v>ElecEx_</v>
      </c>
      <c r="Q900" s="437"/>
      <c r="R900" s="437"/>
      <c r="S900" s="437"/>
      <c r="T900" s="26"/>
    </row>
    <row r="901" spans="1:20" s="697" customFormat="1" ht="5.0999999999999996" customHeight="1" x14ac:dyDescent="0.2">
      <c r="A901" s="437"/>
      <c r="B901" s="414"/>
      <c r="C901" s="414"/>
      <c r="D901" s="414"/>
      <c r="E901" s="526"/>
      <c r="F901" s="526"/>
      <c r="G901" s="526"/>
      <c r="H901" s="526"/>
      <c r="I901" s="924"/>
      <c r="J901" s="924"/>
      <c r="K901" s="924"/>
      <c r="L901" s="924"/>
      <c r="M901" s="924"/>
      <c r="N901" s="823"/>
      <c r="O901" s="25"/>
      <c r="P901" s="199"/>
      <c r="Q901" s="437"/>
      <c r="R901" s="437"/>
      <c r="S901" s="437"/>
      <c r="T901" s="26"/>
    </row>
    <row r="902" spans="1:20" s="697" customFormat="1" x14ac:dyDescent="0.2">
      <c r="A902" s="437"/>
      <c r="B902" s="414"/>
      <c r="C902" s="414"/>
      <c r="D902" s="414"/>
      <c r="E902" s="1206" t="str">
        <f>Translations!$B$1239</f>
        <v>Starpproduktu imports:</v>
      </c>
      <c r="F902" s="526"/>
      <c r="G902" s="526"/>
      <c r="H902" s="526"/>
      <c r="I902" s="924"/>
      <c r="J902" s="924"/>
      <c r="K902" s="924"/>
      <c r="L902" s="924"/>
      <c r="M902" s="924"/>
      <c r="N902" s="823"/>
      <c r="O902" s="25"/>
      <c r="P902" s="199"/>
      <c r="Q902" s="437"/>
      <c r="R902" s="437"/>
      <c r="S902" s="437"/>
      <c r="T902" s="26"/>
    </row>
    <row r="903" spans="1:20" s="697" customFormat="1" x14ac:dyDescent="0.2">
      <c r="A903" s="437"/>
      <c r="B903" s="414"/>
      <c r="C903" s="414"/>
      <c r="D903" s="414"/>
      <c r="E903" s="1689" t="str">
        <f>IF($I852="","",IF(INDEX(F_ProductBM!E:E,MATCH($P903,F_ProductBM!$P:$P,0))="","",INDEX(F_ProductBM!E:E,MATCH($P903,F_ProductBM!$P:$P,0))))</f>
        <v/>
      </c>
      <c r="F903" s="1689"/>
      <c r="G903" s="1689"/>
      <c r="H903" s="465" t="str">
        <f>EUconst_Tons</f>
        <v>tonnas</v>
      </c>
      <c r="I903" s="1103" t="str">
        <f>IF($I852="","",IF(INDEX(F_ProductBM!I:I,MATCH($P903,F_ProductBM!$P:$P,0))="","",INDEX(F_ProductBM!I:I,MATCH($P903,F_ProductBM!$P:$P,0))))</f>
        <v/>
      </c>
      <c r="J903" s="1103" t="str">
        <f>IF($I852="","",IF(INDEX(F_ProductBM!J:J,MATCH($P903,F_ProductBM!$P:$P,0))="","",INDEX(F_ProductBM!J:J,MATCH($P903,F_ProductBM!$P:$P,0))))</f>
        <v/>
      </c>
      <c r="K903" s="1103" t="str">
        <f>IF($I852="","",IF(INDEX(F_ProductBM!K:K,MATCH($P903,F_ProductBM!$P:$P,0))="","",INDEX(F_ProductBM!K:K,MATCH($P903,F_ProductBM!$P:$P,0))))</f>
        <v/>
      </c>
      <c r="L903" s="1103" t="str">
        <f>IF($I852="","",IF(INDEX(F_ProductBM!L:L,MATCH($P903,F_ProductBM!$P:$P,0))="","",INDEX(F_ProductBM!L:L,MATCH($P903,F_ProductBM!$P:$P,0))))</f>
        <v/>
      </c>
      <c r="M903" s="1103" t="str">
        <f>IF($I852="","",IF(INDEX(F_ProductBM!M:M,MATCH($P903,F_ProductBM!$P:$P,0))="","",INDEX(F_ProductBM!M:M,MATCH($P903,F_ProductBM!$P:$P,0))))</f>
        <v/>
      </c>
      <c r="N903" s="823"/>
      <c r="O903" s="25"/>
      <c r="P903" s="367" t="str">
        <f>EUconst_CNTR_IntermediateImport &amp; R903 &amp; "_" &amp; I852</f>
        <v>IntImp_1_</v>
      </c>
      <c r="Q903" s="437"/>
      <c r="R903" s="869">
        <v>1</v>
      </c>
      <c r="S903" s="437"/>
      <c r="T903" s="26"/>
    </row>
    <row r="904" spans="1:20" s="697" customFormat="1" x14ac:dyDescent="0.2">
      <c r="A904" s="437"/>
      <c r="B904" s="414"/>
      <c r="C904" s="414"/>
      <c r="D904" s="414"/>
      <c r="E904" s="1689" t="str">
        <f>IF($I852="","",IF(INDEX(F_ProductBM!E:E,MATCH($P904,F_ProductBM!$P:$P,0))="","",INDEX(F_ProductBM!E:E,MATCH($P904,F_ProductBM!$P:$P,0))))</f>
        <v/>
      </c>
      <c r="F904" s="1689"/>
      <c r="G904" s="1689"/>
      <c r="H904" s="465" t="str">
        <f>EUconst_Tons</f>
        <v>tonnas</v>
      </c>
      <c r="I904" s="1103" t="str">
        <f>IF($I852="","",IF(INDEX(F_ProductBM!I:I,MATCH($P904,F_ProductBM!$P:$P,0))="","",INDEX(F_ProductBM!I:I,MATCH($P904,F_ProductBM!$P:$P,0))))</f>
        <v/>
      </c>
      <c r="J904" s="1103" t="str">
        <f>IF($I852="","",IF(INDEX(F_ProductBM!J:J,MATCH($P904,F_ProductBM!$P:$P,0))="","",INDEX(F_ProductBM!J:J,MATCH($P904,F_ProductBM!$P:$P,0))))</f>
        <v/>
      </c>
      <c r="K904" s="1103" t="str">
        <f>IF($I852="","",IF(INDEX(F_ProductBM!K:K,MATCH($P904,F_ProductBM!$P:$P,0))="","",INDEX(F_ProductBM!K:K,MATCH($P904,F_ProductBM!$P:$P,0))))</f>
        <v/>
      </c>
      <c r="L904" s="1103" t="str">
        <f>IF($I852="","",IF(INDEX(F_ProductBM!L:L,MATCH($P904,F_ProductBM!$P:$P,0))="","",INDEX(F_ProductBM!L:L,MATCH($P904,F_ProductBM!$P:$P,0))))</f>
        <v/>
      </c>
      <c r="M904" s="1103" t="str">
        <f>IF($I852="","",IF(INDEX(F_ProductBM!M:M,MATCH($P904,F_ProductBM!$P:$P,0))="","",INDEX(F_ProductBM!M:M,MATCH($P904,F_ProductBM!$P:$P,0))))</f>
        <v/>
      </c>
      <c r="N904" s="823"/>
      <c r="O904" s="25"/>
      <c r="P904" s="367" t="str">
        <f>EUconst_CNTR_IntermediateImport &amp; R904 &amp; "_" &amp; I852</f>
        <v>IntImp_2_</v>
      </c>
      <c r="Q904" s="437"/>
      <c r="R904" s="869">
        <v>2</v>
      </c>
      <c r="S904" s="437"/>
      <c r="T904" s="26"/>
    </row>
    <row r="905" spans="1:20" s="697" customFormat="1" x14ac:dyDescent="0.2">
      <c r="A905" s="437"/>
      <c r="B905" s="414"/>
      <c r="C905" s="414"/>
      <c r="D905" s="414"/>
      <c r="E905" s="1206" t="str">
        <f>Translations!$B$1240</f>
        <v>Starpproduktu eksports:</v>
      </c>
      <c r="F905" s="526"/>
      <c r="G905" s="526"/>
      <c r="H905" s="526"/>
      <c r="I905" s="1140"/>
      <c r="J905" s="1140"/>
      <c r="K905" s="1140"/>
      <c r="L905" s="1140"/>
      <c r="M905" s="1140"/>
      <c r="N905" s="823"/>
      <c r="O905" s="25"/>
      <c r="P905" s="199"/>
      <c r="Q905" s="437"/>
      <c r="R905" s="437"/>
      <c r="S905" s="437"/>
      <c r="T905" s="26"/>
    </row>
    <row r="906" spans="1:20" s="697" customFormat="1" x14ac:dyDescent="0.2">
      <c r="A906" s="437"/>
      <c r="B906" s="414"/>
      <c r="C906" s="414"/>
      <c r="D906" s="414"/>
      <c r="E906" s="1689" t="str">
        <f>IF($I852="","",IF(INDEX(F_ProductBM!E:E,MATCH($P906,F_ProductBM!$P:$P,0))="","",INDEX(F_ProductBM!E:E,MATCH($P906,F_ProductBM!$P:$P,0))))</f>
        <v/>
      </c>
      <c r="F906" s="1689"/>
      <c r="G906" s="1689"/>
      <c r="H906" s="465" t="str">
        <f>EUconst_Tons</f>
        <v>tonnas</v>
      </c>
      <c r="I906" s="1103" t="str">
        <f>IF($I852="","",IF(INDEX(F_ProductBM!I:I,MATCH($P906,F_ProductBM!$P:$P,0))="","",INDEX(F_ProductBM!I:I,MATCH($P906,F_ProductBM!$P:$P,0))))</f>
        <v/>
      </c>
      <c r="J906" s="1103" t="str">
        <f>IF($I852="","",IF(INDEX(F_ProductBM!J:J,MATCH($P906,F_ProductBM!$P:$P,0))="","",INDEX(F_ProductBM!J:J,MATCH($P906,F_ProductBM!$P:$P,0))))</f>
        <v/>
      </c>
      <c r="K906" s="1103" t="str">
        <f>IF($I852="","",IF(INDEX(F_ProductBM!K:K,MATCH($P906,F_ProductBM!$P:$P,0))="","",INDEX(F_ProductBM!K:K,MATCH($P906,F_ProductBM!$P:$P,0))))</f>
        <v/>
      </c>
      <c r="L906" s="1103" t="str">
        <f>IF($I852="","",IF(INDEX(F_ProductBM!L:L,MATCH($P906,F_ProductBM!$P:$P,0))="","",INDEX(F_ProductBM!L:L,MATCH($P906,F_ProductBM!$P:$P,0))))</f>
        <v/>
      </c>
      <c r="M906" s="1103" t="str">
        <f>IF($I852="","",IF(INDEX(F_ProductBM!M:M,MATCH($P906,F_ProductBM!$P:$P,0))="","",INDEX(F_ProductBM!M:M,MATCH($P906,F_ProductBM!$P:$P,0))))</f>
        <v/>
      </c>
      <c r="N906" s="823"/>
      <c r="O906" s="25"/>
      <c r="P906" s="367" t="str">
        <f>EUconst_CNTR_IntermediateExport &amp; R903 &amp; "_" &amp; I852</f>
        <v>IntExp_1_</v>
      </c>
      <c r="Q906" s="437"/>
      <c r="R906" s="869">
        <v>1</v>
      </c>
      <c r="S906" s="437"/>
      <c r="T906" s="26"/>
    </row>
    <row r="907" spans="1:20" s="697" customFormat="1" x14ac:dyDescent="0.2">
      <c r="A907" s="437"/>
      <c r="B907" s="414"/>
      <c r="C907" s="414"/>
      <c r="D907" s="414"/>
      <c r="E907" s="1689" t="str">
        <f>IF($I852="","",IF(INDEX(F_ProductBM!E:E,MATCH($P907,F_ProductBM!$P:$P,0))="","",INDEX(F_ProductBM!E:E,MATCH($P907,F_ProductBM!$P:$P,0))))</f>
        <v/>
      </c>
      <c r="F907" s="1689"/>
      <c r="G907" s="1689"/>
      <c r="H907" s="465" t="str">
        <f>EUconst_Tons</f>
        <v>tonnas</v>
      </c>
      <c r="I907" s="1103" t="str">
        <f>IF($I852="","",IF(INDEX(F_ProductBM!I:I,MATCH($P907,F_ProductBM!$P:$P,0))="","",INDEX(F_ProductBM!I:I,MATCH($P907,F_ProductBM!$P:$P,0))))</f>
        <v/>
      </c>
      <c r="J907" s="1103" t="str">
        <f>IF($I852="","",IF(INDEX(F_ProductBM!J:J,MATCH($P907,F_ProductBM!$P:$P,0))="","",INDEX(F_ProductBM!J:J,MATCH($P907,F_ProductBM!$P:$P,0))))</f>
        <v/>
      </c>
      <c r="K907" s="1103" t="str">
        <f>IF($I852="","",IF(INDEX(F_ProductBM!K:K,MATCH($P907,F_ProductBM!$P:$P,0))="","",INDEX(F_ProductBM!K:K,MATCH($P907,F_ProductBM!$P:$P,0))))</f>
        <v/>
      </c>
      <c r="L907" s="1103" t="str">
        <f>IF($I852="","",IF(INDEX(F_ProductBM!L:L,MATCH($P907,F_ProductBM!$P:$P,0))="","",INDEX(F_ProductBM!L:L,MATCH($P907,F_ProductBM!$P:$P,0))))</f>
        <v/>
      </c>
      <c r="M907" s="1103" t="str">
        <f>IF($I852="","",IF(INDEX(F_ProductBM!M:M,MATCH($P907,F_ProductBM!$P:$P,0))="","",INDEX(F_ProductBM!M:M,MATCH($P907,F_ProductBM!$P:$P,0))))</f>
        <v/>
      </c>
      <c r="N907" s="823"/>
      <c r="O907" s="25"/>
      <c r="P907" s="367" t="str">
        <f>EUconst_CNTR_IntermediateExport &amp; R907 &amp; "_" &amp; I852</f>
        <v>IntExp_2_</v>
      </c>
      <c r="Q907" s="437"/>
      <c r="R907" s="869">
        <v>2</v>
      </c>
      <c r="S907" s="437"/>
      <c r="T907" s="26"/>
    </row>
    <row r="908" spans="1:20" s="697" customFormat="1" ht="5.0999999999999996" customHeight="1" x14ac:dyDescent="0.2">
      <c r="A908" s="437"/>
      <c r="B908" s="414"/>
      <c r="C908" s="414"/>
      <c r="D908" s="414"/>
      <c r="E908" s="526"/>
      <c r="F908" s="526"/>
      <c r="G908" s="526"/>
      <c r="H908" s="526"/>
      <c r="I908" s="823"/>
      <c r="J908" s="823"/>
      <c r="K908" s="823"/>
      <c r="L908" s="823"/>
      <c r="M908" s="823"/>
      <c r="N908" s="823"/>
      <c r="O908" s="25"/>
      <c r="P908" s="199"/>
      <c r="Q908" s="437"/>
      <c r="R908" s="931"/>
      <c r="S908" s="437"/>
      <c r="T908" s="26"/>
    </row>
    <row r="909" spans="1:20" s="697" customFormat="1" x14ac:dyDescent="0.2">
      <c r="A909" s="437"/>
      <c r="B909" s="414"/>
      <c r="C909" s="414"/>
      <c r="D909" s="414"/>
      <c r="E909" s="1881" t="str">
        <f>Translations!$B$1729</f>
        <v>Korekcijas īpašās līmeņatzīmes atjaunināšanai (attiecīgā gadījumā)</v>
      </c>
      <c r="F909" s="1881"/>
      <c r="G909" s="1881"/>
      <c r="H909" s="1881"/>
      <c r="I909" s="1881"/>
      <c r="J909" s="1881"/>
      <c r="K909" s="1881"/>
      <c r="L909" s="1881"/>
      <c r="M909" s="1881"/>
      <c r="N909" s="823"/>
      <c r="O909" s="25"/>
      <c r="P909" s="199"/>
      <c r="Q909" s="437"/>
      <c r="R909" s="931"/>
      <c r="S909" s="437"/>
      <c r="T909" s="26"/>
    </row>
    <row r="910" spans="1:20" s="697" customFormat="1" ht="12.75" customHeight="1" x14ac:dyDescent="0.2">
      <c r="A910" s="437"/>
      <c r="B910" s="414"/>
      <c r="C910" s="414"/>
      <c r="D910" s="414"/>
      <c r="E910" s="1651" t="str">
        <f>Translations!$B$806</f>
        <v>Kopējais saražotās pulpas daudzums</v>
      </c>
      <c r="F910" s="1651"/>
      <c r="G910" s="1651"/>
      <c r="H910" s="465" t="str">
        <f>EUconst_Tons</f>
        <v>tonnas</v>
      </c>
      <c r="I910" s="1103" t="str">
        <f>IF($I852="","",IF(INDEX(F_ProductBM!I:I,MATCH($P910,F_ProductBM!$P:$P,0))="","",INDEX(F_ProductBM!I:I,MATCH($P910,F_ProductBM!$P:$P,0))))</f>
        <v/>
      </c>
      <c r="J910" s="1103" t="str">
        <f>IF($I852="","",IF(INDEX(F_ProductBM!J:J,MATCH($P910,F_ProductBM!$P:$P,0))="","",INDEX(F_ProductBM!J:J,MATCH($P910,F_ProductBM!$P:$P,0))))</f>
        <v/>
      </c>
      <c r="K910" s="1103" t="str">
        <f>IF($I852="","",IF(INDEX(F_ProductBM!K:K,MATCH($P910,F_ProductBM!$P:$P,0))="","",INDEX(F_ProductBM!K:K,MATCH($P910,F_ProductBM!$P:$P,0))))</f>
        <v/>
      </c>
      <c r="L910" s="1103" t="str">
        <f>IF($I852="","",IF(INDEX(F_ProductBM!L:L,MATCH($P910,F_ProductBM!$P:$P,0))="","",INDEX(F_ProductBM!L:L,MATCH($P910,F_ProductBM!$P:$P,0))))</f>
        <v/>
      </c>
      <c r="M910" s="1103" t="str">
        <f>IF($I852="","",IF(INDEX(F_ProductBM!M:M,MATCH($P910,F_ProductBM!$P:$P,0))="","",INDEX(F_ProductBM!M:M,MATCH($P910,F_ProductBM!$P:$P,0))))</f>
        <v/>
      </c>
      <c r="N910" s="823"/>
      <c r="O910" s="25"/>
      <c r="P910" s="367" t="str">
        <f>EUconst_CNTR_HALPulpTotal &amp; I852</f>
        <v>HALPulpTotal_</v>
      </c>
      <c r="Q910" s="437"/>
      <c r="R910" s="437"/>
      <c r="S910" s="437"/>
      <c r="T910" s="26"/>
    </row>
    <row r="911" spans="1:20" s="697" customFormat="1" ht="5.0999999999999996" customHeight="1" x14ac:dyDescent="0.2">
      <c r="A911" s="437"/>
      <c r="B911" s="414"/>
      <c r="C911" s="414"/>
      <c r="D911" s="414"/>
      <c r="E911" s="526"/>
      <c r="F911" s="526"/>
      <c r="G911" s="526"/>
      <c r="H911" s="526"/>
      <c r="I911" s="1140"/>
      <c r="J911" s="1140"/>
      <c r="K911" s="1140"/>
      <c r="L911" s="1140"/>
      <c r="M911" s="1140"/>
      <c r="N911" s="823"/>
      <c r="O911" s="25"/>
      <c r="P911" s="199"/>
      <c r="Q911" s="437"/>
      <c r="R911" s="437"/>
      <c r="S911" s="437"/>
      <c r="T911" s="26"/>
    </row>
    <row r="912" spans="1:20" s="697" customFormat="1" ht="12.75" customHeight="1" x14ac:dyDescent="0.2">
      <c r="A912" s="437"/>
      <c r="B912" s="414"/>
      <c r="C912" s="414"/>
      <c r="D912" s="414"/>
      <c r="E912" s="1651" t="str">
        <f>Translations!$B$1730</f>
        <v>Ūdeņraža ražošana (faktiskā + teorētiskā)</v>
      </c>
      <c r="F912" s="1651"/>
      <c r="G912" s="1651"/>
      <c r="H912" s="465" t="str">
        <f>EUconst_Tons</f>
        <v>tonnas</v>
      </c>
      <c r="I912" s="1103" t="str">
        <f>IF($K855=$R912,SUMIFS(H_SpecialBM!I:I,H_SpecialBM!$P:$P,$P912),"")</f>
        <v/>
      </c>
      <c r="J912" s="1103" t="str">
        <f>IF($K855=$R912,SUMIFS(H_SpecialBM!J:J,H_SpecialBM!$P:$P,$P912),"")</f>
        <v/>
      </c>
      <c r="K912" s="1103" t="str">
        <f>IF($K855=$R912,SUMIFS(H_SpecialBM!K:K,H_SpecialBM!$P:$P,$P912),"")</f>
        <v/>
      </c>
      <c r="L912" s="1103" t="str">
        <f>IF($K855=$R912,SUMIFS(H_SpecialBM!L:L,H_SpecialBM!$P:$P,$P912),"")</f>
        <v/>
      </c>
      <c r="M912" s="1103" t="str">
        <f>IF($K855=$R912,SUMIFS(H_SpecialBM!M:M,H_SpecialBM!$P:$P,$P912),"")</f>
        <v/>
      </c>
      <c r="N912" s="823"/>
      <c r="O912" s="25"/>
      <c r="P912" s="134" t="str">
        <f>EUconst_CNTR_H2ActualPlusTheoretical</f>
        <v>H2Total_</v>
      </c>
      <c r="Q912" s="437"/>
      <c r="R912" s="869">
        <v>50</v>
      </c>
      <c r="S912" s="437"/>
      <c r="T912" s="26"/>
    </row>
    <row r="913" spans="1:20" s="697" customFormat="1" ht="12.75" customHeight="1" x14ac:dyDescent="0.2">
      <c r="A913" s="437"/>
      <c r="B913" s="414"/>
      <c r="C913" s="414"/>
      <c r="D913" s="414"/>
      <c r="E913" s="1651" t="str">
        <f>Translations!$B$1731</f>
        <v>Ar ūdeņradi saistītās emisijas</v>
      </c>
      <c r="F913" s="1651"/>
      <c r="G913" s="1651"/>
      <c r="H913" s="465" t="str">
        <f>EUconst_tCO2pa</f>
        <v>t CO2 / gads</v>
      </c>
      <c r="I913" s="1103" t="str">
        <f>IF($K855=$R913,SUMIFS(H_SpecialBM!I:I,H_SpecialBM!$P:$P,$P913),"")</f>
        <v/>
      </c>
      <c r="J913" s="1103" t="str">
        <f>IF($K855=$R913,SUMIFS(H_SpecialBM!J:J,H_SpecialBM!$P:$P,$P913),"")</f>
        <v/>
      </c>
      <c r="K913" s="1103" t="str">
        <f>IF($K855=$R913,SUMIFS(H_SpecialBM!K:K,H_SpecialBM!$P:$P,$P913),"")</f>
        <v/>
      </c>
      <c r="L913" s="1103" t="str">
        <f>IF($K855=$R913,SUMIFS(H_SpecialBM!L:L,H_SpecialBM!$P:$P,$P913),"")</f>
        <v/>
      </c>
      <c r="M913" s="1103" t="str">
        <f>IF($K855=$R913,SUMIFS(H_SpecialBM!M:M,H_SpecialBM!$P:$P,$P913),"")</f>
        <v/>
      </c>
      <c r="N913" s="823"/>
      <c r="O913" s="25"/>
      <c r="P913" s="202" t="str">
        <f>EUconst_CNTR_H2AdditionalEmissions</f>
        <v>H2AddEm_</v>
      </c>
      <c r="Q913" s="437"/>
      <c r="R913" s="869">
        <v>50</v>
      </c>
      <c r="S913" s="437"/>
      <c r="T913" s="26"/>
    </row>
    <row r="914" spans="1:20" s="697" customFormat="1" ht="5.0999999999999996" customHeight="1" x14ac:dyDescent="0.2">
      <c r="A914" s="437"/>
      <c r="B914" s="414"/>
      <c r="C914" s="414"/>
      <c r="D914" s="414"/>
      <c r="E914" s="526"/>
      <c r="F914" s="526"/>
      <c r="G914" s="526"/>
      <c r="H914" s="526"/>
      <c r="I914" s="1140"/>
      <c r="J914" s="1140"/>
      <c r="K914" s="1140"/>
      <c r="L914" s="1140"/>
      <c r="M914" s="1140"/>
      <c r="N914" s="823"/>
      <c r="O914" s="25"/>
      <c r="P914" s="437"/>
      <c r="Q914" s="437"/>
      <c r="R914" s="437"/>
      <c r="S914" s="437"/>
      <c r="T914" s="26"/>
    </row>
    <row r="915" spans="1:20" s="697" customFormat="1" ht="12.75" customHeight="1" x14ac:dyDescent="0.2">
      <c r="A915" s="437"/>
      <c r="B915" s="414"/>
      <c r="C915" s="414"/>
      <c r="D915" s="414"/>
      <c r="E915" s="1651" t="str">
        <f>Translations!$B$1732</f>
        <v>HVC emisiju korekcija</v>
      </c>
      <c r="F915" s="1651"/>
      <c r="G915" s="1651"/>
      <c r="H915" s="465" t="str">
        <f>EUconst_tCO2pa</f>
        <v>t CO2 / gads</v>
      </c>
      <c r="I915" s="1103" t="str">
        <f>IF($K855=$R915,-SUMIFS(H_SpecialBM!S:S,H_SpecialBM!$P:$P,$P915),"")</f>
        <v/>
      </c>
      <c r="J915" s="1103" t="str">
        <f>IF($K855=$R915,-SUMIFS(H_SpecialBM!T:T,H_SpecialBM!$P:$P,$P915),"")</f>
        <v/>
      </c>
      <c r="K915" s="1103" t="str">
        <f>IF($K855=$R915,-SUMIFS(H_SpecialBM!U:U,H_SpecialBM!$P:$P,$P915),"")</f>
        <v/>
      </c>
      <c r="L915" s="1103" t="str">
        <f>IF($K855=$R915,-SUMIFS(H_SpecialBM!V:V,H_SpecialBM!$P:$P,$P915),"")</f>
        <v/>
      </c>
      <c r="M915" s="1103" t="str">
        <f>IF($K855=$R915,-SUMIFS(H_SpecialBM!W:W,H_SpecialBM!$P:$P,$P915),"")</f>
        <v/>
      </c>
      <c r="N915" s="823"/>
      <c r="O915" s="25"/>
      <c r="P915" s="367" t="str">
        <f>EUconst_CNTR_HVC</f>
        <v>HVC_</v>
      </c>
      <c r="Q915" s="437"/>
      <c r="R915" s="869">
        <v>42</v>
      </c>
      <c r="S915" s="437"/>
      <c r="T915" s="26"/>
    </row>
    <row r="916" spans="1:20" s="697" customFormat="1" ht="5.0999999999999996" customHeight="1" x14ac:dyDescent="0.2">
      <c r="A916" s="437"/>
      <c r="B916" s="414"/>
      <c r="C916" s="414"/>
      <c r="D916" s="414"/>
      <c r="E916" s="526"/>
      <c r="F916" s="526"/>
      <c r="G916" s="526"/>
      <c r="H916" s="526"/>
      <c r="I916" s="1140"/>
      <c r="J916" s="1140"/>
      <c r="K916" s="1140"/>
      <c r="L916" s="1140"/>
      <c r="M916" s="1140"/>
      <c r="N916" s="823"/>
      <c r="O916" s="25"/>
      <c r="P916" s="199"/>
      <c r="Q916" s="437"/>
      <c r="R916" s="437"/>
      <c r="S916" s="437"/>
      <c r="T916" s="26"/>
    </row>
    <row r="917" spans="1:20" s="697" customFormat="1" ht="12.75" customHeight="1" x14ac:dyDescent="0.2">
      <c r="A917" s="437"/>
      <c r="B917" s="414"/>
      <c r="C917" s="414"/>
      <c r="D917" s="414"/>
      <c r="E917" s="1651" t="str">
        <f>Translations!$B$1733</f>
        <v>VCM emisiju korekcija</v>
      </c>
      <c r="F917" s="1651"/>
      <c r="G917" s="1651"/>
      <c r="H917" s="465" t="str">
        <f>EUconst_tCO2pa</f>
        <v>t CO2 / gads</v>
      </c>
      <c r="I917" s="1103" t="str">
        <f>IF($K855=$R917,SUMIFS(H_SpecialBM!I:I,H_SpecialBM!$P:$P,$P917)/EUconst_HeatBMvalue*EUconst_HeatBMvalueForBM,"")</f>
        <v/>
      </c>
      <c r="J917" s="1103" t="str">
        <f>IF($K855=$R917,SUMIFS(H_SpecialBM!J:J,H_SpecialBM!$P:$P,$P917)/EUconst_HeatBMvalue*EUconst_HeatBMvalueForBM,"")</f>
        <v/>
      </c>
      <c r="K917" s="1103" t="str">
        <f>IF($K855=$R917,SUMIFS(H_SpecialBM!K:K,H_SpecialBM!$P:$P,$P917)/EUconst_HeatBMvalue*EUconst_HeatBMvalueForBM,"")</f>
        <v/>
      </c>
      <c r="L917" s="1103" t="str">
        <f>IF($K855=$R917,SUMIFS(H_SpecialBM!L:L,H_SpecialBM!$P:$P,$P917)/EUconst_HeatBMvalue*EUconst_HeatBMvalueForBM,"")</f>
        <v/>
      </c>
      <c r="M917" s="1103" t="str">
        <f>IF($K855=$R917,SUMIFS(H_SpecialBM!M:M,H_SpecialBM!$P:$P,$P917)/EUconst_HeatBMvalue*EUconst_HeatBMvalueForBM,"")</f>
        <v/>
      </c>
      <c r="N917" s="823"/>
      <c r="O917" s="25"/>
      <c r="P917" s="134" t="str">
        <f>EUconst_CNTR_VCM</f>
        <v>VCM_</v>
      </c>
      <c r="Q917" s="437"/>
      <c r="R917" s="869">
        <v>47</v>
      </c>
      <c r="S917" s="437"/>
      <c r="T917" s="26"/>
    </row>
    <row r="918" spans="1:20" s="697" customFormat="1" ht="12.75" customHeight="1" x14ac:dyDescent="0.2">
      <c r="A918" s="437"/>
      <c r="B918" s="414"/>
      <c r="C918" s="414"/>
      <c r="D918" s="414"/>
      <c r="E918" s="526"/>
      <c r="F918" s="526"/>
      <c r="G918" s="526"/>
      <c r="H918" s="526"/>
      <c r="I918" s="823"/>
      <c r="J918" s="823"/>
      <c r="K918" s="823"/>
      <c r="L918" s="823"/>
      <c r="M918" s="823"/>
      <c r="N918" s="823"/>
      <c r="O918" s="25"/>
      <c r="P918" s="199"/>
      <c r="Q918" s="437"/>
      <c r="R918" s="437"/>
      <c r="S918" s="437"/>
      <c r="T918" s="26"/>
    </row>
    <row r="919" spans="1:20" s="697" customFormat="1" ht="12.75" customHeight="1" thickBot="1" x14ac:dyDescent="0.25">
      <c r="A919" s="437"/>
      <c r="B919" s="414"/>
      <c r="C919" s="414"/>
      <c r="D919" s="414"/>
      <c r="E919" s="935"/>
      <c r="O919" s="25"/>
      <c r="P919" s="437"/>
      <c r="Q919" s="437"/>
      <c r="R919" s="437"/>
      <c r="S919" s="437"/>
      <c r="T919" s="26"/>
    </row>
    <row r="920" spans="1:20" s="697" customFormat="1" ht="5.0999999999999996" customHeight="1" thickBot="1" x14ac:dyDescent="0.25">
      <c r="A920" s="437"/>
      <c r="B920" s="21"/>
      <c r="C920" s="294"/>
      <c r="D920" s="294"/>
      <c r="E920" s="294"/>
      <c r="F920" s="294"/>
      <c r="G920" s="294"/>
      <c r="H920" s="294"/>
      <c r="I920" s="294"/>
      <c r="J920" s="294"/>
      <c r="K920" s="294"/>
      <c r="L920" s="294"/>
      <c r="M920" s="294"/>
      <c r="N920" s="294"/>
      <c r="O920" s="25"/>
      <c r="P920" s="437"/>
      <c r="Q920" s="437"/>
      <c r="R920" s="437"/>
      <c r="S920" s="437"/>
      <c r="T920" s="26"/>
    </row>
    <row r="921" spans="1:20" s="697" customFormat="1" ht="15" customHeight="1" thickBot="1" x14ac:dyDescent="0.3">
      <c r="A921" s="437"/>
      <c r="B921" s="414"/>
      <c r="C921" s="36">
        <f>C852+1</f>
        <v>7</v>
      </c>
      <c r="D921" s="1890" t="str">
        <f>CONCATENATE(EUconst_BMSubinst," ",C921, ":")</f>
        <v>Apakšiekārta ar produkta līmeņatzīmi 7:</v>
      </c>
      <c r="E921" s="1890"/>
      <c r="F921" s="1890"/>
      <c r="G921" s="1890"/>
      <c r="H921" s="1891"/>
      <c r="I921" s="1887" t="str">
        <f>IF(INDEX(CNTR_SubInstListIsProdBM,$C921),INDEX(CNTR_SubInstListNames,$C921),"")</f>
        <v/>
      </c>
      <c r="J921" s="1888"/>
      <c r="K921" s="1888"/>
      <c r="L921" s="1888"/>
      <c r="M921" s="1888"/>
      <c r="N921" s="1889"/>
      <c r="O921" s="25"/>
      <c r="P921" s="437"/>
      <c r="Q921" s="904">
        <f>C921</f>
        <v>7</v>
      </c>
      <c r="R921" s="901" t="str">
        <f>I921</f>
        <v/>
      </c>
      <c r="S921" s="903" t="str">
        <f>H924</f>
        <v>NA</v>
      </c>
      <c r="T921" s="902" t="str">
        <f>IF(M935="","",IF(S924=0,0,SUM(M935)/S924))</f>
        <v/>
      </c>
    </row>
    <row r="922" spans="1:20" s="697" customFormat="1" ht="5.0999999999999996" customHeight="1" thickBot="1" x14ac:dyDescent="0.25">
      <c r="A922" s="437"/>
      <c r="B922" s="414"/>
      <c r="C922" s="414"/>
      <c r="D922" s="414"/>
      <c r="E922" s="414"/>
      <c r="F922" s="414"/>
      <c r="G922" s="414"/>
      <c r="H922" s="414"/>
      <c r="I922" s="414"/>
      <c r="J922" s="414"/>
      <c r="K922" s="414"/>
      <c r="L922" s="414"/>
      <c r="M922" s="414"/>
      <c r="N922" s="414"/>
      <c r="O922" s="25"/>
      <c r="P922" s="437"/>
      <c r="Q922" s="437"/>
      <c r="R922" s="437"/>
      <c r="S922" s="437"/>
      <c r="T922" s="26"/>
    </row>
    <row r="923" spans="1:20" s="697" customFormat="1" ht="13.5" thickBot="1" x14ac:dyDescent="0.25">
      <c r="A923" s="437"/>
      <c r="B923" s="414"/>
      <c r="C923" s="414"/>
      <c r="D923" s="414"/>
      <c r="E923" s="414"/>
      <c r="F923" s="414"/>
      <c r="G923" s="414"/>
      <c r="H923" s="647" t="str">
        <f>Translations!$B$1204</f>
        <v>Pakļauta OEP</v>
      </c>
      <c r="I923" s="38"/>
      <c r="J923" s="648" t="str">
        <f>Translations!$B$1208</f>
        <v>Ekspl. sākta</v>
      </c>
      <c r="K923" s="648" t="str">
        <f>Translations!$B$1206</f>
        <v>LA Nr.</v>
      </c>
      <c r="L923" s="812" t="str">
        <f>Translations!$B$1212</f>
        <v>15(7)3?</v>
      </c>
      <c r="M923" s="989" t="str">
        <f>Translations!$B$1234</f>
        <v>LA vērtība (min./maks./fakt.)</v>
      </c>
      <c r="N923" s="990"/>
      <c r="O923" s="25"/>
      <c r="P923" s="437"/>
      <c r="Q923" s="437"/>
      <c r="R923" s="646" t="s">
        <v>641</v>
      </c>
      <c r="S923" s="903" t="str">
        <f>H926</f>
        <v>NA</v>
      </c>
      <c r="T923" s="26"/>
    </row>
    <row r="924" spans="1:20" s="697" customFormat="1" x14ac:dyDescent="0.2">
      <c r="A924" s="437"/>
      <c r="B924" s="414"/>
      <c r="C924" s="414"/>
      <c r="D924" s="414"/>
      <c r="E924" s="649" t="str">
        <f>I921</f>
        <v/>
      </c>
      <c r="F924" s="650"/>
      <c r="G924" s="594"/>
      <c r="H924" s="651" t="str">
        <f>IF(K924=EUconst_NA,EUconst_NA,INDEX(EUconst_BMlistCLstatus,MATCH(K924,EUconst_BMlistMainNumberOfBM,0)))</f>
        <v>NA</v>
      </c>
      <c r="I924" s="38"/>
      <c r="J924" s="846" t="str">
        <f>IF($I921="",EUconst_NA,INDEX(CNTR_SubInstStartDate,MATCH(E924,CNTR_SubInstListNames,0)))</f>
        <v>NA</v>
      </c>
      <c r="K924" s="546" t="str">
        <f>IF($I921="",EUconst_NA,INDEX(EUconst_BMlistMainNumberOfBM,MATCH(E924,EUconst_BMlistNames,0)))</f>
        <v>NA</v>
      </c>
      <c r="L924" s="988" t="str">
        <f>IF(E924="","",INDEX(CNTR_SubInstLess1Year,MATCH(E924,CNTR_SubInstListNames,0)))</f>
        <v/>
      </c>
      <c r="M924" s="991" t="str">
        <f>IF(I921="",EUconst_NA,INDEX(EUconst_BMlistBMvaluesMatrix,MATCH(K924,EUconst_BMlistMainNumberOfBM,0),2))</f>
        <v>NA</v>
      </c>
      <c r="N924" s="992" t="str">
        <f>EUconst_EUA &amp; "/" &amp; H929</f>
        <v>ESK/tonnas</v>
      </c>
      <c r="O924" s="25"/>
      <c r="P924" s="437"/>
      <c r="Q924" s="437"/>
      <c r="R924" s="732" t="s">
        <v>554</v>
      </c>
      <c r="S924" s="815" t="str">
        <f>IF(H924=EUconst_NA,"",IF(H924,1,INDEX(EUconst_CLEFYears,1)))</f>
        <v/>
      </c>
      <c r="T924" s="26"/>
    </row>
    <row r="925" spans="1:20" s="697" customFormat="1" x14ac:dyDescent="0.2">
      <c r="A925" s="437"/>
      <c r="B925" s="414"/>
      <c r="C925" s="414"/>
      <c r="D925" s="414"/>
      <c r="G925" s="648" t="str">
        <f>Translations!$B$1218</f>
        <v>ETS neaptverts siltums</v>
      </c>
      <c r="H925" s="647" t="s">
        <v>623</v>
      </c>
      <c r="I925" s="812" t="str">
        <f>Translations!$B$1220</f>
        <v>AGlāpā</v>
      </c>
      <c r="J925" s="648" t="s">
        <v>550</v>
      </c>
      <c r="K925" s="648" t="s">
        <v>551</v>
      </c>
      <c r="L925" s="38"/>
      <c r="M925" s="991" t="str">
        <f>IF(I921="",EUconst_NA,INDEX(EUconst_BMlistBMvaluesMatrix,MATCH(K924,EUconst_BMlistMainNumberOfBM,0),1))</f>
        <v>NA</v>
      </c>
      <c r="N925" s="992" t="str">
        <f>EUconst_EUA &amp; "/" &amp; H929</f>
        <v>ESK/tonnas</v>
      </c>
      <c r="O925" s="25"/>
      <c r="P925" s="437"/>
      <c r="Q925" s="437"/>
      <c r="R925" s="732" t="s">
        <v>658</v>
      </c>
      <c r="S925" s="1150" t="str">
        <f>IF($I921="",EUconst_NA,INDEX(EUconst_BMlistNumberOfBM,MATCH(I921,EUconst_BMlistNames,0)))</f>
        <v>NA</v>
      </c>
      <c r="T925" s="26"/>
    </row>
    <row r="926" spans="1:20" s="697" customFormat="1" ht="13.5" thickBot="1" x14ac:dyDescent="0.25">
      <c r="A926" s="437"/>
      <c r="B926" s="414"/>
      <c r="C926" s="414"/>
      <c r="D926" s="414"/>
      <c r="E926" s="868" t="str">
        <f>Translations!$B$1235</f>
        <v>Īpaši koeficienti/faktori:</v>
      </c>
      <c r="F926" s="868"/>
      <c r="G926" s="546" t="str">
        <f>IF($I921="","",SUMIF(F_ProductBM!$P:$P,EUconst_CNTR_HEAT&amp;$I921,F_ProductBM!$Q:$Q))</f>
        <v/>
      </c>
      <c r="H926" s="651" t="str">
        <f>IF(S925=EUconst_NA,EUconst_NA,INDEX(EUconst_BMlistCBAMstatus,MATCH(S925,EUconst_BMlistNumberOfBM,0)))</f>
        <v>NA</v>
      </c>
      <c r="I926" s="844" t="str">
        <f>IF(OR($I921="",CNTR_BaselinePeriod&lt;&gt;2),"",SUMIF(F_ProductBM!$P:$P,EUconst_CNTR_WGFlaredEF &amp; I921,F_ProductBM!$R:$R))</f>
        <v/>
      </c>
      <c r="J926" s="546" t="str">
        <f>IF($I921="","",IF($K924=42,SUMIF(H_SpecialBM!$P$9:$P$401,EUconst_CNTR_HVC,H_SpecialBM!$I$9:$I$401),0))</f>
        <v/>
      </c>
      <c r="K926" s="867" t="str">
        <f>IF($I921="","",IF($K924=47,IF(ISNUMBER(INDEX(H_SpecialBM!$Q$9:$Q$401,MATCH(EUconst_CNTR_VCM,H_SpecialBM!$P$9:$P$401,0))),INDEX(H_SpecialBM!$Q$9:$Q$401,MATCH(EUconst_CNTR_VCM,H_SpecialBM!$P$9:$P$401,0)),1),1))</f>
        <v/>
      </c>
      <c r="L926" s="38"/>
      <c r="M926" s="993" t="str">
        <f>IF(I921="",EUconst_NA,IF(EUconst_StatusOfDataCollection,INDEX(EUconst_BMlistBMvaluesMatrix,MATCH(K924,EUconst_BMlistMainNumberOfBM,0),3),""))</f>
        <v>NA</v>
      </c>
      <c r="N926" s="994" t="str">
        <f>EUconst_EUA &amp; "/" &amp; H929</f>
        <v>ESK/tonnas</v>
      </c>
      <c r="O926" s="25"/>
      <c r="P926" s="437"/>
      <c r="Q926" s="437"/>
      <c r="R926" s="732"/>
      <c r="S926" s="866"/>
      <c r="T926" s="26"/>
    </row>
    <row r="927" spans="1:20" s="697" customFormat="1" ht="5.0999999999999996" customHeight="1" x14ac:dyDescent="0.2">
      <c r="A927" s="437"/>
      <c r="B927" s="414"/>
      <c r="C927" s="414"/>
      <c r="D927" s="414"/>
      <c r="E927" s="414"/>
      <c r="F927" s="414"/>
      <c r="G927" s="414"/>
      <c r="H927" s="414"/>
      <c r="I927" s="414"/>
      <c r="J927" s="414"/>
      <c r="K927" s="414"/>
      <c r="L927" s="414"/>
      <c r="M927" s="414"/>
      <c r="N927" s="414"/>
      <c r="O927" s="25"/>
      <c r="P927" s="437"/>
      <c r="Q927" s="437"/>
      <c r="R927" s="437"/>
      <c r="S927" s="437"/>
      <c r="T927" s="26"/>
    </row>
    <row r="928" spans="1:20" s="697" customFormat="1" x14ac:dyDescent="0.2">
      <c r="A928" s="437"/>
      <c r="B928" s="414"/>
      <c r="C928" s="414"/>
      <c r="D928" s="414"/>
      <c r="E928" s="652"/>
      <c r="F928" s="652"/>
      <c r="G928" s="653"/>
      <c r="H928" s="864" t="str">
        <f>EUconst_Unit</f>
        <v>Vienība</v>
      </c>
      <c r="I928" s="447">
        <f>I$1652</f>
        <v>2019</v>
      </c>
      <c r="J928" s="447">
        <f>J$1652</f>
        <v>2020</v>
      </c>
      <c r="K928" s="447">
        <f>K$1652</f>
        <v>2021</v>
      </c>
      <c r="L928" s="447">
        <f>L$1652</f>
        <v>2022</v>
      </c>
      <c r="M928" s="447">
        <f>M$1652</f>
        <v>2023</v>
      </c>
      <c r="N928" s="414"/>
      <c r="O928" s="25"/>
      <c r="P928" s="202" t="s">
        <v>228</v>
      </c>
      <c r="Q928" s="437"/>
      <c r="R928" s="437"/>
      <c r="S928" s="437"/>
      <c r="T928" s="26"/>
    </row>
    <row r="929" spans="1:20" s="697" customFormat="1" x14ac:dyDescent="0.2">
      <c r="A929" s="437"/>
      <c r="B929" s="414"/>
      <c r="C929" s="414"/>
      <c r="D929" s="414"/>
      <c r="E929" s="654" t="str">
        <f>Translations!$B$1236</f>
        <v>Ziņotais HAL (vēsturiskais darbības līmenis)</v>
      </c>
      <c r="F929" s="655"/>
      <c r="G929" s="656"/>
      <c r="H929" s="651" t="str">
        <f>IF(ISNUMBER(K924),INDEX(EUconst_BMlistUnits,MATCH(K924,EUconst_BMlistMainNumberOfBM,0)),EUconst_Tons)</f>
        <v>tonnas</v>
      </c>
      <c r="I929" s="546" t="str">
        <f>IF($I921="","",SUMIF(F_ProductBM!$P$11:$P$1814,$P929,F_ProductBM!I$11:I$1814))</f>
        <v/>
      </c>
      <c r="J929" s="546" t="str">
        <f>IF($I921="","",SUMIF(F_ProductBM!$P$11:$P$1814,$P929,F_ProductBM!J$11:J$1814))</f>
        <v/>
      </c>
      <c r="K929" s="546" t="str">
        <f>IF($I921="","",SUMIF(F_ProductBM!$P$11:$P$1814,$P929,F_ProductBM!K$11:K$1814))</f>
        <v/>
      </c>
      <c r="L929" s="546" t="str">
        <f>IF($I921="","",SUMIF(F_ProductBM!$P$11:$P$1814,$P929,F_ProductBM!L$11:L$1814))</f>
        <v/>
      </c>
      <c r="M929" s="546" t="str">
        <f>IF($I921="","",SUMIF(F_ProductBM!$P$11:$P$1814,$P929,F_ProductBM!M$11:M$1814))</f>
        <v/>
      </c>
      <c r="N929" s="648" t="s">
        <v>625</v>
      </c>
      <c r="O929" s="25"/>
      <c r="P929" s="202" t="str">
        <f>EUconst_CNTR_HAL&amp;I921</f>
        <v>HAL_</v>
      </c>
      <c r="Q929" s="437"/>
      <c r="R929" s="437"/>
      <c r="S929" s="437"/>
      <c r="T929" s="26"/>
    </row>
    <row r="930" spans="1:20" s="697" customFormat="1" x14ac:dyDescent="0.2">
      <c r="A930" s="437"/>
      <c r="B930" s="414"/>
      <c r="C930" s="414"/>
      <c r="D930" s="414"/>
      <c r="E930" s="654" t="str">
        <f>Translations!$B$1237</f>
        <v>HAL aprēķinam izmantotās vērtības:</v>
      </c>
      <c r="F930" s="655"/>
      <c r="G930" s="656"/>
      <c r="H930" s="651" t="str">
        <f>H929</f>
        <v>tonnas</v>
      </c>
      <c r="I930" s="546" t="str">
        <f>IF($I921="","",INDEX(F_ProductBM!S$11:S$1814,MATCH($P930,F_ProductBM!$P$11:$P$1814,0)))</f>
        <v/>
      </c>
      <c r="J930" s="546" t="str">
        <f>IF($I921="","",INDEX(F_ProductBM!T$11:T$1814,MATCH($P930,F_ProductBM!$P$11:$P$1814,0)))</f>
        <v/>
      </c>
      <c r="K930" s="546" t="str">
        <f>IF($I921="","",INDEX(F_ProductBM!U$11:U$1814,MATCH($P930,F_ProductBM!$P$11:$P$1814,0)))</f>
        <v/>
      </c>
      <c r="L930" s="546" t="str">
        <f>IF($I921="","",INDEX(F_ProductBM!V$11:V$1814,MATCH($P930,F_ProductBM!$P$11:$P$1814,0)))</f>
        <v/>
      </c>
      <c r="M930" s="546" t="str">
        <f>IF($I921="","",INDEX(F_ProductBM!W$11:W$1814,MATCH($P930,F_ProductBM!$P$11:$P$1814,0)))</f>
        <v/>
      </c>
      <c r="N930" s="546" t="str">
        <f>IF(OR($I921="",$L924=TRUE),"",IF(COUNT($I930:$M930)&gt;0,MEDIAN($I930:$M930),""))</f>
        <v/>
      </c>
      <c r="O930" s="25"/>
      <c r="P930" s="202" t="str">
        <f>EUconst_CNTR_HAL&amp;I921</f>
        <v>HAL_</v>
      </c>
      <c r="Q930" s="437"/>
      <c r="R930" s="931" t="s">
        <v>604</v>
      </c>
      <c r="S930" s="931" t="s">
        <v>605</v>
      </c>
      <c r="T930" s="931" t="s">
        <v>606</v>
      </c>
    </row>
    <row r="931" spans="1:20" s="697" customFormat="1" ht="5.0999999999999996" customHeight="1" x14ac:dyDescent="0.2">
      <c r="A931" s="437"/>
      <c r="B931" s="414"/>
      <c r="C931" s="414"/>
      <c r="D931" s="414"/>
      <c r="E931" s="865"/>
      <c r="F931" s="865"/>
      <c r="G931" s="865"/>
      <c r="H931" s="865"/>
      <c r="I931" s="865"/>
      <c r="J931" s="865"/>
      <c r="K931" s="865"/>
      <c r="L931" s="865"/>
      <c r="O931" s="25"/>
      <c r="P931" s="437"/>
      <c r="Q931" s="437"/>
      <c r="R931" s="437"/>
      <c r="S931" s="437"/>
      <c r="T931" s="26"/>
    </row>
    <row r="932" spans="1:20" s="697" customFormat="1" ht="12.75" customHeight="1" x14ac:dyDescent="0.2">
      <c r="A932" s="437"/>
      <c r="B932" s="414"/>
      <c r="C932" s="414"/>
      <c r="D932" s="414"/>
      <c r="E932" s="1892" t="str">
        <f>Translations!$B$689</f>
        <v>Relevantais elektroenerģijas patēriņš</v>
      </c>
      <c r="F932" s="1892"/>
      <c r="G932" s="1892"/>
      <c r="H932" s="1101" t="str">
        <f>EUconst_MWhpa</f>
        <v>MWh / gads</v>
      </c>
      <c r="I932" s="1166" t="str">
        <f>IF($I921="","",IF(INDEX(F_ProductBM!I:I,MATCH($P932,F_ProductBM!$Q:$Q,0))="","",INDEX(F_ProductBM!I:I,MATCH($P932,F_ProductBM!$Q:$Q,0))))</f>
        <v/>
      </c>
      <c r="J932" s="1166" t="str">
        <f>IF($I921="","",IF(INDEX(F_ProductBM!J:J,MATCH($P932,F_ProductBM!$Q:$Q,0))="","",INDEX(F_ProductBM!J:J,MATCH($P932,F_ProductBM!$Q:$Q,0))))</f>
        <v/>
      </c>
      <c r="K932" s="1166" t="str">
        <f>IF($I921="","",IF(INDEX(F_ProductBM!K:K,MATCH($P932,F_ProductBM!$Q:$Q,0))="","",INDEX(F_ProductBM!K:K,MATCH($P932,F_ProductBM!$Q:$Q,0))))</f>
        <v/>
      </c>
      <c r="L932" s="1166" t="str">
        <f>IF($I921="","",IF(INDEX(F_ProductBM!L:L,MATCH($P932,F_ProductBM!$Q:$Q,0))="","",INDEX(F_ProductBM!L:L,MATCH($P932,F_ProductBM!$Q:$Q,0))))</f>
        <v/>
      </c>
      <c r="M932" s="1166" t="str">
        <f>IF($I921="","",IF(INDEX(F_ProductBM!M:M,MATCH($P932,F_ProductBM!$Q:$Q,0))="","",INDEX(F_ProductBM!M:M,MATCH($P932,F_ProductBM!$Q:$Q,0))))</f>
        <v/>
      </c>
      <c r="N932" s="38"/>
      <c r="O932" s="25"/>
      <c r="P932" s="202" t="str">
        <f>EUconst_CNTR_HAL&amp;EUconst_CNTR_ELEXCH &amp; I921</f>
        <v>HAL_ELEXCH_</v>
      </c>
      <c r="Q932" s="437"/>
      <c r="R932" s="437"/>
      <c r="S932" s="437"/>
      <c r="T932" s="26"/>
    </row>
    <row r="933" spans="1:20" s="697" customFormat="1" ht="5.0999999999999996" customHeight="1" thickBot="1" x14ac:dyDescent="0.25">
      <c r="A933" s="437"/>
      <c r="B933" s="414"/>
      <c r="C933" s="414"/>
      <c r="D933" s="414"/>
      <c r="E933" s="865"/>
      <c r="F933" s="865"/>
      <c r="G933" s="865"/>
      <c r="H933" s="865"/>
      <c r="I933" s="865"/>
      <c r="J933" s="865"/>
      <c r="K933" s="865"/>
      <c r="L933" s="865"/>
      <c r="O933" s="25"/>
      <c r="P933" s="437"/>
      <c r="Q933" s="437"/>
      <c r="R933" s="437"/>
      <c r="S933" s="437"/>
      <c r="T933" s="26"/>
    </row>
    <row r="934" spans="1:20" s="697" customFormat="1" ht="13.5" thickBot="1" x14ac:dyDescent="0.25">
      <c r="A934" s="437"/>
      <c r="B934" s="414"/>
      <c r="D934" s="414"/>
      <c r="E934" s="865"/>
      <c r="F934" s="816" t="str">
        <f>Translations!$B$1728</f>
        <v>HAL kopā</v>
      </c>
      <c r="G934" s="817"/>
      <c r="I934" s="816" t="str">
        <f>Translations!$B$1226</f>
        <v>1. gada prov. ied. apj. (min.)</v>
      </c>
      <c r="J934" s="817"/>
      <c r="K934" s="816" t="str">
        <f>Translations!$B$1229</f>
        <v>1. gada prov. ied. apj. (maks.)</v>
      </c>
      <c r="L934" s="817"/>
      <c r="M934" s="816" t="str">
        <f>Translations!$B$1231</f>
        <v>1. gada prov. ied. apj. (fakt.)</v>
      </c>
      <c r="N934" s="817"/>
      <c r="O934" s="25"/>
      <c r="P934" s="202" t="str">
        <f>EUconst_AllocPrelim&amp;I921</f>
        <v>AllocPrelim_</v>
      </c>
      <c r="Q934" s="437"/>
      <c r="R934" s="900" t="str">
        <f>IF(I935="","",IF(S924=0,0,SUM(I935)/S924))</f>
        <v/>
      </c>
      <c r="S934" s="900" t="str">
        <f>IF(K935="","",IF(S924=0,0,SUM(K935)/S924))</f>
        <v/>
      </c>
      <c r="T934" s="900" t="str">
        <f>T921</f>
        <v/>
      </c>
    </row>
    <row r="935" spans="1:20" s="697" customFormat="1" ht="13.5" thickBot="1" x14ac:dyDescent="0.25">
      <c r="A935" s="437"/>
      <c r="B935" s="414"/>
      <c r="E935" s="865"/>
      <c r="F935" s="658" t="str">
        <f>IF(I921="","",MAX(0, IF(L924=TRUE, SUM(L926), SUM(N930))))</f>
        <v/>
      </c>
      <c r="G935" s="659" t="str">
        <f>H929&amp;" / "&amp;EUconst_Year</f>
        <v>tonnas / gads</v>
      </c>
      <c r="I935" s="814" t="str">
        <f>IF(I921="","",ROUND((SUM(M924)*SUM(F935)*SUM(K926)-SUM(G926)-SUM(I926)+SUM(J926))*SUM(S924),0))</f>
        <v/>
      </c>
      <c r="J935" s="884" t="str">
        <f>EUconst_EUApa</f>
        <v>ESK / gads</v>
      </c>
      <c r="K935" s="814" t="str">
        <f>IF(I921="","",ROUND((SUM(M925)*SUM(F935)*SUM(K926)-SUM(G926)-SUM(I926)+SUM(J926))*SUM(S924),0))</f>
        <v/>
      </c>
      <c r="L935" s="884" t="str">
        <f>EUconst_EUApa</f>
        <v>ESK / gads</v>
      </c>
      <c r="M935" s="814" t="str">
        <f>IF(OR(I921="",M926=""),"",ROUND((SUM(M926)*SUM(F935)*SUM(K926)-SUM(G926)-SUM(I926)+SUM(J926))*SUM(S924),0))</f>
        <v/>
      </c>
      <c r="N935" s="884" t="str">
        <f>EUconst_EUApa</f>
        <v>ESK / gads</v>
      </c>
      <c r="O935" s="25"/>
      <c r="P935" s="202" t="str">
        <f>EUconst_HALsum &amp; I921</f>
        <v>HALsum_</v>
      </c>
      <c r="Q935" s="437"/>
      <c r="R935" s="437"/>
      <c r="S935" s="437"/>
      <c r="T935" s="26"/>
    </row>
    <row r="936" spans="1:20" s="697" customFormat="1" ht="5.0999999999999996" customHeight="1" x14ac:dyDescent="0.2">
      <c r="A936" s="437"/>
      <c r="B936" s="414"/>
      <c r="C936" s="414"/>
      <c r="E936" s="440"/>
      <c r="F936" s="414"/>
      <c r="G936" s="414"/>
      <c r="H936" s="414"/>
      <c r="I936" s="414"/>
      <c r="J936" s="414"/>
      <c r="K936" s="414"/>
      <c r="L936" s="414"/>
      <c r="M936" s="414"/>
      <c r="N936" s="414"/>
      <c r="O936" s="25"/>
      <c r="P936" s="437"/>
      <c r="Q936" s="437"/>
      <c r="R936" s="437"/>
      <c r="S936" s="437"/>
      <c r="T936" s="26"/>
    </row>
    <row r="937" spans="1:20" s="697" customFormat="1" ht="5.0999999999999996" customHeight="1" x14ac:dyDescent="0.2">
      <c r="A937" s="437"/>
      <c r="B937" s="414"/>
      <c r="C937" s="414"/>
      <c r="D937" s="414"/>
      <c r="E937" s="526"/>
      <c r="F937" s="823"/>
      <c r="G937" s="823"/>
      <c r="H937" s="823"/>
      <c r="I937" s="823"/>
      <c r="J937" s="823"/>
      <c r="K937" s="823"/>
      <c r="L937" s="823"/>
      <c r="M937" s="823"/>
      <c r="N937" s="823"/>
      <c r="O937" s="25"/>
      <c r="P937" s="437"/>
      <c r="Q937" s="437"/>
      <c r="R937" s="437"/>
      <c r="S937" s="437"/>
      <c r="T937" s="26"/>
    </row>
    <row r="938" spans="1:20" s="697" customFormat="1" ht="13.5" thickBot="1" x14ac:dyDescent="0.25">
      <c r="A938" s="437"/>
      <c r="B938" s="414"/>
      <c r="C938" s="414"/>
      <c r="D938" s="414"/>
      <c r="E938" s="526"/>
      <c r="F938" s="823"/>
      <c r="G938" s="823"/>
      <c r="H938" s="525" t="str">
        <f>EUconst_Unit</f>
        <v>Vienība</v>
      </c>
      <c r="I938" s="929">
        <f>I$1652</f>
        <v>2019</v>
      </c>
      <c r="J938" s="463">
        <f>J$1652</f>
        <v>2020</v>
      </c>
      <c r="K938" s="463">
        <f>K$1652</f>
        <v>2021</v>
      </c>
      <c r="L938" s="463">
        <f>L$1652</f>
        <v>2022</v>
      </c>
      <c r="M938" s="463">
        <f>M$1652</f>
        <v>2023</v>
      </c>
      <c r="N938" s="823"/>
      <c r="O938" s="25"/>
      <c r="P938" s="437"/>
      <c r="Q938" s="437"/>
      <c r="R938" s="437"/>
      <c r="S938" s="437"/>
      <c r="T938" s="26"/>
    </row>
    <row r="939" spans="1:20" s="697" customFormat="1" ht="13.5" customHeight="1" thickBot="1" x14ac:dyDescent="0.25">
      <c r="A939" s="437"/>
      <c r="B939" s="414"/>
      <c r="C939" s="414"/>
      <c r="D939" s="414"/>
      <c r="E939" s="1789" t="str">
        <f>Translations!$B$1238</f>
        <v>Kopējās attiecinātās emisijas</v>
      </c>
      <c r="F939" s="1789"/>
      <c r="G939" s="1789"/>
      <c r="H939" s="886" t="str">
        <f>EUconst_tCO2epa</f>
        <v>t CO2e/gads</v>
      </c>
      <c r="I939" s="1151" t="str">
        <f>INDEX(I$115:I$134,MATCH($I921,$E$115:$E$134,0))</f>
        <v/>
      </c>
      <c r="J939" s="1152" t="str">
        <f>INDEX(J$115:J$134,MATCH($I921,$E$115:$E$134,0))</f>
        <v/>
      </c>
      <c r="K939" s="1152" t="str">
        <f>INDEX(K$115:K$134,MATCH($I921,$E$115:$E$134,0))</f>
        <v/>
      </c>
      <c r="L939" s="1152" t="str">
        <f>INDEX(L$115:L$134,MATCH($I921,$E$115:$E$134,0))</f>
        <v/>
      </c>
      <c r="M939" s="1153" t="str">
        <f>INDEX(M$115:M$134,MATCH($I921,$E$115:$E$134,0))</f>
        <v/>
      </c>
      <c r="N939" s="823"/>
      <c r="O939" s="25"/>
      <c r="P939" s="437"/>
      <c r="Q939" s="437"/>
      <c r="R939" s="437"/>
      <c r="S939" s="437"/>
      <c r="T939" s="26"/>
    </row>
    <row r="940" spans="1:20" s="697" customFormat="1" ht="5.0999999999999996" customHeight="1" x14ac:dyDescent="0.2">
      <c r="A940" s="437"/>
      <c r="B940" s="414"/>
      <c r="C940" s="414"/>
      <c r="D940" s="414"/>
      <c r="E940" s="526"/>
      <c r="F940" s="526"/>
      <c r="G940" s="526"/>
      <c r="H940" s="526"/>
      <c r="I940" s="921"/>
      <c r="J940" s="921"/>
      <c r="K940" s="921"/>
      <c r="L940" s="921"/>
      <c r="M940" s="921"/>
      <c r="N940" s="526"/>
      <c r="O940" s="25"/>
      <c r="P940" s="437"/>
      <c r="Q940" s="437"/>
      <c r="R940" s="437"/>
      <c r="S940" s="437"/>
      <c r="T940" s="26"/>
    </row>
    <row r="941" spans="1:20" s="697" customFormat="1" x14ac:dyDescent="0.2">
      <c r="A941" s="437"/>
      <c r="B941" s="414"/>
      <c r="C941" s="414"/>
      <c r="D941" s="414"/>
      <c r="E941" s="1667" t="str">
        <f>Translations!$B$1623</f>
        <v>Kopējā enerģijas ielaide</v>
      </c>
      <c r="F941" s="1660"/>
      <c r="G941" s="1660"/>
      <c r="H941" s="466" t="str">
        <f>EUconst_TJpa</f>
        <v>TJ / gads</v>
      </c>
      <c r="I941" s="922" t="str">
        <f>IF($I921="","",IF(INDEX(F_ProductBM!I:I,MATCH($P941,F_ProductBM!$P:$P,0))="","",INDEX(F_ProductBM!I:I,MATCH($P941,F_ProductBM!$P:$P,0))))</f>
        <v/>
      </c>
      <c r="J941" s="922" t="str">
        <f>IF($I921="","",IF(INDEX(F_ProductBM!J:J,MATCH($P941,F_ProductBM!$P:$P,0))="","",INDEX(F_ProductBM!J:J,MATCH($P941,F_ProductBM!$P:$P,0))))</f>
        <v/>
      </c>
      <c r="K941" s="922" t="str">
        <f>IF($I921="","",IF(INDEX(F_ProductBM!K:K,MATCH($P941,F_ProductBM!$P:$P,0))="","",INDEX(F_ProductBM!K:K,MATCH($P941,F_ProductBM!$P:$P,0))))</f>
        <v/>
      </c>
      <c r="L941" s="922" t="str">
        <f>IF($I921="","",IF(INDEX(F_ProductBM!L:L,MATCH($P941,F_ProductBM!$P:$P,0))="","",INDEX(F_ProductBM!L:L,MATCH($P941,F_ProductBM!$P:$P,0))))</f>
        <v/>
      </c>
      <c r="M941" s="922" t="str">
        <f>IF($I921="","",IF(INDEX(F_ProductBM!M:M,MATCH($P941,F_ProductBM!$P:$P,0))="","",INDEX(F_ProductBM!M:M,MATCH($P941,F_ProductBM!$P:$P,0))))</f>
        <v/>
      </c>
      <c r="N941" s="823"/>
      <c r="O941" s="25"/>
      <c r="P941" s="822" t="str">
        <f>EUconst_CNTR_FuelInput &amp; I921</f>
        <v>FuelInput_</v>
      </c>
      <c r="Q941" s="437"/>
      <c r="R941" s="437"/>
      <c r="S941" s="437"/>
      <c r="T941" s="26"/>
    </row>
    <row r="942" spans="1:20" s="697" customFormat="1" ht="12.75" customHeight="1" x14ac:dyDescent="0.2">
      <c r="A942" s="437"/>
      <c r="B942" s="414"/>
      <c r="C942" s="414"/>
      <c r="D942" s="414"/>
      <c r="E942" s="1737" t="str">
        <f>Translations!$B$732</f>
        <v>Svērtais emisijas faktors</v>
      </c>
      <c r="F942" s="1659"/>
      <c r="G942" s="1659"/>
      <c r="H942" s="485" t="str">
        <f>EUconst_tCO2pTJ</f>
        <v>t CO2 / TJ</v>
      </c>
      <c r="I942" s="923" t="str">
        <f>IF($I921="","",IF(INDEX(F_ProductBM!I:I,MATCH($P942,F_ProductBM!$P:$P,0))="","",INDEX(F_ProductBM!I:I,MATCH($P942,F_ProductBM!$P:$P,0))))</f>
        <v/>
      </c>
      <c r="J942" s="923" t="str">
        <f>IF($I921="","",IF(INDEX(F_ProductBM!J:J,MATCH($P942,F_ProductBM!$P:$P,0))="","",INDEX(F_ProductBM!J:J,MATCH($P942,F_ProductBM!$P:$P,0))))</f>
        <v/>
      </c>
      <c r="K942" s="923" t="str">
        <f>IF($I921="","",IF(INDEX(F_ProductBM!K:K,MATCH($P942,F_ProductBM!$P:$P,0))="","",INDEX(F_ProductBM!K:K,MATCH($P942,F_ProductBM!$P:$P,0))))</f>
        <v/>
      </c>
      <c r="L942" s="923" t="str">
        <f>IF($I921="","",IF(INDEX(F_ProductBM!L:L,MATCH($P942,F_ProductBM!$P:$P,0))="","",INDEX(F_ProductBM!L:L,MATCH($P942,F_ProductBM!$P:$P,0))))</f>
        <v/>
      </c>
      <c r="M942" s="923" t="str">
        <f>IF($I921="","",IF(INDEX(F_ProductBM!M:M,MATCH($P942,F_ProductBM!$P:$P,0))="","",INDEX(F_ProductBM!M:M,MATCH($P942,F_ProductBM!$P:$P,0))))</f>
        <v/>
      </c>
      <c r="N942" s="823"/>
      <c r="O942" s="25"/>
      <c r="P942" s="367" t="str">
        <f>EUconst_CNTR_FuelEF &amp; I921</f>
        <v>FuelEF_</v>
      </c>
      <c r="Q942" s="437"/>
      <c r="R942" s="437"/>
      <c r="S942" s="437"/>
      <c r="T942" s="26"/>
    </row>
    <row r="943" spans="1:20" s="697" customFormat="1" ht="5.0999999999999996" customHeight="1" x14ac:dyDescent="0.2">
      <c r="A943" s="437"/>
      <c r="B943" s="414"/>
      <c r="C943" s="414"/>
      <c r="E943" s="526"/>
      <c r="F943" s="823"/>
      <c r="G943" s="823"/>
      <c r="H943" s="823"/>
      <c r="I943" s="924"/>
      <c r="J943" s="924"/>
      <c r="K943" s="924"/>
      <c r="L943" s="924"/>
      <c r="M943" s="924"/>
      <c r="N943" s="823"/>
      <c r="O943" s="25"/>
      <c r="P943" s="437"/>
      <c r="Q943" s="437"/>
      <c r="R943" s="437"/>
      <c r="S943" s="437"/>
      <c r="T943" s="26"/>
    </row>
    <row r="944" spans="1:20" s="697" customFormat="1" ht="12.75" customHeight="1" x14ac:dyDescent="0.2">
      <c r="A944" s="437"/>
      <c r="B944" s="414"/>
      <c r="C944" s="414"/>
      <c r="E944" s="1651" t="str">
        <f>Translations!$B$687</f>
        <v>Tiešās emisijas</v>
      </c>
      <c r="F944" s="1652"/>
      <c r="G944" s="1652"/>
      <c r="H944" s="465" t="str">
        <f>EUconst_tCO2pa</f>
        <v>t CO2 / gads</v>
      </c>
      <c r="I944" s="1103" t="str">
        <f>IF($I921="","",IF(INDEX(F_ProductBM!I:I,MATCH($P944,F_ProductBM!$P:$P,0))="","",INDEX(F_ProductBM!I:I,MATCH($P944,F_ProductBM!$P:$P,0))))</f>
        <v/>
      </c>
      <c r="J944" s="1103" t="str">
        <f>IF($I921="","",IF(INDEX(F_ProductBM!J:J,MATCH($P944,F_ProductBM!$P:$P,0))="","",INDEX(F_ProductBM!J:J,MATCH($P944,F_ProductBM!$P:$P,0))))</f>
        <v/>
      </c>
      <c r="K944" s="1103" t="str">
        <f>IF($I921="","",IF(INDEX(F_ProductBM!K:K,MATCH($P944,F_ProductBM!$P:$P,0))="","",INDEX(F_ProductBM!K:K,MATCH($P944,F_ProductBM!$P:$P,0))))</f>
        <v/>
      </c>
      <c r="L944" s="1103" t="str">
        <f>IF($I921="","",IF(INDEX(F_ProductBM!L:L,MATCH($P944,F_ProductBM!$P:$P,0))="","",INDEX(F_ProductBM!L:L,MATCH($P944,F_ProductBM!$P:$P,0))))</f>
        <v/>
      </c>
      <c r="M944" s="1103" t="str">
        <f>IF($I921="","",IF(INDEX(F_ProductBM!M:M,MATCH($P944,F_ProductBM!$P:$P,0))="","",INDEX(F_ProductBM!M:M,MATCH($P944,F_ProductBM!$P:$P,0))))</f>
        <v/>
      </c>
      <c r="N944" s="823"/>
      <c r="O944" s="25"/>
      <c r="P944" s="367" t="str">
        <f>EUconst_CNTR_Emissions &amp; I921</f>
        <v>DirEmissions_</v>
      </c>
      <c r="Q944" s="437"/>
      <c r="R944" s="437"/>
      <c r="S944" s="437"/>
      <c r="T944" s="26"/>
    </row>
    <row r="945" spans="1:20" s="697" customFormat="1" ht="12.75" customHeight="1" x14ac:dyDescent="0.2">
      <c r="A945" s="437"/>
      <c r="B945" s="414"/>
      <c r="C945" s="414"/>
      <c r="E945" s="1893" t="str">
        <f>Translations!$B$742</f>
        <v>Citas avota plūsmas, 1:</v>
      </c>
      <c r="F945" s="1893"/>
      <c r="G945" s="1893"/>
      <c r="H945" s="465" t="str">
        <f>EUconst_tCO2pa</f>
        <v>t CO2 / gads</v>
      </c>
      <c r="I945" s="1103" t="str">
        <f>IF($I921="","",IF(INDEX(F_ProductBM!I:I,MATCH($P945,F_ProductBM!$P:$P,0))="","",INDEX(F_ProductBM!I:I,MATCH($P945,F_ProductBM!$P:$P,0))))</f>
        <v/>
      </c>
      <c r="J945" s="1103" t="str">
        <f>IF($I921="","",IF(INDEX(F_ProductBM!J:J,MATCH($P945,F_ProductBM!$P:$P,0))="","",INDEX(F_ProductBM!J:J,MATCH($P945,F_ProductBM!$P:$P,0))))</f>
        <v/>
      </c>
      <c r="K945" s="1103" t="str">
        <f>IF($I921="","",IF(INDEX(F_ProductBM!K:K,MATCH($P945,F_ProductBM!$P:$P,0))="","",INDEX(F_ProductBM!K:K,MATCH($P945,F_ProductBM!$P:$P,0))))</f>
        <v/>
      </c>
      <c r="L945" s="1103" t="str">
        <f>IF($I921="","",IF(INDEX(F_ProductBM!L:L,MATCH($P945,F_ProductBM!$P:$P,0))="","",INDEX(F_ProductBM!L:L,MATCH($P945,F_ProductBM!$P:$P,0))))</f>
        <v/>
      </c>
      <c r="M945" s="1103" t="str">
        <f>IF($I921="","",IF(INDEX(F_ProductBM!M:M,MATCH($P945,F_ProductBM!$P:$P,0))="","",INDEX(F_ProductBM!M:M,MATCH($P945,F_ProductBM!$P:$P,0))))</f>
        <v/>
      </c>
      <c r="N945" s="823"/>
      <c r="O945" s="25"/>
      <c r="P945" s="367" t="str">
        <f>EUconst_CNTR_EmissionsIntSource1 &amp; I921</f>
        <v>EmInternalSource1_</v>
      </c>
      <c r="Q945" s="437"/>
      <c r="R945" s="437"/>
      <c r="S945" s="437"/>
      <c r="T945" s="26"/>
    </row>
    <row r="946" spans="1:20" s="697" customFormat="1" ht="12.75" customHeight="1" x14ac:dyDescent="0.2">
      <c r="A946" s="437"/>
      <c r="B946" s="414"/>
      <c r="C946" s="414"/>
      <c r="E946" s="1893" t="str">
        <f>Translations!$B$752</f>
        <v>Citas avota plūsmas, 2:</v>
      </c>
      <c r="F946" s="1893"/>
      <c r="G946" s="1893"/>
      <c r="H946" s="465" t="str">
        <f>EUconst_tCO2pa</f>
        <v>t CO2 / gads</v>
      </c>
      <c r="I946" s="1103" t="str">
        <f>IF($I921="","",IF(INDEX(F_ProductBM!I:I,MATCH($P946,F_ProductBM!$P:$P,0))="","",INDEX(F_ProductBM!I:I,MATCH($P946,F_ProductBM!$P:$P,0))))</f>
        <v/>
      </c>
      <c r="J946" s="1103" t="str">
        <f>IF($I921="","",IF(INDEX(F_ProductBM!J:J,MATCH($P946,F_ProductBM!$P:$P,0))="","",INDEX(F_ProductBM!J:J,MATCH($P946,F_ProductBM!$P:$P,0))))</f>
        <v/>
      </c>
      <c r="K946" s="1103" t="str">
        <f>IF($I921="","",IF(INDEX(F_ProductBM!K:K,MATCH($P946,F_ProductBM!$P:$P,0))="","",INDEX(F_ProductBM!K:K,MATCH($P946,F_ProductBM!$P:$P,0))))</f>
        <v/>
      </c>
      <c r="L946" s="1103" t="str">
        <f>IF($I921="","",IF(INDEX(F_ProductBM!L:L,MATCH($P946,F_ProductBM!$P:$P,0))="","",INDEX(F_ProductBM!L:L,MATCH($P946,F_ProductBM!$P:$P,0))))</f>
        <v/>
      </c>
      <c r="M946" s="1103" t="str">
        <f>IF($I921="","",IF(INDEX(F_ProductBM!M:M,MATCH($P946,F_ProductBM!$P:$P,0))="","",INDEX(F_ProductBM!M:M,MATCH($P946,F_ProductBM!$P:$P,0))))</f>
        <v/>
      </c>
      <c r="N946" s="823"/>
      <c r="O946" s="25"/>
      <c r="P946" s="367" t="str">
        <f>EUconst_CNTR_EmissionsIntSource2 &amp; I921</f>
        <v>EmInternalSource2_</v>
      </c>
      <c r="Q946" s="437"/>
      <c r="R946" s="437"/>
      <c r="S946" s="437"/>
      <c r="T946" s="26"/>
    </row>
    <row r="947" spans="1:20" s="697" customFormat="1" ht="12.75" customHeight="1" x14ac:dyDescent="0.2">
      <c r="A947" s="437"/>
      <c r="B947" s="414"/>
      <c r="C947" s="414"/>
      <c r="D947" s="414"/>
      <c r="E947" s="1651" t="str">
        <f>Translations!$B$756</f>
        <v>Importētās vai eksportētās SEG</v>
      </c>
      <c r="F947" s="1652"/>
      <c r="G947" s="1652"/>
      <c r="H947" s="465" t="str">
        <f>EUconst_tCO2epa</f>
        <v>t CO2e/gads</v>
      </c>
      <c r="I947" s="1103" t="str">
        <f>IF($I921="","",IF(INDEX(F_ProductBM!I:I,MATCH($P947,F_ProductBM!$P:$P,0))="","",INDEX(F_ProductBM!I:I,MATCH($P947,F_ProductBM!$P:$P,0))))</f>
        <v/>
      </c>
      <c r="J947" s="1103" t="str">
        <f>IF($I921="","",IF(INDEX(F_ProductBM!J:J,MATCH($P947,F_ProductBM!$P:$P,0))="","",INDEX(F_ProductBM!J:J,MATCH($P947,F_ProductBM!$P:$P,0))))</f>
        <v/>
      </c>
      <c r="K947" s="1103" t="str">
        <f>IF($I921="","",IF(INDEX(F_ProductBM!K:K,MATCH($P947,F_ProductBM!$P:$P,0))="","",INDEX(F_ProductBM!K:K,MATCH($P947,F_ProductBM!$P:$P,0))))</f>
        <v/>
      </c>
      <c r="L947" s="1103" t="str">
        <f>IF($I921="","",IF(INDEX(F_ProductBM!L:L,MATCH($P947,F_ProductBM!$P:$P,0))="","",INDEX(F_ProductBM!L:L,MATCH($P947,F_ProductBM!$P:$P,0))))</f>
        <v/>
      </c>
      <c r="M947" s="1103" t="str">
        <f>IF($I921="","",IF(INDEX(F_ProductBM!M:M,MATCH($P947,F_ProductBM!$P:$P,0))="","",INDEX(F_ProductBM!M:M,MATCH($P947,F_ProductBM!$P:$P,0))))</f>
        <v/>
      </c>
      <c r="N947" s="823"/>
      <c r="O947" s="25"/>
      <c r="P947" s="367" t="str">
        <f>EUconst_CNTR_CO2Feedstock &amp; I921</f>
        <v>EmCO2Feedstock_</v>
      </c>
      <c r="Q947" s="437"/>
      <c r="R947" s="437"/>
      <c r="S947" s="437"/>
      <c r="T947" s="26"/>
    </row>
    <row r="948" spans="1:20" s="697" customFormat="1" ht="5.0999999999999996" customHeight="1" x14ac:dyDescent="0.2">
      <c r="A948" s="437"/>
      <c r="B948" s="414"/>
      <c r="C948" s="414"/>
      <c r="D948" s="414"/>
      <c r="E948" s="823"/>
      <c r="F948" s="823"/>
      <c r="G948" s="823"/>
      <c r="H948" s="823"/>
      <c r="I948" s="924"/>
      <c r="J948" s="924"/>
      <c r="K948" s="924"/>
      <c r="L948" s="924"/>
      <c r="M948" s="924"/>
      <c r="N948" s="823"/>
      <c r="O948" s="25"/>
      <c r="P948" s="437"/>
      <c r="Q948" s="437"/>
      <c r="R948" s="437"/>
      <c r="S948" s="437"/>
      <c r="T948" s="26"/>
    </row>
    <row r="949" spans="1:20" s="697" customFormat="1" ht="12.75" customHeight="1" x14ac:dyDescent="0.2">
      <c r="A949" s="437"/>
      <c r="B949" s="414"/>
      <c r="C949" s="414"/>
      <c r="D949" s="414"/>
      <c r="E949" s="1667" t="str">
        <f>Translations!$B$764</f>
        <v>Neto importētais siltums</v>
      </c>
      <c r="F949" s="1660"/>
      <c r="G949" s="1660"/>
      <c r="H949" s="466" t="str">
        <f>EUconst_TJpa</f>
        <v>TJ / gads</v>
      </c>
      <c r="I949" s="922" t="str">
        <f>IF($I921="","",IF(INDEX(F_ProductBM!I:I,MATCH($P949,F_ProductBM!$P:$P,0))="","",INDEX(F_ProductBM!I:I,MATCH($P949,F_ProductBM!$P:$P,0))))</f>
        <v/>
      </c>
      <c r="J949" s="922" t="str">
        <f>IF($I921="","",IF(INDEX(F_ProductBM!J:J,MATCH($P949,F_ProductBM!$P:$P,0))="","",INDEX(F_ProductBM!J:J,MATCH($P949,F_ProductBM!$P:$P,0))))</f>
        <v/>
      </c>
      <c r="K949" s="922" t="str">
        <f>IF($I921="","",IF(INDEX(F_ProductBM!K:K,MATCH($P949,F_ProductBM!$P:$P,0))="","",INDEX(F_ProductBM!K:K,MATCH($P949,F_ProductBM!$P:$P,0))))</f>
        <v/>
      </c>
      <c r="L949" s="922" t="str">
        <f>IF($I921="","",IF(INDEX(F_ProductBM!L:L,MATCH($P949,F_ProductBM!$P:$P,0))="","",INDEX(F_ProductBM!L:L,MATCH($P949,F_ProductBM!$P:$P,0))))</f>
        <v/>
      </c>
      <c r="M949" s="922" t="str">
        <f>IF($I921="","",IF(INDEX(F_ProductBM!M:M,MATCH($P949,F_ProductBM!$P:$P,0))="","",INDEX(F_ProductBM!M:M,MATCH($P949,F_ProductBM!$P:$P,0))))</f>
        <v/>
      </c>
      <c r="N949" s="823"/>
      <c r="O949" s="25"/>
      <c r="P949" s="367" t="str">
        <f>EUconst_CNTR_HeatImport &amp; I921</f>
        <v>HeatIm_</v>
      </c>
      <c r="Q949" s="437"/>
      <c r="R949" s="437"/>
      <c r="S949" s="437"/>
      <c r="T949" s="26"/>
    </row>
    <row r="950" spans="1:20" s="697" customFormat="1" ht="12.75" customHeight="1" x14ac:dyDescent="0.2">
      <c r="A950" s="437"/>
      <c r="B950" s="414"/>
      <c r="C950" s="414"/>
      <c r="D950" s="414"/>
      <c r="E950" s="1737" t="str">
        <f>Translations!$B$765</f>
        <v>Īpatnējais EF (importētais siltums)</v>
      </c>
      <c r="F950" s="1659"/>
      <c r="G950" s="1659"/>
      <c r="H950" s="485" t="str">
        <f>EUconst_tCO2pTJ</f>
        <v>t CO2 / TJ</v>
      </c>
      <c r="I950" s="923" t="str">
        <f>IF($I921="","",IF(INDEX(F_ProductBM!I:I,MATCH($P950,F_ProductBM!$P:$P,0))="","",INDEX(F_ProductBM!I:I,MATCH($P950,F_ProductBM!$P:$P,0))))</f>
        <v/>
      </c>
      <c r="J950" s="923" t="str">
        <f>IF($I921="","",IF(INDEX(F_ProductBM!J:J,MATCH($P950,F_ProductBM!$P:$P,0))="","",INDEX(F_ProductBM!J:J,MATCH($P950,F_ProductBM!$P:$P,0))))</f>
        <v/>
      </c>
      <c r="K950" s="923" t="str">
        <f>IF($I921="","",IF(INDEX(F_ProductBM!K:K,MATCH($P950,F_ProductBM!$P:$P,0))="","",INDEX(F_ProductBM!K:K,MATCH($P950,F_ProductBM!$P:$P,0))))</f>
        <v/>
      </c>
      <c r="L950" s="923" t="str">
        <f>IF($I921="","",IF(INDEX(F_ProductBM!L:L,MATCH($P950,F_ProductBM!$P:$P,0))="","",INDEX(F_ProductBM!L:L,MATCH($P950,F_ProductBM!$P:$P,0))))</f>
        <v/>
      </c>
      <c r="M950" s="923" t="str">
        <f>IF($I921="","",IF(INDEX(F_ProductBM!M:M,MATCH($P950,F_ProductBM!$P:$P,0))="","",INDEX(F_ProductBM!M:M,MATCH($P950,F_ProductBM!$P:$P,0))))</f>
        <v/>
      </c>
      <c r="N950" s="823"/>
      <c r="O950" s="25"/>
      <c r="P950" s="367" t="str">
        <f>EUconst_CNTR_HeatImportEF &amp; I921</f>
        <v>HeatImEF_</v>
      </c>
      <c r="Q950" s="437"/>
      <c r="R950" s="437"/>
      <c r="S950" s="437"/>
      <c r="T950" s="26"/>
    </row>
    <row r="951" spans="1:20" s="697" customFormat="1" ht="5.0999999999999996" customHeight="1" x14ac:dyDescent="0.2">
      <c r="A951" s="437"/>
      <c r="B951" s="414"/>
      <c r="C951" s="414"/>
      <c r="D951" s="414"/>
      <c r="E951" s="526"/>
      <c r="F951" s="823"/>
      <c r="G951" s="823"/>
      <c r="H951" s="823"/>
      <c r="I951" s="924"/>
      <c r="J951" s="924"/>
      <c r="K951" s="924"/>
      <c r="L951" s="924"/>
      <c r="M951" s="924"/>
      <c r="N951" s="823"/>
      <c r="O951" s="25"/>
      <c r="P951" s="26"/>
      <c r="Q951" s="437"/>
      <c r="R951" s="437"/>
      <c r="S951" s="437"/>
      <c r="T951" s="26"/>
    </row>
    <row r="952" spans="1:20" s="697" customFormat="1" ht="12.75" customHeight="1" x14ac:dyDescent="0.2">
      <c r="A952" s="437"/>
      <c r="B952" s="414"/>
      <c r="C952" s="414"/>
      <c r="D952" s="414"/>
      <c r="E952" s="1651" t="str">
        <f>Translations!$B$820</f>
        <v>No pulpas apakšiekārtām importētais neto siltums</v>
      </c>
      <c r="F952" s="1652"/>
      <c r="G952" s="1652"/>
      <c r="H952" s="465" t="str">
        <f>EUconst_TJpa</f>
        <v>TJ / gads</v>
      </c>
      <c r="I952" s="925" t="str">
        <f>IF($I921="","",IF(INDEX(F_ProductBM!I:I,MATCH($P952,F_ProductBM!$P:$P,0))="","",INDEX(F_ProductBM!I:I,MATCH($P952,F_ProductBM!$P:$P,0))))</f>
        <v/>
      </c>
      <c r="J952" s="925" t="str">
        <f>IF($I921="","",IF(INDEX(F_ProductBM!J:J,MATCH($P952,F_ProductBM!$P:$P,0))="","",INDEX(F_ProductBM!J:J,MATCH($P952,F_ProductBM!$P:$P,0))))</f>
        <v/>
      </c>
      <c r="K952" s="925" t="str">
        <f>IF($I921="","",IF(INDEX(F_ProductBM!K:K,MATCH($P952,F_ProductBM!$P:$P,0))="","",INDEX(F_ProductBM!K:K,MATCH($P952,F_ProductBM!$P:$P,0))))</f>
        <v/>
      </c>
      <c r="L952" s="925" t="str">
        <f>IF($I921="","",IF(INDEX(F_ProductBM!L:L,MATCH($P952,F_ProductBM!$P:$P,0))="","",INDEX(F_ProductBM!L:L,MATCH($P952,F_ProductBM!$P:$P,0))))</f>
        <v/>
      </c>
      <c r="M952" s="925" t="str">
        <f>IF($I921="","",IF(INDEX(F_ProductBM!M:M,MATCH($P952,F_ProductBM!$P:$P,0))="","",INDEX(F_ProductBM!M:M,MATCH($P952,F_ProductBM!$P:$P,0))))</f>
        <v/>
      </c>
      <c r="N952" s="823"/>
      <c r="O952" s="25"/>
      <c r="P952" s="367" t="str">
        <f>EUconst_CNTR_HeatImportPulp &amp; I921</f>
        <v>HeatImPulp_</v>
      </c>
      <c r="Q952" s="437"/>
      <c r="R952" s="437"/>
      <c r="S952" s="437"/>
      <c r="T952" s="26"/>
    </row>
    <row r="953" spans="1:20" s="697" customFormat="1" ht="12.75" customHeight="1" x14ac:dyDescent="0.2">
      <c r="A953" s="437"/>
      <c r="B953" s="414"/>
      <c r="C953" s="414"/>
      <c r="D953" s="414"/>
      <c r="E953" s="1651" t="str">
        <f>Translations!$B$768</f>
        <v>No slāpekļskābes apakšiekārtas importētais neto siltums</v>
      </c>
      <c r="F953" s="1652"/>
      <c r="G953" s="1652"/>
      <c r="H953" s="465" t="str">
        <f>EUconst_TJpa</f>
        <v>TJ / gads</v>
      </c>
      <c r="I953" s="925" t="str">
        <f>IF($I921="","",IF(INDEX(F_ProductBM!I:I,MATCH($P953,F_ProductBM!$P:$P,0))="","",INDEX(F_ProductBM!I:I,MATCH($P953,F_ProductBM!$P:$P,0))))</f>
        <v/>
      </c>
      <c r="J953" s="925" t="str">
        <f>IF($I921="","",IF(INDEX(F_ProductBM!J:J,MATCH($P953,F_ProductBM!$P:$P,0))="","",INDEX(F_ProductBM!J:J,MATCH($P953,F_ProductBM!$P:$P,0))))</f>
        <v/>
      </c>
      <c r="K953" s="925" t="str">
        <f>IF($I921="","",IF(INDEX(F_ProductBM!K:K,MATCH($P953,F_ProductBM!$P:$P,0))="","",INDEX(F_ProductBM!K:K,MATCH($P953,F_ProductBM!$P:$P,0))))</f>
        <v/>
      </c>
      <c r="L953" s="925" t="str">
        <f>IF($I921="","",IF(INDEX(F_ProductBM!L:L,MATCH($P953,F_ProductBM!$P:$P,0))="","",INDEX(F_ProductBM!L:L,MATCH($P953,F_ProductBM!$P:$P,0))))</f>
        <v/>
      </c>
      <c r="M953" s="925" t="str">
        <f>IF($I921="","",IF(INDEX(F_ProductBM!M:M,MATCH($P953,F_ProductBM!$P:$P,0))="","",INDEX(F_ProductBM!M:M,MATCH($P953,F_ProductBM!$P:$P,0))))</f>
        <v/>
      </c>
      <c r="N953" s="823"/>
      <c r="O953" s="25"/>
      <c r="P953" s="367" t="str">
        <f>EUconst_CNTR_HeatImportNitric &amp; I921</f>
        <v>HeatImNitric_</v>
      </c>
      <c r="Q953" s="437"/>
      <c r="R953" s="437"/>
      <c r="S953" s="437"/>
      <c r="T953" s="26"/>
    </row>
    <row r="954" spans="1:20" s="697" customFormat="1" ht="5.0999999999999996" customHeight="1" x14ac:dyDescent="0.2">
      <c r="A954" s="437"/>
      <c r="B954" s="414"/>
      <c r="C954" s="414"/>
      <c r="D954" s="414"/>
      <c r="E954" s="526"/>
      <c r="F954" s="526"/>
      <c r="G954" s="526"/>
      <c r="H954" s="526"/>
      <c r="I954" s="924"/>
      <c r="J954" s="924"/>
      <c r="K954" s="924"/>
      <c r="L954" s="924"/>
      <c r="M954" s="924"/>
      <c r="N954" s="823"/>
      <c r="O954" s="25"/>
      <c r="P954" s="26"/>
      <c r="Q954" s="437"/>
      <c r="R954" s="437"/>
      <c r="S954" s="437"/>
      <c r="T954" s="26"/>
    </row>
    <row r="955" spans="1:20" s="697" customFormat="1" ht="12.75" customHeight="1" x14ac:dyDescent="0.2">
      <c r="A955" s="437"/>
      <c r="B955" s="414"/>
      <c r="C955" s="414"/>
      <c r="D955" s="414"/>
      <c r="E955" s="1667" t="str">
        <f>Translations!$B$770</f>
        <v>Neto eksportētais siltums</v>
      </c>
      <c r="F955" s="1660"/>
      <c r="G955" s="1660"/>
      <c r="H955" s="466" t="str">
        <f>EUconst_TJpa</f>
        <v>TJ / gads</v>
      </c>
      <c r="I955" s="922" t="str">
        <f>IF($I921="","",IF(INDEX(F_ProductBM!I:I,MATCH($P955,F_ProductBM!$P:$P,0))="","",INDEX(F_ProductBM!I:I,MATCH($P955,F_ProductBM!$P:$P,0))))</f>
        <v/>
      </c>
      <c r="J955" s="922" t="str">
        <f>IF($I921="","",IF(INDEX(F_ProductBM!J:J,MATCH($P955,F_ProductBM!$P:$P,0))="","",INDEX(F_ProductBM!J:J,MATCH($P955,F_ProductBM!$P:$P,0))))</f>
        <v/>
      </c>
      <c r="K955" s="922" t="str">
        <f>IF($I921="","",IF(INDEX(F_ProductBM!K:K,MATCH($P955,F_ProductBM!$P:$P,0))="","",INDEX(F_ProductBM!K:K,MATCH($P955,F_ProductBM!$P:$P,0))))</f>
        <v/>
      </c>
      <c r="L955" s="922" t="str">
        <f>IF($I921="","",IF(INDEX(F_ProductBM!L:L,MATCH($P955,F_ProductBM!$P:$P,0))="","",INDEX(F_ProductBM!L:L,MATCH($P955,F_ProductBM!$P:$P,0))))</f>
        <v/>
      </c>
      <c r="M955" s="922" t="str">
        <f>IF($I921="","",IF(INDEX(F_ProductBM!M:M,MATCH($P955,F_ProductBM!$P:$P,0))="","",INDEX(F_ProductBM!M:M,MATCH($P955,F_ProductBM!$P:$P,0))))</f>
        <v/>
      </c>
      <c r="N955" s="823"/>
      <c r="O955" s="25"/>
      <c r="P955" s="367" t="str">
        <f>EUconst_CNTR_HeatExport &amp; I921</f>
        <v>HeatEx_</v>
      </c>
      <c r="Q955" s="437"/>
      <c r="R955" s="437"/>
      <c r="S955" s="437"/>
      <c r="T955" s="26"/>
    </row>
    <row r="956" spans="1:20" s="697" customFormat="1" ht="12.75" customHeight="1" x14ac:dyDescent="0.2">
      <c r="A956" s="437"/>
      <c r="B956" s="414"/>
      <c r="C956" s="414"/>
      <c r="D956" s="414"/>
      <c r="E956" s="1737" t="str">
        <f>Translations!$B$771</f>
        <v>Īpatnējais EF (eksportētais siltums)</v>
      </c>
      <c r="F956" s="1659"/>
      <c r="G956" s="1659"/>
      <c r="H956" s="485" t="str">
        <f>EUconst_tCO2pTJ</f>
        <v>t CO2 / TJ</v>
      </c>
      <c r="I956" s="923" t="str">
        <f>IF($I921="","",IF(INDEX(F_ProductBM!I:I,MATCH($P956,F_ProductBM!$P:$P,0))="","",INDEX(F_ProductBM!I:I,MATCH($P956,F_ProductBM!$P:$P,0))))</f>
        <v/>
      </c>
      <c r="J956" s="923" t="str">
        <f>IF($I921="","",IF(INDEX(F_ProductBM!J:J,MATCH($P956,F_ProductBM!$P:$P,0))="","",INDEX(F_ProductBM!J:J,MATCH($P956,F_ProductBM!$P:$P,0))))</f>
        <v/>
      </c>
      <c r="K956" s="923" t="str">
        <f>IF($I921="","",IF(INDEX(F_ProductBM!K:K,MATCH($P956,F_ProductBM!$P:$P,0))="","",INDEX(F_ProductBM!K:K,MATCH($P956,F_ProductBM!$P:$P,0))))</f>
        <v/>
      </c>
      <c r="L956" s="923" t="str">
        <f>IF($I921="","",IF(INDEX(F_ProductBM!L:L,MATCH($P956,F_ProductBM!$P:$P,0))="","",INDEX(F_ProductBM!L:L,MATCH($P956,F_ProductBM!$P:$P,0))))</f>
        <v/>
      </c>
      <c r="M956" s="923" t="str">
        <f>IF($I921="","",IF(INDEX(F_ProductBM!M:M,MATCH($P956,F_ProductBM!$P:$P,0))="","",INDEX(F_ProductBM!M:M,MATCH($P956,F_ProductBM!$P:$P,0))))</f>
        <v/>
      </c>
      <c r="N956" s="823"/>
      <c r="O956" s="25"/>
      <c r="P956" s="367" t="str">
        <f>EUconst_CNTR_HeatExportEF &amp; I921</f>
        <v>HeatExEF_</v>
      </c>
      <c r="Q956" s="437"/>
      <c r="R956" s="437"/>
      <c r="S956" s="437"/>
      <c r="T956" s="26"/>
    </row>
    <row r="957" spans="1:20" s="697" customFormat="1" ht="5.0999999999999996" customHeight="1" x14ac:dyDescent="0.2">
      <c r="A957" s="437"/>
      <c r="B957" s="414"/>
      <c r="C957" s="414"/>
      <c r="D957" s="414"/>
      <c r="E957" s="526"/>
      <c r="F957" s="526"/>
      <c r="G957" s="526"/>
      <c r="H957" s="526"/>
      <c r="I957" s="924"/>
      <c r="J957" s="924"/>
      <c r="K957" s="924"/>
      <c r="L957" s="924"/>
      <c r="M957" s="924"/>
      <c r="N957" s="823"/>
      <c r="O957" s="25"/>
      <c r="P957" s="199"/>
      <c r="Q957" s="437"/>
      <c r="R957" s="437"/>
      <c r="S957" s="437"/>
      <c r="T957" s="26"/>
    </row>
    <row r="958" spans="1:20" s="697" customFormat="1" ht="12.75" customHeight="1" x14ac:dyDescent="0.2">
      <c r="A958" s="437"/>
      <c r="B958" s="414"/>
      <c r="C958" s="414"/>
      <c r="D958" s="414"/>
      <c r="E958" s="1667" t="str">
        <f>Translations!$B$778</f>
        <v>Radusies atlikumgāze</v>
      </c>
      <c r="F958" s="1660"/>
      <c r="G958" s="1660"/>
      <c r="H958" s="466" t="str">
        <f>EUconst_TJpa</f>
        <v>TJ / gads</v>
      </c>
      <c r="I958" s="922" t="str">
        <f>IF($I921="","",IF(INDEX(F_ProductBM!I:I,MATCH($P958,F_ProductBM!$P:$P,0))="","",INDEX(F_ProductBM!I:I,MATCH($P958,F_ProductBM!$P:$P,0))))</f>
        <v/>
      </c>
      <c r="J958" s="922" t="str">
        <f>IF($I921="","",IF(INDEX(F_ProductBM!J:J,MATCH($P958,F_ProductBM!$P:$P,0))="","",INDEX(F_ProductBM!J:J,MATCH($P958,F_ProductBM!$P:$P,0))))</f>
        <v/>
      </c>
      <c r="K958" s="922" t="str">
        <f>IF($I921="","",IF(INDEX(F_ProductBM!K:K,MATCH($P958,F_ProductBM!$P:$P,0))="","",INDEX(F_ProductBM!K:K,MATCH($P958,F_ProductBM!$P:$P,0))))</f>
        <v/>
      </c>
      <c r="L958" s="922" t="str">
        <f>IF($I921="","",IF(INDEX(F_ProductBM!L:L,MATCH($P958,F_ProductBM!$P:$P,0))="","",INDEX(F_ProductBM!L:L,MATCH($P958,F_ProductBM!$P:$P,0))))</f>
        <v/>
      </c>
      <c r="M958" s="922" t="str">
        <f>IF($I921="","",IF(INDEX(F_ProductBM!M:M,MATCH($P958,F_ProductBM!$P:$P,0))="","",INDEX(F_ProductBM!M:M,MATCH($P958,F_ProductBM!$P:$P,0))))</f>
        <v/>
      </c>
      <c r="N958" s="823"/>
      <c r="O958" s="25"/>
      <c r="P958" s="822" t="str">
        <f>EUconst_CNTR_WGProduced &amp; I921</f>
        <v>WasteGasProd_</v>
      </c>
      <c r="Q958" s="437"/>
      <c r="R958" s="437"/>
      <c r="S958" s="437"/>
      <c r="T958" s="26"/>
    </row>
    <row r="959" spans="1:20" s="697" customFormat="1" ht="12.75" customHeight="1" x14ac:dyDescent="0.2">
      <c r="A959" s="437"/>
      <c r="B959" s="414"/>
      <c r="C959" s="414"/>
      <c r="D959" s="414"/>
      <c r="E959" s="1737" t="str">
        <f>Translations!$B$779</f>
        <v>Īpatnējais EF (radusies atlikumgāze)</v>
      </c>
      <c r="F959" s="1659"/>
      <c r="G959" s="1659"/>
      <c r="H959" s="485" t="str">
        <f>EUconst_tCO2pTJ</f>
        <v>t CO2 / TJ</v>
      </c>
      <c r="I959" s="923" t="str">
        <f>IF($I921="","",IF(INDEX(F_ProductBM!I:I,MATCH($P959,F_ProductBM!$P:$P,0))="","",INDEX(F_ProductBM!I:I,MATCH($P959,F_ProductBM!$P:$P,0))))</f>
        <v/>
      </c>
      <c r="J959" s="923" t="str">
        <f>IF($I921="","",IF(INDEX(F_ProductBM!J:J,MATCH($P959,F_ProductBM!$P:$P,0))="","",INDEX(F_ProductBM!J:J,MATCH($P959,F_ProductBM!$P:$P,0))))</f>
        <v/>
      </c>
      <c r="K959" s="923" t="str">
        <f>IF($I921="","",IF(INDEX(F_ProductBM!K:K,MATCH($P959,F_ProductBM!$P:$P,0))="","",INDEX(F_ProductBM!K:K,MATCH($P959,F_ProductBM!$P:$P,0))))</f>
        <v/>
      </c>
      <c r="L959" s="923" t="str">
        <f>IF($I921="","",IF(INDEX(F_ProductBM!L:L,MATCH($P959,F_ProductBM!$P:$P,0))="","",INDEX(F_ProductBM!L:L,MATCH($P959,F_ProductBM!$P:$P,0))))</f>
        <v/>
      </c>
      <c r="M959" s="923" t="str">
        <f>IF($I921="","",IF(INDEX(F_ProductBM!M:M,MATCH($P959,F_ProductBM!$P:$P,0))="","",INDEX(F_ProductBM!M:M,MATCH($P959,F_ProductBM!$P:$P,0))))</f>
        <v/>
      </c>
      <c r="N959" s="823"/>
      <c r="O959" s="25"/>
      <c r="P959" s="367" t="str">
        <f>EUconst_CNTR_WGProducedEF &amp; I921</f>
        <v>WasteGasProdEF_</v>
      </c>
      <c r="Q959" s="437"/>
      <c r="R959" s="437"/>
      <c r="S959" s="437"/>
      <c r="T959" s="26"/>
    </row>
    <row r="960" spans="1:20" s="697" customFormat="1" ht="12.75" customHeight="1" x14ac:dyDescent="0.2">
      <c r="A960" s="437"/>
      <c r="B960" s="414"/>
      <c r="C960" s="414"/>
      <c r="D960" s="414"/>
      <c r="E960" s="1667" t="str">
        <f>Translations!$B$783</f>
        <v>Patērētā atlikumgāze</v>
      </c>
      <c r="F960" s="1660"/>
      <c r="G960" s="1660"/>
      <c r="H960" s="466" t="str">
        <f>EUconst_TJpa</f>
        <v>TJ / gads</v>
      </c>
      <c r="I960" s="922" t="str">
        <f>IF($I921="","",IF(INDEX(F_ProductBM!I:I,MATCH($P960,F_ProductBM!$P:$P,0))="","",INDEX(F_ProductBM!I:I,MATCH($P960,F_ProductBM!$P:$P,0))))</f>
        <v/>
      </c>
      <c r="J960" s="922" t="str">
        <f>IF($I921="","",IF(INDEX(F_ProductBM!J:J,MATCH($P960,F_ProductBM!$P:$P,0))="","",INDEX(F_ProductBM!J:J,MATCH($P960,F_ProductBM!$P:$P,0))))</f>
        <v/>
      </c>
      <c r="K960" s="922" t="str">
        <f>IF($I921="","",IF(INDEX(F_ProductBM!K:K,MATCH($P960,F_ProductBM!$P:$P,0))="","",INDEX(F_ProductBM!K:K,MATCH($P960,F_ProductBM!$P:$P,0))))</f>
        <v/>
      </c>
      <c r="L960" s="922" t="str">
        <f>IF($I921="","",IF(INDEX(F_ProductBM!L:L,MATCH($P960,F_ProductBM!$P:$P,0))="","",INDEX(F_ProductBM!L:L,MATCH($P960,F_ProductBM!$P:$P,0))))</f>
        <v/>
      </c>
      <c r="M960" s="922" t="str">
        <f>IF($I921="","",IF(INDEX(F_ProductBM!M:M,MATCH($P960,F_ProductBM!$P:$P,0))="","",INDEX(F_ProductBM!M:M,MATCH($P960,F_ProductBM!$P:$P,0))))</f>
        <v/>
      </c>
      <c r="N960" s="823"/>
      <c r="O960" s="25"/>
      <c r="P960" s="367" t="str">
        <f>EUconst_CNTR_WGConsumed &amp; I921</f>
        <v>WasteGasCons_</v>
      </c>
      <c r="Q960" s="437"/>
      <c r="R960" s="437"/>
      <c r="S960" s="437"/>
      <c r="T960" s="26"/>
    </row>
    <row r="961" spans="1:20" s="697" customFormat="1" ht="12.75" customHeight="1" x14ac:dyDescent="0.2">
      <c r="A961" s="437"/>
      <c r="B961" s="414"/>
      <c r="C961" s="414"/>
      <c r="D961" s="414"/>
      <c r="E961" s="1737" t="str">
        <f>Translations!$B$784</f>
        <v>Īpatnējais EF (patērētā atlikumgāze)</v>
      </c>
      <c r="F961" s="1659"/>
      <c r="G961" s="1659"/>
      <c r="H961" s="485" t="str">
        <f>EUconst_tCO2pTJ</f>
        <v>t CO2 / TJ</v>
      </c>
      <c r="I961" s="923" t="str">
        <f>IF($I921="","",IF(INDEX(F_ProductBM!I:I,MATCH($P961,F_ProductBM!$P:$P,0))="","",INDEX(F_ProductBM!I:I,MATCH($P961,F_ProductBM!$P:$P,0))))</f>
        <v/>
      </c>
      <c r="J961" s="923" t="str">
        <f>IF($I921="","",IF(INDEX(F_ProductBM!J:J,MATCH($P961,F_ProductBM!$P:$P,0))="","",INDEX(F_ProductBM!J:J,MATCH($P961,F_ProductBM!$P:$P,0))))</f>
        <v/>
      </c>
      <c r="K961" s="923" t="str">
        <f>IF($I921="","",IF(INDEX(F_ProductBM!K:K,MATCH($P961,F_ProductBM!$P:$P,0))="","",INDEX(F_ProductBM!K:K,MATCH($P961,F_ProductBM!$P:$P,0))))</f>
        <v/>
      </c>
      <c r="L961" s="923" t="str">
        <f>IF($I921="","",IF(INDEX(F_ProductBM!L:L,MATCH($P961,F_ProductBM!$P:$P,0))="","",INDEX(F_ProductBM!L:L,MATCH($P961,F_ProductBM!$P:$P,0))))</f>
        <v/>
      </c>
      <c r="M961" s="923" t="str">
        <f>IF($I921="","",IF(INDEX(F_ProductBM!M:M,MATCH($P961,F_ProductBM!$P:$P,0))="","",INDEX(F_ProductBM!M:M,MATCH($P961,F_ProductBM!$P:$P,0))))</f>
        <v/>
      </c>
      <c r="N961" s="823"/>
      <c r="O961" s="25"/>
      <c r="P961" s="367" t="str">
        <f>EUconst_CNTR_WGConsumedEF &amp; I921</f>
        <v>WasteGasConsEF_</v>
      </c>
      <c r="Q961" s="437"/>
      <c r="R961" s="437"/>
      <c r="S961" s="437"/>
      <c r="T961" s="26"/>
    </row>
    <row r="962" spans="1:20" s="697" customFormat="1" ht="12.75" customHeight="1" x14ac:dyDescent="0.2">
      <c r="A962" s="437"/>
      <c r="B962" s="414"/>
      <c r="C962" s="414"/>
      <c r="D962" s="414"/>
      <c r="E962" s="1667" t="str">
        <f>Translations!$B$790</f>
        <v>Lāpā sadedzinātā atlikumgāze</v>
      </c>
      <c r="F962" s="1660"/>
      <c r="G962" s="1660"/>
      <c r="H962" s="466" t="str">
        <f>EUconst_TJpa</f>
        <v>TJ / gads</v>
      </c>
      <c r="I962" s="922" t="str">
        <f>IF($I921="","",IF(INDEX(F_ProductBM!I:I,MATCH($P962,F_ProductBM!$P:$P,0))="","",INDEX(F_ProductBM!I:I,MATCH($P962,F_ProductBM!$P:$P,0))))</f>
        <v/>
      </c>
      <c r="J962" s="922" t="str">
        <f>IF($I921="","",IF(INDEX(F_ProductBM!J:J,MATCH($P962,F_ProductBM!$P:$P,0))="","",INDEX(F_ProductBM!J:J,MATCH($P962,F_ProductBM!$P:$P,0))))</f>
        <v/>
      </c>
      <c r="K962" s="922" t="str">
        <f>IF($I921="","",IF(INDEX(F_ProductBM!K:K,MATCH($P962,F_ProductBM!$P:$P,0))="","",INDEX(F_ProductBM!K:K,MATCH($P962,F_ProductBM!$P:$P,0))))</f>
        <v/>
      </c>
      <c r="L962" s="922" t="str">
        <f>IF($I921="","",IF(INDEX(F_ProductBM!L:L,MATCH($P962,F_ProductBM!$P:$P,0))="","",INDEX(F_ProductBM!L:L,MATCH($P962,F_ProductBM!$P:$P,0))))</f>
        <v/>
      </c>
      <c r="M962" s="922" t="str">
        <f>IF($I921="","",IF(INDEX(F_ProductBM!M:M,MATCH($P962,F_ProductBM!$P:$P,0))="","",INDEX(F_ProductBM!M:M,MATCH($P962,F_ProductBM!$P:$P,0))))</f>
        <v/>
      </c>
      <c r="N962" s="823"/>
      <c r="O962" s="25"/>
      <c r="P962" s="367" t="str">
        <f>EUconst_CNTR_WGFlared &amp; I921</f>
        <v>WasteGasFlare_</v>
      </c>
      <c r="Q962" s="437"/>
      <c r="R962" s="437"/>
      <c r="S962" s="437"/>
      <c r="T962" s="26"/>
    </row>
    <row r="963" spans="1:20" s="697" customFormat="1" ht="12.75" customHeight="1" x14ac:dyDescent="0.2">
      <c r="A963" s="437"/>
      <c r="B963" s="414"/>
      <c r="C963" s="414"/>
      <c r="D963" s="414"/>
      <c r="E963" s="1737" t="str">
        <f>Translations!$B$791</f>
        <v>Īpatnējais EF (lāpā sadedzinātā atlikumgāze)</v>
      </c>
      <c r="F963" s="1659"/>
      <c r="G963" s="1659"/>
      <c r="H963" s="485" t="str">
        <f>EUconst_tCO2pTJ</f>
        <v>t CO2 / TJ</v>
      </c>
      <c r="I963" s="923" t="str">
        <f>IF($I921="","",IF(INDEX(F_ProductBM!I:I,MATCH($P963,F_ProductBM!$P:$P,0))="","",INDEX(F_ProductBM!I:I,MATCH($P963,F_ProductBM!$P:$P,0))))</f>
        <v/>
      </c>
      <c r="J963" s="923" t="str">
        <f>IF($I921="","",IF(INDEX(F_ProductBM!J:J,MATCH($P963,F_ProductBM!$P:$P,0))="","",INDEX(F_ProductBM!J:J,MATCH($P963,F_ProductBM!$P:$P,0))))</f>
        <v/>
      </c>
      <c r="K963" s="923" t="str">
        <f>IF($I921="","",IF(INDEX(F_ProductBM!K:K,MATCH($P963,F_ProductBM!$P:$P,0))="","",INDEX(F_ProductBM!K:K,MATCH($P963,F_ProductBM!$P:$P,0))))</f>
        <v/>
      </c>
      <c r="L963" s="923" t="str">
        <f>IF($I921="","",IF(INDEX(F_ProductBM!L:L,MATCH($P963,F_ProductBM!$P:$P,0))="","",INDEX(F_ProductBM!L:L,MATCH($P963,F_ProductBM!$P:$P,0))))</f>
        <v/>
      </c>
      <c r="M963" s="923" t="str">
        <f>IF($I921="","",IF(INDEX(F_ProductBM!M:M,MATCH($P963,F_ProductBM!$P:$P,0))="","",INDEX(F_ProductBM!M:M,MATCH($P963,F_ProductBM!$P:$P,0))))</f>
        <v/>
      </c>
      <c r="N963" s="823"/>
      <c r="O963" s="25"/>
      <c r="P963" s="367" t="str">
        <f>EUconst_CNTR_WGFlaredEF &amp; I921</f>
        <v>WasteGasFlareEF_</v>
      </c>
      <c r="Q963" s="437"/>
      <c r="R963" s="437"/>
      <c r="S963" s="437"/>
      <c r="T963" s="26"/>
    </row>
    <row r="964" spans="1:20" s="697" customFormat="1" ht="12.75" customHeight="1" x14ac:dyDescent="0.2">
      <c r="A964" s="437"/>
      <c r="B964" s="414"/>
      <c r="C964" s="414"/>
      <c r="D964" s="414"/>
      <c r="E964" s="1667" t="str">
        <f>Translations!$B$796</f>
        <v>Importētā atlikumgāze</v>
      </c>
      <c r="F964" s="1660"/>
      <c r="G964" s="1660"/>
      <c r="H964" s="466" t="str">
        <f>EUconst_TJpa</f>
        <v>TJ / gads</v>
      </c>
      <c r="I964" s="922" t="str">
        <f>IF($I921="","",IF(INDEX(F_ProductBM!I:I,MATCH($P964,F_ProductBM!$P:$P,0))="","",INDEX(F_ProductBM!I:I,MATCH($P964,F_ProductBM!$P:$P,0))))</f>
        <v/>
      </c>
      <c r="J964" s="922" t="str">
        <f>IF($I921="","",IF(INDEX(F_ProductBM!J:J,MATCH($P964,F_ProductBM!$P:$P,0))="","",INDEX(F_ProductBM!J:J,MATCH($P964,F_ProductBM!$P:$P,0))))</f>
        <v/>
      </c>
      <c r="K964" s="922" t="str">
        <f>IF($I921="","",IF(INDEX(F_ProductBM!K:K,MATCH($P964,F_ProductBM!$P:$P,0))="","",INDEX(F_ProductBM!K:K,MATCH($P964,F_ProductBM!$P:$P,0))))</f>
        <v/>
      </c>
      <c r="L964" s="922" t="str">
        <f>IF($I921="","",IF(INDEX(F_ProductBM!L:L,MATCH($P964,F_ProductBM!$P:$P,0))="","",INDEX(F_ProductBM!L:L,MATCH($P964,F_ProductBM!$P:$P,0))))</f>
        <v/>
      </c>
      <c r="M964" s="922" t="str">
        <f>IF($I921="","",IF(INDEX(F_ProductBM!M:M,MATCH($P964,F_ProductBM!$P:$P,0))="","",INDEX(F_ProductBM!M:M,MATCH($P964,F_ProductBM!$P:$P,0))))</f>
        <v/>
      </c>
      <c r="N964" s="823"/>
      <c r="O964" s="25"/>
      <c r="P964" s="367" t="str">
        <f>EUconst_CNTR_WGImport &amp; I921</f>
        <v>WasteGasIm_</v>
      </c>
      <c r="Q964" s="437"/>
      <c r="R964" s="437"/>
      <c r="S964" s="437"/>
      <c r="T964" s="26"/>
    </row>
    <row r="965" spans="1:20" s="697" customFormat="1" ht="12.75" customHeight="1" x14ac:dyDescent="0.2">
      <c r="A965" s="437"/>
      <c r="B965" s="414"/>
      <c r="C965" s="414"/>
      <c r="D965" s="414"/>
      <c r="E965" s="1737" t="str">
        <f>Translations!$B$797</f>
        <v>Īpatnējais EF (importētā atlikumgāze)</v>
      </c>
      <c r="F965" s="1737"/>
      <c r="G965" s="1737"/>
      <c r="H965" s="824" t="str">
        <f>EUconst_tCO2pTJ</f>
        <v>t CO2 / TJ</v>
      </c>
      <c r="I965" s="923" t="str">
        <f>IF($I921="","",IF(INDEX(F_ProductBM!I:I,MATCH($P965,F_ProductBM!$P:$P,0))="","",INDEX(F_ProductBM!I:I,MATCH($P965,F_ProductBM!$P:$P,0))))</f>
        <v/>
      </c>
      <c r="J965" s="923" t="str">
        <f>IF($I921="","",IF(INDEX(F_ProductBM!J:J,MATCH($P965,F_ProductBM!$P:$P,0))="","",INDEX(F_ProductBM!J:J,MATCH($P965,F_ProductBM!$P:$P,0))))</f>
        <v/>
      </c>
      <c r="K965" s="923" t="str">
        <f>IF($I921="","",IF(INDEX(F_ProductBM!K:K,MATCH($P965,F_ProductBM!$P:$P,0))="","",INDEX(F_ProductBM!K:K,MATCH($P965,F_ProductBM!$P:$P,0))))</f>
        <v/>
      </c>
      <c r="L965" s="923" t="str">
        <f>IF($I921="","",IF(INDEX(F_ProductBM!L:L,MATCH($P965,F_ProductBM!$P:$P,0))="","",INDEX(F_ProductBM!L:L,MATCH($P965,F_ProductBM!$P:$P,0))))</f>
        <v/>
      </c>
      <c r="M965" s="923" t="str">
        <f>IF($I921="","",IF(INDEX(F_ProductBM!M:M,MATCH($P965,F_ProductBM!$P:$P,0))="","",INDEX(F_ProductBM!M:M,MATCH($P965,F_ProductBM!$P:$P,0))))</f>
        <v/>
      </c>
      <c r="N965" s="823"/>
      <c r="O965" s="25"/>
      <c r="P965" s="367" t="str">
        <f>EUconst_CNTR_WGImportEF &amp; I921</f>
        <v>WasteGasImEF_</v>
      </c>
      <c r="Q965" s="437"/>
      <c r="R965" s="437"/>
      <c r="S965" s="437"/>
      <c r="T965" s="26"/>
    </row>
    <row r="966" spans="1:20" s="697" customFormat="1" ht="12.75" customHeight="1" x14ac:dyDescent="0.2">
      <c r="A966" s="437"/>
      <c r="B966" s="414"/>
      <c r="C966" s="414"/>
      <c r="D966" s="414"/>
      <c r="E966" s="1667" t="str">
        <f>Translations!$B$801</f>
        <v>Eksportētā atlikumgāze</v>
      </c>
      <c r="F966" s="1660"/>
      <c r="G966" s="1660"/>
      <c r="H966" s="466" t="str">
        <f>EUconst_TJpa</f>
        <v>TJ / gads</v>
      </c>
      <c r="I966" s="922" t="str">
        <f>IF($I921="","",IF(INDEX(F_ProductBM!I:I,MATCH($P966,F_ProductBM!$P:$P,0))="","",INDEX(F_ProductBM!I:I,MATCH($P966,F_ProductBM!$P:$P,0))))</f>
        <v/>
      </c>
      <c r="J966" s="922" t="str">
        <f>IF($I921="","",IF(INDEX(F_ProductBM!J:J,MATCH($P966,F_ProductBM!$P:$P,0))="","",INDEX(F_ProductBM!J:J,MATCH($P966,F_ProductBM!$P:$P,0))))</f>
        <v/>
      </c>
      <c r="K966" s="922" t="str">
        <f>IF($I921="","",IF(INDEX(F_ProductBM!K:K,MATCH($P966,F_ProductBM!$P:$P,0))="","",INDEX(F_ProductBM!K:K,MATCH($P966,F_ProductBM!$P:$P,0))))</f>
        <v/>
      </c>
      <c r="L966" s="922" t="str">
        <f>IF($I921="","",IF(INDEX(F_ProductBM!L:L,MATCH($P966,F_ProductBM!$P:$P,0))="","",INDEX(F_ProductBM!L:L,MATCH($P966,F_ProductBM!$P:$P,0))))</f>
        <v/>
      </c>
      <c r="M966" s="922" t="str">
        <f>IF($I921="","",IF(INDEX(F_ProductBM!M:M,MATCH($P966,F_ProductBM!$P:$P,0))="","",INDEX(F_ProductBM!M:M,MATCH($P966,F_ProductBM!$P:$P,0))))</f>
        <v/>
      </c>
      <c r="N966" s="823"/>
      <c r="O966" s="25"/>
      <c r="P966" s="367" t="str">
        <f>EUconst_CNTR_WGExport &amp; I921</f>
        <v>WasteGasEx_</v>
      </c>
      <c r="Q966" s="437"/>
      <c r="R966" s="437"/>
      <c r="S966" s="437"/>
      <c r="T966" s="26"/>
    </row>
    <row r="967" spans="1:20" s="697" customFormat="1" ht="12.75" customHeight="1" x14ac:dyDescent="0.2">
      <c r="A967" s="437"/>
      <c r="B967" s="414"/>
      <c r="C967" s="414"/>
      <c r="D967" s="414"/>
      <c r="E967" s="1737" t="str">
        <f>Translations!$B$802</f>
        <v>Īpatnējais EF (eksportētā atlikumgāze)</v>
      </c>
      <c r="F967" s="1737"/>
      <c r="G967" s="1737"/>
      <c r="H967" s="824" t="str">
        <f>EUconst_tCO2pTJ</f>
        <v>t CO2 / TJ</v>
      </c>
      <c r="I967" s="923" t="str">
        <f>IF($I921="","",IF(INDEX(F_ProductBM!I:I,MATCH($P967,F_ProductBM!$P:$P,0))="","",INDEX(F_ProductBM!I:I,MATCH($P967,F_ProductBM!$P:$P,0))))</f>
        <v/>
      </c>
      <c r="J967" s="923" t="str">
        <f>IF($I921="","",IF(INDEX(F_ProductBM!J:J,MATCH($P967,F_ProductBM!$P:$P,0))="","",INDEX(F_ProductBM!J:J,MATCH($P967,F_ProductBM!$P:$P,0))))</f>
        <v/>
      </c>
      <c r="K967" s="923" t="str">
        <f>IF($I921="","",IF(INDEX(F_ProductBM!K:K,MATCH($P967,F_ProductBM!$P:$P,0))="","",INDEX(F_ProductBM!K:K,MATCH($P967,F_ProductBM!$P:$P,0))))</f>
        <v/>
      </c>
      <c r="L967" s="923" t="str">
        <f>IF($I921="","",IF(INDEX(F_ProductBM!L:L,MATCH($P967,F_ProductBM!$P:$P,0))="","",INDEX(F_ProductBM!L:L,MATCH($P967,F_ProductBM!$P:$P,0))))</f>
        <v/>
      </c>
      <c r="M967" s="923" t="str">
        <f>IF($I921="","",IF(INDEX(F_ProductBM!M:M,MATCH($P967,F_ProductBM!$P:$P,0))="","",INDEX(F_ProductBM!M:M,MATCH($P967,F_ProductBM!$P:$P,0))))</f>
        <v/>
      </c>
      <c r="N967" s="823"/>
      <c r="O967" s="25"/>
      <c r="P967" s="367" t="str">
        <f>EUconst_CNTR_WGExportEF &amp; I921</f>
        <v>WasteGasExEF_</v>
      </c>
      <c r="Q967" s="437"/>
      <c r="R967" s="437"/>
      <c r="S967" s="437"/>
      <c r="T967" s="26"/>
    </row>
    <row r="968" spans="1:20" s="697" customFormat="1" ht="5.0999999999999996" customHeight="1" x14ac:dyDescent="0.2">
      <c r="A968" s="437"/>
      <c r="B968" s="414"/>
      <c r="C968" s="414"/>
      <c r="D968" s="414"/>
      <c r="E968" s="526"/>
      <c r="F968" s="526"/>
      <c r="G968" s="526"/>
      <c r="H968" s="526"/>
      <c r="I968" s="924"/>
      <c r="J968" s="924"/>
      <c r="K968" s="924"/>
      <c r="L968" s="924"/>
      <c r="M968" s="924"/>
      <c r="N968" s="823"/>
      <c r="O968" s="25"/>
      <c r="P968" s="199"/>
      <c r="Q968" s="437"/>
      <c r="R968" s="437"/>
      <c r="S968" s="437"/>
      <c r="T968" s="26"/>
    </row>
    <row r="969" spans="1:20" s="697" customFormat="1" ht="12.75" customHeight="1" x14ac:dyDescent="0.2">
      <c r="A969" s="437"/>
      <c r="B969" s="414"/>
      <c r="C969" s="414"/>
      <c r="D969" s="414"/>
      <c r="E969" s="1651" t="str">
        <f>Translations!$B$805</f>
        <v>Saražotā elektroenerģija</v>
      </c>
      <c r="F969" s="1652"/>
      <c r="G969" s="1652"/>
      <c r="H969" s="465" t="str">
        <f>EUconst_MWhpa</f>
        <v>MWh / gads</v>
      </c>
      <c r="I969" s="925" t="str">
        <f>IF($I921="","",IF(INDEX(F_ProductBM!I:I,MATCH($P969,F_ProductBM!$P:$P,0))="","",INDEX(F_ProductBM!I:I,MATCH($P969,F_ProductBM!$P:$P,0))))</f>
        <v/>
      </c>
      <c r="J969" s="925" t="str">
        <f>IF($I921="","",IF(INDEX(F_ProductBM!J:J,MATCH($P969,F_ProductBM!$P:$P,0))="","",INDEX(F_ProductBM!J:J,MATCH($P969,F_ProductBM!$P:$P,0))))</f>
        <v/>
      </c>
      <c r="K969" s="925" t="str">
        <f>IF($I921="","",IF(INDEX(F_ProductBM!K:K,MATCH($P969,F_ProductBM!$P:$P,0))="","",INDEX(F_ProductBM!K:K,MATCH($P969,F_ProductBM!$P:$P,0))))</f>
        <v/>
      </c>
      <c r="L969" s="925" t="str">
        <f>IF($I921="","",IF(INDEX(F_ProductBM!L:L,MATCH($P969,F_ProductBM!$P:$P,0))="","",INDEX(F_ProductBM!L:L,MATCH($P969,F_ProductBM!$P:$P,0))))</f>
        <v/>
      </c>
      <c r="M969" s="925" t="str">
        <f>IF($I921="","",IF(INDEX(F_ProductBM!M:M,MATCH($P969,F_ProductBM!$P:$P,0))="","",INDEX(F_ProductBM!M:M,MATCH($P969,F_ProductBM!$P:$P,0))))</f>
        <v/>
      </c>
      <c r="N969" s="823"/>
      <c r="O969" s="25"/>
      <c r="P969" s="367" t="str">
        <f>EUconst_CNTR_ElectricityExported &amp; I921</f>
        <v>ElecEx_</v>
      </c>
      <c r="Q969" s="437"/>
      <c r="R969" s="437"/>
      <c r="S969" s="437"/>
      <c r="T969" s="26"/>
    </row>
    <row r="970" spans="1:20" s="697" customFormat="1" ht="5.0999999999999996" customHeight="1" x14ac:dyDescent="0.2">
      <c r="A970" s="437"/>
      <c r="B970" s="414"/>
      <c r="C970" s="414"/>
      <c r="D970" s="414"/>
      <c r="E970" s="526"/>
      <c r="F970" s="526"/>
      <c r="G970" s="526"/>
      <c r="H970" s="526"/>
      <c r="I970" s="924"/>
      <c r="J970" s="924"/>
      <c r="K970" s="924"/>
      <c r="L970" s="924"/>
      <c r="M970" s="924"/>
      <c r="N970" s="823"/>
      <c r="O970" s="25"/>
      <c r="P970" s="199"/>
      <c r="Q970" s="437"/>
      <c r="R970" s="437"/>
      <c r="S970" s="437"/>
      <c r="T970" s="26"/>
    </row>
    <row r="971" spans="1:20" s="697" customFormat="1" x14ac:dyDescent="0.2">
      <c r="A971" s="437"/>
      <c r="B971" s="414"/>
      <c r="C971" s="414"/>
      <c r="D971" s="414"/>
      <c r="E971" s="1206" t="str">
        <f>Translations!$B$1239</f>
        <v>Starpproduktu imports:</v>
      </c>
      <c r="F971" s="526"/>
      <c r="G971" s="526"/>
      <c r="H971" s="526"/>
      <c r="I971" s="924"/>
      <c r="J971" s="924"/>
      <c r="K971" s="924"/>
      <c r="L971" s="924"/>
      <c r="M971" s="924"/>
      <c r="N971" s="823"/>
      <c r="O971" s="25"/>
      <c r="P971" s="199"/>
      <c r="Q971" s="437"/>
      <c r="R971" s="437"/>
      <c r="S971" s="437"/>
      <c r="T971" s="26"/>
    </row>
    <row r="972" spans="1:20" s="697" customFormat="1" x14ac:dyDescent="0.2">
      <c r="A972" s="437"/>
      <c r="B972" s="414"/>
      <c r="C972" s="414"/>
      <c r="D972" s="414"/>
      <c r="E972" s="1689" t="str">
        <f>IF($I921="","",IF(INDEX(F_ProductBM!E:E,MATCH($P972,F_ProductBM!$P:$P,0))="","",INDEX(F_ProductBM!E:E,MATCH($P972,F_ProductBM!$P:$P,0))))</f>
        <v/>
      </c>
      <c r="F972" s="1689"/>
      <c r="G972" s="1689"/>
      <c r="H972" s="465" t="str">
        <f>EUconst_Tons</f>
        <v>tonnas</v>
      </c>
      <c r="I972" s="1103" t="str">
        <f>IF($I921="","",IF(INDEX(F_ProductBM!I:I,MATCH($P972,F_ProductBM!$P:$P,0))="","",INDEX(F_ProductBM!I:I,MATCH($P972,F_ProductBM!$P:$P,0))))</f>
        <v/>
      </c>
      <c r="J972" s="1103" t="str">
        <f>IF($I921="","",IF(INDEX(F_ProductBM!J:J,MATCH($P972,F_ProductBM!$P:$P,0))="","",INDEX(F_ProductBM!J:J,MATCH($P972,F_ProductBM!$P:$P,0))))</f>
        <v/>
      </c>
      <c r="K972" s="1103" t="str">
        <f>IF($I921="","",IF(INDEX(F_ProductBM!K:K,MATCH($P972,F_ProductBM!$P:$P,0))="","",INDEX(F_ProductBM!K:K,MATCH($P972,F_ProductBM!$P:$P,0))))</f>
        <v/>
      </c>
      <c r="L972" s="1103" t="str">
        <f>IF($I921="","",IF(INDEX(F_ProductBM!L:L,MATCH($P972,F_ProductBM!$P:$P,0))="","",INDEX(F_ProductBM!L:L,MATCH($P972,F_ProductBM!$P:$P,0))))</f>
        <v/>
      </c>
      <c r="M972" s="1103" t="str">
        <f>IF($I921="","",IF(INDEX(F_ProductBM!M:M,MATCH($P972,F_ProductBM!$P:$P,0))="","",INDEX(F_ProductBM!M:M,MATCH($P972,F_ProductBM!$P:$P,0))))</f>
        <v/>
      </c>
      <c r="N972" s="823"/>
      <c r="O972" s="25"/>
      <c r="P972" s="367" t="str">
        <f>EUconst_CNTR_IntermediateImport &amp; R972 &amp; "_" &amp; I921</f>
        <v>IntImp_1_</v>
      </c>
      <c r="Q972" s="437"/>
      <c r="R972" s="869">
        <v>1</v>
      </c>
      <c r="S972" s="437"/>
      <c r="T972" s="26"/>
    </row>
    <row r="973" spans="1:20" s="697" customFormat="1" x14ac:dyDescent="0.2">
      <c r="A973" s="437"/>
      <c r="B973" s="414"/>
      <c r="C973" s="414"/>
      <c r="D973" s="414"/>
      <c r="E973" s="1689" t="str">
        <f>IF($I921="","",IF(INDEX(F_ProductBM!E:E,MATCH($P973,F_ProductBM!$P:$P,0))="","",INDEX(F_ProductBM!E:E,MATCH($P973,F_ProductBM!$P:$P,0))))</f>
        <v/>
      </c>
      <c r="F973" s="1689"/>
      <c r="G973" s="1689"/>
      <c r="H973" s="465" t="str">
        <f>EUconst_Tons</f>
        <v>tonnas</v>
      </c>
      <c r="I973" s="1103" t="str">
        <f>IF($I921="","",IF(INDEX(F_ProductBM!I:I,MATCH($P973,F_ProductBM!$P:$P,0))="","",INDEX(F_ProductBM!I:I,MATCH($P973,F_ProductBM!$P:$P,0))))</f>
        <v/>
      </c>
      <c r="J973" s="1103" t="str">
        <f>IF($I921="","",IF(INDEX(F_ProductBM!J:J,MATCH($P973,F_ProductBM!$P:$P,0))="","",INDEX(F_ProductBM!J:J,MATCH($P973,F_ProductBM!$P:$P,0))))</f>
        <v/>
      </c>
      <c r="K973" s="1103" t="str">
        <f>IF($I921="","",IF(INDEX(F_ProductBM!K:K,MATCH($P973,F_ProductBM!$P:$P,0))="","",INDEX(F_ProductBM!K:K,MATCH($P973,F_ProductBM!$P:$P,0))))</f>
        <v/>
      </c>
      <c r="L973" s="1103" t="str">
        <f>IF($I921="","",IF(INDEX(F_ProductBM!L:L,MATCH($P973,F_ProductBM!$P:$P,0))="","",INDEX(F_ProductBM!L:L,MATCH($P973,F_ProductBM!$P:$P,0))))</f>
        <v/>
      </c>
      <c r="M973" s="1103" t="str">
        <f>IF($I921="","",IF(INDEX(F_ProductBM!M:M,MATCH($P973,F_ProductBM!$P:$P,0))="","",INDEX(F_ProductBM!M:M,MATCH($P973,F_ProductBM!$P:$P,0))))</f>
        <v/>
      </c>
      <c r="N973" s="823"/>
      <c r="O973" s="25"/>
      <c r="P973" s="367" t="str">
        <f>EUconst_CNTR_IntermediateImport &amp; R973 &amp; "_" &amp; I921</f>
        <v>IntImp_2_</v>
      </c>
      <c r="Q973" s="437"/>
      <c r="R973" s="869">
        <v>2</v>
      </c>
      <c r="S973" s="437"/>
      <c r="T973" s="26"/>
    </row>
    <row r="974" spans="1:20" s="697" customFormat="1" x14ac:dyDescent="0.2">
      <c r="A974" s="437"/>
      <c r="B974" s="414"/>
      <c r="C974" s="414"/>
      <c r="D974" s="414"/>
      <c r="E974" s="1206" t="str">
        <f>Translations!$B$1240</f>
        <v>Starpproduktu eksports:</v>
      </c>
      <c r="F974" s="526"/>
      <c r="G974" s="526"/>
      <c r="H974" s="526"/>
      <c r="I974" s="1140"/>
      <c r="J974" s="1140"/>
      <c r="K974" s="1140"/>
      <c r="L974" s="1140"/>
      <c r="M974" s="1140"/>
      <c r="N974" s="823"/>
      <c r="O974" s="25"/>
      <c r="P974" s="199"/>
      <c r="Q974" s="437"/>
      <c r="R974" s="437"/>
      <c r="S974" s="437"/>
      <c r="T974" s="26"/>
    </row>
    <row r="975" spans="1:20" s="697" customFormat="1" x14ac:dyDescent="0.2">
      <c r="A975" s="437"/>
      <c r="B975" s="414"/>
      <c r="C975" s="414"/>
      <c r="D975" s="414"/>
      <c r="E975" s="1689" t="str">
        <f>IF($I921="","",IF(INDEX(F_ProductBM!E:E,MATCH($P975,F_ProductBM!$P:$P,0))="","",INDEX(F_ProductBM!E:E,MATCH($P975,F_ProductBM!$P:$P,0))))</f>
        <v/>
      </c>
      <c r="F975" s="1689"/>
      <c r="G975" s="1689"/>
      <c r="H975" s="465" t="str">
        <f>EUconst_Tons</f>
        <v>tonnas</v>
      </c>
      <c r="I975" s="1103" t="str">
        <f>IF($I921="","",IF(INDEX(F_ProductBM!I:I,MATCH($P975,F_ProductBM!$P:$P,0))="","",INDEX(F_ProductBM!I:I,MATCH($P975,F_ProductBM!$P:$P,0))))</f>
        <v/>
      </c>
      <c r="J975" s="1103" t="str">
        <f>IF($I921="","",IF(INDEX(F_ProductBM!J:J,MATCH($P975,F_ProductBM!$P:$P,0))="","",INDEX(F_ProductBM!J:J,MATCH($P975,F_ProductBM!$P:$P,0))))</f>
        <v/>
      </c>
      <c r="K975" s="1103" t="str">
        <f>IF($I921="","",IF(INDEX(F_ProductBM!K:K,MATCH($P975,F_ProductBM!$P:$P,0))="","",INDEX(F_ProductBM!K:K,MATCH($P975,F_ProductBM!$P:$P,0))))</f>
        <v/>
      </c>
      <c r="L975" s="1103" t="str">
        <f>IF($I921="","",IF(INDEX(F_ProductBM!L:L,MATCH($P975,F_ProductBM!$P:$P,0))="","",INDEX(F_ProductBM!L:L,MATCH($P975,F_ProductBM!$P:$P,0))))</f>
        <v/>
      </c>
      <c r="M975" s="1103" t="str">
        <f>IF($I921="","",IF(INDEX(F_ProductBM!M:M,MATCH($P975,F_ProductBM!$P:$P,0))="","",INDEX(F_ProductBM!M:M,MATCH($P975,F_ProductBM!$P:$P,0))))</f>
        <v/>
      </c>
      <c r="N975" s="823"/>
      <c r="O975" s="25"/>
      <c r="P975" s="367" t="str">
        <f>EUconst_CNTR_IntermediateExport &amp; R972 &amp; "_" &amp; I921</f>
        <v>IntExp_1_</v>
      </c>
      <c r="Q975" s="437"/>
      <c r="R975" s="869">
        <v>1</v>
      </c>
      <c r="S975" s="437"/>
      <c r="T975" s="26"/>
    </row>
    <row r="976" spans="1:20" s="697" customFormat="1" x14ac:dyDescent="0.2">
      <c r="A976" s="437"/>
      <c r="B976" s="414"/>
      <c r="C976" s="414"/>
      <c r="D976" s="414"/>
      <c r="E976" s="1689" t="str">
        <f>IF($I921="","",IF(INDEX(F_ProductBM!E:E,MATCH($P976,F_ProductBM!$P:$P,0))="","",INDEX(F_ProductBM!E:E,MATCH($P976,F_ProductBM!$P:$P,0))))</f>
        <v/>
      </c>
      <c r="F976" s="1689"/>
      <c r="G976" s="1689"/>
      <c r="H976" s="465" t="str">
        <f>EUconst_Tons</f>
        <v>tonnas</v>
      </c>
      <c r="I976" s="1103" t="str">
        <f>IF($I921="","",IF(INDEX(F_ProductBM!I:I,MATCH($P976,F_ProductBM!$P:$P,0))="","",INDEX(F_ProductBM!I:I,MATCH($P976,F_ProductBM!$P:$P,0))))</f>
        <v/>
      </c>
      <c r="J976" s="1103" t="str">
        <f>IF($I921="","",IF(INDEX(F_ProductBM!J:J,MATCH($P976,F_ProductBM!$P:$P,0))="","",INDEX(F_ProductBM!J:J,MATCH($P976,F_ProductBM!$P:$P,0))))</f>
        <v/>
      </c>
      <c r="K976" s="1103" t="str">
        <f>IF($I921="","",IF(INDEX(F_ProductBM!K:K,MATCH($P976,F_ProductBM!$P:$P,0))="","",INDEX(F_ProductBM!K:K,MATCH($P976,F_ProductBM!$P:$P,0))))</f>
        <v/>
      </c>
      <c r="L976" s="1103" t="str">
        <f>IF($I921="","",IF(INDEX(F_ProductBM!L:L,MATCH($P976,F_ProductBM!$P:$P,0))="","",INDEX(F_ProductBM!L:L,MATCH($P976,F_ProductBM!$P:$P,0))))</f>
        <v/>
      </c>
      <c r="M976" s="1103" t="str">
        <f>IF($I921="","",IF(INDEX(F_ProductBM!M:M,MATCH($P976,F_ProductBM!$P:$P,0))="","",INDEX(F_ProductBM!M:M,MATCH($P976,F_ProductBM!$P:$P,0))))</f>
        <v/>
      </c>
      <c r="N976" s="823"/>
      <c r="O976" s="25"/>
      <c r="P976" s="367" t="str">
        <f>EUconst_CNTR_IntermediateExport &amp; R976 &amp; "_" &amp; I921</f>
        <v>IntExp_2_</v>
      </c>
      <c r="Q976" s="437"/>
      <c r="R976" s="869">
        <v>2</v>
      </c>
      <c r="S976" s="437"/>
      <c r="T976" s="26"/>
    </row>
    <row r="977" spans="1:20" s="697" customFormat="1" ht="5.0999999999999996" customHeight="1" x14ac:dyDescent="0.2">
      <c r="A977" s="437"/>
      <c r="B977" s="414"/>
      <c r="C977" s="414"/>
      <c r="D977" s="414"/>
      <c r="E977" s="526"/>
      <c r="F977" s="526"/>
      <c r="G977" s="526"/>
      <c r="H977" s="526"/>
      <c r="I977" s="823"/>
      <c r="J977" s="823"/>
      <c r="K977" s="823"/>
      <c r="L977" s="823"/>
      <c r="M977" s="823"/>
      <c r="N977" s="823"/>
      <c r="O977" s="25"/>
      <c r="P977" s="199"/>
      <c r="Q977" s="437"/>
      <c r="R977" s="931"/>
      <c r="S977" s="437"/>
      <c r="T977" s="26"/>
    </row>
    <row r="978" spans="1:20" s="697" customFormat="1" x14ac:dyDescent="0.2">
      <c r="A978" s="437"/>
      <c r="B978" s="414"/>
      <c r="C978" s="414"/>
      <c r="D978" s="414"/>
      <c r="E978" s="1881" t="str">
        <f>Translations!$B$1729</f>
        <v>Korekcijas īpašās līmeņatzīmes atjaunināšanai (attiecīgā gadījumā)</v>
      </c>
      <c r="F978" s="1881"/>
      <c r="G978" s="1881"/>
      <c r="H978" s="1881"/>
      <c r="I978" s="1881"/>
      <c r="J978" s="1881"/>
      <c r="K978" s="1881"/>
      <c r="L978" s="1881"/>
      <c r="M978" s="1881"/>
      <c r="N978" s="823"/>
      <c r="O978" s="25"/>
      <c r="P978" s="199"/>
      <c r="Q978" s="437"/>
      <c r="R978" s="931"/>
      <c r="S978" s="437"/>
      <c r="T978" s="26"/>
    </row>
    <row r="979" spans="1:20" s="697" customFormat="1" ht="12.75" customHeight="1" x14ac:dyDescent="0.2">
      <c r="A979" s="437"/>
      <c r="B979" s="414"/>
      <c r="C979" s="414"/>
      <c r="D979" s="414"/>
      <c r="E979" s="1651" t="str">
        <f>Translations!$B$806</f>
        <v>Kopējais saražotās pulpas daudzums</v>
      </c>
      <c r="F979" s="1651"/>
      <c r="G979" s="1651"/>
      <c r="H979" s="465" t="str">
        <f>EUconst_Tons</f>
        <v>tonnas</v>
      </c>
      <c r="I979" s="1103" t="str">
        <f>IF($I921="","",IF(INDEX(F_ProductBM!I:I,MATCH($P979,F_ProductBM!$P:$P,0))="","",INDEX(F_ProductBM!I:I,MATCH($P979,F_ProductBM!$P:$P,0))))</f>
        <v/>
      </c>
      <c r="J979" s="1103" t="str">
        <f>IF($I921="","",IF(INDEX(F_ProductBM!J:J,MATCH($P979,F_ProductBM!$P:$P,0))="","",INDEX(F_ProductBM!J:J,MATCH($P979,F_ProductBM!$P:$P,0))))</f>
        <v/>
      </c>
      <c r="K979" s="1103" t="str">
        <f>IF($I921="","",IF(INDEX(F_ProductBM!K:K,MATCH($P979,F_ProductBM!$P:$P,0))="","",INDEX(F_ProductBM!K:K,MATCH($P979,F_ProductBM!$P:$P,0))))</f>
        <v/>
      </c>
      <c r="L979" s="1103" t="str">
        <f>IF($I921="","",IF(INDEX(F_ProductBM!L:L,MATCH($P979,F_ProductBM!$P:$P,0))="","",INDEX(F_ProductBM!L:L,MATCH($P979,F_ProductBM!$P:$P,0))))</f>
        <v/>
      </c>
      <c r="M979" s="1103" t="str">
        <f>IF($I921="","",IF(INDEX(F_ProductBM!M:M,MATCH($P979,F_ProductBM!$P:$P,0))="","",INDEX(F_ProductBM!M:M,MATCH($P979,F_ProductBM!$P:$P,0))))</f>
        <v/>
      </c>
      <c r="N979" s="823"/>
      <c r="O979" s="25"/>
      <c r="P979" s="367" t="str">
        <f>EUconst_CNTR_HALPulpTotal &amp; I921</f>
        <v>HALPulpTotal_</v>
      </c>
      <c r="Q979" s="437"/>
      <c r="R979" s="437"/>
      <c r="S979" s="437"/>
      <c r="T979" s="26"/>
    </row>
    <row r="980" spans="1:20" s="697" customFormat="1" ht="5.0999999999999996" customHeight="1" x14ac:dyDescent="0.2">
      <c r="A980" s="437"/>
      <c r="B980" s="414"/>
      <c r="C980" s="414"/>
      <c r="D980" s="414"/>
      <c r="E980" s="526"/>
      <c r="F980" s="526"/>
      <c r="G980" s="526"/>
      <c r="H980" s="526"/>
      <c r="I980" s="1140"/>
      <c r="J980" s="1140"/>
      <c r="K980" s="1140"/>
      <c r="L980" s="1140"/>
      <c r="M980" s="1140"/>
      <c r="N980" s="823"/>
      <c r="O980" s="25"/>
      <c r="P980" s="199"/>
      <c r="Q980" s="437"/>
      <c r="R980" s="437"/>
      <c r="S980" s="437"/>
      <c r="T980" s="26"/>
    </row>
    <row r="981" spans="1:20" s="697" customFormat="1" ht="12.75" customHeight="1" x14ac:dyDescent="0.2">
      <c r="A981" s="437"/>
      <c r="B981" s="414"/>
      <c r="C981" s="414"/>
      <c r="D981" s="414"/>
      <c r="E981" s="1651" t="str">
        <f>Translations!$B$1730</f>
        <v>Ūdeņraža ražošana (faktiskā + teorētiskā)</v>
      </c>
      <c r="F981" s="1651"/>
      <c r="G981" s="1651"/>
      <c r="H981" s="465" t="str">
        <f>EUconst_Tons</f>
        <v>tonnas</v>
      </c>
      <c r="I981" s="1103" t="str">
        <f>IF($K924=$R981,SUMIFS(H_SpecialBM!I:I,H_SpecialBM!$P:$P,$P981),"")</f>
        <v/>
      </c>
      <c r="J981" s="1103" t="str">
        <f>IF($K924=$R981,SUMIFS(H_SpecialBM!J:J,H_SpecialBM!$P:$P,$P981),"")</f>
        <v/>
      </c>
      <c r="K981" s="1103" t="str">
        <f>IF($K924=$R981,SUMIFS(H_SpecialBM!K:K,H_SpecialBM!$P:$P,$P981),"")</f>
        <v/>
      </c>
      <c r="L981" s="1103" t="str">
        <f>IF($K924=$R981,SUMIFS(H_SpecialBM!L:L,H_SpecialBM!$P:$P,$P981),"")</f>
        <v/>
      </c>
      <c r="M981" s="1103" t="str">
        <f>IF($K924=$R981,SUMIFS(H_SpecialBM!M:M,H_SpecialBM!$P:$P,$P981),"")</f>
        <v/>
      </c>
      <c r="N981" s="823"/>
      <c r="O981" s="25"/>
      <c r="P981" s="134" t="str">
        <f>EUconst_CNTR_H2ActualPlusTheoretical</f>
        <v>H2Total_</v>
      </c>
      <c r="Q981" s="437"/>
      <c r="R981" s="869">
        <v>50</v>
      </c>
      <c r="S981" s="437"/>
      <c r="T981" s="26"/>
    </row>
    <row r="982" spans="1:20" s="697" customFormat="1" ht="12.75" customHeight="1" x14ac:dyDescent="0.2">
      <c r="A982" s="437"/>
      <c r="B982" s="414"/>
      <c r="C982" s="414"/>
      <c r="D982" s="414"/>
      <c r="E982" s="1651" t="str">
        <f>Translations!$B$1731</f>
        <v>Ar ūdeņradi saistītās emisijas</v>
      </c>
      <c r="F982" s="1651"/>
      <c r="G982" s="1651"/>
      <c r="H982" s="465" t="str">
        <f>EUconst_tCO2pa</f>
        <v>t CO2 / gads</v>
      </c>
      <c r="I982" s="1103" t="str">
        <f>IF($K924=$R982,SUMIFS(H_SpecialBM!I:I,H_SpecialBM!$P:$P,$P982),"")</f>
        <v/>
      </c>
      <c r="J982" s="1103" t="str">
        <f>IF($K924=$R982,SUMIFS(H_SpecialBM!J:J,H_SpecialBM!$P:$P,$P982),"")</f>
        <v/>
      </c>
      <c r="K982" s="1103" t="str">
        <f>IF($K924=$R982,SUMIFS(H_SpecialBM!K:K,H_SpecialBM!$P:$P,$P982),"")</f>
        <v/>
      </c>
      <c r="L982" s="1103" t="str">
        <f>IF($K924=$R982,SUMIFS(H_SpecialBM!L:L,H_SpecialBM!$P:$P,$P982),"")</f>
        <v/>
      </c>
      <c r="M982" s="1103" t="str">
        <f>IF($K924=$R982,SUMIFS(H_SpecialBM!M:M,H_SpecialBM!$P:$P,$P982),"")</f>
        <v/>
      </c>
      <c r="N982" s="823"/>
      <c r="O982" s="25"/>
      <c r="P982" s="202" t="str">
        <f>EUconst_CNTR_H2AdditionalEmissions</f>
        <v>H2AddEm_</v>
      </c>
      <c r="Q982" s="437"/>
      <c r="R982" s="869">
        <v>50</v>
      </c>
      <c r="S982" s="437"/>
      <c r="T982" s="26"/>
    </row>
    <row r="983" spans="1:20" s="697" customFormat="1" ht="5.0999999999999996" customHeight="1" x14ac:dyDescent="0.2">
      <c r="A983" s="437"/>
      <c r="B983" s="414"/>
      <c r="C983" s="414"/>
      <c r="D983" s="414"/>
      <c r="E983" s="526"/>
      <c r="F983" s="526"/>
      <c r="G983" s="526"/>
      <c r="H983" s="526"/>
      <c r="I983" s="1140"/>
      <c r="J983" s="1140"/>
      <c r="K983" s="1140"/>
      <c r="L983" s="1140"/>
      <c r="M983" s="1140"/>
      <c r="N983" s="823"/>
      <c r="O983" s="25"/>
      <c r="P983" s="437"/>
      <c r="Q983" s="437"/>
      <c r="R983" s="437"/>
      <c r="S983" s="437"/>
      <c r="T983" s="26"/>
    </row>
    <row r="984" spans="1:20" s="697" customFormat="1" ht="12.75" customHeight="1" x14ac:dyDescent="0.2">
      <c r="A984" s="437"/>
      <c r="B984" s="414"/>
      <c r="C984" s="414"/>
      <c r="D984" s="414"/>
      <c r="E984" s="1651" t="str">
        <f>Translations!$B$1732</f>
        <v>HVC emisiju korekcija</v>
      </c>
      <c r="F984" s="1651"/>
      <c r="G984" s="1651"/>
      <c r="H984" s="465" t="str">
        <f>EUconst_tCO2pa</f>
        <v>t CO2 / gads</v>
      </c>
      <c r="I984" s="1103" t="str">
        <f>IF($K924=$R984,-SUMIFS(H_SpecialBM!S:S,H_SpecialBM!$P:$P,$P984),"")</f>
        <v/>
      </c>
      <c r="J984" s="1103" t="str">
        <f>IF($K924=$R984,-SUMIFS(H_SpecialBM!T:T,H_SpecialBM!$P:$P,$P984),"")</f>
        <v/>
      </c>
      <c r="K984" s="1103" t="str">
        <f>IF($K924=$R984,-SUMIFS(H_SpecialBM!U:U,H_SpecialBM!$P:$P,$P984),"")</f>
        <v/>
      </c>
      <c r="L984" s="1103" t="str">
        <f>IF($K924=$R984,-SUMIFS(H_SpecialBM!V:V,H_SpecialBM!$P:$P,$P984),"")</f>
        <v/>
      </c>
      <c r="M984" s="1103" t="str">
        <f>IF($K924=$R984,-SUMIFS(H_SpecialBM!W:W,H_SpecialBM!$P:$P,$P984),"")</f>
        <v/>
      </c>
      <c r="N984" s="823"/>
      <c r="O984" s="25"/>
      <c r="P984" s="367" t="str">
        <f>EUconst_CNTR_HVC</f>
        <v>HVC_</v>
      </c>
      <c r="Q984" s="437"/>
      <c r="R984" s="869">
        <v>42</v>
      </c>
      <c r="S984" s="437"/>
      <c r="T984" s="26"/>
    </row>
    <row r="985" spans="1:20" s="697" customFormat="1" ht="5.0999999999999996" customHeight="1" x14ac:dyDescent="0.2">
      <c r="A985" s="437"/>
      <c r="B985" s="414"/>
      <c r="C985" s="414"/>
      <c r="D985" s="414"/>
      <c r="E985" s="526"/>
      <c r="F985" s="526"/>
      <c r="G985" s="526"/>
      <c r="H985" s="526"/>
      <c r="I985" s="1140"/>
      <c r="J985" s="1140"/>
      <c r="K985" s="1140"/>
      <c r="L985" s="1140"/>
      <c r="M985" s="1140"/>
      <c r="N985" s="823"/>
      <c r="O985" s="25"/>
      <c r="P985" s="199"/>
      <c r="Q985" s="437"/>
      <c r="R985" s="437"/>
      <c r="S985" s="437"/>
      <c r="T985" s="26"/>
    </row>
    <row r="986" spans="1:20" s="697" customFormat="1" ht="12.75" customHeight="1" x14ac:dyDescent="0.2">
      <c r="A986" s="437"/>
      <c r="B986" s="414"/>
      <c r="C986" s="414"/>
      <c r="D986" s="414"/>
      <c r="E986" s="1651" t="str">
        <f>Translations!$B$1733</f>
        <v>VCM emisiju korekcija</v>
      </c>
      <c r="F986" s="1651"/>
      <c r="G986" s="1651"/>
      <c r="H986" s="465" t="str">
        <f>EUconst_tCO2pa</f>
        <v>t CO2 / gads</v>
      </c>
      <c r="I986" s="1103" t="str">
        <f>IF($K924=$R986,SUMIFS(H_SpecialBM!I:I,H_SpecialBM!$P:$P,$P986)/EUconst_HeatBMvalue*EUconst_HeatBMvalueForBM,"")</f>
        <v/>
      </c>
      <c r="J986" s="1103" t="str">
        <f>IF($K924=$R986,SUMIFS(H_SpecialBM!J:J,H_SpecialBM!$P:$P,$P986)/EUconst_HeatBMvalue*EUconst_HeatBMvalueForBM,"")</f>
        <v/>
      </c>
      <c r="K986" s="1103" t="str">
        <f>IF($K924=$R986,SUMIFS(H_SpecialBM!K:K,H_SpecialBM!$P:$P,$P986)/EUconst_HeatBMvalue*EUconst_HeatBMvalueForBM,"")</f>
        <v/>
      </c>
      <c r="L986" s="1103" t="str">
        <f>IF($K924=$R986,SUMIFS(H_SpecialBM!L:L,H_SpecialBM!$P:$P,$P986)/EUconst_HeatBMvalue*EUconst_HeatBMvalueForBM,"")</f>
        <v/>
      </c>
      <c r="M986" s="1103" t="str">
        <f>IF($K924=$R986,SUMIFS(H_SpecialBM!M:M,H_SpecialBM!$P:$P,$P986)/EUconst_HeatBMvalue*EUconst_HeatBMvalueForBM,"")</f>
        <v/>
      </c>
      <c r="N986" s="823"/>
      <c r="O986" s="25"/>
      <c r="P986" s="134" t="str">
        <f>EUconst_CNTR_VCM</f>
        <v>VCM_</v>
      </c>
      <c r="Q986" s="437"/>
      <c r="R986" s="869">
        <v>47</v>
      </c>
      <c r="S986" s="437"/>
      <c r="T986" s="26"/>
    </row>
    <row r="987" spans="1:20" s="697" customFormat="1" ht="12.75" customHeight="1" x14ac:dyDescent="0.2">
      <c r="A987" s="437"/>
      <c r="B987" s="414"/>
      <c r="C987" s="414"/>
      <c r="D987" s="414"/>
      <c r="E987" s="526"/>
      <c r="F987" s="526"/>
      <c r="G987" s="526"/>
      <c r="H987" s="526"/>
      <c r="I987" s="823"/>
      <c r="J987" s="823"/>
      <c r="K987" s="823"/>
      <c r="L987" s="823"/>
      <c r="M987" s="823"/>
      <c r="N987" s="823"/>
      <c r="O987" s="25"/>
      <c r="P987" s="199"/>
      <c r="Q987" s="437"/>
      <c r="R987" s="437"/>
      <c r="S987" s="437"/>
      <c r="T987" s="26"/>
    </row>
    <row r="988" spans="1:20" s="697" customFormat="1" ht="12.75" customHeight="1" thickBot="1" x14ac:dyDescent="0.25">
      <c r="A988" s="437"/>
      <c r="B988" s="414"/>
      <c r="C988" s="414"/>
      <c r="D988" s="414"/>
      <c r="E988" s="935"/>
      <c r="O988" s="25"/>
      <c r="P988" s="437"/>
      <c r="Q988" s="437"/>
      <c r="R988" s="437"/>
      <c r="S988" s="437"/>
      <c r="T988" s="26"/>
    </row>
    <row r="989" spans="1:20" s="697" customFormat="1" ht="5.0999999999999996" customHeight="1" thickBot="1" x14ac:dyDescent="0.25">
      <c r="A989" s="437"/>
      <c r="B989" s="21"/>
      <c r="C989" s="294"/>
      <c r="D989" s="294"/>
      <c r="E989" s="294"/>
      <c r="F989" s="294"/>
      <c r="G989" s="294"/>
      <c r="H989" s="294"/>
      <c r="I989" s="294"/>
      <c r="J989" s="294"/>
      <c r="K989" s="294"/>
      <c r="L989" s="294"/>
      <c r="M989" s="294"/>
      <c r="N989" s="294"/>
      <c r="O989" s="25"/>
      <c r="P989" s="437"/>
      <c r="Q989" s="437"/>
      <c r="R989" s="437"/>
      <c r="S989" s="437"/>
      <c r="T989" s="26"/>
    </row>
    <row r="990" spans="1:20" s="697" customFormat="1" ht="15" customHeight="1" thickBot="1" x14ac:dyDescent="0.3">
      <c r="A990" s="437"/>
      <c r="B990" s="414"/>
      <c r="C990" s="36">
        <f>C921+1</f>
        <v>8</v>
      </c>
      <c r="D990" s="1890" t="str">
        <f>CONCATENATE(EUconst_BMSubinst," ",C990, ":")</f>
        <v>Apakšiekārta ar produkta līmeņatzīmi 8:</v>
      </c>
      <c r="E990" s="1890"/>
      <c r="F990" s="1890"/>
      <c r="G990" s="1890"/>
      <c r="H990" s="1891"/>
      <c r="I990" s="1887" t="str">
        <f>IF(INDEX(CNTR_SubInstListIsProdBM,$C990),INDEX(CNTR_SubInstListNames,$C990),"")</f>
        <v/>
      </c>
      <c r="J990" s="1888"/>
      <c r="K990" s="1888"/>
      <c r="L990" s="1888"/>
      <c r="M990" s="1888"/>
      <c r="N990" s="1889"/>
      <c r="O990" s="25"/>
      <c r="P990" s="437"/>
      <c r="Q990" s="904">
        <f>C990</f>
        <v>8</v>
      </c>
      <c r="R990" s="901" t="str">
        <f>I990</f>
        <v/>
      </c>
      <c r="S990" s="903" t="str">
        <f>H993</f>
        <v>NA</v>
      </c>
      <c r="T990" s="902" t="str">
        <f>IF(M1004="","",IF(S993=0,0,SUM(M1004)/S993))</f>
        <v/>
      </c>
    </row>
    <row r="991" spans="1:20" s="697" customFormat="1" ht="5.0999999999999996" customHeight="1" thickBot="1" x14ac:dyDescent="0.25">
      <c r="A991" s="437"/>
      <c r="B991" s="414"/>
      <c r="C991" s="414"/>
      <c r="D991" s="414"/>
      <c r="E991" s="414"/>
      <c r="F991" s="414"/>
      <c r="G991" s="414"/>
      <c r="H991" s="414"/>
      <c r="I991" s="414"/>
      <c r="J991" s="414"/>
      <c r="K991" s="414"/>
      <c r="L991" s="414"/>
      <c r="M991" s="414"/>
      <c r="N991" s="414"/>
      <c r="O991" s="25"/>
      <c r="P991" s="437"/>
      <c r="Q991" s="437"/>
      <c r="R991" s="437"/>
      <c r="S991" s="437"/>
      <c r="T991" s="26"/>
    </row>
    <row r="992" spans="1:20" s="697" customFormat="1" ht="13.5" thickBot="1" x14ac:dyDescent="0.25">
      <c r="A992" s="437"/>
      <c r="B992" s="414"/>
      <c r="C992" s="414"/>
      <c r="D992" s="414"/>
      <c r="E992" s="414"/>
      <c r="F992" s="414"/>
      <c r="G992" s="414"/>
      <c r="H992" s="647" t="str">
        <f>Translations!$B$1204</f>
        <v>Pakļauta OEP</v>
      </c>
      <c r="I992" s="38"/>
      <c r="J992" s="648" t="str">
        <f>Translations!$B$1208</f>
        <v>Ekspl. sākta</v>
      </c>
      <c r="K992" s="648" t="str">
        <f>Translations!$B$1206</f>
        <v>LA Nr.</v>
      </c>
      <c r="L992" s="812" t="str">
        <f>Translations!$B$1212</f>
        <v>15(7)3?</v>
      </c>
      <c r="M992" s="989" t="str">
        <f>Translations!$B$1234</f>
        <v>LA vērtība (min./maks./fakt.)</v>
      </c>
      <c r="N992" s="990"/>
      <c r="O992" s="25"/>
      <c r="P992" s="437"/>
      <c r="Q992" s="437"/>
      <c r="R992" s="646" t="s">
        <v>641</v>
      </c>
      <c r="S992" s="903" t="str">
        <f>H995</f>
        <v>NA</v>
      </c>
      <c r="T992" s="26"/>
    </row>
    <row r="993" spans="1:20" s="697" customFormat="1" x14ac:dyDescent="0.2">
      <c r="A993" s="437"/>
      <c r="B993" s="414"/>
      <c r="C993" s="414"/>
      <c r="D993" s="414"/>
      <c r="E993" s="649" t="str">
        <f>I990</f>
        <v/>
      </c>
      <c r="F993" s="650"/>
      <c r="G993" s="594"/>
      <c r="H993" s="651" t="str">
        <f>IF(K993=EUconst_NA,EUconst_NA,INDEX(EUconst_BMlistCLstatus,MATCH(K993,EUconst_BMlistMainNumberOfBM,0)))</f>
        <v>NA</v>
      </c>
      <c r="I993" s="38"/>
      <c r="J993" s="846" t="str">
        <f>IF($I990="",EUconst_NA,INDEX(CNTR_SubInstStartDate,MATCH(E993,CNTR_SubInstListNames,0)))</f>
        <v>NA</v>
      </c>
      <c r="K993" s="546" t="str">
        <f>IF($I990="",EUconst_NA,INDEX(EUconst_BMlistMainNumberOfBM,MATCH(E993,EUconst_BMlistNames,0)))</f>
        <v>NA</v>
      </c>
      <c r="L993" s="988" t="str">
        <f>IF(E993="","",INDEX(CNTR_SubInstLess1Year,MATCH(E993,CNTR_SubInstListNames,0)))</f>
        <v/>
      </c>
      <c r="M993" s="991" t="str">
        <f>IF(I990="",EUconst_NA,INDEX(EUconst_BMlistBMvaluesMatrix,MATCH(K993,EUconst_BMlistMainNumberOfBM,0),2))</f>
        <v>NA</v>
      </c>
      <c r="N993" s="992" t="str">
        <f>EUconst_EUA &amp; "/" &amp; H998</f>
        <v>ESK/tonnas</v>
      </c>
      <c r="O993" s="25"/>
      <c r="P993" s="437"/>
      <c r="Q993" s="437"/>
      <c r="R993" s="732" t="s">
        <v>554</v>
      </c>
      <c r="S993" s="815" t="str">
        <f>IF(H993=EUconst_NA,"",IF(H993,1,INDEX(EUconst_CLEFYears,1)))</f>
        <v/>
      </c>
      <c r="T993" s="26"/>
    </row>
    <row r="994" spans="1:20" s="697" customFormat="1" x14ac:dyDescent="0.2">
      <c r="A994" s="437"/>
      <c r="B994" s="414"/>
      <c r="C994" s="414"/>
      <c r="D994" s="414"/>
      <c r="G994" s="648" t="str">
        <f>Translations!$B$1218</f>
        <v>ETS neaptverts siltums</v>
      </c>
      <c r="H994" s="647" t="s">
        <v>623</v>
      </c>
      <c r="I994" s="812" t="str">
        <f>Translations!$B$1220</f>
        <v>AGlāpā</v>
      </c>
      <c r="J994" s="648" t="s">
        <v>550</v>
      </c>
      <c r="K994" s="648" t="s">
        <v>551</v>
      </c>
      <c r="L994" s="38"/>
      <c r="M994" s="991" t="str">
        <f>IF(I990="",EUconst_NA,INDEX(EUconst_BMlistBMvaluesMatrix,MATCH(K993,EUconst_BMlistMainNumberOfBM,0),1))</f>
        <v>NA</v>
      </c>
      <c r="N994" s="992" t="str">
        <f>EUconst_EUA &amp; "/" &amp; H998</f>
        <v>ESK/tonnas</v>
      </c>
      <c r="O994" s="25"/>
      <c r="P994" s="437"/>
      <c r="Q994" s="437"/>
      <c r="R994" s="732" t="s">
        <v>658</v>
      </c>
      <c r="S994" s="1150" t="str">
        <f>IF($I990="",EUconst_NA,INDEX(EUconst_BMlistNumberOfBM,MATCH(I990,EUconst_BMlistNames,0)))</f>
        <v>NA</v>
      </c>
      <c r="T994" s="26"/>
    </row>
    <row r="995" spans="1:20" s="697" customFormat="1" ht="13.5" thickBot="1" x14ac:dyDescent="0.25">
      <c r="A995" s="437"/>
      <c r="B995" s="414"/>
      <c r="C995" s="414"/>
      <c r="D995" s="414"/>
      <c r="E995" s="868" t="str">
        <f>Translations!$B$1235</f>
        <v>Īpaši koeficienti/faktori:</v>
      </c>
      <c r="F995" s="868"/>
      <c r="G995" s="546" t="str">
        <f>IF($I990="","",SUMIF(F_ProductBM!$P:$P,EUconst_CNTR_HEAT&amp;$I990,F_ProductBM!$Q:$Q))</f>
        <v/>
      </c>
      <c r="H995" s="651" t="str">
        <f>IF(S994=EUconst_NA,EUconst_NA,INDEX(EUconst_BMlistCBAMstatus,MATCH(S994,EUconst_BMlistNumberOfBM,0)))</f>
        <v>NA</v>
      </c>
      <c r="I995" s="844" t="str">
        <f>IF(OR($I990="",CNTR_BaselinePeriod&lt;&gt;2),"",SUMIF(F_ProductBM!$P:$P,EUconst_CNTR_WGFlaredEF &amp; I990,F_ProductBM!$R:$R))</f>
        <v/>
      </c>
      <c r="J995" s="546" t="str">
        <f>IF($I990="","",IF($K993=42,SUMIF(H_SpecialBM!$P$9:$P$401,EUconst_CNTR_HVC,H_SpecialBM!$I$9:$I$401),0))</f>
        <v/>
      </c>
      <c r="K995" s="867" t="str">
        <f>IF($I990="","",IF($K993=47,IF(ISNUMBER(INDEX(H_SpecialBM!$Q$9:$Q$401,MATCH(EUconst_CNTR_VCM,H_SpecialBM!$P$9:$P$401,0))),INDEX(H_SpecialBM!$Q$9:$Q$401,MATCH(EUconst_CNTR_VCM,H_SpecialBM!$P$9:$P$401,0)),1),1))</f>
        <v/>
      </c>
      <c r="L995" s="38"/>
      <c r="M995" s="993" t="str">
        <f>IF(I990="",EUconst_NA,IF(EUconst_StatusOfDataCollection,INDEX(EUconst_BMlistBMvaluesMatrix,MATCH(K993,EUconst_BMlistMainNumberOfBM,0),3),""))</f>
        <v>NA</v>
      </c>
      <c r="N995" s="994" t="str">
        <f>EUconst_EUA &amp; "/" &amp; H998</f>
        <v>ESK/tonnas</v>
      </c>
      <c r="O995" s="25"/>
      <c r="P995" s="437"/>
      <c r="Q995" s="437"/>
      <c r="R995" s="732"/>
      <c r="S995" s="866"/>
      <c r="T995" s="26"/>
    </row>
    <row r="996" spans="1:20" s="697" customFormat="1" ht="5.0999999999999996" customHeight="1" x14ac:dyDescent="0.2">
      <c r="A996" s="437"/>
      <c r="B996" s="414"/>
      <c r="C996" s="414"/>
      <c r="D996" s="414"/>
      <c r="E996" s="414"/>
      <c r="F996" s="414"/>
      <c r="G996" s="414"/>
      <c r="H996" s="414"/>
      <c r="I996" s="414"/>
      <c r="J996" s="414"/>
      <c r="K996" s="414"/>
      <c r="L996" s="414"/>
      <c r="M996" s="414"/>
      <c r="N996" s="414"/>
      <c r="O996" s="25"/>
      <c r="P996" s="437"/>
      <c r="Q996" s="437"/>
      <c r="R996" s="437"/>
      <c r="S996" s="437"/>
      <c r="T996" s="26"/>
    </row>
    <row r="997" spans="1:20" s="697" customFormat="1" x14ac:dyDescent="0.2">
      <c r="A997" s="437"/>
      <c r="B997" s="414"/>
      <c r="C997" s="414"/>
      <c r="D997" s="414"/>
      <c r="E997" s="652"/>
      <c r="F997" s="652"/>
      <c r="G997" s="653"/>
      <c r="H997" s="864" t="str">
        <f>EUconst_Unit</f>
        <v>Vienība</v>
      </c>
      <c r="I997" s="447">
        <f>I$1652</f>
        <v>2019</v>
      </c>
      <c r="J997" s="447">
        <f>J$1652</f>
        <v>2020</v>
      </c>
      <c r="K997" s="447">
        <f>K$1652</f>
        <v>2021</v>
      </c>
      <c r="L997" s="447">
        <f>L$1652</f>
        <v>2022</v>
      </c>
      <c r="M997" s="447">
        <f>M$1652</f>
        <v>2023</v>
      </c>
      <c r="N997" s="414"/>
      <c r="O997" s="25"/>
      <c r="P997" s="202" t="s">
        <v>228</v>
      </c>
      <c r="Q997" s="437"/>
      <c r="R997" s="437"/>
      <c r="S997" s="437"/>
      <c r="T997" s="26"/>
    </row>
    <row r="998" spans="1:20" s="697" customFormat="1" x14ac:dyDescent="0.2">
      <c r="A998" s="437"/>
      <c r="B998" s="414"/>
      <c r="C998" s="414"/>
      <c r="D998" s="414"/>
      <c r="E998" s="654" t="str">
        <f>Translations!$B$1236</f>
        <v>Ziņotais HAL (vēsturiskais darbības līmenis)</v>
      </c>
      <c r="F998" s="655"/>
      <c r="G998" s="656"/>
      <c r="H998" s="651" t="str">
        <f>IF(ISNUMBER(K993),INDEX(EUconst_BMlistUnits,MATCH(K993,EUconst_BMlistMainNumberOfBM,0)),EUconst_Tons)</f>
        <v>tonnas</v>
      </c>
      <c r="I998" s="546" t="str">
        <f>IF($I990="","",SUMIF(F_ProductBM!$P$11:$P$1814,$P998,F_ProductBM!I$11:I$1814))</f>
        <v/>
      </c>
      <c r="J998" s="546" t="str">
        <f>IF($I990="","",SUMIF(F_ProductBM!$P$11:$P$1814,$P998,F_ProductBM!J$11:J$1814))</f>
        <v/>
      </c>
      <c r="K998" s="546" t="str">
        <f>IF($I990="","",SUMIF(F_ProductBM!$P$11:$P$1814,$P998,F_ProductBM!K$11:K$1814))</f>
        <v/>
      </c>
      <c r="L998" s="546" t="str">
        <f>IF($I990="","",SUMIF(F_ProductBM!$P$11:$P$1814,$P998,F_ProductBM!L$11:L$1814))</f>
        <v/>
      </c>
      <c r="M998" s="546" t="str">
        <f>IF($I990="","",SUMIF(F_ProductBM!$P$11:$P$1814,$P998,F_ProductBM!M$11:M$1814))</f>
        <v/>
      </c>
      <c r="N998" s="648" t="s">
        <v>625</v>
      </c>
      <c r="O998" s="25"/>
      <c r="P998" s="202" t="str">
        <f>EUconst_CNTR_HAL&amp;I990</f>
        <v>HAL_</v>
      </c>
      <c r="Q998" s="437"/>
      <c r="R998" s="437"/>
      <c r="S998" s="437"/>
      <c r="T998" s="26"/>
    </row>
    <row r="999" spans="1:20" s="697" customFormat="1" x14ac:dyDescent="0.2">
      <c r="A999" s="437"/>
      <c r="B999" s="414"/>
      <c r="C999" s="414"/>
      <c r="D999" s="414"/>
      <c r="E999" s="654" t="str">
        <f>Translations!$B$1237</f>
        <v>HAL aprēķinam izmantotās vērtības:</v>
      </c>
      <c r="F999" s="655"/>
      <c r="G999" s="656"/>
      <c r="H999" s="651" t="str">
        <f>H998</f>
        <v>tonnas</v>
      </c>
      <c r="I999" s="546" t="str">
        <f>IF($I990="","",INDEX(F_ProductBM!S$11:S$1814,MATCH($P999,F_ProductBM!$P$11:$P$1814,0)))</f>
        <v/>
      </c>
      <c r="J999" s="546" t="str">
        <f>IF($I990="","",INDEX(F_ProductBM!T$11:T$1814,MATCH($P999,F_ProductBM!$P$11:$P$1814,0)))</f>
        <v/>
      </c>
      <c r="K999" s="546" t="str">
        <f>IF($I990="","",INDEX(F_ProductBM!U$11:U$1814,MATCH($P999,F_ProductBM!$P$11:$P$1814,0)))</f>
        <v/>
      </c>
      <c r="L999" s="546" t="str">
        <f>IF($I990="","",INDEX(F_ProductBM!V$11:V$1814,MATCH($P999,F_ProductBM!$P$11:$P$1814,0)))</f>
        <v/>
      </c>
      <c r="M999" s="546" t="str">
        <f>IF($I990="","",INDEX(F_ProductBM!W$11:W$1814,MATCH($P999,F_ProductBM!$P$11:$P$1814,0)))</f>
        <v/>
      </c>
      <c r="N999" s="546" t="str">
        <f>IF(OR($I990="",$L993=TRUE),"",IF(COUNT($I999:$M999)&gt;0,MEDIAN($I999:$M999),""))</f>
        <v/>
      </c>
      <c r="O999" s="25"/>
      <c r="P999" s="202" t="str">
        <f>EUconst_CNTR_HAL&amp;I990</f>
        <v>HAL_</v>
      </c>
      <c r="Q999" s="437"/>
      <c r="R999" s="931" t="s">
        <v>604</v>
      </c>
      <c r="S999" s="931" t="s">
        <v>605</v>
      </c>
      <c r="T999" s="931" t="s">
        <v>606</v>
      </c>
    </row>
    <row r="1000" spans="1:20" s="697" customFormat="1" ht="5.0999999999999996" customHeight="1" x14ac:dyDescent="0.2">
      <c r="A1000" s="437"/>
      <c r="B1000" s="414"/>
      <c r="C1000" s="414"/>
      <c r="D1000" s="414"/>
      <c r="E1000" s="865"/>
      <c r="F1000" s="865"/>
      <c r="G1000" s="865"/>
      <c r="H1000" s="865"/>
      <c r="I1000" s="865"/>
      <c r="J1000" s="865"/>
      <c r="K1000" s="865"/>
      <c r="L1000" s="865"/>
      <c r="O1000" s="25"/>
      <c r="P1000" s="437"/>
      <c r="Q1000" s="437"/>
      <c r="R1000" s="437"/>
      <c r="S1000" s="437"/>
      <c r="T1000" s="26"/>
    </row>
    <row r="1001" spans="1:20" s="697" customFormat="1" ht="12.75" customHeight="1" x14ac:dyDescent="0.2">
      <c r="A1001" s="437"/>
      <c r="B1001" s="414"/>
      <c r="C1001" s="414"/>
      <c r="D1001" s="414"/>
      <c r="E1001" s="1892" t="str">
        <f>Translations!$B$689</f>
        <v>Relevantais elektroenerģijas patēriņš</v>
      </c>
      <c r="F1001" s="1892"/>
      <c r="G1001" s="1892"/>
      <c r="H1001" s="1101" t="str">
        <f>EUconst_MWhpa</f>
        <v>MWh / gads</v>
      </c>
      <c r="I1001" s="1166" t="str">
        <f>IF($I990="","",IF(INDEX(F_ProductBM!I:I,MATCH($P1001,F_ProductBM!$Q:$Q,0))="","",INDEX(F_ProductBM!I:I,MATCH($P1001,F_ProductBM!$Q:$Q,0))))</f>
        <v/>
      </c>
      <c r="J1001" s="1166" t="str">
        <f>IF($I990="","",IF(INDEX(F_ProductBM!J:J,MATCH($P1001,F_ProductBM!$Q:$Q,0))="","",INDEX(F_ProductBM!J:J,MATCH($P1001,F_ProductBM!$Q:$Q,0))))</f>
        <v/>
      </c>
      <c r="K1001" s="1166" t="str">
        <f>IF($I990="","",IF(INDEX(F_ProductBM!K:K,MATCH($P1001,F_ProductBM!$Q:$Q,0))="","",INDEX(F_ProductBM!K:K,MATCH($P1001,F_ProductBM!$Q:$Q,0))))</f>
        <v/>
      </c>
      <c r="L1001" s="1166" t="str">
        <f>IF($I990="","",IF(INDEX(F_ProductBM!L:L,MATCH($P1001,F_ProductBM!$Q:$Q,0))="","",INDEX(F_ProductBM!L:L,MATCH($P1001,F_ProductBM!$Q:$Q,0))))</f>
        <v/>
      </c>
      <c r="M1001" s="1166" t="str">
        <f>IF($I990="","",IF(INDEX(F_ProductBM!M:M,MATCH($P1001,F_ProductBM!$Q:$Q,0))="","",INDEX(F_ProductBM!M:M,MATCH($P1001,F_ProductBM!$Q:$Q,0))))</f>
        <v/>
      </c>
      <c r="N1001" s="38"/>
      <c r="O1001" s="25"/>
      <c r="P1001" s="202" t="str">
        <f>EUconst_CNTR_HAL&amp;EUconst_CNTR_ELEXCH &amp; I990</f>
        <v>HAL_ELEXCH_</v>
      </c>
      <c r="Q1001" s="437"/>
      <c r="R1001" s="437"/>
      <c r="S1001" s="437"/>
      <c r="T1001" s="26"/>
    </row>
    <row r="1002" spans="1:20" s="697" customFormat="1" ht="5.0999999999999996" customHeight="1" thickBot="1" x14ac:dyDescent="0.25">
      <c r="A1002" s="437"/>
      <c r="B1002" s="414"/>
      <c r="C1002" s="414"/>
      <c r="D1002" s="414"/>
      <c r="E1002" s="865"/>
      <c r="F1002" s="865"/>
      <c r="G1002" s="865"/>
      <c r="H1002" s="865"/>
      <c r="I1002" s="865"/>
      <c r="J1002" s="865"/>
      <c r="K1002" s="865"/>
      <c r="L1002" s="865"/>
      <c r="O1002" s="25"/>
      <c r="P1002" s="437"/>
      <c r="Q1002" s="437"/>
      <c r="R1002" s="437"/>
      <c r="S1002" s="437"/>
      <c r="T1002" s="26"/>
    </row>
    <row r="1003" spans="1:20" s="697" customFormat="1" ht="13.5" thickBot="1" x14ac:dyDescent="0.25">
      <c r="A1003" s="437"/>
      <c r="B1003" s="414"/>
      <c r="D1003" s="414"/>
      <c r="E1003" s="865"/>
      <c r="F1003" s="816" t="str">
        <f>Translations!$B$1728</f>
        <v>HAL kopā</v>
      </c>
      <c r="G1003" s="817"/>
      <c r="I1003" s="816" t="str">
        <f>Translations!$B$1226</f>
        <v>1. gada prov. ied. apj. (min.)</v>
      </c>
      <c r="J1003" s="817"/>
      <c r="K1003" s="816" t="str">
        <f>Translations!$B$1229</f>
        <v>1. gada prov. ied. apj. (maks.)</v>
      </c>
      <c r="L1003" s="817"/>
      <c r="M1003" s="816" t="str">
        <f>Translations!$B$1231</f>
        <v>1. gada prov. ied. apj. (fakt.)</v>
      </c>
      <c r="N1003" s="817"/>
      <c r="O1003" s="25"/>
      <c r="P1003" s="202" t="str">
        <f>EUconst_AllocPrelim&amp;I990</f>
        <v>AllocPrelim_</v>
      </c>
      <c r="Q1003" s="437"/>
      <c r="R1003" s="900" t="str">
        <f>IF(I1004="","",IF(S993=0,0,SUM(I1004)/S993))</f>
        <v/>
      </c>
      <c r="S1003" s="900" t="str">
        <f>IF(K1004="","",IF(S993=0,0,SUM(K1004)/S993))</f>
        <v/>
      </c>
      <c r="T1003" s="900" t="str">
        <f>T990</f>
        <v/>
      </c>
    </row>
    <row r="1004" spans="1:20" s="697" customFormat="1" ht="13.5" thickBot="1" x14ac:dyDescent="0.25">
      <c r="A1004" s="437"/>
      <c r="B1004" s="414"/>
      <c r="E1004" s="865"/>
      <c r="F1004" s="658" t="str">
        <f>IF(I990="","",MAX(0, IF(L993=TRUE, SUM(L995), SUM(N999))))</f>
        <v/>
      </c>
      <c r="G1004" s="659" t="str">
        <f>H998&amp;" / "&amp;EUconst_Year</f>
        <v>tonnas / gads</v>
      </c>
      <c r="I1004" s="814" t="str">
        <f>IF(I990="","",ROUND((SUM(M993)*SUM(F1004)*SUM(K995)-SUM(G995)-SUM(I995)+SUM(J995))*SUM(S993),0))</f>
        <v/>
      </c>
      <c r="J1004" s="884" t="str">
        <f>EUconst_EUApa</f>
        <v>ESK / gads</v>
      </c>
      <c r="K1004" s="814" t="str">
        <f>IF(I990="","",ROUND((SUM(M994)*SUM(F1004)*SUM(K995)-SUM(G995)-SUM(I995)+SUM(J995))*SUM(S993),0))</f>
        <v/>
      </c>
      <c r="L1004" s="884" t="str">
        <f>EUconst_EUApa</f>
        <v>ESK / gads</v>
      </c>
      <c r="M1004" s="814" t="str">
        <f>IF(OR(I990="",M995=""),"",ROUND((SUM(M995)*SUM(F1004)*SUM(K995)-SUM(G995)-SUM(I995)+SUM(J995))*SUM(S993),0))</f>
        <v/>
      </c>
      <c r="N1004" s="884" t="str">
        <f>EUconst_EUApa</f>
        <v>ESK / gads</v>
      </c>
      <c r="O1004" s="25"/>
      <c r="P1004" s="202" t="str">
        <f>EUconst_HALsum &amp; I990</f>
        <v>HALsum_</v>
      </c>
      <c r="Q1004" s="437"/>
      <c r="R1004" s="437"/>
      <c r="S1004" s="437"/>
      <c r="T1004" s="26"/>
    </row>
    <row r="1005" spans="1:20" s="697" customFormat="1" ht="5.0999999999999996" customHeight="1" x14ac:dyDescent="0.2">
      <c r="A1005" s="437"/>
      <c r="B1005" s="414"/>
      <c r="C1005" s="414"/>
      <c r="E1005" s="440"/>
      <c r="F1005" s="414"/>
      <c r="G1005" s="414"/>
      <c r="H1005" s="414"/>
      <c r="I1005" s="414"/>
      <c r="J1005" s="414"/>
      <c r="K1005" s="414"/>
      <c r="L1005" s="414"/>
      <c r="M1005" s="414"/>
      <c r="N1005" s="414"/>
      <c r="O1005" s="25"/>
      <c r="P1005" s="437"/>
      <c r="Q1005" s="437"/>
      <c r="R1005" s="437"/>
      <c r="S1005" s="437"/>
      <c r="T1005" s="26"/>
    </row>
    <row r="1006" spans="1:20" s="697" customFormat="1" ht="5.0999999999999996" customHeight="1" x14ac:dyDescent="0.2">
      <c r="A1006" s="437"/>
      <c r="B1006" s="414"/>
      <c r="C1006" s="414"/>
      <c r="D1006" s="414"/>
      <c r="E1006" s="526"/>
      <c r="F1006" s="823"/>
      <c r="G1006" s="823"/>
      <c r="H1006" s="823"/>
      <c r="I1006" s="823"/>
      <c r="J1006" s="823"/>
      <c r="K1006" s="823"/>
      <c r="L1006" s="823"/>
      <c r="M1006" s="823"/>
      <c r="N1006" s="823"/>
      <c r="O1006" s="25"/>
      <c r="P1006" s="437"/>
      <c r="Q1006" s="437"/>
      <c r="R1006" s="437"/>
      <c r="S1006" s="437"/>
      <c r="T1006" s="26"/>
    </row>
    <row r="1007" spans="1:20" s="697" customFormat="1" ht="13.5" thickBot="1" x14ac:dyDescent="0.25">
      <c r="A1007" s="437"/>
      <c r="B1007" s="414"/>
      <c r="C1007" s="414"/>
      <c r="D1007" s="414"/>
      <c r="E1007" s="526"/>
      <c r="F1007" s="823"/>
      <c r="G1007" s="823"/>
      <c r="H1007" s="525" t="str">
        <f>EUconst_Unit</f>
        <v>Vienība</v>
      </c>
      <c r="I1007" s="929">
        <f>I$1652</f>
        <v>2019</v>
      </c>
      <c r="J1007" s="463">
        <f>J$1652</f>
        <v>2020</v>
      </c>
      <c r="K1007" s="463">
        <f>K$1652</f>
        <v>2021</v>
      </c>
      <c r="L1007" s="463">
        <f>L$1652</f>
        <v>2022</v>
      </c>
      <c r="M1007" s="463">
        <f>M$1652</f>
        <v>2023</v>
      </c>
      <c r="N1007" s="823"/>
      <c r="O1007" s="25"/>
      <c r="P1007" s="437"/>
      <c r="Q1007" s="437"/>
      <c r="R1007" s="437"/>
      <c r="S1007" s="437"/>
      <c r="T1007" s="26"/>
    </row>
    <row r="1008" spans="1:20" s="697" customFormat="1" ht="13.5" customHeight="1" thickBot="1" x14ac:dyDescent="0.25">
      <c r="A1008" s="437"/>
      <c r="B1008" s="414"/>
      <c r="C1008" s="414"/>
      <c r="D1008" s="414"/>
      <c r="E1008" s="1789" t="str">
        <f>Translations!$B$1238</f>
        <v>Kopējās attiecinātās emisijas</v>
      </c>
      <c r="F1008" s="1789"/>
      <c r="G1008" s="1789"/>
      <c r="H1008" s="886" t="str">
        <f>EUconst_tCO2epa</f>
        <v>t CO2e/gads</v>
      </c>
      <c r="I1008" s="1151" t="str">
        <f>INDEX(I$115:I$134,MATCH($I990,$E$115:$E$134,0))</f>
        <v/>
      </c>
      <c r="J1008" s="1152" t="str">
        <f>INDEX(J$115:J$134,MATCH($I990,$E$115:$E$134,0))</f>
        <v/>
      </c>
      <c r="K1008" s="1152" t="str">
        <f>INDEX(K$115:K$134,MATCH($I990,$E$115:$E$134,0))</f>
        <v/>
      </c>
      <c r="L1008" s="1152" t="str">
        <f>INDEX(L$115:L$134,MATCH($I990,$E$115:$E$134,0))</f>
        <v/>
      </c>
      <c r="M1008" s="1153" t="str">
        <f>INDEX(M$115:M$134,MATCH($I990,$E$115:$E$134,0))</f>
        <v/>
      </c>
      <c r="N1008" s="823"/>
      <c r="O1008" s="25"/>
      <c r="P1008" s="437"/>
      <c r="Q1008" s="437"/>
      <c r="R1008" s="437"/>
      <c r="S1008" s="437"/>
      <c r="T1008" s="26"/>
    </row>
    <row r="1009" spans="1:20" s="697" customFormat="1" ht="5.0999999999999996" customHeight="1" x14ac:dyDescent="0.2">
      <c r="A1009" s="437"/>
      <c r="B1009" s="414"/>
      <c r="C1009" s="414"/>
      <c r="D1009" s="414"/>
      <c r="E1009" s="526"/>
      <c r="F1009" s="526"/>
      <c r="G1009" s="526"/>
      <c r="H1009" s="526"/>
      <c r="I1009" s="921"/>
      <c r="J1009" s="921"/>
      <c r="K1009" s="921"/>
      <c r="L1009" s="921"/>
      <c r="M1009" s="921"/>
      <c r="N1009" s="526"/>
      <c r="O1009" s="25"/>
      <c r="P1009" s="437"/>
      <c r="Q1009" s="437"/>
      <c r="R1009" s="437"/>
      <c r="S1009" s="437"/>
      <c r="T1009" s="26"/>
    </row>
    <row r="1010" spans="1:20" s="697" customFormat="1" x14ac:dyDescent="0.2">
      <c r="A1010" s="437"/>
      <c r="B1010" s="414"/>
      <c r="C1010" s="414"/>
      <c r="D1010" s="414"/>
      <c r="E1010" s="1667" t="str">
        <f>Translations!$B$1623</f>
        <v>Kopējā enerģijas ielaide</v>
      </c>
      <c r="F1010" s="1660"/>
      <c r="G1010" s="1660"/>
      <c r="H1010" s="466" t="str">
        <f>EUconst_TJpa</f>
        <v>TJ / gads</v>
      </c>
      <c r="I1010" s="922" t="str">
        <f>IF($I990="","",IF(INDEX(F_ProductBM!I:I,MATCH($P1010,F_ProductBM!$P:$P,0))="","",INDEX(F_ProductBM!I:I,MATCH($P1010,F_ProductBM!$P:$P,0))))</f>
        <v/>
      </c>
      <c r="J1010" s="922" t="str">
        <f>IF($I990="","",IF(INDEX(F_ProductBM!J:J,MATCH($P1010,F_ProductBM!$P:$P,0))="","",INDEX(F_ProductBM!J:J,MATCH($P1010,F_ProductBM!$P:$P,0))))</f>
        <v/>
      </c>
      <c r="K1010" s="922" t="str">
        <f>IF($I990="","",IF(INDEX(F_ProductBM!K:K,MATCH($P1010,F_ProductBM!$P:$P,0))="","",INDEX(F_ProductBM!K:K,MATCH($P1010,F_ProductBM!$P:$P,0))))</f>
        <v/>
      </c>
      <c r="L1010" s="922" t="str">
        <f>IF($I990="","",IF(INDEX(F_ProductBM!L:L,MATCH($P1010,F_ProductBM!$P:$P,0))="","",INDEX(F_ProductBM!L:L,MATCH($P1010,F_ProductBM!$P:$P,0))))</f>
        <v/>
      </c>
      <c r="M1010" s="922" t="str">
        <f>IF($I990="","",IF(INDEX(F_ProductBM!M:M,MATCH($P1010,F_ProductBM!$P:$P,0))="","",INDEX(F_ProductBM!M:M,MATCH($P1010,F_ProductBM!$P:$P,0))))</f>
        <v/>
      </c>
      <c r="N1010" s="823"/>
      <c r="O1010" s="25"/>
      <c r="P1010" s="822" t="str">
        <f>EUconst_CNTR_FuelInput &amp; I990</f>
        <v>FuelInput_</v>
      </c>
      <c r="Q1010" s="437"/>
      <c r="R1010" s="437"/>
      <c r="S1010" s="437"/>
      <c r="T1010" s="26"/>
    </row>
    <row r="1011" spans="1:20" s="697" customFormat="1" ht="12.75" customHeight="1" x14ac:dyDescent="0.2">
      <c r="A1011" s="437"/>
      <c r="B1011" s="414"/>
      <c r="C1011" s="414"/>
      <c r="D1011" s="414"/>
      <c r="E1011" s="1737" t="str">
        <f>Translations!$B$732</f>
        <v>Svērtais emisijas faktors</v>
      </c>
      <c r="F1011" s="1659"/>
      <c r="G1011" s="1659"/>
      <c r="H1011" s="485" t="str">
        <f>EUconst_tCO2pTJ</f>
        <v>t CO2 / TJ</v>
      </c>
      <c r="I1011" s="923" t="str">
        <f>IF($I990="","",IF(INDEX(F_ProductBM!I:I,MATCH($P1011,F_ProductBM!$P:$P,0))="","",INDEX(F_ProductBM!I:I,MATCH($P1011,F_ProductBM!$P:$P,0))))</f>
        <v/>
      </c>
      <c r="J1011" s="923" t="str">
        <f>IF($I990="","",IF(INDEX(F_ProductBM!J:J,MATCH($P1011,F_ProductBM!$P:$P,0))="","",INDEX(F_ProductBM!J:J,MATCH($P1011,F_ProductBM!$P:$P,0))))</f>
        <v/>
      </c>
      <c r="K1011" s="923" t="str">
        <f>IF($I990="","",IF(INDEX(F_ProductBM!K:K,MATCH($P1011,F_ProductBM!$P:$P,0))="","",INDEX(F_ProductBM!K:K,MATCH($P1011,F_ProductBM!$P:$P,0))))</f>
        <v/>
      </c>
      <c r="L1011" s="923" t="str">
        <f>IF($I990="","",IF(INDEX(F_ProductBM!L:L,MATCH($P1011,F_ProductBM!$P:$P,0))="","",INDEX(F_ProductBM!L:L,MATCH($P1011,F_ProductBM!$P:$P,0))))</f>
        <v/>
      </c>
      <c r="M1011" s="923" t="str">
        <f>IF($I990="","",IF(INDEX(F_ProductBM!M:M,MATCH($P1011,F_ProductBM!$P:$P,0))="","",INDEX(F_ProductBM!M:M,MATCH($P1011,F_ProductBM!$P:$P,0))))</f>
        <v/>
      </c>
      <c r="N1011" s="823"/>
      <c r="O1011" s="25"/>
      <c r="P1011" s="367" t="str">
        <f>EUconst_CNTR_FuelEF &amp; I990</f>
        <v>FuelEF_</v>
      </c>
      <c r="Q1011" s="437"/>
      <c r="R1011" s="437"/>
      <c r="S1011" s="437"/>
      <c r="T1011" s="26"/>
    </row>
    <row r="1012" spans="1:20" s="697" customFormat="1" ht="5.0999999999999996" customHeight="1" x14ac:dyDescent="0.2">
      <c r="A1012" s="437"/>
      <c r="B1012" s="414"/>
      <c r="C1012" s="414"/>
      <c r="E1012" s="526"/>
      <c r="F1012" s="823"/>
      <c r="G1012" s="823"/>
      <c r="H1012" s="823"/>
      <c r="I1012" s="924"/>
      <c r="J1012" s="924"/>
      <c r="K1012" s="924"/>
      <c r="L1012" s="924"/>
      <c r="M1012" s="924"/>
      <c r="N1012" s="823"/>
      <c r="O1012" s="25"/>
      <c r="P1012" s="437"/>
      <c r="Q1012" s="437"/>
      <c r="R1012" s="437"/>
      <c r="S1012" s="437"/>
      <c r="T1012" s="26"/>
    </row>
    <row r="1013" spans="1:20" s="697" customFormat="1" ht="12.75" customHeight="1" x14ac:dyDescent="0.2">
      <c r="A1013" s="437"/>
      <c r="B1013" s="414"/>
      <c r="C1013" s="414"/>
      <c r="E1013" s="1651" t="str">
        <f>Translations!$B$687</f>
        <v>Tiešās emisijas</v>
      </c>
      <c r="F1013" s="1652"/>
      <c r="G1013" s="1652"/>
      <c r="H1013" s="465" t="str">
        <f>EUconst_tCO2pa</f>
        <v>t CO2 / gads</v>
      </c>
      <c r="I1013" s="1103" t="str">
        <f>IF($I990="","",IF(INDEX(F_ProductBM!I:I,MATCH($P1013,F_ProductBM!$P:$P,0))="","",INDEX(F_ProductBM!I:I,MATCH($P1013,F_ProductBM!$P:$P,0))))</f>
        <v/>
      </c>
      <c r="J1013" s="1103" t="str">
        <f>IF($I990="","",IF(INDEX(F_ProductBM!J:J,MATCH($P1013,F_ProductBM!$P:$P,0))="","",INDEX(F_ProductBM!J:J,MATCH($P1013,F_ProductBM!$P:$P,0))))</f>
        <v/>
      </c>
      <c r="K1013" s="1103" t="str">
        <f>IF($I990="","",IF(INDEX(F_ProductBM!K:K,MATCH($P1013,F_ProductBM!$P:$P,0))="","",INDEX(F_ProductBM!K:K,MATCH($P1013,F_ProductBM!$P:$P,0))))</f>
        <v/>
      </c>
      <c r="L1013" s="1103" t="str">
        <f>IF($I990="","",IF(INDEX(F_ProductBM!L:L,MATCH($P1013,F_ProductBM!$P:$P,0))="","",INDEX(F_ProductBM!L:L,MATCH($P1013,F_ProductBM!$P:$P,0))))</f>
        <v/>
      </c>
      <c r="M1013" s="1103" t="str">
        <f>IF($I990="","",IF(INDEX(F_ProductBM!M:M,MATCH($P1013,F_ProductBM!$P:$P,0))="","",INDEX(F_ProductBM!M:M,MATCH($P1013,F_ProductBM!$P:$P,0))))</f>
        <v/>
      </c>
      <c r="N1013" s="823"/>
      <c r="O1013" s="25"/>
      <c r="P1013" s="367" t="str">
        <f>EUconst_CNTR_Emissions &amp; I990</f>
        <v>DirEmissions_</v>
      </c>
      <c r="Q1013" s="437"/>
      <c r="R1013" s="437"/>
      <c r="S1013" s="437"/>
      <c r="T1013" s="26"/>
    </row>
    <row r="1014" spans="1:20" s="697" customFormat="1" ht="12.75" customHeight="1" x14ac:dyDescent="0.2">
      <c r="A1014" s="437"/>
      <c r="B1014" s="414"/>
      <c r="C1014" s="414"/>
      <c r="E1014" s="1893" t="str">
        <f>Translations!$B$742</f>
        <v>Citas avota plūsmas, 1:</v>
      </c>
      <c r="F1014" s="1893"/>
      <c r="G1014" s="1893"/>
      <c r="H1014" s="465" t="str">
        <f>EUconst_tCO2pa</f>
        <v>t CO2 / gads</v>
      </c>
      <c r="I1014" s="1103" t="str">
        <f>IF($I990="","",IF(INDEX(F_ProductBM!I:I,MATCH($P1014,F_ProductBM!$P:$P,0))="","",INDEX(F_ProductBM!I:I,MATCH($P1014,F_ProductBM!$P:$P,0))))</f>
        <v/>
      </c>
      <c r="J1014" s="1103" t="str">
        <f>IF($I990="","",IF(INDEX(F_ProductBM!J:J,MATCH($P1014,F_ProductBM!$P:$P,0))="","",INDEX(F_ProductBM!J:J,MATCH($P1014,F_ProductBM!$P:$P,0))))</f>
        <v/>
      </c>
      <c r="K1014" s="1103" t="str">
        <f>IF($I990="","",IF(INDEX(F_ProductBM!K:K,MATCH($P1014,F_ProductBM!$P:$P,0))="","",INDEX(F_ProductBM!K:K,MATCH($P1014,F_ProductBM!$P:$P,0))))</f>
        <v/>
      </c>
      <c r="L1014" s="1103" t="str">
        <f>IF($I990="","",IF(INDEX(F_ProductBM!L:L,MATCH($P1014,F_ProductBM!$P:$P,0))="","",INDEX(F_ProductBM!L:L,MATCH($P1014,F_ProductBM!$P:$P,0))))</f>
        <v/>
      </c>
      <c r="M1014" s="1103" t="str">
        <f>IF($I990="","",IF(INDEX(F_ProductBM!M:M,MATCH($P1014,F_ProductBM!$P:$P,0))="","",INDEX(F_ProductBM!M:M,MATCH($P1014,F_ProductBM!$P:$P,0))))</f>
        <v/>
      </c>
      <c r="N1014" s="823"/>
      <c r="O1014" s="25"/>
      <c r="P1014" s="367" t="str">
        <f>EUconst_CNTR_EmissionsIntSource1 &amp; I990</f>
        <v>EmInternalSource1_</v>
      </c>
      <c r="Q1014" s="437"/>
      <c r="R1014" s="437"/>
      <c r="S1014" s="437"/>
      <c r="T1014" s="26"/>
    </row>
    <row r="1015" spans="1:20" s="697" customFormat="1" ht="12.75" customHeight="1" x14ac:dyDescent="0.2">
      <c r="A1015" s="437"/>
      <c r="B1015" s="414"/>
      <c r="C1015" s="414"/>
      <c r="E1015" s="1893" t="str">
        <f>Translations!$B$752</f>
        <v>Citas avota plūsmas, 2:</v>
      </c>
      <c r="F1015" s="1893"/>
      <c r="G1015" s="1893"/>
      <c r="H1015" s="465" t="str">
        <f>EUconst_tCO2pa</f>
        <v>t CO2 / gads</v>
      </c>
      <c r="I1015" s="1103" t="str">
        <f>IF($I990="","",IF(INDEX(F_ProductBM!I:I,MATCH($P1015,F_ProductBM!$P:$P,0))="","",INDEX(F_ProductBM!I:I,MATCH($P1015,F_ProductBM!$P:$P,0))))</f>
        <v/>
      </c>
      <c r="J1015" s="1103" t="str">
        <f>IF($I990="","",IF(INDEX(F_ProductBM!J:J,MATCH($P1015,F_ProductBM!$P:$P,0))="","",INDEX(F_ProductBM!J:J,MATCH($P1015,F_ProductBM!$P:$P,0))))</f>
        <v/>
      </c>
      <c r="K1015" s="1103" t="str">
        <f>IF($I990="","",IF(INDEX(F_ProductBM!K:K,MATCH($P1015,F_ProductBM!$P:$P,0))="","",INDEX(F_ProductBM!K:K,MATCH($P1015,F_ProductBM!$P:$P,0))))</f>
        <v/>
      </c>
      <c r="L1015" s="1103" t="str">
        <f>IF($I990="","",IF(INDEX(F_ProductBM!L:L,MATCH($P1015,F_ProductBM!$P:$P,0))="","",INDEX(F_ProductBM!L:L,MATCH($P1015,F_ProductBM!$P:$P,0))))</f>
        <v/>
      </c>
      <c r="M1015" s="1103" t="str">
        <f>IF($I990="","",IF(INDEX(F_ProductBM!M:M,MATCH($P1015,F_ProductBM!$P:$P,0))="","",INDEX(F_ProductBM!M:M,MATCH($P1015,F_ProductBM!$P:$P,0))))</f>
        <v/>
      </c>
      <c r="N1015" s="823"/>
      <c r="O1015" s="25"/>
      <c r="P1015" s="367" t="str">
        <f>EUconst_CNTR_EmissionsIntSource2 &amp; I990</f>
        <v>EmInternalSource2_</v>
      </c>
      <c r="Q1015" s="437"/>
      <c r="R1015" s="437"/>
      <c r="S1015" s="437"/>
      <c r="T1015" s="26"/>
    </row>
    <row r="1016" spans="1:20" s="697" customFormat="1" ht="12.75" customHeight="1" x14ac:dyDescent="0.2">
      <c r="A1016" s="437"/>
      <c r="B1016" s="414"/>
      <c r="C1016" s="414"/>
      <c r="D1016" s="414"/>
      <c r="E1016" s="1651" t="str">
        <f>Translations!$B$756</f>
        <v>Importētās vai eksportētās SEG</v>
      </c>
      <c r="F1016" s="1652"/>
      <c r="G1016" s="1652"/>
      <c r="H1016" s="465" t="str">
        <f>EUconst_tCO2epa</f>
        <v>t CO2e/gads</v>
      </c>
      <c r="I1016" s="1103" t="str">
        <f>IF($I990="","",IF(INDEX(F_ProductBM!I:I,MATCH($P1016,F_ProductBM!$P:$P,0))="","",INDEX(F_ProductBM!I:I,MATCH($P1016,F_ProductBM!$P:$P,0))))</f>
        <v/>
      </c>
      <c r="J1016" s="1103" t="str">
        <f>IF($I990="","",IF(INDEX(F_ProductBM!J:J,MATCH($P1016,F_ProductBM!$P:$P,0))="","",INDEX(F_ProductBM!J:J,MATCH($P1016,F_ProductBM!$P:$P,0))))</f>
        <v/>
      </c>
      <c r="K1016" s="1103" t="str">
        <f>IF($I990="","",IF(INDEX(F_ProductBM!K:K,MATCH($P1016,F_ProductBM!$P:$P,0))="","",INDEX(F_ProductBM!K:K,MATCH($P1016,F_ProductBM!$P:$P,0))))</f>
        <v/>
      </c>
      <c r="L1016" s="1103" t="str">
        <f>IF($I990="","",IF(INDEX(F_ProductBM!L:L,MATCH($P1016,F_ProductBM!$P:$P,0))="","",INDEX(F_ProductBM!L:L,MATCH($P1016,F_ProductBM!$P:$P,0))))</f>
        <v/>
      </c>
      <c r="M1016" s="1103" t="str">
        <f>IF($I990="","",IF(INDEX(F_ProductBM!M:M,MATCH($P1016,F_ProductBM!$P:$P,0))="","",INDEX(F_ProductBM!M:M,MATCH($P1016,F_ProductBM!$P:$P,0))))</f>
        <v/>
      </c>
      <c r="N1016" s="823"/>
      <c r="O1016" s="25"/>
      <c r="P1016" s="367" t="str">
        <f>EUconst_CNTR_CO2Feedstock &amp; I990</f>
        <v>EmCO2Feedstock_</v>
      </c>
      <c r="Q1016" s="437"/>
      <c r="R1016" s="437"/>
      <c r="S1016" s="437"/>
      <c r="T1016" s="26"/>
    </row>
    <row r="1017" spans="1:20" s="697" customFormat="1" ht="5.0999999999999996" customHeight="1" x14ac:dyDescent="0.2">
      <c r="A1017" s="437"/>
      <c r="B1017" s="414"/>
      <c r="C1017" s="414"/>
      <c r="D1017" s="414"/>
      <c r="E1017" s="823"/>
      <c r="F1017" s="823"/>
      <c r="G1017" s="823"/>
      <c r="H1017" s="823"/>
      <c r="I1017" s="924"/>
      <c r="J1017" s="924"/>
      <c r="K1017" s="924"/>
      <c r="L1017" s="924"/>
      <c r="M1017" s="924"/>
      <c r="N1017" s="823"/>
      <c r="O1017" s="25"/>
      <c r="P1017" s="437"/>
      <c r="Q1017" s="437"/>
      <c r="R1017" s="437"/>
      <c r="S1017" s="437"/>
      <c r="T1017" s="26"/>
    </row>
    <row r="1018" spans="1:20" s="697" customFormat="1" ht="12.75" customHeight="1" x14ac:dyDescent="0.2">
      <c r="A1018" s="437"/>
      <c r="B1018" s="414"/>
      <c r="C1018" s="414"/>
      <c r="D1018" s="414"/>
      <c r="E1018" s="1667" t="str">
        <f>Translations!$B$764</f>
        <v>Neto importētais siltums</v>
      </c>
      <c r="F1018" s="1660"/>
      <c r="G1018" s="1660"/>
      <c r="H1018" s="466" t="str">
        <f>EUconst_TJpa</f>
        <v>TJ / gads</v>
      </c>
      <c r="I1018" s="922" t="str">
        <f>IF($I990="","",IF(INDEX(F_ProductBM!I:I,MATCH($P1018,F_ProductBM!$P:$P,0))="","",INDEX(F_ProductBM!I:I,MATCH($P1018,F_ProductBM!$P:$P,0))))</f>
        <v/>
      </c>
      <c r="J1018" s="922" t="str">
        <f>IF($I990="","",IF(INDEX(F_ProductBM!J:J,MATCH($P1018,F_ProductBM!$P:$P,0))="","",INDEX(F_ProductBM!J:J,MATCH($P1018,F_ProductBM!$P:$P,0))))</f>
        <v/>
      </c>
      <c r="K1018" s="922" t="str">
        <f>IF($I990="","",IF(INDEX(F_ProductBM!K:K,MATCH($P1018,F_ProductBM!$P:$P,0))="","",INDEX(F_ProductBM!K:K,MATCH($P1018,F_ProductBM!$P:$P,0))))</f>
        <v/>
      </c>
      <c r="L1018" s="922" t="str">
        <f>IF($I990="","",IF(INDEX(F_ProductBM!L:L,MATCH($P1018,F_ProductBM!$P:$P,0))="","",INDEX(F_ProductBM!L:L,MATCH($P1018,F_ProductBM!$P:$P,0))))</f>
        <v/>
      </c>
      <c r="M1018" s="922" t="str">
        <f>IF($I990="","",IF(INDEX(F_ProductBM!M:M,MATCH($P1018,F_ProductBM!$P:$P,0))="","",INDEX(F_ProductBM!M:M,MATCH($P1018,F_ProductBM!$P:$P,0))))</f>
        <v/>
      </c>
      <c r="N1018" s="823"/>
      <c r="O1018" s="25"/>
      <c r="P1018" s="367" t="str">
        <f>EUconst_CNTR_HeatImport &amp; I990</f>
        <v>HeatIm_</v>
      </c>
      <c r="Q1018" s="437"/>
      <c r="R1018" s="437"/>
      <c r="S1018" s="437"/>
      <c r="T1018" s="26"/>
    </row>
    <row r="1019" spans="1:20" s="697" customFormat="1" ht="12.75" customHeight="1" x14ac:dyDescent="0.2">
      <c r="A1019" s="437"/>
      <c r="B1019" s="414"/>
      <c r="C1019" s="414"/>
      <c r="D1019" s="414"/>
      <c r="E1019" s="1737" t="str">
        <f>Translations!$B$765</f>
        <v>Īpatnējais EF (importētais siltums)</v>
      </c>
      <c r="F1019" s="1659"/>
      <c r="G1019" s="1659"/>
      <c r="H1019" s="485" t="str">
        <f>EUconst_tCO2pTJ</f>
        <v>t CO2 / TJ</v>
      </c>
      <c r="I1019" s="923" t="str">
        <f>IF($I990="","",IF(INDEX(F_ProductBM!I:I,MATCH($P1019,F_ProductBM!$P:$P,0))="","",INDEX(F_ProductBM!I:I,MATCH($P1019,F_ProductBM!$P:$P,0))))</f>
        <v/>
      </c>
      <c r="J1019" s="923" t="str">
        <f>IF($I990="","",IF(INDEX(F_ProductBM!J:J,MATCH($P1019,F_ProductBM!$P:$P,0))="","",INDEX(F_ProductBM!J:J,MATCH($P1019,F_ProductBM!$P:$P,0))))</f>
        <v/>
      </c>
      <c r="K1019" s="923" t="str">
        <f>IF($I990="","",IF(INDEX(F_ProductBM!K:K,MATCH($P1019,F_ProductBM!$P:$P,0))="","",INDEX(F_ProductBM!K:K,MATCH($P1019,F_ProductBM!$P:$P,0))))</f>
        <v/>
      </c>
      <c r="L1019" s="923" t="str">
        <f>IF($I990="","",IF(INDEX(F_ProductBM!L:L,MATCH($P1019,F_ProductBM!$P:$P,0))="","",INDEX(F_ProductBM!L:L,MATCH($P1019,F_ProductBM!$P:$P,0))))</f>
        <v/>
      </c>
      <c r="M1019" s="923" t="str">
        <f>IF($I990="","",IF(INDEX(F_ProductBM!M:M,MATCH($P1019,F_ProductBM!$P:$P,0))="","",INDEX(F_ProductBM!M:M,MATCH($P1019,F_ProductBM!$P:$P,0))))</f>
        <v/>
      </c>
      <c r="N1019" s="823"/>
      <c r="O1019" s="25"/>
      <c r="P1019" s="367" t="str">
        <f>EUconst_CNTR_HeatImportEF &amp; I990</f>
        <v>HeatImEF_</v>
      </c>
      <c r="Q1019" s="437"/>
      <c r="R1019" s="437"/>
      <c r="S1019" s="437"/>
      <c r="T1019" s="26"/>
    </row>
    <row r="1020" spans="1:20" s="697" customFormat="1" ht="5.0999999999999996" customHeight="1" x14ac:dyDescent="0.2">
      <c r="A1020" s="437"/>
      <c r="B1020" s="414"/>
      <c r="C1020" s="414"/>
      <c r="D1020" s="414"/>
      <c r="E1020" s="526"/>
      <c r="F1020" s="823"/>
      <c r="G1020" s="823"/>
      <c r="H1020" s="823"/>
      <c r="I1020" s="924"/>
      <c r="J1020" s="924"/>
      <c r="K1020" s="924"/>
      <c r="L1020" s="924"/>
      <c r="M1020" s="924"/>
      <c r="N1020" s="823"/>
      <c r="O1020" s="25"/>
      <c r="P1020" s="26"/>
      <c r="Q1020" s="437"/>
      <c r="R1020" s="437"/>
      <c r="S1020" s="437"/>
      <c r="T1020" s="26"/>
    </row>
    <row r="1021" spans="1:20" s="697" customFormat="1" ht="12.75" customHeight="1" x14ac:dyDescent="0.2">
      <c r="A1021" s="437"/>
      <c r="B1021" s="414"/>
      <c r="C1021" s="414"/>
      <c r="D1021" s="414"/>
      <c r="E1021" s="1651" t="str">
        <f>Translations!$B$820</f>
        <v>No pulpas apakšiekārtām importētais neto siltums</v>
      </c>
      <c r="F1021" s="1652"/>
      <c r="G1021" s="1652"/>
      <c r="H1021" s="465" t="str">
        <f>EUconst_TJpa</f>
        <v>TJ / gads</v>
      </c>
      <c r="I1021" s="925" t="str">
        <f>IF($I990="","",IF(INDEX(F_ProductBM!I:I,MATCH($P1021,F_ProductBM!$P:$P,0))="","",INDEX(F_ProductBM!I:I,MATCH($P1021,F_ProductBM!$P:$P,0))))</f>
        <v/>
      </c>
      <c r="J1021" s="925" t="str">
        <f>IF($I990="","",IF(INDEX(F_ProductBM!J:J,MATCH($P1021,F_ProductBM!$P:$P,0))="","",INDEX(F_ProductBM!J:J,MATCH($P1021,F_ProductBM!$P:$P,0))))</f>
        <v/>
      </c>
      <c r="K1021" s="925" t="str">
        <f>IF($I990="","",IF(INDEX(F_ProductBM!K:K,MATCH($P1021,F_ProductBM!$P:$P,0))="","",INDEX(F_ProductBM!K:K,MATCH($P1021,F_ProductBM!$P:$P,0))))</f>
        <v/>
      </c>
      <c r="L1021" s="925" t="str">
        <f>IF($I990="","",IF(INDEX(F_ProductBM!L:L,MATCH($P1021,F_ProductBM!$P:$P,0))="","",INDEX(F_ProductBM!L:L,MATCH($P1021,F_ProductBM!$P:$P,0))))</f>
        <v/>
      </c>
      <c r="M1021" s="925" t="str">
        <f>IF($I990="","",IF(INDEX(F_ProductBM!M:M,MATCH($P1021,F_ProductBM!$P:$P,0))="","",INDEX(F_ProductBM!M:M,MATCH($P1021,F_ProductBM!$P:$P,0))))</f>
        <v/>
      </c>
      <c r="N1021" s="823"/>
      <c r="O1021" s="25"/>
      <c r="P1021" s="367" t="str">
        <f>EUconst_CNTR_HeatImportPulp &amp; I990</f>
        <v>HeatImPulp_</v>
      </c>
      <c r="Q1021" s="437"/>
      <c r="R1021" s="437"/>
      <c r="S1021" s="437"/>
      <c r="T1021" s="26"/>
    </row>
    <row r="1022" spans="1:20" s="697" customFormat="1" ht="12.75" customHeight="1" x14ac:dyDescent="0.2">
      <c r="A1022" s="437"/>
      <c r="B1022" s="414"/>
      <c r="C1022" s="414"/>
      <c r="D1022" s="414"/>
      <c r="E1022" s="1651" t="str">
        <f>Translations!$B$768</f>
        <v>No slāpekļskābes apakšiekārtas importētais neto siltums</v>
      </c>
      <c r="F1022" s="1652"/>
      <c r="G1022" s="1652"/>
      <c r="H1022" s="465" t="str">
        <f>EUconst_TJpa</f>
        <v>TJ / gads</v>
      </c>
      <c r="I1022" s="925" t="str">
        <f>IF($I990="","",IF(INDEX(F_ProductBM!I:I,MATCH($P1022,F_ProductBM!$P:$P,0))="","",INDEX(F_ProductBM!I:I,MATCH($P1022,F_ProductBM!$P:$P,0))))</f>
        <v/>
      </c>
      <c r="J1022" s="925" t="str">
        <f>IF($I990="","",IF(INDEX(F_ProductBM!J:J,MATCH($P1022,F_ProductBM!$P:$P,0))="","",INDEX(F_ProductBM!J:J,MATCH($P1022,F_ProductBM!$P:$P,0))))</f>
        <v/>
      </c>
      <c r="K1022" s="925" t="str">
        <f>IF($I990="","",IF(INDEX(F_ProductBM!K:K,MATCH($P1022,F_ProductBM!$P:$P,0))="","",INDEX(F_ProductBM!K:K,MATCH($P1022,F_ProductBM!$P:$P,0))))</f>
        <v/>
      </c>
      <c r="L1022" s="925" t="str">
        <f>IF($I990="","",IF(INDEX(F_ProductBM!L:L,MATCH($P1022,F_ProductBM!$P:$P,0))="","",INDEX(F_ProductBM!L:L,MATCH($P1022,F_ProductBM!$P:$P,0))))</f>
        <v/>
      </c>
      <c r="M1022" s="925" t="str">
        <f>IF($I990="","",IF(INDEX(F_ProductBM!M:M,MATCH($P1022,F_ProductBM!$P:$P,0))="","",INDEX(F_ProductBM!M:M,MATCH($P1022,F_ProductBM!$P:$P,0))))</f>
        <v/>
      </c>
      <c r="N1022" s="823"/>
      <c r="O1022" s="25"/>
      <c r="P1022" s="367" t="str">
        <f>EUconst_CNTR_HeatImportNitric &amp; I990</f>
        <v>HeatImNitric_</v>
      </c>
      <c r="Q1022" s="437"/>
      <c r="R1022" s="437"/>
      <c r="S1022" s="437"/>
      <c r="T1022" s="26"/>
    </row>
    <row r="1023" spans="1:20" s="697" customFormat="1" ht="5.0999999999999996" customHeight="1" x14ac:dyDescent="0.2">
      <c r="A1023" s="437"/>
      <c r="B1023" s="414"/>
      <c r="C1023" s="414"/>
      <c r="D1023" s="414"/>
      <c r="E1023" s="526"/>
      <c r="F1023" s="526"/>
      <c r="G1023" s="526"/>
      <c r="H1023" s="526"/>
      <c r="I1023" s="924"/>
      <c r="J1023" s="924"/>
      <c r="K1023" s="924"/>
      <c r="L1023" s="924"/>
      <c r="M1023" s="924"/>
      <c r="N1023" s="823"/>
      <c r="O1023" s="25"/>
      <c r="P1023" s="26"/>
      <c r="Q1023" s="437"/>
      <c r="R1023" s="437"/>
      <c r="S1023" s="437"/>
      <c r="T1023" s="26"/>
    </row>
    <row r="1024" spans="1:20" s="697" customFormat="1" ht="12.75" customHeight="1" x14ac:dyDescent="0.2">
      <c r="A1024" s="437"/>
      <c r="B1024" s="414"/>
      <c r="C1024" s="414"/>
      <c r="D1024" s="414"/>
      <c r="E1024" s="1667" t="str">
        <f>Translations!$B$770</f>
        <v>Neto eksportētais siltums</v>
      </c>
      <c r="F1024" s="1660"/>
      <c r="G1024" s="1660"/>
      <c r="H1024" s="466" t="str">
        <f>EUconst_TJpa</f>
        <v>TJ / gads</v>
      </c>
      <c r="I1024" s="922" t="str">
        <f>IF($I990="","",IF(INDEX(F_ProductBM!I:I,MATCH($P1024,F_ProductBM!$P:$P,0))="","",INDEX(F_ProductBM!I:I,MATCH($P1024,F_ProductBM!$P:$P,0))))</f>
        <v/>
      </c>
      <c r="J1024" s="922" t="str">
        <f>IF($I990="","",IF(INDEX(F_ProductBM!J:J,MATCH($P1024,F_ProductBM!$P:$P,0))="","",INDEX(F_ProductBM!J:J,MATCH($P1024,F_ProductBM!$P:$P,0))))</f>
        <v/>
      </c>
      <c r="K1024" s="922" t="str">
        <f>IF($I990="","",IF(INDEX(F_ProductBM!K:K,MATCH($P1024,F_ProductBM!$P:$P,0))="","",INDEX(F_ProductBM!K:K,MATCH($P1024,F_ProductBM!$P:$P,0))))</f>
        <v/>
      </c>
      <c r="L1024" s="922" t="str">
        <f>IF($I990="","",IF(INDEX(F_ProductBM!L:L,MATCH($P1024,F_ProductBM!$P:$P,0))="","",INDEX(F_ProductBM!L:L,MATCH($P1024,F_ProductBM!$P:$P,0))))</f>
        <v/>
      </c>
      <c r="M1024" s="922" t="str">
        <f>IF($I990="","",IF(INDEX(F_ProductBM!M:M,MATCH($P1024,F_ProductBM!$P:$P,0))="","",INDEX(F_ProductBM!M:M,MATCH($P1024,F_ProductBM!$P:$P,0))))</f>
        <v/>
      </c>
      <c r="N1024" s="823"/>
      <c r="O1024" s="25"/>
      <c r="P1024" s="367" t="str">
        <f>EUconst_CNTR_HeatExport &amp; I990</f>
        <v>HeatEx_</v>
      </c>
      <c r="Q1024" s="437"/>
      <c r="R1024" s="437"/>
      <c r="S1024" s="437"/>
      <c r="T1024" s="26"/>
    </row>
    <row r="1025" spans="1:20" s="697" customFormat="1" ht="12.75" customHeight="1" x14ac:dyDescent="0.2">
      <c r="A1025" s="437"/>
      <c r="B1025" s="414"/>
      <c r="C1025" s="414"/>
      <c r="D1025" s="414"/>
      <c r="E1025" s="1737" t="str">
        <f>Translations!$B$771</f>
        <v>Īpatnējais EF (eksportētais siltums)</v>
      </c>
      <c r="F1025" s="1659"/>
      <c r="G1025" s="1659"/>
      <c r="H1025" s="485" t="str">
        <f>EUconst_tCO2pTJ</f>
        <v>t CO2 / TJ</v>
      </c>
      <c r="I1025" s="923" t="str">
        <f>IF($I990="","",IF(INDEX(F_ProductBM!I:I,MATCH($P1025,F_ProductBM!$P:$P,0))="","",INDEX(F_ProductBM!I:I,MATCH($P1025,F_ProductBM!$P:$P,0))))</f>
        <v/>
      </c>
      <c r="J1025" s="923" t="str">
        <f>IF($I990="","",IF(INDEX(F_ProductBM!J:J,MATCH($P1025,F_ProductBM!$P:$P,0))="","",INDEX(F_ProductBM!J:J,MATCH($P1025,F_ProductBM!$P:$P,0))))</f>
        <v/>
      </c>
      <c r="K1025" s="923" t="str">
        <f>IF($I990="","",IF(INDEX(F_ProductBM!K:K,MATCH($P1025,F_ProductBM!$P:$P,0))="","",INDEX(F_ProductBM!K:K,MATCH($P1025,F_ProductBM!$P:$P,0))))</f>
        <v/>
      </c>
      <c r="L1025" s="923" t="str">
        <f>IF($I990="","",IF(INDEX(F_ProductBM!L:L,MATCH($P1025,F_ProductBM!$P:$P,0))="","",INDEX(F_ProductBM!L:L,MATCH($P1025,F_ProductBM!$P:$P,0))))</f>
        <v/>
      </c>
      <c r="M1025" s="923" t="str">
        <f>IF($I990="","",IF(INDEX(F_ProductBM!M:M,MATCH($P1025,F_ProductBM!$P:$P,0))="","",INDEX(F_ProductBM!M:M,MATCH($P1025,F_ProductBM!$P:$P,0))))</f>
        <v/>
      </c>
      <c r="N1025" s="823"/>
      <c r="O1025" s="25"/>
      <c r="P1025" s="367" t="str">
        <f>EUconst_CNTR_HeatExportEF &amp; I990</f>
        <v>HeatExEF_</v>
      </c>
      <c r="Q1025" s="437"/>
      <c r="R1025" s="437"/>
      <c r="S1025" s="437"/>
      <c r="T1025" s="26"/>
    </row>
    <row r="1026" spans="1:20" s="697" customFormat="1" ht="5.0999999999999996" customHeight="1" x14ac:dyDescent="0.2">
      <c r="A1026" s="437"/>
      <c r="B1026" s="414"/>
      <c r="C1026" s="414"/>
      <c r="D1026" s="414"/>
      <c r="E1026" s="526"/>
      <c r="F1026" s="526"/>
      <c r="G1026" s="526"/>
      <c r="H1026" s="526"/>
      <c r="I1026" s="924"/>
      <c r="J1026" s="924"/>
      <c r="K1026" s="924"/>
      <c r="L1026" s="924"/>
      <c r="M1026" s="924"/>
      <c r="N1026" s="823"/>
      <c r="O1026" s="25"/>
      <c r="P1026" s="199"/>
      <c r="Q1026" s="437"/>
      <c r="R1026" s="437"/>
      <c r="S1026" s="437"/>
      <c r="T1026" s="26"/>
    </row>
    <row r="1027" spans="1:20" s="697" customFormat="1" ht="12.75" customHeight="1" x14ac:dyDescent="0.2">
      <c r="A1027" s="437"/>
      <c r="B1027" s="414"/>
      <c r="C1027" s="414"/>
      <c r="D1027" s="414"/>
      <c r="E1027" s="1667" t="str">
        <f>Translations!$B$778</f>
        <v>Radusies atlikumgāze</v>
      </c>
      <c r="F1027" s="1660"/>
      <c r="G1027" s="1660"/>
      <c r="H1027" s="466" t="str">
        <f>EUconst_TJpa</f>
        <v>TJ / gads</v>
      </c>
      <c r="I1027" s="922" t="str">
        <f>IF($I990="","",IF(INDEX(F_ProductBM!I:I,MATCH($P1027,F_ProductBM!$P:$P,0))="","",INDEX(F_ProductBM!I:I,MATCH($P1027,F_ProductBM!$P:$P,0))))</f>
        <v/>
      </c>
      <c r="J1027" s="922" t="str">
        <f>IF($I990="","",IF(INDEX(F_ProductBM!J:J,MATCH($P1027,F_ProductBM!$P:$P,0))="","",INDEX(F_ProductBM!J:J,MATCH($P1027,F_ProductBM!$P:$P,0))))</f>
        <v/>
      </c>
      <c r="K1027" s="922" t="str">
        <f>IF($I990="","",IF(INDEX(F_ProductBM!K:K,MATCH($P1027,F_ProductBM!$P:$P,0))="","",INDEX(F_ProductBM!K:K,MATCH($P1027,F_ProductBM!$P:$P,0))))</f>
        <v/>
      </c>
      <c r="L1027" s="922" t="str">
        <f>IF($I990="","",IF(INDEX(F_ProductBM!L:L,MATCH($P1027,F_ProductBM!$P:$P,0))="","",INDEX(F_ProductBM!L:L,MATCH($P1027,F_ProductBM!$P:$P,0))))</f>
        <v/>
      </c>
      <c r="M1027" s="922" t="str">
        <f>IF($I990="","",IF(INDEX(F_ProductBM!M:M,MATCH($P1027,F_ProductBM!$P:$P,0))="","",INDEX(F_ProductBM!M:M,MATCH($P1027,F_ProductBM!$P:$P,0))))</f>
        <v/>
      </c>
      <c r="N1027" s="823"/>
      <c r="O1027" s="25"/>
      <c r="P1027" s="822" t="str">
        <f>EUconst_CNTR_WGProduced &amp; I990</f>
        <v>WasteGasProd_</v>
      </c>
      <c r="Q1027" s="437"/>
      <c r="R1027" s="437"/>
      <c r="S1027" s="437"/>
      <c r="T1027" s="26"/>
    </row>
    <row r="1028" spans="1:20" s="697" customFormat="1" ht="12.75" customHeight="1" x14ac:dyDescent="0.2">
      <c r="A1028" s="437"/>
      <c r="B1028" s="414"/>
      <c r="C1028" s="414"/>
      <c r="D1028" s="414"/>
      <c r="E1028" s="1737" t="str">
        <f>Translations!$B$779</f>
        <v>Īpatnējais EF (radusies atlikumgāze)</v>
      </c>
      <c r="F1028" s="1659"/>
      <c r="G1028" s="1659"/>
      <c r="H1028" s="485" t="str">
        <f>EUconst_tCO2pTJ</f>
        <v>t CO2 / TJ</v>
      </c>
      <c r="I1028" s="923" t="str">
        <f>IF($I990="","",IF(INDEX(F_ProductBM!I:I,MATCH($P1028,F_ProductBM!$P:$P,0))="","",INDEX(F_ProductBM!I:I,MATCH($P1028,F_ProductBM!$P:$P,0))))</f>
        <v/>
      </c>
      <c r="J1028" s="923" t="str">
        <f>IF($I990="","",IF(INDEX(F_ProductBM!J:J,MATCH($P1028,F_ProductBM!$P:$P,0))="","",INDEX(F_ProductBM!J:J,MATCH($P1028,F_ProductBM!$P:$P,0))))</f>
        <v/>
      </c>
      <c r="K1028" s="923" t="str">
        <f>IF($I990="","",IF(INDEX(F_ProductBM!K:K,MATCH($P1028,F_ProductBM!$P:$P,0))="","",INDEX(F_ProductBM!K:K,MATCH($P1028,F_ProductBM!$P:$P,0))))</f>
        <v/>
      </c>
      <c r="L1028" s="923" t="str">
        <f>IF($I990="","",IF(INDEX(F_ProductBM!L:L,MATCH($P1028,F_ProductBM!$P:$P,0))="","",INDEX(F_ProductBM!L:L,MATCH($P1028,F_ProductBM!$P:$P,0))))</f>
        <v/>
      </c>
      <c r="M1028" s="923" t="str">
        <f>IF($I990="","",IF(INDEX(F_ProductBM!M:M,MATCH($P1028,F_ProductBM!$P:$P,0))="","",INDEX(F_ProductBM!M:M,MATCH($P1028,F_ProductBM!$P:$P,0))))</f>
        <v/>
      </c>
      <c r="N1028" s="823"/>
      <c r="O1028" s="25"/>
      <c r="P1028" s="367" t="str">
        <f>EUconst_CNTR_WGProducedEF &amp; I990</f>
        <v>WasteGasProdEF_</v>
      </c>
      <c r="Q1028" s="437"/>
      <c r="R1028" s="437"/>
      <c r="S1028" s="437"/>
      <c r="T1028" s="26"/>
    </row>
    <row r="1029" spans="1:20" s="697" customFormat="1" ht="12.75" customHeight="1" x14ac:dyDescent="0.2">
      <c r="A1029" s="437"/>
      <c r="B1029" s="414"/>
      <c r="C1029" s="414"/>
      <c r="D1029" s="414"/>
      <c r="E1029" s="1667" t="str">
        <f>Translations!$B$783</f>
        <v>Patērētā atlikumgāze</v>
      </c>
      <c r="F1029" s="1660"/>
      <c r="G1029" s="1660"/>
      <c r="H1029" s="466" t="str">
        <f>EUconst_TJpa</f>
        <v>TJ / gads</v>
      </c>
      <c r="I1029" s="922" t="str">
        <f>IF($I990="","",IF(INDEX(F_ProductBM!I:I,MATCH($P1029,F_ProductBM!$P:$P,0))="","",INDEX(F_ProductBM!I:I,MATCH($P1029,F_ProductBM!$P:$P,0))))</f>
        <v/>
      </c>
      <c r="J1029" s="922" t="str">
        <f>IF($I990="","",IF(INDEX(F_ProductBM!J:J,MATCH($P1029,F_ProductBM!$P:$P,0))="","",INDEX(F_ProductBM!J:J,MATCH($P1029,F_ProductBM!$P:$P,0))))</f>
        <v/>
      </c>
      <c r="K1029" s="922" t="str">
        <f>IF($I990="","",IF(INDEX(F_ProductBM!K:K,MATCH($P1029,F_ProductBM!$P:$P,0))="","",INDEX(F_ProductBM!K:K,MATCH($P1029,F_ProductBM!$P:$P,0))))</f>
        <v/>
      </c>
      <c r="L1029" s="922" t="str">
        <f>IF($I990="","",IF(INDEX(F_ProductBM!L:L,MATCH($P1029,F_ProductBM!$P:$P,0))="","",INDEX(F_ProductBM!L:L,MATCH($P1029,F_ProductBM!$P:$P,0))))</f>
        <v/>
      </c>
      <c r="M1029" s="922" t="str">
        <f>IF($I990="","",IF(INDEX(F_ProductBM!M:M,MATCH($P1029,F_ProductBM!$P:$P,0))="","",INDEX(F_ProductBM!M:M,MATCH($P1029,F_ProductBM!$P:$P,0))))</f>
        <v/>
      </c>
      <c r="N1029" s="823"/>
      <c r="O1029" s="25"/>
      <c r="P1029" s="367" t="str">
        <f>EUconst_CNTR_WGConsumed &amp; I990</f>
        <v>WasteGasCons_</v>
      </c>
      <c r="Q1029" s="437"/>
      <c r="R1029" s="437"/>
      <c r="S1029" s="437"/>
      <c r="T1029" s="26"/>
    </row>
    <row r="1030" spans="1:20" s="697" customFormat="1" ht="12.75" customHeight="1" x14ac:dyDescent="0.2">
      <c r="A1030" s="437"/>
      <c r="B1030" s="414"/>
      <c r="C1030" s="414"/>
      <c r="D1030" s="414"/>
      <c r="E1030" s="1737" t="str">
        <f>Translations!$B$784</f>
        <v>Īpatnējais EF (patērētā atlikumgāze)</v>
      </c>
      <c r="F1030" s="1659"/>
      <c r="G1030" s="1659"/>
      <c r="H1030" s="485" t="str">
        <f>EUconst_tCO2pTJ</f>
        <v>t CO2 / TJ</v>
      </c>
      <c r="I1030" s="923" t="str">
        <f>IF($I990="","",IF(INDEX(F_ProductBM!I:I,MATCH($P1030,F_ProductBM!$P:$P,0))="","",INDEX(F_ProductBM!I:I,MATCH($P1030,F_ProductBM!$P:$P,0))))</f>
        <v/>
      </c>
      <c r="J1030" s="923" t="str">
        <f>IF($I990="","",IF(INDEX(F_ProductBM!J:J,MATCH($P1030,F_ProductBM!$P:$P,0))="","",INDEX(F_ProductBM!J:J,MATCH($P1030,F_ProductBM!$P:$P,0))))</f>
        <v/>
      </c>
      <c r="K1030" s="923" t="str">
        <f>IF($I990="","",IF(INDEX(F_ProductBM!K:K,MATCH($P1030,F_ProductBM!$P:$P,0))="","",INDEX(F_ProductBM!K:K,MATCH($P1030,F_ProductBM!$P:$P,0))))</f>
        <v/>
      </c>
      <c r="L1030" s="923" t="str">
        <f>IF($I990="","",IF(INDEX(F_ProductBM!L:L,MATCH($P1030,F_ProductBM!$P:$P,0))="","",INDEX(F_ProductBM!L:L,MATCH($P1030,F_ProductBM!$P:$P,0))))</f>
        <v/>
      </c>
      <c r="M1030" s="923" t="str">
        <f>IF($I990="","",IF(INDEX(F_ProductBM!M:M,MATCH($P1030,F_ProductBM!$P:$P,0))="","",INDEX(F_ProductBM!M:M,MATCH($P1030,F_ProductBM!$P:$P,0))))</f>
        <v/>
      </c>
      <c r="N1030" s="823"/>
      <c r="O1030" s="25"/>
      <c r="P1030" s="367" t="str">
        <f>EUconst_CNTR_WGConsumedEF &amp; I990</f>
        <v>WasteGasConsEF_</v>
      </c>
      <c r="Q1030" s="437"/>
      <c r="R1030" s="437"/>
      <c r="S1030" s="437"/>
      <c r="T1030" s="26"/>
    </row>
    <row r="1031" spans="1:20" s="697" customFormat="1" ht="12.75" customHeight="1" x14ac:dyDescent="0.2">
      <c r="A1031" s="437"/>
      <c r="B1031" s="414"/>
      <c r="C1031" s="414"/>
      <c r="D1031" s="414"/>
      <c r="E1031" s="1667" t="str">
        <f>Translations!$B$790</f>
        <v>Lāpā sadedzinātā atlikumgāze</v>
      </c>
      <c r="F1031" s="1660"/>
      <c r="G1031" s="1660"/>
      <c r="H1031" s="466" t="str">
        <f>EUconst_TJpa</f>
        <v>TJ / gads</v>
      </c>
      <c r="I1031" s="922" t="str">
        <f>IF($I990="","",IF(INDEX(F_ProductBM!I:I,MATCH($P1031,F_ProductBM!$P:$P,0))="","",INDEX(F_ProductBM!I:I,MATCH($P1031,F_ProductBM!$P:$P,0))))</f>
        <v/>
      </c>
      <c r="J1031" s="922" t="str">
        <f>IF($I990="","",IF(INDEX(F_ProductBM!J:J,MATCH($P1031,F_ProductBM!$P:$P,0))="","",INDEX(F_ProductBM!J:J,MATCH($P1031,F_ProductBM!$P:$P,0))))</f>
        <v/>
      </c>
      <c r="K1031" s="922" t="str">
        <f>IF($I990="","",IF(INDEX(F_ProductBM!K:K,MATCH($P1031,F_ProductBM!$P:$P,0))="","",INDEX(F_ProductBM!K:K,MATCH($P1031,F_ProductBM!$P:$P,0))))</f>
        <v/>
      </c>
      <c r="L1031" s="922" t="str">
        <f>IF($I990="","",IF(INDEX(F_ProductBM!L:L,MATCH($P1031,F_ProductBM!$P:$P,0))="","",INDEX(F_ProductBM!L:L,MATCH($P1031,F_ProductBM!$P:$P,0))))</f>
        <v/>
      </c>
      <c r="M1031" s="922" t="str">
        <f>IF($I990="","",IF(INDEX(F_ProductBM!M:M,MATCH($P1031,F_ProductBM!$P:$P,0))="","",INDEX(F_ProductBM!M:M,MATCH($P1031,F_ProductBM!$P:$P,0))))</f>
        <v/>
      </c>
      <c r="N1031" s="823"/>
      <c r="O1031" s="25"/>
      <c r="P1031" s="367" t="str">
        <f>EUconst_CNTR_WGFlared &amp; I990</f>
        <v>WasteGasFlare_</v>
      </c>
      <c r="Q1031" s="437"/>
      <c r="R1031" s="437"/>
      <c r="S1031" s="437"/>
      <c r="T1031" s="26"/>
    </row>
    <row r="1032" spans="1:20" s="697" customFormat="1" ht="12.75" customHeight="1" x14ac:dyDescent="0.2">
      <c r="A1032" s="437"/>
      <c r="B1032" s="414"/>
      <c r="C1032" s="414"/>
      <c r="D1032" s="414"/>
      <c r="E1032" s="1737" t="str">
        <f>Translations!$B$791</f>
        <v>Īpatnējais EF (lāpā sadedzinātā atlikumgāze)</v>
      </c>
      <c r="F1032" s="1659"/>
      <c r="G1032" s="1659"/>
      <c r="H1032" s="485" t="str">
        <f>EUconst_tCO2pTJ</f>
        <v>t CO2 / TJ</v>
      </c>
      <c r="I1032" s="923" t="str">
        <f>IF($I990="","",IF(INDEX(F_ProductBM!I:I,MATCH($P1032,F_ProductBM!$P:$P,0))="","",INDEX(F_ProductBM!I:I,MATCH($P1032,F_ProductBM!$P:$P,0))))</f>
        <v/>
      </c>
      <c r="J1032" s="923" t="str">
        <f>IF($I990="","",IF(INDEX(F_ProductBM!J:J,MATCH($P1032,F_ProductBM!$P:$P,0))="","",INDEX(F_ProductBM!J:J,MATCH($P1032,F_ProductBM!$P:$P,0))))</f>
        <v/>
      </c>
      <c r="K1032" s="923" t="str">
        <f>IF($I990="","",IF(INDEX(F_ProductBM!K:K,MATCH($P1032,F_ProductBM!$P:$P,0))="","",INDEX(F_ProductBM!K:K,MATCH($P1032,F_ProductBM!$P:$P,0))))</f>
        <v/>
      </c>
      <c r="L1032" s="923" t="str">
        <f>IF($I990="","",IF(INDEX(F_ProductBM!L:L,MATCH($P1032,F_ProductBM!$P:$P,0))="","",INDEX(F_ProductBM!L:L,MATCH($P1032,F_ProductBM!$P:$P,0))))</f>
        <v/>
      </c>
      <c r="M1032" s="923" t="str">
        <f>IF($I990="","",IF(INDEX(F_ProductBM!M:M,MATCH($P1032,F_ProductBM!$P:$P,0))="","",INDEX(F_ProductBM!M:M,MATCH($P1032,F_ProductBM!$P:$P,0))))</f>
        <v/>
      </c>
      <c r="N1032" s="823"/>
      <c r="O1032" s="25"/>
      <c r="P1032" s="367" t="str">
        <f>EUconst_CNTR_WGFlaredEF &amp; I990</f>
        <v>WasteGasFlareEF_</v>
      </c>
      <c r="Q1032" s="437"/>
      <c r="R1032" s="437"/>
      <c r="S1032" s="437"/>
      <c r="T1032" s="26"/>
    </row>
    <row r="1033" spans="1:20" s="697" customFormat="1" ht="12.75" customHeight="1" x14ac:dyDescent="0.2">
      <c r="A1033" s="437"/>
      <c r="B1033" s="414"/>
      <c r="C1033" s="414"/>
      <c r="D1033" s="414"/>
      <c r="E1033" s="1667" t="str">
        <f>Translations!$B$796</f>
        <v>Importētā atlikumgāze</v>
      </c>
      <c r="F1033" s="1660"/>
      <c r="G1033" s="1660"/>
      <c r="H1033" s="466" t="str">
        <f>EUconst_TJpa</f>
        <v>TJ / gads</v>
      </c>
      <c r="I1033" s="922" t="str">
        <f>IF($I990="","",IF(INDEX(F_ProductBM!I:I,MATCH($P1033,F_ProductBM!$P:$P,0))="","",INDEX(F_ProductBM!I:I,MATCH($P1033,F_ProductBM!$P:$P,0))))</f>
        <v/>
      </c>
      <c r="J1033" s="922" t="str">
        <f>IF($I990="","",IF(INDEX(F_ProductBM!J:J,MATCH($P1033,F_ProductBM!$P:$P,0))="","",INDEX(F_ProductBM!J:J,MATCH($P1033,F_ProductBM!$P:$P,0))))</f>
        <v/>
      </c>
      <c r="K1033" s="922" t="str">
        <f>IF($I990="","",IF(INDEX(F_ProductBM!K:K,MATCH($P1033,F_ProductBM!$P:$P,0))="","",INDEX(F_ProductBM!K:K,MATCH($P1033,F_ProductBM!$P:$P,0))))</f>
        <v/>
      </c>
      <c r="L1033" s="922" t="str">
        <f>IF($I990="","",IF(INDEX(F_ProductBM!L:L,MATCH($P1033,F_ProductBM!$P:$P,0))="","",INDEX(F_ProductBM!L:L,MATCH($P1033,F_ProductBM!$P:$P,0))))</f>
        <v/>
      </c>
      <c r="M1033" s="922" t="str">
        <f>IF($I990="","",IF(INDEX(F_ProductBM!M:M,MATCH($P1033,F_ProductBM!$P:$P,0))="","",INDEX(F_ProductBM!M:M,MATCH($P1033,F_ProductBM!$P:$P,0))))</f>
        <v/>
      </c>
      <c r="N1033" s="823"/>
      <c r="O1033" s="25"/>
      <c r="P1033" s="367" t="str">
        <f>EUconst_CNTR_WGImport &amp; I990</f>
        <v>WasteGasIm_</v>
      </c>
      <c r="Q1033" s="437"/>
      <c r="R1033" s="437"/>
      <c r="S1033" s="437"/>
      <c r="T1033" s="26"/>
    </row>
    <row r="1034" spans="1:20" s="697" customFormat="1" ht="12.75" customHeight="1" x14ac:dyDescent="0.2">
      <c r="A1034" s="437"/>
      <c r="B1034" s="414"/>
      <c r="C1034" s="414"/>
      <c r="D1034" s="414"/>
      <c r="E1034" s="1737" t="str">
        <f>Translations!$B$797</f>
        <v>Īpatnējais EF (importētā atlikumgāze)</v>
      </c>
      <c r="F1034" s="1737"/>
      <c r="G1034" s="1737"/>
      <c r="H1034" s="824" t="str">
        <f>EUconst_tCO2pTJ</f>
        <v>t CO2 / TJ</v>
      </c>
      <c r="I1034" s="923" t="str">
        <f>IF($I990="","",IF(INDEX(F_ProductBM!I:I,MATCH($P1034,F_ProductBM!$P:$P,0))="","",INDEX(F_ProductBM!I:I,MATCH($P1034,F_ProductBM!$P:$P,0))))</f>
        <v/>
      </c>
      <c r="J1034" s="923" t="str">
        <f>IF($I990="","",IF(INDEX(F_ProductBM!J:J,MATCH($P1034,F_ProductBM!$P:$P,0))="","",INDEX(F_ProductBM!J:J,MATCH($P1034,F_ProductBM!$P:$P,0))))</f>
        <v/>
      </c>
      <c r="K1034" s="923" t="str">
        <f>IF($I990="","",IF(INDEX(F_ProductBM!K:K,MATCH($P1034,F_ProductBM!$P:$P,0))="","",INDEX(F_ProductBM!K:K,MATCH($P1034,F_ProductBM!$P:$P,0))))</f>
        <v/>
      </c>
      <c r="L1034" s="923" t="str">
        <f>IF($I990="","",IF(INDEX(F_ProductBM!L:L,MATCH($P1034,F_ProductBM!$P:$P,0))="","",INDEX(F_ProductBM!L:L,MATCH($P1034,F_ProductBM!$P:$P,0))))</f>
        <v/>
      </c>
      <c r="M1034" s="923" t="str">
        <f>IF($I990="","",IF(INDEX(F_ProductBM!M:M,MATCH($P1034,F_ProductBM!$P:$P,0))="","",INDEX(F_ProductBM!M:M,MATCH($P1034,F_ProductBM!$P:$P,0))))</f>
        <v/>
      </c>
      <c r="N1034" s="823"/>
      <c r="O1034" s="25"/>
      <c r="P1034" s="367" t="str">
        <f>EUconst_CNTR_WGImportEF &amp; I990</f>
        <v>WasteGasImEF_</v>
      </c>
      <c r="Q1034" s="437"/>
      <c r="R1034" s="437"/>
      <c r="S1034" s="437"/>
      <c r="T1034" s="26"/>
    </row>
    <row r="1035" spans="1:20" s="697" customFormat="1" ht="12.75" customHeight="1" x14ac:dyDescent="0.2">
      <c r="A1035" s="437"/>
      <c r="B1035" s="414"/>
      <c r="C1035" s="414"/>
      <c r="D1035" s="414"/>
      <c r="E1035" s="1667" t="str">
        <f>Translations!$B$801</f>
        <v>Eksportētā atlikumgāze</v>
      </c>
      <c r="F1035" s="1660"/>
      <c r="G1035" s="1660"/>
      <c r="H1035" s="466" t="str">
        <f>EUconst_TJpa</f>
        <v>TJ / gads</v>
      </c>
      <c r="I1035" s="922" t="str">
        <f>IF($I990="","",IF(INDEX(F_ProductBM!I:I,MATCH($P1035,F_ProductBM!$P:$P,0))="","",INDEX(F_ProductBM!I:I,MATCH($P1035,F_ProductBM!$P:$P,0))))</f>
        <v/>
      </c>
      <c r="J1035" s="922" t="str">
        <f>IF($I990="","",IF(INDEX(F_ProductBM!J:J,MATCH($P1035,F_ProductBM!$P:$P,0))="","",INDEX(F_ProductBM!J:J,MATCH($P1035,F_ProductBM!$P:$P,0))))</f>
        <v/>
      </c>
      <c r="K1035" s="922" t="str">
        <f>IF($I990="","",IF(INDEX(F_ProductBM!K:K,MATCH($P1035,F_ProductBM!$P:$P,0))="","",INDEX(F_ProductBM!K:K,MATCH($P1035,F_ProductBM!$P:$P,0))))</f>
        <v/>
      </c>
      <c r="L1035" s="922" t="str">
        <f>IF($I990="","",IF(INDEX(F_ProductBM!L:L,MATCH($P1035,F_ProductBM!$P:$P,0))="","",INDEX(F_ProductBM!L:L,MATCH($P1035,F_ProductBM!$P:$P,0))))</f>
        <v/>
      </c>
      <c r="M1035" s="922" t="str">
        <f>IF($I990="","",IF(INDEX(F_ProductBM!M:M,MATCH($P1035,F_ProductBM!$P:$P,0))="","",INDEX(F_ProductBM!M:M,MATCH($P1035,F_ProductBM!$P:$P,0))))</f>
        <v/>
      </c>
      <c r="N1035" s="823"/>
      <c r="O1035" s="25"/>
      <c r="P1035" s="367" t="str">
        <f>EUconst_CNTR_WGExport &amp; I990</f>
        <v>WasteGasEx_</v>
      </c>
      <c r="Q1035" s="437"/>
      <c r="R1035" s="437"/>
      <c r="S1035" s="437"/>
      <c r="T1035" s="26"/>
    </row>
    <row r="1036" spans="1:20" s="697" customFormat="1" ht="12.75" customHeight="1" x14ac:dyDescent="0.2">
      <c r="A1036" s="437"/>
      <c r="B1036" s="414"/>
      <c r="C1036" s="414"/>
      <c r="D1036" s="414"/>
      <c r="E1036" s="1737" t="str">
        <f>Translations!$B$802</f>
        <v>Īpatnējais EF (eksportētā atlikumgāze)</v>
      </c>
      <c r="F1036" s="1737"/>
      <c r="G1036" s="1737"/>
      <c r="H1036" s="824" t="str">
        <f>EUconst_tCO2pTJ</f>
        <v>t CO2 / TJ</v>
      </c>
      <c r="I1036" s="923" t="str">
        <f>IF($I990="","",IF(INDEX(F_ProductBM!I:I,MATCH($P1036,F_ProductBM!$P:$P,0))="","",INDEX(F_ProductBM!I:I,MATCH($P1036,F_ProductBM!$P:$P,0))))</f>
        <v/>
      </c>
      <c r="J1036" s="923" t="str">
        <f>IF($I990="","",IF(INDEX(F_ProductBM!J:J,MATCH($P1036,F_ProductBM!$P:$P,0))="","",INDEX(F_ProductBM!J:J,MATCH($P1036,F_ProductBM!$P:$P,0))))</f>
        <v/>
      </c>
      <c r="K1036" s="923" t="str">
        <f>IF($I990="","",IF(INDEX(F_ProductBM!K:K,MATCH($P1036,F_ProductBM!$P:$P,0))="","",INDEX(F_ProductBM!K:K,MATCH($P1036,F_ProductBM!$P:$P,0))))</f>
        <v/>
      </c>
      <c r="L1036" s="923" t="str">
        <f>IF($I990="","",IF(INDEX(F_ProductBM!L:L,MATCH($P1036,F_ProductBM!$P:$P,0))="","",INDEX(F_ProductBM!L:L,MATCH($P1036,F_ProductBM!$P:$P,0))))</f>
        <v/>
      </c>
      <c r="M1036" s="923" t="str">
        <f>IF($I990="","",IF(INDEX(F_ProductBM!M:M,MATCH($P1036,F_ProductBM!$P:$P,0))="","",INDEX(F_ProductBM!M:M,MATCH($P1036,F_ProductBM!$P:$P,0))))</f>
        <v/>
      </c>
      <c r="N1036" s="823"/>
      <c r="O1036" s="25"/>
      <c r="P1036" s="367" t="str">
        <f>EUconst_CNTR_WGExportEF &amp; I990</f>
        <v>WasteGasExEF_</v>
      </c>
      <c r="Q1036" s="437"/>
      <c r="R1036" s="437"/>
      <c r="S1036" s="437"/>
      <c r="T1036" s="26"/>
    </row>
    <row r="1037" spans="1:20" s="697" customFormat="1" ht="5.0999999999999996" customHeight="1" x14ac:dyDescent="0.2">
      <c r="A1037" s="437"/>
      <c r="B1037" s="414"/>
      <c r="C1037" s="414"/>
      <c r="D1037" s="414"/>
      <c r="E1037" s="526"/>
      <c r="F1037" s="526"/>
      <c r="G1037" s="526"/>
      <c r="H1037" s="526"/>
      <c r="I1037" s="924"/>
      <c r="J1037" s="924"/>
      <c r="K1037" s="924"/>
      <c r="L1037" s="924"/>
      <c r="M1037" s="924"/>
      <c r="N1037" s="823"/>
      <c r="O1037" s="25"/>
      <c r="P1037" s="199"/>
      <c r="Q1037" s="437"/>
      <c r="R1037" s="437"/>
      <c r="S1037" s="437"/>
      <c r="T1037" s="26"/>
    </row>
    <row r="1038" spans="1:20" s="697" customFormat="1" ht="12.75" customHeight="1" x14ac:dyDescent="0.2">
      <c r="A1038" s="437"/>
      <c r="B1038" s="414"/>
      <c r="C1038" s="414"/>
      <c r="D1038" s="414"/>
      <c r="E1038" s="1651" t="str">
        <f>Translations!$B$805</f>
        <v>Saražotā elektroenerģija</v>
      </c>
      <c r="F1038" s="1652"/>
      <c r="G1038" s="1652"/>
      <c r="H1038" s="465" t="str">
        <f>EUconst_MWhpa</f>
        <v>MWh / gads</v>
      </c>
      <c r="I1038" s="925" t="str">
        <f>IF($I990="","",IF(INDEX(F_ProductBM!I:I,MATCH($P1038,F_ProductBM!$P:$P,0))="","",INDEX(F_ProductBM!I:I,MATCH($P1038,F_ProductBM!$P:$P,0))))</f>
        <v/>
      </c>
      <c r="J1038" s="925" t="str">
        <f>IF($I990="","",IF(INDEX(F_ProductBM!J:J,MATCH($P1038,F_ProductBM!$P:$P,0))="","",INDEX(F_ProductBM!J:J,MATCH($P1038,F_ProductBM!$P:$P,0))))</f>
        <v/>
      </c>
      <c r="K1038" s="925" t="str">
        <f>IF($I990="","",IF(INDEX(F_ProductBM!K:K,MATCH($P1038,F_ProductBM!$P:$P,0))="","",INDEX(F_ProductBM!K:K,MATCH($P1038,F_ProductBM!$P:$P,0))))</f>
        <v/>
      </c>
      <c r="L1038" s="925" t="str">
        <f>IF($I990="","",IF(INDEX(F_ProductBM!L:L,MATCH($P1038,F_ProductBM!$P:$P,0))="","",INDEX(F_ProductBM!L:L,MATCH($P1038,F_ProductBM!$P:$P,0))))</f>
        <v/>
      </c>
      <c r="M1038" s="925" t="str">
        <f>IF($I990="","",IF(INDEX(F_ProductBM!M:M,MATCH($P1038,F_ProductBM!$P:$P,0))="","",INDEX(F_ProductBM!M:M,MATCH($P1038,F_ProductBM!$P:$P,0))))</f>
        <v/>
      </c>
      <c r="N1038" s="823"/>
      <c r="O1038" s="25"/>
      <c r="P1038" s="367" t="str">
        <f>EUconst_CNTR_ElectricityExported &amp; I990</f>
        <v>ElecEx_</v>
      </c>
      <c r="Q1038" s="437"/>
      <c r="R1038" s="437"/>
      <c r="S1038" s="437"/>
      <c r="T1038" s="26"/>
    </row>
    <row r="1039" spans="1:20" s="697" customFormat="1" ht="5.0999999999999996" customHeight="1" x14ac:dyDescent="0.2">
      <c r="A1039" s="437"/>
      <c r="B1039" s="414"/>
      <c r="C1039" s="414"/>
      <c r="D1039" s="414"/>
      <c r="E1039" s="526"/>
      <c r="F1039" s="526"/>
      <c r="G1039" s="526"/>
      <c r="H1039" s="526"/>
      <c r="I1039" s="924"/>
      <c r="J1039" s="924"/>
      <c r="K1039" s="924"/>
      <c r="L1039" s="924"/>
      <c r="M1039" s="924"/>
      <c r="N1039" s="823"/>
      <c r="O1039" s="25"/>
      <c r="P1039" s="199"/>
      <c r="Q1039" s="437"/>
      <c r="R1039" s="437"/>
      <c r="S1039" s="437"/>
      <c r="T1039" s="26"/>
    </row>
    <row r="1040" spans="1:20" s="697" customFormat="1" x14ac:dyDescent="0.2">
      <c r="A1040" s="437"/>
      <c r="B1040" s="414"/>
      <c r="C1040" s="414"/>
      <c r="D1040" s="414"/>
      <c r="E1040" s="1206" t="str">
        <f>Translations!$B$1239</f>
        <v>Starpproduktu imports:</v>
      </c>
      <c r="F1040" s="526"/>
      <c r="G1040" s="526"/>
      <c r="H1040" s="526"/>
      <c r="I1040" s="924"/>
      <c r="J1040" s="924"/>
      <c r="K1040" s="924"/>
      <c r="L1040" s="924"/>
      <c r="M1040" s="924"/>
      <c r="N1040" s="823"/>
      <c r="O1040" s="25"/>
      <c r="P1040" s="199"/>
      <c r="Q1040" s="437"/>
      <c r="R1040" s="437"/>
      <c r="S1040" s="437"/>
      <c r="T1040" s="26"/>
    </row>
    <row r="1041" spans="1:20" s="697" customFormat="1" x14ac:dyDescent="0.2">
      <c r="A1041" s="437"/>
      <c r="B1041" s="414"/>
      <c r="C1041" s="414"/>
      <c r="D1041" s="414"/>
      <c r="E1041" s="1689" t="str">
        <f>IF($I990="","",IF(INDEX(F_ProductBM!E:E,MATCH($P1041,F_ProductBM!$P:$P,0))="","",INDEX(F_ProductBM!E:E,MATCH($P1041,F_ProductBM!$P:$P,0))))</f>
        <v/>
      </c>
      <c r="F1041" s="1689"/>
      <c r="G1041" s="1689"/>
      <c r="H1041" s="465" t="str">
        <f>EUconst_Tons</f>
        <v>tonnas</v>
      </c>
      <c r="I1041" s="1103" t="str">
        <f>IF($I990="","",IF(INDEX(F_ProductBM!I:I,MATCH($P1041,F_ProductBM!$P:$P,0))="","",INDEX(F_ProductBM!I:I,MATCH($P1041,F_ProductBM!$P:$P,0))))</f>
        <v/>
      </c>
      <c r="J1041" s="1103" t="str">
        <f>IF($I990="","",IF(INDEX(F_ProductBM!J:J,MATCH($P1041,F_ProductBM!$P:$P,0))="","",INDEX(F_ProductBM!J:J,MATCH($P1041,F_ProductBM!$P:$P,0))))</f>
        <v/>
      </c>
      <c r="K1041" s="1103" t="str">
        <f>IF($I990="","",IF(INDEX(F_ProductBM!K:K,MATCH($P1041,F_ProductBM!$P:$P,0))="","",INDEX(F_ProductBM!K:K,MATCH($P1041,F_ProductBM!$P:$P,0))))</f>
        <v/>
      </c>
      <c r="L1041" s="1103" t="str">
        <f>IF($I990="","",IF(INDEX(F_ProductBM!L:L,MATCH($P1041,F_ProductBM!$P:$P,0))="","",INDEX(F_ProductBM!L:L,MATCH($P1041,F_ProductBM!$P:$P,0))))</f>
        <v/>
      </c>
      <c r="M1041" s="1103" t="str">
        <f>IF($I990="","",IF(INDEX(F_ProductBM!M:M,MATCH($P1041,F_ProductBM!$P:$P,0))="","",INDEX(F_ProductBM!M:M,MATCH($P1041,F_ProductBM!$P:$P,0))))</f>
        <v/>
      </c>
      <c r="N1041" s="823"/>
      <c r="O1041" s="25"/>
      <c r="P1041" s="367" t="str">
        <f>EUconst_CNTR_IntermediateImport &amp; R1041 &amp; "_" &amp; I990</f>
        <v>IntImp_1_</v>
      </c>
      <c r="Q1041" s="437"/>
      <c r="R1041" s="869">
        <v>1</v>
      </c>
      <c r="S1041" s="437"/>
      <c r="T1041" s="26"/>
    </row>
    <row r="1042" spans="1:20" s="697" customFormat="1" x14ac:dyDescent="0.2">
      <c r="A1042" s="437"/>
      <c r="B1042" s="414"/>
      <c r="C1042" s="414"/>
      <c r="D1042" s="414"/>
      <c r="E1042" s="1689" t="str">
        <f>IF($I990="","",IF(INDEX(F_ProductBM!E:E,MATCH($P1042,F_ProductBM!$P:$P,0))="","",INDEX(F_ProductBM!E:E,MATCH($P1042,F_ProductBM!$P:$P,0))))</f>
        <v/>
      </c>
      <c r="F1042" s="1689"/>
      <c r="G1042" s="1689"/>
      <c r="H1042" s="465" t="str">
        <f>EUconst_Tons</f>
        <v>tonnas</v>
      </c>
      <c r="I1042" s="1103" t="str">
        <f>IF($I990="","",IF(INDEX(F_ProductBM!I:I,MATCH($P1042,F_ProductBM!$P:$P,0))="","",INDEX(F_ProductBM!I:I,MATCH($P1042,F_ProductBM!$P:$P,0))))</f>
        <v/>
      </c>
      <c r="J1042" s="1103" t="str">
        <f>IF($I990="","",IF(INDEX(F_ProductBM!J:J,MATCH($P1042,F_ProductBM!$P:$P,0))="","",INDEX(F_ProductBM!J:J,MATCH($P1042,F_ProductBM!$P:$P,0))))</f>
        <v/>
      </c>
      <c r="K1042" s="1103" t="str">
        <f>IF($I990="","",IF(INDEX(F_ProductBM!K:K,MATCH($P1042,F_ProductBM!$P:$P,0))="","",INDEX(F_ProductBM!K:K,MATCH($P1042,F_ProductBM!$P:$P,0))))</f>
        <v/>
      </c>
      <c r="L1042" s="1103" t="str">
        <f>IF($I990="","",IF(INDEX(F_ProductBM!L:L,MATCH($P1042,F_ProductBM!$P:$P,0))="","",INDEX(F_ProductBM!L:L,MATCH($P1042,F_ProductBM!$P:$P,0))))</f>
        <v/>
      </c>
      <c r="M1042" s="1103" t="str">
        <f>IF($I990="","",IF(INDEX(F_ProductBM!M:M,MATCH($P1042,F_ProductBM!$P:$P,0))="","",INDEX(F_ProductBM!M:M,MATCH($P1042,F_ProductBM!$P:$P,0))))</f>
        <v/>
      </c>
      <c r="N1042" s="823"/>
      <c r="O1042" s="25"/>
      <c r="P1042" s="367" t="str">
        <f>EUconst_CNTR_IntermediateImport &amp; R1042 &amp; "_" &amp; I990</f>
        <v>IntImp_2_</v>
      </c>
      <c r="Q1042" s="437"/>
      <c r="R1042" s="869">
        <v>2</v>
      </c>
      <c r="S1042" s="437"/>
      <c r="T1042" s="26"/>
    </row>
    <row r="1043" spans="1:20" s="697" customFormat="1" x14ac:dyDescent="0.2">
      <c r="A1043" s="437"/>
      <c r="B1043" s="414"/>
      <c r="C1043" s="414"/>
      <c r="D1043" s="414"/>
      <c r="E1043" s="1206" t="str">
        <f>Translations!$B$1240</f>
        <v>Starpproduktu eksports:</v>
      </c>
      <c r="F1043" s="526"/>
      <c r="G1043" s="526"/>
      <c r="H1043" s="526"/>
      <c r="I1043" s="1140"/>
      <c r="J1043" s="1140"/>
      <c r="K1043" s="1140"/>
      <c r="L1043" s="1140"/>
      <c r="M1043" s="1140"/>
      <c r="N1043" s="823"/>
      <c r="O1043" s="25"/>
      <c r="P1043" s="199"/>
      <c r="Q1043" s="437"/>
      <c r="R1043" s="437"/>
      <c r="S1043" s="437"/>
      <c r="T1043" s="26"/>
    </row>
    <row r="1044" spans="1:20" s="697" customFormat="1" x14ac:dyDescent="0.2">
      <c r="A1044" s="437"/>
      <c r="B1044" s="414"/>
      <c r="C1044" s="414"/>
      <c r="D1044" s="414"/>
      <c r="E1044" s="1689" t="str">
        <f>IF($I990="","",IF(INDEX(F_ProductBM!E:E,MATCH($P1044,F_ProductBM!$P:$P,0))="","",INDEX(F_ProductBM!E:E,MATCH($P1044,F_ProductBM!$P:$P,0))))</f>
        <v/>
      </c>
      <c r="F1044" s="1689"/>
      <c r="G1044" s="1689"/>
      <c r="H1044" s="465" t="str">
        <f>EUconst_Tons</f>
        <v>tonnas</v>
      </c>
      <c r="I1044" s="1103" t="str">
        <f>IF($I990="","",IF(INDEX(F_ProductBM!I:I,MATCH($P1044,F_ProductBM!$P:$P,0))="","",INDEX(F_ProductBM!I:I,MATCH($P1044,F_ProductBM!$P:$P,0))))</f>
        <v/>
      </c>
      <c r="J1044" s="1103" t="str">
        <f>IF($I990="","",IF(INDEX(F_ProductBM!J:J,MATCH($P1044,F_ProductBM!$P:$P,0))="","",INDEX(F_ProductBM!J:J,MATCH($P1044,F_ProductBM!$P:$P,0))))</f>
        <v/>
      </c>
      <c r="K1044" s="1103" t="str">
        <f>IF($I990="","",IF(INDEX(F_ProductBM!K:K,MATCH($P1044,F_ProductBM!$P:$P,0))="","",INDEX(F_ProductBM!K:K,MATCH($P1044,F_ProductBM!$P:$P,0))))</f>
        <v/>
      </c>
      <c r="L1044" s="1103" t="str">
        <f>IF($I990="","",IF(INDEX(F_ProductBM!L:L,MATCH($P1044,F_ProductBM!$P:$P,0))="","",INDEX(F_ProductBM!L:L,MATCH($P1044,F_ProductBM!$P:$P,0))))</f>
        <v/>
      </c>
      <c r="M1044" s="1103" t="str">
        <f>IF($I990="","",IF(INDEX(F_ProductBM!M:M,MATCH($P1044,F_ProductBM!$P:$P,0))="","",INDEX(F_ProductBM!M:M,MATCH($P1044,F_ProductBM!$P:$P,0))))</f>
        <v/>
      </c>
      <c r="N1044" s="823"/>
      <c r="O1044" s="25"/>
      <c r="P1044" s="367" t="str">
        <f>EUconst_CNTR_IntermediateExport &amp; R1041 &amp; "_" &amp; I990</f>
        <v>IntExp_1_</v>
      </c>
      <c r="Q1044" s="437"/>
      <c r="R1044" s="869">
        <v>1</v>
      </c>
      <c r="S1044" s="437"/>
      <c r="T1044" s="26"/>
    </row>
    <row r="1045" spans="1:20" s="697" customFormat="1" x14ac:dyDescent="0.2">
      <c r="A1045" s="437"/>
      <c r="B1045" s="414"/>
      <c r="C1045" s="414"/>
      <c r="D1045" s="414"/>
      <c r="E1045" s="1689" t="str">
        <f>IF($I990="","",IF(INDEX(F_ProductBM!E:E,MATCH($P1045,F_ProductBM!$P:$P,0))="","",INDEX(F_ProductBM!E:E,MATCH($P1045,F_ProductBM!$P:$P,0))))</f>
        <v/>
      </c>
      <c r="F1045" s="1689"/>
      <c r="G1045" s="1689"/>
      <c r="H1045" s="465" t="str">
        <f>EUconst_Tons</f>
        <v>tonnas</v>
      </c>
      <c r="I1045" s="1103" t="str">
        <f>IF($I990="","",IF(INDEX(F_ProductBM!I:I,MATCH($P1045,F_ProductBM!$P:$P,0))="","",INDEX(F_ProductBM!I:I,MATCH($P1045,F_ProductBM!$P:$P,0))))</f>
        <v/>
      </c>
      <c r="J1045" s="1103" t="str">
        <f>IF($I990="","",IF(INDEX(F_ProductBM!J:J,MATCH($P1045,F_ProductBM!$P:$P,0))="","",INDEX(F_ProductBM!J:J,MATCH($P1045,F_ProductBM!$P:$P,0))))</f>
        <v/>
      </c>
      <c r="K1045" s="1103" t="str">
        <f>IF($I990="","",IF(INDEX(F_ProductBM!K:K,MATCH($P1045,F_ProductBM!$P:$P,0))="","",INDEX(F_ProductBM!K:K,MATCH($P1045,F_ProductBM!$P:$P,0))))</f>
        <v/>
      </c>
      <c r="L1045" s="1103" t="str">
        <f>IF($I990="","",IF(INDEX(F_ProductBM!L:L,MATCH($P1045,F_ProductBM!$P:$P,0))="","",INDEX(F_ProductBM!L:L,MATCH($P1045,F_ProductBM!$P:$P,0))))</f>
        <v/>
      </c>
      <c r="M1045" s="1103" t="str">
        <f>IF($I990="","",IF(INDEX(F_ProductBM!M:M,MATCH($P1045,F_ProductBM!$P:$P,0))="","",INDEX(F_ProductBM!M:M,MATCH($P1045,F_ProductBM!$P:$P,0))))</f>
        <v/>
      </c>
      <c r="N1045" s="823"/>
      <c r="O1045" s="25"/>
      <c r="P1045" s="367" t="str">
        <f>EUconst_CNTR_IntermediateExport &amp; R1045 &amp; "_" &amp; I990</f>
        <v>IntExp_2_</v>
      </c>
      <c r="Q1045" s="437"/>
      <c r="R1045" s="869">
        <v>2</v>
      </c>
      <c r="S1045" s="437"/>
      <c r="T1045" s="26"/>
    </row>
    <row r="1046" spans="1:20" s="697" customFormat="1" ht="5.0999999999999996" customHeight="1" x14ac:dyDescent="0.2">
      <c r="A1046" s="437"/>
      <c r="B1046" s="414"/>
      <c r="C1046" s="414"/>
      <c r="D1046" s="414"/>
      <c r="E1046" s="526"/>
      <c r="F1046" s="526"/>
      <c r="G1046" s="526"/>
      <c r="H1046" s="526"/>
      <c r="I1046" s="823"/>
      <c r="J1046" s="823"/>
      <c r="K1046" s="823"/>
      <c r="L1046" s="823"/>
      <c r="M1046" s="823"/>
      <c r="N1046" s="823"/>
      <c r="O1046" s="25"/>
      <c r="P1046" s="199"/>
      <c r="Q1046" s="437"/>
      <c r="R1046" s="931"/>
      <c r="S1046" s="437"/>
      <c r="T1046" s="26"/>
    </row>
    <row r="1047" spans="1:20" s="697" customFormat="1" x14ac:dyDescent="0.2">
      <c r="A1047" s="437"/>
      <c r="B1047" s="414"/>
      <c r="C1047" s="414"/>
      <c r="D1047" s="414"/>
      <c r="E1047" s="1881" t="str">
        <f>Translations!$B$1729</f>
        <v>Korekcijas īpašās līmeņatzīmes atjaunināšanai (attiecīgā gadījumā)</v>
      </c>
      <c r="F1047" s="1881"/>
      <c r="G1047" s="1881"/>
      <c r="H1047" s="1881"/>
      <c r="I1047" s="1881"/>
      <c r="J1047" s="1881"/>
      <c r="K1047" s="1881"/>
      <c r="L1047" s="1881"/>
      <c r="M1047" s="1881"/>
      <c r="N1047" s="823"/>
      <c r="O1047" s="25"/>
      <c r="P1047" s="199"/>
      <c r="Q1047" s="437"/>
      <c r="R1047" s="931"/>
      <c r="S1047" s="437"/>
      <c r="T1047" s="26"/>
    </row>
    <row r="1048" spans="1:20" s="697" customFormat="1" ht="12.75" customHeight="1" x14ac:dyDescent="0.2">
      <c r="A1048" s="437"/>
      <c r="B1048" s="414"/>
      <c r="C1048" s="414"/>
      <c r="D1048" s="414"/>
      <c r="E1048" s="1651" t="str">
        <f>Translations!$B$806</f>
        <v>Kopējais saražotās pulpas daudzums</v>
      </c>
      <c r="F1048" s="1651"/>
      <c r="G1048" s="1651"/>
      <c r="H1048" s="465" t="str">
        <f>EUconst_Tons</f>
        <v>tonnas</v>
      </c>
      <c r="I1048" s="1103" t="str">
        <f>IF($I990="","",IF(INDEX(F_ProductBM!I:I,MATCH($P1048,F_ProductBM!$P:$P,0))="","",INDEX(F_ProductBM!I:I,MATCH($P1048,F_ProductBM!$P:$P,0))))</f>
        <v/>
      </c>
      <c r="J1048" s="1103" t="str">
        <f>IF($I990="","",IF(INDEX(F_ProductBM!J:J,MATCH($P1048,F_ProductBM!$P:$P,0))="","",INDEX(F_ProductBM!J:J,MATCH($P1048,F_ProductBM!$P:$P,0))))</f>
        <v/>
      </c>
      <c r="K1048" s="1103" t="str">
        <f>IF($I990="","",IF(INDEX(F_ProductBM!K:K,MATCH($P1048,F_ProductBM!$P:$P,0))="","",INDEX(F_ProductBM!K:K,MATCH($P1048,F_ProductBM!$P:$P,0))))</f>
        <v/>
      </c>
      <c r="L1048" s="1103" t="str">
        <f>IF($I990="","",IF(INDEX(F_ProductBM!L:L,MATCH($P1048,F_ProductBM!$P:$P,0))="","",INDEX(F_ProductBM!L:L,MATCH($P1048,F_ProductBM!$P:$P,0))))</f>
        <v/>
      </c>
      <c r="M1048" s="1103" t="str">
        <f>IF($I990="","",IF(INDEX(F_ProductBM!M:M,MATCH($P1048,F_ProductBM!$P:$P,0))="","",INDEX(F_ProductBM!M:M,MATCH($P1048,F_ProductBM!$P:$P,0))))</f>
        <v/>
      </c>
      <c r="N1048" s="823"/>
      <c r="O1048" s="25"/>
      <c r="P1048" s="367" t="str">
        <f>EUconst_CNTR_HALPulpTotal &amp; I990</f>
        <v>HALPulpTotal_</v>
      </c>
      <c r="Q1048" s="437"/>
      <c r="R1048" s="437"/>
      <c r="S1048" s="437"/>
      <c r="T1048" s="26"/>
    </row>
    <row r="1049" spans="1:20" s="697" customFormat="1" ht="5.0999999999999996" customHeight="1" x14ac:dyDescent="0.2">
      <c r="A1049" s="437"/>
      <c r="B1049" s="414"/>
      <c r="C1049" s="414"/>
      <c r="D1049" s="414"/>
      <c r="E1049" s="526"/>
      <c r="F1049" s="526"/>
      <c r="G1049" s="526"/>
      <c r="H1049" s="526"/>
      <c r="I1049" s="1140"/>
      <c r="J1049" s="1140"/>
      <c r="K1049" s="1140"/>
      <c r="L1049" s="1140"/>
      <c r="M1049" s="1140"/>
      <c r="N1049" s="823"/>
      <c r="O1049" s="25"/>
      <c r="P1049" s="199"/>
      <c r="Q1049" s="437"/>
      <c r="R1049" s="437"/>
      <c r="S1049" s="437"/>
      <c r="T1049" s="26"/>
    </row>
    <row r="1050" spans="1:20" s="697" customFormat="1" ht="12.75" customHeight="1" x14ac:dyDescent="0.2">
      <c r="A1050" s="437"/>
      <c r="B1050" s="414"/>
      <c r="C1050" s="414"/>
      <c r="D1050" s="414"/>
      <c r="E1050" s="1651" t="str">
        <f>Translations!$B$1730</f>
        <v>Ūdeņraža ražošana (faktiskā + teorētiskā)</v>
      </c>
      <c r="F1050" s="1651"/>
      <c r="G1050" s="1651"/>
      <c r="H1050" s="465" t="str">
        <f>EUconst_Tons</f>
        <v>tonnas</v>
      </c>
      <c r="I1050" s="1103" t="str">
        <f>IF($K993=$R1050,SUMIFS(H_SpecialBM!I:I,H_SpecialBM!$P:$P,$P1050),"")</f>
        <v/>
      </c>
      <c r="J1050" s="1103" t="str">
        <f>IF($K993=$R1050,SUMIFS(H_SpecialBM!J:J,H_SpecialBM!$P:$P,$P1050),"")</f>
        <v/>
      </c>
      <c r="K1050" s="1103" t="str">
        <f>IF($K993=$R1050,SUMIFS(H_SpecialBM!K:K,H_SpecialBM!$P:$P,$P1050),"")</f>
        <v/>
      </c>
      <c r="L1050" s="1103" t="str">
        <f>IF($K993=$R1050,SUMIFS(H_SpecialBM!L:L,H_SpecialBM!$P:$P,$P1050),"")</f>
        <v/>
      </c>
      <c r="M1050" s="1103" t="str">
        <f>IF($K993=$R1050,SUMIFS(H_SpecialBM!M:M,H_SpecialBM!$P:$P,$P1050),"")</f>
        <v/>
      </c>
      <c r="N1050" s="823"/>
      <c r="O1050" s="25"/>
      <c r="P1050" s="134" t="str">
        <f>EUconst_CNTR_H2ActualPlusTheoretical</f>
        <v>H2Total_</v>
      </c>
      <c r="Q1050" s="437"/>
      <c r="R1050" s="869">
        <v>50</v>
      </c>
      <c r="S1050" s="437"/>
      <c r="T1050" s="26"/>
    </row>
    <row r="1051" spans="1:20" s="697" customFormat="1" ht="12.75" customHeight="1" x14ac:dyDescent="0.2">
      <c r="A1051" s="437"/>
      <c r="B1051" s="414"/>
      <c r="C1051" s="414"/>
      <c r="D1051" s="414"/>
      <c r="E1051" s="1651" t="str">
        <f>Translations!$B$1731</f>
        <v>Ar ūdeņradi saistītās emisijas</v>
      </c>
      <c r="F1051" s="1651"/>
      <c r="G1051" s="1651"/>
      <c r="H1051" s="465" t="str">
        <f>EUconst_tCO2pa</f>
        <v>t CO2 / gads</v>
      </c>
      <c r="I1051" s="1103" t="str">
        <f>IF($K993=$R1051,SUMIFS(H_SpecialBM!I:I,H_SpecialBM!$P:$P,$P1051),"")</f>
        <v/>
      </c>
      <c r="J1051" s="1103" t="str">
        <f>IF($K993=$R1051,SUMIFS(H_SpecialBM!J:J,H_SpecialBM!$P:$P,$P1051),"")</f>
        <v/>
      </c>
      <c r="K1051" s="1103" t="str">
        <f>IF($K993=$R1051,SUMIFS(H_SpecialBM!K:K,H_SpecialBM!$P:$P,$P1051),"")</f>
        <v/>
      </c>
      <c r="L1051" s="1103" t="str">
        <f>IF($K993=$R1051,SUMIFS(H_SpecialBM!L:L,H_SpecialBM!$P:$P,$P1051),"")</f>
        <v/>
      </c>
      <c r="M1051" s="1103" t="str">
        <f>IF($K993=$R1051,SUMIFS(H_SpecialBM!M:M,H_SpecialBM!$P:$P,$P1051),"")</f>
        <v/>
      </c>
      <c r="N1051" s="823"/>
      <c r="O1051" s="25"/>
      <c r="P1051" s="202" t="str">
        <f>EUconst_CNTR_H2AdditionalEmissions</f>
        <v>H2AddEm_</v>
      </c>
      <c r="Q1051" s="437"/>
      <c r="R1051" s="869">
        <v>50</v>
      </c>
      <c r="S1051" s="437"/>
      <c r="T1051" s="26"/>
    </row>
    <row r="1052" spans="1:20" s="697" customFormat="1" ht="5.0999999999999996" customHeight="1" x14ac:dyDescent="0.2">
      <c r="A1052" s="437"/>
      <c r="B1052" s="414"/>
      <c r="C1052" s="414"/>
      <c r="D1052" s="414"/>
      <c r="E1052" s="526"/>
      <c r="F1052" s="526"/>
      <c r="G1052" s="526"/>
      <c r="H1052" s="526"/>
      <c r="I1052" s="1140"/>
      <c r="J1052" s="1140"/>
      <c r="K1052" s="1140"/>
      <c r="L1052" s="1140"/>
      <c r="M1052" s="1140"/>
      <c r="N1052" s="823"/>
      <c r="O1052" s="25"/>
      <c r="P1052" s="437"/>
      <c r="Q1052" s="437"/>
      <c r="R1052" s="437"/>
      <c r="S1052" s="437"/>
      <c r="T1052" s="26"/>
    </row>
    <row r="1053" spans="1:20" s="697" customFormat="1" ht="12.75" customHeight="1" x14ac:dyDescent="0.2">
      <c r="A1053" s="437"/>
      <c r="B1053" s="414"/>
      <c r="C1053" s="414"/>
      <c r="D1053" s="414"/>
      <c r="E1053" s="1651" t="str">
        <f>Translations!$B$1732</f>
        <v>HVC emisiju korekcija</v>
      </c>
      <c r="F1053" s="1651"/>
      <c r="G1053" s="1651"/>
      <c r="H1053" s="465" t="str">
        <f>EUconst_tCO2pa</f>
        <v>t CO2 / gads</v>
      </c>
      <c r="I1053" s="1103" t="str">
        <f>IF($K993=$R1053,-SUMIFS(H_SpecialBM!S:S,H_SpecialBM!$P:$P,$P1053),"")</f>
        <v/>
      </c>
      <c r="J1053" s="1103" t="str">
        <f>IF($K993=$R1053,-SUMIFS(H_SpecialBM!T:T,H_SpecialBM!$P:$P,$P1053),"")</f>
        <v/>
      </c>
      <c r="K1053" s="1103" t="str">
        <f>IF($K993=$R1053,-SUMIFS(H_SpecialBM!U:U,H_SpecialBM!$P:$P,$P1053),"")</f>
        <v/>
      </c>
      <c r="L1053" s="1103" t="str">
        <f>IF($K993=$R1053,-SUMIFS(H_SpecialBM!V:V,H_SpecialBM!$P:$P,$P1053),"")</f>
        <v/>
      </c>
      <c r="M1053" s="1103" t="str">
        <f>IF($K993=$R1053,-SUMIFS(H_SpecialBM!W:W,H_SpecialBM!$P:$P,$P1053),"")</f>
        <v/>
      </c>
      <c r="N1053" s="823"/>
      <c r="O1053" s="25"/>
      <c r="P1053" s="367" t="str">
        <f>EUconst_CNTR_HVC</f>
        <v>HVC_</v>
      </c>
      <c r="Q1053" s="437"/>
      <c r="R1053" s="869">
        <v>42</v>
      </c>
      <c r="S1053" s="437"/>
      <c r="T1053" s="26"/>
    </row>
    <row r="1054" spans="1:20" s="697" customFormat="1" ht="5.0999999999999996" customHeight="1" x14ac:dyDescent="0.2">
      <c r="A1054" s="437"/>
      <c r="B1054" s="414"/>
      <c r="C1054" s="414"/>
      <c r="D1054" s="414"/>
      <c r="E1054" s="526"/>
      <c r="F1054" s="526"/>
      <c r="G1054" s="526"/>
      <c r="H1054" s="526"/>
      <c r="I1054" s="1140"/>
      <c r="J1054" s="1140"/>
      <c r="K1054" s="1140"/>
      <c r="L1054" s="1140"/>
      <c r="M1054" s="1140"/>
      <c r="N1054" s="823"/>
      <c r="O1054" s="25"/>
      <c r="P1054" s="199"/>
      <c r="Q1054" s="437"/>
      <c r="R1054" s="437"/>
      <c r="S1054" s="437"/>
      <c r="T1054" s="26"/>
    </row>
    <row r="1055" spans="1:20" s="697" customFormat="1" ht="12.75" customHeight="1" x14ac:dyDescent="0.2">
      <c r="A1055" s="437"/>
      <c r="B1055" s="414"/>
      <c r="C1055" s="414"/>
      <c r="D1055" s="414"/>
      <c r="E1055" s="1651" t="str">
        <f>Translations!$B$1733</f>
        <v>VCM emisiju korekcija</v>
      </c>
      <c r="F1055" s="1651"/>
      <c r="G1055" s="1651"/>
      <c r="H1055" s="465" t="str">
        <f>EUconst_tCO2pa</f>
        <v>t CO2 / gads</v>
      </c>
      <c r="I1055" s="1103" t="str">
        <f>IF($K993=$R1055,SUMIFS(H_SpecialBM!I:I,H_SpecialBM!$P:$P,$P1055)/EUconst_HeatBMvalue*EUconst_HeatBMvalueForBM,"")</f>
        <v/>
      </c>
      <c r="J1055" s="1103" t="str">
        <f>IF($K993=$R1055,SUMIFS(H_SpecialBM!J:J,H_SpecialBM!$P:$P,$P1055)/EUconst_HeatBMvalue*EUconst_HeatBMvalueForBM,"")</f>
        <v/>
      </c>
      <c r="K1055" s="1103" t="str">
        <f>IF($K993=$R1055,SUMIFS(H_SpecialBM!K:K,H_SpecialBM!$P:$P,$P1055)/EUconst_HeatBMvalue*EUconst_HeatBMvalueForBM,"")</f>
        <v/>
      </c>
      <c r="L1055" s="1103" t="str">
        <f>IF($K993=$R1055,SUMIFS(H_SpecialBM!L:L,H_SpecialBM!$P:$P,$P1055)/EUconst_HeatBMvalue*EUconst_HeatBMvalueForBM,"")</f>
        <v/>
      </c>
      <c r="M1055" s="1103" t="str">
        <f>IF($K993=$R1055,SUMIFS(H_SpecialBM!M:M,H_SpecialBM!$P:$P,$P1055)/EUconst_HeatBMvalue*EUconst_HeatBMvalueForBM,"")</f>
        <v/>
      </c>
      <c r="N1055" s="823"/>
      <c r="O1055" s="25"/>
      <c r="P1055" s="134" t="str">
        <f>EUconst_CNTR_VCM</f>
        <v>VCM_</v>
      </c>
      <c r="Q1055" s="437"/>
      <c r="R1055" s="869">
        <v>47</v>
      </c>
      <c r="S1055" s="437"/>
      <c r="T1055" s="26"/>
    </row>
    <row r="1056" spans="1:20" s="697" customFormat="1" ht="12.75" customHeight="1" x14ac:dyDescent="0.2">
      <c r="A1056" s="437"/>
      <c r="B1056" s="414"/>
      <c r="C1056" s="414"/>
      <c r="D1056" s="414"/>
      <c r="E1056" s="526"/>
      <c r="F1056" s="526"/>
      <c r="G1056" s="526"/>
      <c r="H1056" s="526"/>
      <c r="I1056" s="823"/>
      <c r="J1056" s="823"/>
      <c r="K1056" s="823"/>
      <c r="L1056" s="823"/>
      <c r="M1056" s="823"/>
      <c r="N1056" s="823"/>
      <c r="O1056" s="25"/>
      <c r="P1056" s="199"/>
      <c r="Q1056" s="437"/>
      <c r="R1056" s="437"/>
      <c r="S1056" s="437"/>
      <c r="T1056" s="26"/>
    </row>
    <row r="1057" spans="1:20" s="697" customFormat="1" ht="12.75" customHeight="1" thickBot="1" x14ac:dyDescent="0.25">
      <c r="A1057" s="437"/>
      <c r="B1057" s="414"/>
      <c r="C1057" s="414"/>
      <c r="D1057" s="414"/>
      <c r="E1057" s="935"/>
      <c r="O1057" s="25"/>
      <c r="P1057" s="437"/>
      <c r="Q1057" s="437"/>
      <c r="R1057" s="437"/>
      <c r="S1057" s="437"/>
      <c r="T1057" s="26"/>
    </row>
    <row r="1058" spans="1:20" s="697" customFormat="1" ht="5.0999999999999996" customHeight="1" thickBot="1" x14ac:dyDescent="0.25">
      <c r="A1058" s="437"/>
      <c r="B1058" s="21"/>
      <c r="C1058" s="294"/>
      <c r="D1058" s="294"/>
      <c r="E1058" s="294"/>
      <c r="F1058" s="294"/>
      <c r="G1058" s="294"/>
      <c r="H1058" s="294"/>
      <c r="I1058" s="294"/>
      <c r="J1058" s="294"/>
      <c r="K1058" s="294"/>
      <c r="L1058" s="294"/>
      <c r="M1058" s="294"/>
      <c r="N1058" s="294"/>
      <c r="O1058" s="25"/>
      <c r="P1058" s="437"/>
      <c r="Q1058" s="437"/>
      <c r="R1058" s="437"/>
      <c r="S1058" s="437"/>
      <c r="T1058" s="26"/>
    </row>
    <row r="1059" spans="1:20" s="697" customFormat="1" ht="15" customHeight="1" thickBot="1" x14ac:dyDescent="0.3">
      <c r="A1059" s="437"/>
      <c r="B1059" s="414"/>
      <c r="C1059" s="36">
        <f>C990+1</f>
        <v>9</v>
      </c>
      <c r="D1059" s="1890" t="str">
        <f>CONCATENATE(EUconst_BMSubinst," ",C1059, ":")</f>
        <v>Apakšiekārta ar produkta līmeņatzīmi 9:</v>
      </c>
      <c r="E1059" s="1890"/>
      <c r="F1059" s="1890"/>
      <c r="G1059" s="1890"/>
      <c r="H1059" s="1891"/>
      <c r="I1059" s="1887" t="str">
        <f>IF(INDEX(CNTR_SubInstListIsProdBM,$C1059),INDEX(CNTR_SubInstListNames,$C1059),"")</f>
        <v/>
      </c>
      <c r="J1059" s="1888"/>
      <c r="K1059" s="1888"/>
      <c r="L1059" s="1888"/>
      <c r="M1059" s="1888"/>
      <c r="N1059" s="1889"/>
      <c r="O1059" s="25"/>
      <c r="P1059" s="437"/>
      <c r="Q1059" s="904">
        <f>C1059</f>
        <v>9</v>
      </c>
      <c r="R1059" s="901" t="str">
        <f>I1059</f>
        <v/>
      </c>
      <c r="S1059" s="903" t="str">
        <f>H1062</f>
        <v>NA</v>
      </c>
      <c r="T1059" s="902" t="str">
        <f>IF(M1073="","",IF(S1062=0,0,SUM(M1073)/S1062))</f>
        <v/>
      </c>
    </row>
    <row r="1060" spans="1:20" s="697" customFormat="1" ht="5.0999999999999996" customHeight="1" thickBot="1" x14ac:dyDescent="0.25">
      <c r="A1060" s="437"/>
      <c r="B1060" s="414"/>
      <c r="C1060" s="414"/>
      <c r="D1060" s="414"/>
      <c r="E1060" s="414"/>
      <c r="F1060" s="414"/>
      <c r="G1060" s="414"/>
      <c r="H1060" s="414"/>
      <c r="I1060" s="414"/>
      <c r="J1060" s="414"/>
      <c r="K1060" s="414"/>
      <c r="L1060" s="414"/>
      <c r="M1060" s="414"/>
      <c r="N1060" s="414"/>
      <c r="O1060" s="25"/>
      <c r="P1060" s="437"/>
      <c r="Q1060" s="437"/>
      <c r="R1060" s="437"/>
      <c r="S1060" s="437"/>
      <c r="T1060" s="26"/>
    </row>
    <row r="1061" spans="1:20" s="697" customFormat="1" ht="13.5" thickBot="1" x14ac:dyDescent="0.25">
      <c r="A1061" s="437"/>
      <c r="B1061" s="414"/>
      <c r="C1061" s="414"/>
      <c r="D1061" s="414"/>
      <c r="E1061" s="414"/>
      <c r="F1061" s="414"/>
      <c r="G1061" s="414"/>
      <c r="H1061" s="647" t="str">
        <f>Translations!$B$1204</f>
        <v>Pakļauta OEP</v>
      </c>
      <c r="I1061" s="38"/>
      <c r="J1061" s="648" t="str">
        <f>Translations!$B$1208</f>
        <v>Ekspl. sākta</v>
      </c>
      <c r="K1061" s="648" t="str">
        <f>Translations!$B$1206</f>
        <v>LA Nr.</v>
      </c>
      <c r="L1061" s="812" t="str">
        <f>Translations!$B$1212</f>
        <v>15(7)3?</v>
      </c>
      <c r="M1061" s="989" t="str">
        <f>Translations!$B$1234</f>
        <v>LA vērtība (min./maks./fakt.)</v>
      </c>
      <c r="N1061" s="990"/>
      <c r="O1061" s="25"/>
      <c r="P1061" s="437"/>
      <c r="Q1061" s="437"/>
      <c r="R1061" s="646" t="s">
        <v>641</v>
      </c>
      <c r="S1061" s="903" t="str">
        <f>H1064</f>
        <v>NA</v>
      </c>
      <c r="T1061" s="26"/>
    </row>
    <row r="1062" spans="1:20" s="697" customFormat="1" x14ac:dyDescent="0.2">
      <c r="A1062" s="437"/>
      <c r="B1062" s="414"/>
      <c r="C1062" s="414"/>
      <c r="D1062" s="414"/>
      <c r="E1062" s="649" t="str">
        <f>I1059</f>
        <v/>
      </c>
      <c r="F1062" s="650"/>
      <c r="G1062" s="594"/>
      <c r="H1062" s="651" t="str">
        <f>IF(K1062=EUconst_NA,EUconst_NA,INDEX(EUconst_BMlistCLstatus,MATCH(K1062,EUconst_BMlistMainNumberOfBM,0)))</f>
        <v>NA</v>
      </c>
      <c r="I1062" s="38"/>
      <c r="J1062" s="846" t="str">
        <f>IF($I1059="",EUconst_NA,INDEX(CNTR_SubInstStartDate,MATCH(E1062,CNTR_SubInstListNames,0)))</f>
        <v>NA</v>
      </c>
      <c r="K1062" s="546" t="str">
        <f>IF($I1059="",EUconst_NA,INDEX(EUconst_BMlistMainNumberOfBM,MATCH(E1062,EUconst_BMlistNames,0)))</f>
        <v>NA</v>
      </c>
      <c r="L1062" s="988" t="str">
        <f>IF(E1062="","",INDEX(CNTR_SubInstLess1Year,MATCH(E1062,CNTR_SubInstListNames,0)))</f>
        <v/>
      </c>
      <c r="M1062" s="991" t="str">
        <f>IF(I1059="",EUconst_NA,INDEX(EUconst_BMlistBMvaluesMatrix,MATCH(K1062,EUconst_BMlistMainNumberOfBM,0),2))</f>
        <v>NA</v>
      </c>
      <c r="N1062" s="992" t="str">
        <f>EUconst_EUA &amp; "/" &amp; H1067</f>
        <v>ESK/tonnas</v>
      </c>
      <c r="O1062" s="25"/>
      <c r="P1062" s="437"/>
      <c r="Q1062" s="437"/>
      <c r="R1062" s="732" t="s">
        <v>554</v>
      </c>
      <c r="S1062" s="815" t="str">
        <f>IF(H1062=EUconst_NA,"",IF(H1062,1,INDEX(EUconst_CLEFYears,1)))</f>
        <v/>
      </c>
      <c r="T1062" s="26"/>
    </row>
    <row r="1063" spans="1:20" s="697" customFormat="1" x14ac:dyDescent="0.2">
      <c r="A1063" s="437"/>
      <c r="B1063" s="414"/>
      <c r="C1063" s="414"/>
      <c r="D1063" s="414"/>
      <c r="G1063" s="648" t="str">
        <f>Translations!$B$1218</f>
        <v>ETS neaptverts siltums</v>
      </c>
      <c r="H1063" s="647" t="s">
        <v>623</v>
      </c>
      <c r="I1063" s="812" t="str">
        <f>Translations!$B$1220</f>
        <v>AGlāpā</v>
      </c>
      <c r="J1063" s="648" t="s">
        <v>550</v>
      </c>
      <c r="K1063" s="648" t="s">
        <v>551</v>
      </c>
      <c r="L1063" s="38"/>
      <c r="M1063" s="991" t="str">
        <f>IF(I1059="",EUconst_NA,INDEX(EUconst_BMlistBMvaluesMatrix,MATCH(K1062,EUconst_BMlistMainNumberOfBM,0),1))</f>
        <v>NA</v>
      </c>
      <c r="N1063" s="992" t="str">
        <f>EUconst_EUA &amp; "/" &amp; H1067</f>
        <v>ESK/tonnas</v>
      </c>
      <c r="O1063" s="25"/>
      <c r="P1063" s="437"/>
      <c r="Q1063" s="437"/>
      <c r="R1063" s="732" t="s">
        <v>658</v>
      </c>
      <c r="S1063" s="1150" t="str">
        <f>IF($I1059="",EUconst_NA,INDEX(EUconst_BMlistNumberOfBM,MATCH(I1059,EUconst_BMlistNames,0)))</f>
        <v>NA</v>
      </c>
      <c r="T1063" s="26"/>
    </row>
    <row r="1064" spans="1:20" s="697" customFormat="1" ht="13.5" thickBot="1" x14ac:dyDescent="0.25">
      <c r="A1064" s="437"/>
      <c r="B1064" s="414"/>
      <c r="C1064" s="414"/>
      <c r="D1064" s="414"/>
      <c r="E1064" s="868" t="str">
        <f>Translations!$B$1235</f>
        <v>Īpaši koeficienti/faktori:</v>
      </c>
      <c r="F1064" s="868"/>
      <c r="G1064" s="546" t="str">
        <f>IF($I1059="","",SUMIF(F_ProductBM!$P:$P,EUconst_CNTR_HEAT&amp;$I1059,F_ProductBM!$Q:$Q))</f>
        <v/>
      </c>
      <c r="H1064" s="651" t="str">
        <f>IF(S1063=EUconst_NA,EUconst_NA,INDEX(EUconst_BMlistCBAMstatus,MATCH(S1063,EUconst_BMlistNumberOfBM,0)))</f>
        <v>NA</v>
      </c>
      <c r="I1064" s="844" t="str">
        <f>IF(OR($I1059="",CNTR_BaselinePeriod&lt;&gt;2),"",SUMIF(F_ProductBM!$P:$P,EUconst_CNTR_WGFlaredEF &amp; I1059,F_ProductBM!$R:$R))</f>
        <v/>
      </c>
      <c r="J1064" s="546" t="str">
        <f>IF($I1059="","",IF($K1062=42,SUMIF(H_SpecialBM!$P$9:$P$401,EUconst_CNTR_HVC,H_SpecialBM!$I$9:$I$401),0))</f>
        <v/>
      </c>
      <c r="K1064" s="867" t="str">
        <f>IF($I1059="","",IF($K1062=47,IF(ISNUMBER(INDEX(H_SpecialBM!$Q$9:$Q$401,MATCH(EUconst_CNTR_VCM,H_SpecialBM!$P$9:$P$401,0))),INDEX(H_SpecialBM!$Q$9:$Q$401,MATCH(EUconst_CNTR_VCM,H_SpecialBM!$P$9:$P$401,0)),1),1))</f>
        <v/>
      </c>
      <c r="L1064" s="38"/>
      <c r="M1064" s="993" t="str">
        <f>IF(I1059="",EUconst_NA,IF(EUconst_StatusOfDataCollection,INDEX(EUconst_BMlistBMvaluesMatrix,MATCH(K1062,EUconst_BMlistMainNumberOfBM,0),3),""))</f>
        <v>NA</v>
      </c>
      <c r="N1064" s="994" t="str">
        <f>EUconst_EUA &amp; "/" &amp; H1067</f>
        <v>ESK/tonnas</v>
      </c>
      <c r="O1064" s="25"/>
      <c r="P1064" s="437"/>
      <c r="Q1064" s="437"/>
      <c r="R1064" s="732"/>
      <c r="S1064" s="866"/>
      <c r="T1064" s="26"/>
    </row>
    <row r="1065" spans="1:20" s="697" customFormat="1" ht="5.0999999999999996" customHeight="1" x14ac:dyDescent="0.2">
      <c r="A1065" s="437"/>
      <c r="B1065" s="414"/>
      <c r="C1065" s="414"/>
      <c r="D1065" s="414"/>
      <c r="E1065" s="414"/>
      <c r="F1065" s="414"/>
      <c r="G1065" s="414"/>
      <c r="H1065" s="414"/>
      <c r="I1065" s="414"/>
      <c r="J1065" s="414"/>
      <c r="K1065" s="414"/>
      <c r="L1065" s="414"/>
      <c r="M1065" s="414"/>
      <c r="N1065" s="414"/>
      <c r="O1065" s="25"/>
      <c r="P1065" s="437"/>
      <c r="Q1065" s="437"/>
      <c r="R1065" s="437"/>
      <c r="S1065" s="437"/>
      <c r="T1065" s="26"/>
    </row>
    <row r="1066" spans="1:20" s="697" customFormat="1" x14ac:dyDescent="0.2">
      <c r="A1066" s="437"/>
      <c r="B1066" s="414"/>
      <c r="C1066" s="414"/>
      <c r="D1066" s="414"/>
      <c r="E1066" s="652"/>
      <c r="F1066" s="652"/>
      <c r="G1066" s="653"/>
      <c r="H1066" s="864" t="str">
        <f>EUconst_Unit</f>
        <v>Vienība</v>
      </c>
      <c r="I1066" s="447">
        <f>I$1652</f>
        <v>2019</v>
      </c>
      <c r="J1066" s="447">
        <f>J$1652</f>
        <v>2020</v>
      </c>
      <c r="K1066" s="447">
        <f>K$1652</f>
        <v>2021</v>
      </c>
      <c r="L1066" s="447">
        <f>L$1652</f>
        <v>2022</v>
      </c>
      <c r="M1066" s="447">
        <f>M$1652</f>
        <v>2023</v>
      </c>
      <c r="N1066" s="414"/>
      <c r="O1066" s="25"/>
      <c r="P1066" s="202" t="s">
        <v>228</v>
      </c>
      <c r="Q1066" s="437"/>
      <c r="R1066" s="437"/>
      <c r="S1066" s="437"/>
      <c r="T1066" s="26"/>
    </row>
    <row r="1067" spans="1:20" s="697" customFormat="1" x14ac:dyDescent="0.2">
      <c r="A1067" s="437"/>
      <c r="B1067" s="414"/>
      <c r="C1067" s="414"/>
      <c r="D1067" s="414"/>
      <c r="E1067" s="654" t="str">
        <f>Translations!$B$1236</f>
        <v>Ziņotais HAL (vēsturiskais darbības līmenis)</v>
      </c>
      <c r="F1067" s="655"/>
      <c r="G1067" s="656"/>
      <c r="H1067" s="651" t="str">
        <f>IF(ISNUMBER(K1062),INDEX(EUconst_BMlistUnits,MATCH(K1062,EUconst_BMlistMainNumberOfBM,0)),EUconst_Tons)</f>
        <v>tonnas</v>
      </c>
      <c r="I1067" s="546" t="str">
        <f>IF($I1059="","",SUMIF(F_ProductBM!$P$11:$P$1814,$P1067,F_ProductBM!I$11:I$1814))</f>
        <v/>
      </c>
      <c r="J1067" s="546" t="str">
        <f>IF($I1059="","",SUMIF(F_ProductBM!$P$11:$P$1814,$P1067,F_ProductBM!J$11:J$1814))</f>
        <v/>
      </c>
      <c r="K1067" s="546" t="str">
        <f>IF($I1059="","",SUMIF(F_ProductBM!$P$11:$P$1814,$P1067,F_ProductBM!K$11:K$1814))</f>
        <v/>
      </c>
      <c r="L1067" s="546" t="str">
        <f>IF($I1059="","",SUMIF(F_ProductBM!$P$11:$P$1814,$P1067,F_ProductBM!L$11:L$1814))</f>
        <v/>
      </c>
      <c r="M1067" s="546" t="str">
        <f>IF($I1059="","",SUMIF(F_ProductBM!$P$11:$P$1814,$P1067,F_ProductBM!M$11:M$1814))</f>
        <v/>
      </c>
      <c r="N1067" s="648" t="s">
        <v>625</v>
      </c>
      <c r="O1067" s="25"/>
      <c r="P1067" s="202" t="str">
        <f>EUconst_CNTR_HAL&amp;I1059</f>
        <v>HAL_</v>
      </c>
      <c r="Q1067" s="437"/>
      <c r="R1067" s="437"/>
      <c r="S1067" s="437"/>
      <c r="T1067" s="26"/>
    </row>
    <row r="1068" spans="1:20" s="697" customFormat="1" x14ac:dyDescent="0.2">
      <c r="A1068" s="437"/>
      <c r="B1068" s="414"/>
      <c r="C1068" s="414"/>
      <c r="D1068" s="414"/>
      <c r="E1068" s="654" t="str">
        <f>Translations!$B$1237</f>
        <v>HAL aprēķinam izmantotās vērtības:</v>
      </c>
      <c r="F1068" s="655"/>
      <c r="G1068" s="656"/>
      <c r="H1068" s="651" t="str">
        <f>H1067</f>
        <v>tonnas</v>
      </c>
      <c r="I1068" s="546" t="str">
        <f>IF($I1059="","",INDEX(F_ProductBM!S$11:S$1814,MATCH($P1068,F_ProductBM!$P$11:$P$1814,0)))</f>
        <v/>
      </c>
      <c r="J1068" s="546" t="str">
        <f>IF($I1059="","",INDEX(F_ProductBM!T$11:T$1814,MATCH($P1068,F_ProductBM!$P$11:$P$1814,0)))</f>
        <v/>
      </c>
      <c r="K1068" s="546" t="str">
        <f>IF($I1059="","",INDEX(F_ProductBM!U$11:U$1814,MATCH($P1068,F_ProductBM!$P$11:$P$1814,0)))</f>
        <v/>
      </c>
      <c r="L1068" s="546" t="str">
        <f>IF($I1059="","",INDEX(F_ProductBM!V$11:V$1814,MATCH($P1068,F_ProductBM!$P$11:$P$1814,0)))</f>
        <v/>
      </c>
      <c r="M1068" s="546" t="str">
        <f>IF($I1059="","",INDEX(F_ProductBM!W$11:W$1814,MATCH($P1068,F_ProductBM!$P$11:$P$1814,0)))</f>
        <v/>
      </c>
      <c r="N1068" s="546" t="str">
        <f>IF(OR($I1059="",$L1062=TRUE),"",IF(COUNT($I1068:$M1068)&gt;0,MEDIAN($I1068:$M1068),""))</f>
        <v/>
      </c>
      <c r="O1068" s="25"/>
      <c r="P1068" s="202" t="str">
        <f>EUconst_CNTR_HAL&amp;I1059</f>
        <v>HAL_</v>
      </c>
      <c r="Q1068" s="437"/>
      <c r="R1068" s="931" t="s">
        <v>604</v>
      </c>
      <c r="S1068" s="931" t="s">
        <v>605</v>
      </c>
      <c r="T1068" s="931" t="s">
        <v>606</v>
      </c>
    </row>
    <row r="1069" spans="1:20" s="697" customFormat="1" ht="5.0999999999999996" customHeight="1" x14ac:dyDescent="0.2">
      <c r="A1069" s="437"/>
      <c r="B1069" s="414"/>
      <c r="C1069" s="414"/>
      <c r="D1069" s="414"/>
      <c r="E1069" s="865"/>
      <c r="F1069" s="865"/>
      <c r="G1069" s="865"/>
      <c r="H1069" s="865"/>
      <c r="I1069" s="865"/>
      <c r="J1069" s="865"/>
      <c r="K1069" s="865"/>
      <c r="L1069" s="865"/>
      <c r="O1069" s="25"/>
      <c r="P1069" s="437"/>
      <c r="Q1069" s="437"/>
      <c r="R1069" s="437"/>
      <c r="S1069" s="437"/>
      <c r="T1069" s="26"/>
    </row>
    <row r="1070" spans="1:20" s="697" customFormat="1" ht="12.75" customHeight="1" x14ac:dyDescent="0.2">
      <c r="A1070" s="437"/>
      <c r="B1070" s="414"/>
      <c r="C1070" s="414"/>
      <c r="D1070" s="414"/>
      <c r="E1070" s="1892" t="str">
        <f>Translations!$B$689</f>
        <v>Relevantais elektroenerģijas patēriņš</v>
      </c>
      <c r="F1070" s="1892"/>
      <c r="G1070" s="1892"/>
      <c r="H1070" s="1101" t="str">
        <f>EUconst_MWhpa</f>
        <v>MWh / gads</v>
      </c>
      <c r="I1070" s="1166" t="str">
        <f>IF($I1059="","",IF(INDEX(F_ProductBM!I:I,MATCH($P1070,F_ProductBM!$Q:$Q,0))="","",INDEX(F_ProductBM!I:I,MATCH($P1070,F_ProductBM!$Q:$Q,0))))</f>
        <v/>
      </c>
      <c r="J1070" s="1166" t="str">
        <f>IF($I1059="","",IF(INDEX(F_ProductBM!J:J,MATCH($P1070,F_ProductBM!$Q:$Q,0))="","",INDEX(F_ProductBM!J:J,MATCH($P1070,F_ProductBM!$Q:$Q,0))))</f>
        <v/>
      </c>
      <c r="K1070" s="1166" t="str">
        <f>IF($I1059="","",IF(INDEX(F_ProductBM!K:K,MATCH($P1070,F_ProductBM!$Q:$Q,0))="","",INDEX(F_ProductBM!K:K,MATCH($P1070,F_ProductBM!$Q:$Q,0))))</f>
        <v/>
      </c>
      <c r="L1070" s="1166" t="str">
        <f>IF($I1059="","",IF(INDEX(F_ProductBM!L:L,MATCH($P1070,F_ProductBM!$Q:$Q,0))="","",INDEX(F_ProductBM!L:L,MATCH($P1070,F_ProductBM!$Q:$Q,0))))</f>
        <v/>
      </c>
      <c r="M1070" s="1166" t="str">
        <f>IF($I1059="","",IF(INDEX(F_ProductBM!M:M,MATCH($P1070,F_ProductBM!$Q:$Q,0))="","",INDEX(F_ProductBM!M:M,MATCH($P1070,F_ProductBM!$Q:$Q,0))))</f>
        <v/>
      </c>
      <c r="N1070" s="38"/>
      <c r="O1070" s="25"/>
      <c r="P1070" s="202" t="str">
        <f>EUconst_CNTR_HAL&amp;EUconst_CNTR_ELEXCH &amp; I1059</f>
        <v>HAL_ELEXCH_</v>
      </c>
      <c r="Q1070" s="437"/>
      <c r="R1070" s="437"/>
      <c r="S1070" s="437"/>
      <c r="T1070" s="26"/>
    </row>
    <row r="1071" spans="1:20" s="697" customFormat="1" ht="5.0999999999999996" customHeight="1" thickBot="1" x14ac:dyDescent="0.25">
      <c r="A1071" s="437"/>
      <c r="B1071" s="414"/>
      <c r="C1071" s="414"/>
      <c r="D1071" s="414"/>
      <c r="E1071" s="865"/>
      <c r="F1071" s="865"/>
      <c r="G1071" s="865"/>
      <c r="H1071" s="865"/>
      <c r="I1071" s="865"/>
      <c r="J1071" s="865"/>
      <c r="K1071" s="865"/>
      <c r="L1071" s="865"/>
      <c r="O1071" s="25"/>
      <c r="P1071" s="437"/>
      <c r="Q1071" s="437"/>
      <c r="R1071" s="437"/>
      <c r="S1071" s="437"/>
      <c r="T1071" s="26"/>
    </row>
    <row r="1072" spans="1:20" s="697" customFormat="1" ht="13.5" thickBot="1" x14ac:dyDescent="0.25">
      <c r="A1072" s="437"/>
      <c r="B1072" s="414"/>
      <c r="D1072" s="414"/>
      <c r="E1072" s="865"/>
      <c r="F1072" s="816" t="str">
        <f>Translations!$B$1728</f>
        <v>HAL kopā</v>
      </c>
      <c r="G1072" s="817"/>
      <c r="I1072" s="816" t="str">
        <f>Translations!$B$1226</f>
        <v>1. gada prov. ied. apj. (min.)</v>
      </c>
      <c r="J1072" s="817"/>
      <c r="K1072" s="816" t="str">
        <f>Translations!$B$1229</f>
        <v>1. gada prov. ied. apj. (maks.)</v>
      </c>
      <c r="L1072" s="817"/>
      <c r="M1072" s="816" t="str">
        <f>Translations!$B$1231</f>
        <v>1. gada prov. ied. apj. (fakt.)</v>
      </c>
      <c r="N1072" s="817"/>
      <c r="O1072" s="25"/>
      <c r="P1072" s="202" t="str">
        <f>EUconst_AllocPrelim&amp;I1059</f>
        <v>AllocPrelim_</v>
      </c>
      <c r="Q1072" s="437"/>
      <c r="R1072" s="900" t="str">
        <f>IF(I1073="","",IF(S1062=0,0,SUM(I1073)/S1062))</f>
        <v/>
      </c>
      <c r="S1072" s="900" t="str">
        <f>IF(K1073="","",IF(S1062=0,0,SUM(K1073)/S1062))</f>
        <v/>
      </c>
      <c r="T1072" s="900" t="str">
        <f>T1059</f>
        <v/>
      </c>
    </row>
    <row r="1073" spans="1:20" s="697" customFormat="1" ht="13.5" thickBot="1" x14ac:dyDescent="0.25">
      <c r="A1073" s="437"/>
      <c r="B1073" s="414"/>
      <c r="E1073" s="865"/>
      <c r="F1073" s="658" t="str">
        <f>IF(I1059="","",MAX(0, IF(L1062=TRUE, SUM(L1064), SUM(N1068))))</f>
        <v/>
      </c>
      <c r="G1073" s="659" t="str">
        <f>H1067&amp;" / "&amp;EUconst_Year</f>
        <v>tonnas / gads</v>
      </c>
      <c r="I1073" s="814" t="str">
        <f>IF(I1059="","",ROUND((SUM(M1062)*SUM(F1073)*SUM(K1064)-SUM(G1064)-SUM(I1064)+SUM(J1064))*SUM(S1062),0))</f>
        <v/>
      </c>
      <c r="J1073" s="884" t="str">
        <f>EUconst_EUApa</f>
        <v>ESK / gads</v>
      </c>
      <c r="K1073" s="814" t="str">
        <f>IF(I1059="","",ROUND((SUM(M1063)*SUM(F1073)*SUM(K1064)-SUM(G1064)-SUM(I1064)+SUM(J1064))*SUM(S1062),0))</f>
        <v/>
      </c>
      <c r="L1073" s="884" t="str">
        <f>EUconst_EUApa</f>
        <v>ESK / gads</v>
      </c>
      <c r="M1073" s="814" t="str">
        <f>IF(OR(I1059="",M1064=""),"",ROUND((SUM(M1064)*SUM(F1073)*SUM(K1064)-SUM(G1064)-SUM(I1064)+SUM(J1064))*SUM(S1062),0))</f>
        <v/>
      </c>
      <c r="N1073" s="884" t="str">
        <f>EUconst_EUApa</f>
        <v>ESK / gads</v>
      </c>
      <c r="O1073" s="25"/>
      <c r="P1073" s="202" t="str">
        <f>EUconst_HALsum &amp; I1059</f>
        <v>HALsum_</v>
      </c>
      <c r="Q1073" s="437"/>
      <c r="R1073" s="437"/>
      <c r="S1073" s="437"/>
      <c r="T1073" s="26"/>
    </row>
    <row r="1074" spans="1:20" s="697" customFormat="1" ht="5.0999999999999996" customHeight="1" x14ac:dyDescent="0.2">
      <c r="A1074" s="437"/>
      <c r="B1074" s="414"/>
      <c r="C1074" s="414"/>
      <c r="E1074" s="440"/>
      <c r="F1074" s="414"/>
      <c r="G1074" s="414"/>
      <c r="H1074" s="414"/>
      <c r="I1074" s="414"/>
      <c r="J1074" s="414"/>
      <c r="K1074" s="414"/>
      <c r="L1074" s="414"/>
      <c r="M1074" s="414"/>
      <c r="N1074" s="414"/>
      <c r="O1074" s="25"/>
      <c r="P1074" s="437"/>
      <c r="Q1074" s="437"/>
      <c r="R1074" s="437"/>
      <c r="S1074" s="437"/>
      <c r="T1074" s="26"/>
    </row>
    <row r="1075" spans="1:20" s="697" customFormat="1" ht="5.0999999999999996" customHeight="1" x14ac:dyDescent="0.2">
      <c r="A1075" s="437"/>
      <c r="B1075" s="414"/>
      <c r="C1075" s="414"/>
      <c r="D1075" s="414"/>
      <c r="E1075" s="526"/>
      <c r="F1075" s="823"/>
      <c r="G1075" s="823"/>
      <c r="H1075" s="823"/>
      <c r="I1075" s="823"/>
      <c r="J1075" s="823"/>
      <c r="K1075" s="823"/>
      <c r="L1075" s="823"/>
      <c r="M1075" s="823"/>
      <c r="N1075" s="823"/>
      <c r="O1075" s="25"/>
      <c r="P1075" s="437"/>
      <c r="Q1075" s="437"/>
      <c r="R1075" s="437"/>
      <c r="S1075" s="437"/>
      <c r="T1075" s="26"/>
    </row>
    <row r="1076" spans="1:20" s="697" customFormat="1" ht="13.5" thickBot="1" x14ac:dyDescent="0.25">
      <c r="A1076" s="437"/>
      <c r="B1076" s="414"/>
      <c r="C1076" s="414"/>
      <c r="D1076" s="414"/>
      <c r="E1076" s="526"/>
      <c r="F1076" s="823"/>
      <c r="G1076" s="823"/>
      <c r="H1076" s="525" t="str">
        <f>EUconst_Unit</f>
        <v>Vienība</v>
      </c>
      <c r="I1076" s="929">
        <f>I$1652</f>
        <v>2019</v>
      </c>
      <c r="J1076" s="463">
        <f>J$1652</f>
        <v>2020</v>
      </c>
      <c r="K1076" s="463">
        <f>K$1652</f>
        <v>2021</v>
      </c>
      <c r="L1076" s="463">
        <f>L$1652</f>
        <v>2022</v>
      </c>
      <c r="M1076" s="463">
        <f>M$1652</f>
        <v>2023</v>
      </c>
      <c r="N1076" s="823"/>
      <c r="O1076" s="25"/>
      <c r="P1076" s="437"/>
      <c r="Q1076" s="437"/>
      <c r="R1076" s="437"/>
      <c r="S1076" s="437"/>
      <c r="T1076" s="26"/>
    </row>
    <row r="1077" spans="1:20" s="697" customFormat="1" ht="13.5" customHeight="1" thickBot="1" x14ac:dyDescent="0.25">
      <c r="A1077" s="437"/>
      <c r="B1077" s="414"/>
      <c r="C1077" s="414"/>
      <c r="D1077" s="414"/>
      <c r="E1077" s="1789" t="str">
        <f>Translations!$B$1238</f>
        <v>Kopējās attiecinātās emisijas</v>
      </c>
      <c r="F1077" s="1789"/>
      <c r="G1077" s="1789"/>
      <c r="H1077" s="886" t="str">
        <f>EUconst_tCO2epa</f>
        <v>t CO2e/gads</v>
      </c>
      <c r="I1077" s="1151" t="str">
        <f>INDEX(I$115:I$134,MATCH($I1059,$E$115:$E$134,0))</f>
        <v/>
      </c>
      <c r="J1077" s="1152" t="str">
        <f>INDEX(J$115:J$134,MATCH($I1059,$E$115:$E$134,0))</f>
        <v/>
      </c>
      <c r="K1077" s="1152" t="str">
        <f>INDEX(K$115:K$134,MATCH($I1059,$E$115:$E$134,0))</f>
        <v/>
      </c>
      <c r="L1077" s="1152" t="str">
        <f>INDEX(L$115:L$134,MATCH($I1059,$E$115:$E$134,0))</f>
        <v/>
      </c>
      <c r="M1077" s="1153" t="str">
        <f>INDEX(M$115:M$134,MATCH($I1059,$E$115:$E$134,0))</f>
        <v/>
      </c>
      <c r="N1077" s="823"/>
      <c r="O1077" s="25"/>
      <c r="P1077" s="437"/>
      <c r="Q1077" s="437"/>
      <c r="R1077" s="437"/>
      <c r="S1077" s="437"/>
      <c r="T1077" s="26"/>
    </row>
    <row r="1078" spans="1:20" s="697" customFormat="1" ht="5.0999999999999996" customHeight="1" x14ac:dyDescent="0.2">
      <c r="A1078" s="437"/>
      <c r="B1078" s="414"/>
      <c r="C1078" s="414"/>
      <c r="D1078" s="414"/>
      <c r="E1078" s="526"/>
      <c r="F1078" s="526"/>
      <c r="G1078" s="526"/>
      <c r="H1078" s="526"/>
      <c r="I1078" s="921"/>
      <c r="J1078" s="921"/>
      <c r="K1078" s="921"/>
      <c r="L1078" s="921"/>
      <c r="M1078" s="921"/>
      <c r="N1078" s="526"/>
      <c r="O1078" s="25"/>
      <c r="P1078" s="437"/>
      <c r="Q1078" s="437"/>
      <c r="R1078" s="437"/>
      <c r="S1078" s="437"/>
      <c r="T1078" s="26"/>
    </row>
    <row r="1079" spans="1:20" s="697" customFormat="1" x14ac:dyDescent="0.2">
      <c r="A1079" s="437"/>
      <c r="B1079" s="414"/>
      <c r="C1079" s="414"/>
      <c r="D1079" s="414"/>
      <c r="E1079" s="1667" t="str">
        <f>Translations!$B$1623</f>
        <v>Kopējā enerģijas ielaide</v>
      </c>
      <c r="F1079" s="1660"/>
      <c r="G1079" s="1660"/>
      <c r="H1079" s="466" t="str">
        <f>EUconst_TJpa</f>
        <v>TJ / gads</v>
      </c>
      <c r="I1079" s="922" t="str">
        <f>IF($I1059="","",IF(INDEX(F_ProductBM!I:I,MATCH($P1079,F_ProductBM!$P:$P,0))="","",INDEX(F_ProductBM!I:I,MATCH($P1079,F_ProductBM!$P:$P,0))))</f>
        <v/>
      </c>
      <c r="J1079" s="922" t="str">
        <f>IF($I1059="","",IF(INDEX(F_ProductBM!J:J,MATCH($P1079,F_ProductBM!$P:$P,0))="","",INDEX(F_ProductBM!J:J,MATCH($P1079,F_ProductBM!$P:$P,0))))</f>
        <v/>
      </c>
      <c r="K1079" s="922" t="str">
        <f>IF($I1059="","",IF(INDEX(F_ProductBM!K:K,MATCH($P1079,F_ProductBM!$P:$P,0))="","",INDEX(F_ProductBM!K:K,MATCH($P1079,F_ProductBM!$P:$P,0))))</f>
        <v/>
      </c>
      <c r="L1079" s="922" t="str">
        <f>IF($I1059="","",IF(INDEX(F_ProductBM!L:L,MATCH($P1079,F_ProductBM!$P:$P,0))="","",INDEX(F_ProductBM!L:L,MATCH($P1079,F_ProductBM!$P:$P,0))))</f>
        <v/>
      </c>
      <c r="M1079" s="922" t="str">
        <f>IF($I1059="","",IF(INDEX(F_ProductBM!M:M,MATCH($P1079,F_ProductBM!$P:$P,0))="","",INDEX(F_ProductBM!M:M,MATCH($P1079,F_ProductBM!$P:$P,0))))</f>
        <v/>
      </c>
      <c r="N1079" s="823"/>
      <c r="O1079" s="25"/>
      <c r="P1079" s="822" t="str">
        <f>EUconst_CNTR_FuelInput &amp; I1059</f>
        <v>FuelInput_</v>
      </c>
      <c r="Q1079" s="437"/>
      <c r="R1079" s="437"/>
      <c r="S1079" s="437"/>
      <c r="T1079" s="26"/>
    </row>
    <row r="1080" spans="1:20" s="697" customFormat="1" ht="12.75" customHeight="1" x14ac:dyDescent="0.2">
      <c r="A1080" s="437"/>
      <c r="B1080" s="414"/>
      <c r="C1080" s="414"/>
      <c r="D1080" s="414"/>
      <c r="E1080" s="1737" t="str">
        <f>Translations!$B$732</f>
        <v>Svērtais emisijas faktors</v>
      </c>
      <c r="F1080" s="1659"/>
      <c r="G1080" s="1659"/>
      <c r="H1080" s="485" t="str">
        <f>EUconst_tCO2pTJ</f>
        <v>t CO2 / TJ</v>
      </c>
      <c r="I1080" s="923" t="str">
        <f>IF($I1059="","",IF(INDEX(F_ProductBM!I:I,MATCH($P1080,F_ProductBM!$P:$P,0))="","",INDEX(F_ProductBM!I:I,MATCH($P1080,F_ProductBM!$P:$P,0))))</f>
        <v/>
      </c>
      <c r="J1080" s="923" t="str">
        <f>IF($I1059="","",IF(INDEX(F_ProductBM!J:J,MATCH($P1080,F_ProductBM!$P:$P,0))="","",INDEX(F_ProductBM!J:J,MATCH($P1080,F_ProductBM!$P:$P,0))))</f>
        <v/>
      </c>
      <c r="K1080" s="923" t="str">
        <f>IF($I1059="","",IF(INDEX(F_ProductBM!K:K,MATCH($P1080,F_ProductBM!$P:$P,0))="","",INDEX(F_ProductBM!K:K,MATCH($P1080,F_ProductBM!$P:$P,0))))</f>
        <v/>
      </c>
      <c r="L1080" s="923" t="str">
        <f>IF($I1059="","",IF(INDEX(F_ProductBM!L:L,MATCH($P1080,F_ProductBM!$P:$P,0))="","",INDEX(F_ProductBM!L:L,MATCH($P1080,F_ProductBM!$P:$P,0))))</f>
        <v/>
      </c>
      <c r="M1080" s="923" t="str">
        <f>IF($I1059="","",IF(INDEX(F_ProductBM!M:M,MATCH($P1080,F_ProductBM!$P:$P,0))="","",INDEX(F_ProductBM!M:M,MATCH($P1080,F_ProductBM!$P:$P,0))))</f>
        <v/>
      </c>
      <c r="N1080" s="823"/>
      <c r="O1080" s="25"/>
      <c r="P1080" s="367" t="str">
        <f>EUconst_CNTR_FuelEF &amp; I1059</f>
        <v>FuelEF_</v>
      </c>
      <c r="Q1080" s="437"/>
      <c r="R1080" s="437"/>
      <c r="S1080" s="437"/>
      <c r="T1080" s="26"/>
    </row>
    <row r="1081" spans="1:20" s="697" customFormat="1" ht="5.0999999999999996" customHeight="1" x14ac:dyDescent="0.2">
      <c r="A1081" s="437"/>
      <c r="B1081" s="414"/>
      <c r="C1081" s="414"/>
      <c r="E1081" s="526"/>
      <c r="F1081" s="823"/>
      <c r="G1081" s="823"/>
      <c r="H1081" s="823"/>
      <c r="I1081" s="924"/>
      <c r="J1081" s="924"/>
      <c r="K1081" s="924"/>
      <c r="L1081" s="924"/>
      <c r="M1081" s="924"/>
      <c r="N1081" s="823"/>
      <c r="O1081" s="25"/>
      <c r="P1081" s="437"/>
      <c r="Q1081" s="437"/>
      <c r="R1081" s="437"/>
      <c r="S1081" s="437"/>
      <c r="T1081" s="26"/>
    </row>
    <row r="1082" spans="1:20" s="697" customFormat="1" ht="12.75" customHeight="1" x14ac:dyDescent="0.2">
      <c r="A1082" s="437"/>
      <c r="B1082" s="414"/>
      <c r="C1082" s="414"/>
      <c r="E1082" s="1651" t="str">
        <f>Translations!$B$687</f>
        <v>Tiešās emisijas</v>
      </c>
      <c r="F1082" s="1652"/>
      <c r="G1082" s="1652"/>
      <c r="H1082" s="465" t="str">
        <f>EUconst_tCO2pa</f>
        <v>t CO2 / gads</v>
      </c>
      <c r="I1082" s="1103" t="str">
        <f>IF($I1059="","",IF(INDEX(F_ProductBM!I:I,MATCH($P1082,F_ProductBM!$P:$P,0))="","",INDEX(F_ProductBM!I:I,MATCH($P1082,F_ProductBM!$P:$P,0))))</f>
        <v/>
      </c>
      <c r="J1082" s="1103" t="str">
        <f>IF($I1059="","",IF(INDEX(F_ProductBM!J:J,MATCH($P1082,F_ProductBM!$P:$P,0))="","",INDEX(F_ProductBM!J:J,MATCH($P1082,F_ProductBM!$P:$P,0))))</f>
        <v/>
      </c>
      <c r="K1082" s="1103" t="str">
        <f>IF($I1059="","",IF(INDEX(F_ProductBM!K:K,MATCH($P1082,F_ProductBM!$P:$P,0))="","",INDEX(F_ProductBM!K:K,MATCH($P1082,F_ProductBM!$P:$P,0))))</f>
        <v/>
      </c>
      <c r="L1082" s="1103" t="str">
        <f>IF($I1059="","",IF(INDEX(F_ProductBM!L:L,MATCH($P1082,F_ProductBM!$P:$P,0))="","",INDEX(F_ProductBM!L:L,MATCH($P1082,F_ProductBM!$P:$P,0))))</f>
        <v/>
      </c>
      <c r="M1082" s="1103" t="str">
        <f>IF($I1059="","",IF(INDEX(F_ProductBM!M:M,MATCH($P1082,F_ProductBM!$P:$P,0))="","",INDEX(F_ProductBM!M:M,MATCH($P1082,F_ProductBM!$P:$P,0))))</f>
        <v/>
      </c>
      <c r="N1082" s="823"/>
      <c r="O1082" s="25"/>
      <c r="P1082" s="367" t="str">
        <f>EUconst_CNTR_Emissions &amp; I1059</f>
        <v>DirEmissions_</v>
      </c>
      <c r="Q1082" s="437"/>
      <c r="R1082" s="437"/>
      <c r="S1082" s="437"/>
      <c r="T1082" s="26"/>
    </row>
    <row r="1083" spans="1:20" s="697" customFormat="1" ht="12.75" customHeight="1" x14ac:dyDescent="0.2">
      <c r="A1083" s="437"/>
      <c r="B1083" s="414"/>
      <c r="C1083" s="414"/>
      <c r="E1083" s="1893" t="str">
        <f>Translations!$B$742</f>
        <v>Citas avota plūsmas, 1:</v>
      </c>
      <c r="F1083" s="1893"/>
      <c r="G1083" s="1893"/>
      <c r="H1083" s="465" t="str">
        <f>EUconst_tCO2pa</f>
        <v>t CO2 / gads</v>
      </c>
      <c r="I1083" s="1103" t="str">
        <f>IF($I1059="","",IF(INDEX(F_ProductBM!I:I,MATCH($P1083,F_ProductBM!$P:$P,0))="","",INDEX(F_ProductBM!I:I,MATCH($P1083,F_ProductBM!$P:$P,0))))</f>
        <v/>
      </c>
      <c r="J1083" s="1103" t="str">
        <f>IF($I1059="","",IF(INDEX(F_ProductBM!J:J,MATCH($P1083,F_ProductBM!$P:$P,0))="","",INDEX(F_ProductBM!J:J,MATCH($P1083,F_ProductBM!$P:$P,0))))</f>
        <v/>
      </c>
      <c r="K1083" s="1103" t="str">
        <f>IF($I1059="","",IF(INDEX(F_ProductBM!K:K,MATCH($P1083,F_ProductBM!$P:$P,0))="","",INDEX(F_ProductBM!K:K,MATCH($P1083,F_ProductBM!$P:$P,0))))</f>
        <v/>
      </c>
      <c r="L1083" s="1103" t="str">
        <f>IF($I1059="","",IF(INDEX(F_ProductBM!L:L,MATCH($P1083,F_ProductBM!$P:$P,0))="","",INDEX(F_ProductBM!L:L,MATCH($P1083,F_ProductBM!$P:$P,0))))</f>
        <v/>
      </c>
      <c r="M1083" s="1103" t="str">
        <f>IF($I1059="","",IF(INDEX(F_ProductBM!M:M,MATCH($P1083,F_ProductBM!$P:$P,0))="","",INDEX(F_ProductBM!M:M,MATCH($P1083,F_ProductBM!$P:$P,0))))</f>
        <v/>
      </c>
      <c r="N1083" s="823"/>
      <c r="O1083" s="25"/>
      <c r="P1083" s="367" t="str">
        <f>EUconst_CNTR_EmissionsIntSource1 &amp; I1059</f>
        <v>EmInternalSource1_</v>
      </c>
      <c r="Q1083" s="437"/>
      <c r="R1083" s="437"/>
      <c r="S1083" s="437"/>
      <c r="T1083" s="26"/>
    </row>
    <row r="1084" spans="1:20" s="697" customFormat="1" ht="12.75" customHeight="1" x14ac:dyDescent="0.2">
      <c r="A1084" s="437"/>
      <c r="B1084" s="414"/>
      <c r="C1084" s="414"/>
      <c r="E1084" s="1893" t="str">
        <f>Translations!$B$752</f>
        <v>Citas avota plūsmas, 2:</v>
      </c>
      <c r="F1084" s="1893"/>
      <c r="G1084" s="1893"/>
      <c r="H1084" s="465" t="str">
        <f>EUconst_tCO2pa</f>
        <v>t CO2 / gads</v>
      </c>
      <c r="I1084" s="1103" t="str">
        <f>IF($I1059="","",IF(INDEX(F_ProductBM!I:I,MATCH($P1084,F_ProductBM!$P:$P,0))="","",INDEX(F_ProductBM!I:I,MATCH($P1084,F_ProductBM!$P:$P,0))))</f>
        <v/>
      </c>
      <c r="J1084" s="1103" t="str">
        <f>IF($I1059="","",IF(INDEX(F_ProductBM!J:J,MATCH($P1084,F_ProductBM!$P:$P,0))="","",INDEX(F_ProductBM!J:J,MATCH($P1084,F_ProductBM!$P:$P,0))))</f>
        <v/>
      </c>
      <c r="K1084" s="1103" t="str">
        <f>IF($I1059="","",IF(INDEX(F_ProductBM!K:K,MATCH($P1084,F_ProductBM!$P:$P,0))="","",INDEX(F_ProductBM!K:K,MATCH($P1084,F_ProductBM!$P:$P,0))))</f>
        <v/>
      </c>
      <c r="L1084" s="1103" t="str">
        <f>IF($I1059="","",IF(INDEX(F_ProductBM!L:L,MATCH($P1084,F_ProductBM!$P:$P,0))="","",INDEX(F_ProductBM!L:L,MATCH($P1084,F_ProductBM!$P:$P,0))))</f>
        <v/>
      </c>
      <c r="M1084" s="1103" t="str">
        <f>IF($I1059="","",IF(INDEX(F_ProductBM!M:M,MATCH($P1084,F_ProductBM!$P:$P,0))="","",INDEX(F_ProductBM!M:M,MATCH($P1084,F_ProductBM!$P:$P,0))))</f>
        <v/>
      </c>
      <c r="N1084" s="823"/>
      <c r="O1084" s="25"/>
      <c r="P1084" s="367" t="str">
        <f>EUconst_CNTR_EmissionsIntSource2 &amp; I1059</f>
        <v>EmInternalSource2_</v>
      </c>
      <c r="Q1084" s="437"/>
      <c r="R1084" s="437"/>
      <c r="S1084" s="437"/>
      <c r="T1084" s="26"/>
    </row>
    <row r="1085" spans="1:20" s="697" customFormat="1" ht="12.75" customHeight="1" x14ac:dyDescent="0.2">
      <c r="A1085" s="437"/>
      <c r="B1085" s="414"/>
      <c r="C1085" s="414"/>
      <c r="D1085" s="414"/>
      <c r="E1085" s="1651" t="str">
        <f>Translations!$B$756</f>
        <v>Importētās vai eksportētās SEG</v>
      </c>
      <c r="F1085" s="1652"/>
      <c r="G1085" s="1652"/>
      <c r="H1085" s="465" t="str">
        <f>EUconst_tCO2epa</f>
        <v>t CO2e/gads</v>
      </c>
      <c r="I1085" s="1103" t="str">
        <f>IF($I1059="","",IF(INDEX(F_ProductBM!I:I,MATCH($P1085,F_ProductBM!$P:$P,0))="","",INDEX(F_ProductBM!I:I,MATCH($P1085,F_ProductBM!$P:$P,0))))</f>
        <v/>
      </c>
      <c r="J1085" s="1103" t="str">
        <f>IF($I1059="","",IF(INDEX(F_ProductBM!J:J,MATCH($P1085,F_ProductBM!$P:$P,0))="","",INDEX(F_ProductBM!J:J,MATCH($P1085,F_ProductBM!$P:$P,0))))</f>
        <v/>
      </c>
      <c r="K1085" s="1103" t="str">
        <f>IF($I1059="","",IF(INDEX(F_ProductBM!K:K,MATCH($P1085,F_ProductBM!$P:$P,0))="","",INDEX(F_ProductBM!K:K,MATCH($P1085,F_ProductBM!$P:$P,0))))</f>
        <v/>
      </c>
      <c r="L1085" s="1103" t="str">
        <f>IF($I1059="","",IF(INDEX(F_ProductBM!L:L,MATCH($P1085,F_ProductBM!$P:$P,0))="","",INDEX(F_ProductBM!L:L,MATCH($P1085,F_ProductBM!$P:$P,0))))</f>
        <v/>
      </c>
      <c r="M1085" s="1103" t="str">
        <f>IF($I1059="","",IF(INDEX(F_ProductBM!M:M,MATCH($P1085,F_ProductBM!$P:$P,0))="","",INDEX(F_ProductBM!M:M,MATCH($P1085,F_ProductBM!$P:$P,0))))</f>
        <v/>
      </c>
      <c r="N1085" s="823"/>
      <c r="O1085" s="25"/>
      <c r="P1085" s="367" t="str">
        <f>EUconst_CNTR_CO2Feedstock &amp; I1059</f>
        <v>EmCO2Feedstock_</v>
      </c>
      <c r="Q1085" s="437"/>
      <c r="R1085" s="437"/>
      <c r="S1085" s="437"/>
      <c r="T1085" s="26"/>
    </row>
    <row r="1086" spans="1:20" s="697" customFormat="1" ht="5.0999999999999996" customHeight="1" x14ac:dyDescent="0.2">
      <c r="A1086" s="437"/>
      <c r="B1086" s="414"/>
      <c r="C1086" s="414"/>
      <c r="D1086" s="414"/>
      <c r="E1086" s="823"/>
      <c r="F1086" s="823"/>
      <c r="G1086" s="823"/>
      <c r="H1086" s="823"/>
      <c r="I1086" s="924"/>
      <c r="J1086" s="924"/>
      <c r="K1086" s="924"/>
      <c r="L1086" s="924"/>
      <c r="M1086" s="924"/>
      <c r="N1086" s="823"/>
      <c r="O1086" s="25"/>
      <c r="P1086" s="437"/>
      <c r="Q1086" s="437"/>
      <c r="R1086" s="437"/>
      <c r="S1086" s="437"/>
      <c r="T1086" s="26"/>
    </row>
    <row r="1087" spans="1:20" s="697" customFormat="1" ht="12.75" customHeight="1" x14ac:dyDescent="0.2">
      <c r="A1087" s="437"/>
      <c r="B1087" s="414"/>
      <c r="C1087" s="414"/>
      <c r="D1087" s="414"/>
      <c r="E1087" s="1667" t="str">
        <f>Translations!$B$764</f>
        <v>Neto importētais siltums</v>
      </c>
      <c r="F1087" s="1660"/>
      <c r="G1087" s="1660"/>
      <c r="H1087" s="466" t="str">
        <f>EUconst_TJpa</f>
        <v>TJ / gads</v>
      </c>
      <c r="I1087" s="922" t="str">
        <f>IF($I1059="","",IF(INDEX(F_ProductBM!I:I,MATCH($P1087,F_ProductBM!$P:$P,0))="","",INDEX(F_ProductBM!I:I,MATCH($P1087,F_ProductBM!$P:$P,0))))</f>
        <v/>
      </c>
      <c r="J1087" s="922" t="str">
        <f>IF($I1059="","",IF(INDEX(F_ProductBM!J:J,MATCH($P1087,F_ProductBM!$P:$P,0))="","",INDEX(F_ProductBM!J:J,MATCH($P1087,F_ProductBM!$P:$P,0))))</f>
        <v/>
      </c>
      <c r="K1087" s="922" t="str">
        <f>IF($I1059="","",IF(INDEX(F_ProductBM!K:K,MATCH($P1087,F_ProductBM!$P:$P,0))="","",INDEX(F_ProductBM!K:K,MATCH($P1087,F_ProductBM!$P:$P,0))))</f>
        <v/>
      </c>
      <c r="L1087" s="922" t="str">
        <f>IF($I1059="","",IF(INDEX(F_ProductBM!L:L,MATCH($P1087,F_ProductBM!$P:$P,0))="","",INDEX(F_ProductBM!L:L,MATCH($P1087,F_ProductBM!$P:$P,0))))</f>
        <v/>
      </c>
      <c r="M1087" s="922" t="str">
        <f>IF($I1059="","",IF(INDEX(F_ProductBM!M:M,MATCH($P1087,F_ProductBM!$P:$P,0))="","",INDEX(F_ProductBM!M:M,MATCH($P1087,F_ProductBM!$P:$P,0))))</f>
        <v/>
      </c>
      <c r="N1087" s="823"/>
      <c r="O1087" s="25"/>
      <c r="P1087" s="367" t="str">
        <f>EUconst_CNTR_HeatImport &amp; I1059</f>
        <v>HeatIm_</v>
      </c>
      <c r="Q1087" s="437"/>
      <c r="R1087" s="437"/>
      <c r="S1087" s="437"/>
      <c r="T1087" s="26"/>
    </row>
    <row r="1088" spans="1:20" s="697" customFormat="1" ht="12.75" customHeight="1" x14ac:dyDescent="0.2">
      <c r="A1088" s="437"/>
      <c r="B1088" s="414"/>
      <c r="C1088" s="414"/>
      <c r="D1088" s="414"/>
      <c r="E1088" s="1737" t="str">
        <f>Translations!$B$765</f>
        <v>Īpatnējais EF (importētais siltums)</v>
      </c>
      <c r="F1088" s="1659"/>
      <c r="G1088" s="1659"/>
      <c r="H1088" s="485" t="str">
        <f>EUconst_tCO2pTJ</f>
        <v>t CO2 / TJ</v>
      </c>
      <c r="I1088" s="923" t="str">
        <f>IF($I1059="","",IF(INDEX(F_ProductBM!I:I,MATCH($P1088,F_ProductBM!$P:$P,0))="","",INDEX(F_ProductBM!I:I,MATCH($P1088,F_ProductBM!$P:$P,0))))</f>
        <v/>
      </c>
      <c r="J1088" s="923" t="str">
        <f>IF($I1059="","",IF(INDEX(F_ProductBM!J:J,MATCH($P1088,F_ProductBM!$P:$P,0))="","",INDEX(F_ProductBM!J:J,MATCH($P1088,F_ProductBM!$P:$P,0))))</f>
        <v/>
      </c>
      <c r="K1088" s="923" t="str">
        <f>IF($I1059="","",IF(INDEX(F_ProductBM!K:K,MATCH($P1088,F_ProductBM!$P:$P,0))="","",INDEX(F_ProductBM!K:K,MATCH($P1088,F_ProductBM!$P:$P,0))))</f>
        <v/>
      </c>
      <c r="L1088" s="923" t="str">
        <f>IF($I1059="","",IF(INDEX(F_ProductBM!L:L,MATCH($P1088,F_ProductBM!$P:$P,0))="","",INDEX(F_ProductBM!L:L,MATCH($P1088,F_ProductBM!$P:$P,0))))</f>
        <v/>
      </c>
      <c r="M1088" s="923" t="str">
        <f>IF($I1059="","",IF(INDEX(F_ProductBM!M:M,MATCH($P1088,F_ProductBM!$P:$P,0))="","",INDEX(F_ProductBM!M:M,MATCH($P1088,F_ProductBM!$P:$P,0))))</f>
        <v/>
      </c>
      <c r="N1088" s="823"/>
      <c r="O1088" s="25"/>
      <c r="P1088" s="367" t="str">
        <f>EUconst_CNTR_HeatImportEF &amp; I1059</f>
        <v>HeatImEF_</v>
      </c>
      <c r="Q1088" s="437"/>
      <c r="R1088" s="437"/>
      <c r="S1088" s="437"/>
      <c r="T1088" s="26"/>
    </row>
    <row r="1089" spans="1:20" s="697" customFormat="1" ht="5.0999999999999996" customHeight="1" x14ac:dyDescent="0.2">
      <c r="A1089" s="437"/>
      <c r="B1089" s="414"/>
      <c r="C1089" s="414"/>
      <c r="D1089" s="414"/>
      <c r="E1089" s="526"/>
      <c r="F1089" s="823"/>
      <c r="G1089" s="823"/>
      <c r="H1089" s="823"/>
      <c r="I1089" s="924"/>
      <c r="J1089" s="924"/>
      <c r="K1089" s="924"/>
      <c r="L1089" s="924"/>
      <c r="M1089" s="924"/>
      <c r="N1089" s="823"/>
      <c r="O1089" s="25"/>
      <c r="P1089" s="26"/>
      <c r="Q1089" s="437"/>
      <c r="R1089" s="437"/>
      <c r="S1089" s="437"/>
      <c r="T1089" s="26"/>
    </row>
    <row r="1090" spans="1:20" s="697" customFormat="1" ht="12.75" customHeight="1" x14ac:dyDescent="0.2">
      <c r="A1090" s="437"/>
      <c r="B1090" s="414"/>
      <c r="C1090" s="414"/>
      <c r="D1090" s="414"/>
      <c r="E1090" s="1651" t="str">
        <f>Translations!$B$820</f>
        <v>No pulpas apakšiekārtām importētais neto siltums</v>
      </c>
      <c r="F1090" s="1652"/>
      <c r="G1090" s="1652"/>
      <c r="H1090" s="465" t="str">
        <f>EUconst_TJpa</f>
        <v>TJ / gads</v>
      </c>
      <c r="I1090" s="925" t="str">
        <f>IF($I1059="","",IF(INDEX(F_ProductBM!I:I,MATCH($P1090,F_ProductBM!$P:$P,0))="","",INDEX(F_ProductBM!I:I,MATCH($P1090,F_ProductBM!$P:$P,0))))</f>
        <v/>
      </c>
      <c r="J1090" s="925" t="str">
        <f>IF($I1059="","",IF(INDEX(F_ProductBM!J:J,MATCH($P1090,F_ProductBM!$P:$P,0))="","",INDEX(F_ProductBM!J:J,MATCH($P1090,F_ProductBM!$P:$P,0))))</f>
        <v/>
      </c>
      <c r="K1090" s="925" t="str">
        <f>IF($I1059="","",IF(INDEX(F_ProductBM!K:K,MATCH($P1090,F_ProductBM!$P:$P,0))="","",INDEX(F_ProductBM!K:K,MATCH($P1090,F_ProductBM!$P:$P,0))))</f>
        <v/>
      </c>
      <c r="L1090" s="925" t="str">
        <f>IF($I1059="","",IF(INDEX(F_ProductBM!L:L,MATCH($P1090,F_ProductBM!$P:$P,0))="","",INDEX(F_ProductBM!L:L,MATCH($P1090,F_ProductBM!$P:$P,0))))</f>
        <v/>
      </c>
      <c r="M1090" s="925" t="str">
        <f>IF($I1059="","",IF(INDEX(F_ProductBM!M:M,MATCH($P1090,F_ProductBM!$P:$P,0))="","",INDEX(F_ProductBM!M:M,MATCH($P1090,F_ProductBM!$P:$P,0))))</f>
        <v/>
      </c>
      <c r="N1090" s="823"/>
      <c r="O1090" s="25"/>
      <c r="P1090" s="367" t="str">
        <f>EUconst_CNTR_HeatImportPulp &amp; I1059</f>
        <v>HeatImPulp_</v>
      </c>
      <c r="Q1090" s="437"/>
      <c r="R1090" s="437"/>
      <c r="S1090" s="437"/>
      <c r="T1090" s="26"/>
    </row>
    <row r="1091" spans="1:20" s="697" customFormat="1" ht="12.75" customHeight="1" x14ac:dyDescent="0.2">
      <c r="A1091" s="437"/>
      <c r="B1091" s="414"/>
      <c r="C1091" s="414"/>
      <c r="D1091" s="414"/>
      <c r="E1091" s="1651" t="str">
        <f>Translations!$B$768</f>
        <v>No slāpekļskābes apakšiekārtas importētais neto siltums</v>
      </c>
      <c r="F1091" s="1652"/>
      <c r="G1091" s="1652"/>
      <c r="H1091" s="465" t="str">
        <f>EUconst_TJpa</f>
        <v>TJ / gads</v>
      </c>
      <c r="I1091" s="925" t="str">
        <f>IF($I1059="","",IF(INDEX(F_ProductBM!I:I,MATCH($P1091,F_ProductBM!$P:$P,0))="","",INDEX(F_ProductBM!I:I,MATCH($P1091,F_ProductBM!$P:$P,0))))</f>
        <v/>
      </c>
      <c r="J1091" s="925" t="str">
        <f>IF($I1059="","",IF(INDEX(F_ProductBM!J:J,MATCH($P1091,F_ProductBM!$P:$P,0))="","",INDEX(F_ProductBM!J:J,MATCH($P1091,F_ProductBM!$P:$P,0))))</f>
        <v/>
      </c>
      <c r="K1091" s="925" t="str">
        <f>IF($I1059="","",IF(INDEX(F_ProductBM!K:K,MATCH($P1091,F_ProductBM!$P:$P,0))="","",INDEX(F_ProductBM!K:K,MATCH($P1091,F_ProductBM!$P:$P,0))))</f>
        <v/>
      </c>
      <c r="L1091" s="925" t="str">
        <f>IF($I1059="","",IF(INDEX(F_ProductBM!L:L,MATCH($P1091,F_ProductBM!$P:$P,0))="","",INDEX(F_ProductBM!L:L,MATCH($P1091,F_ProductBM!$P:$P,0))))</f>
        <v/>
      </c>
      <c r="M1091" s="925" t="str">
        <f>IF($I1059="","",IF(INDEX(F_ProductBM!M:M,MATCH($P1091,F_ProductBM!$P:$P,0))="","",INDEX(F_ProductBM!M:M,MATCH($P1091,F_ProductBM!$P:$P,0))))</f>
        <v/>
      </c>
      <c r="N1091" s="823"/>
      <c r="O1091" s="25"/>
      <c r="P1091" s="367" t="str">
        <f>EUconst_CNTR_HeatImportNitric &amp; I1059</f>
        <v>HeatImNitric_</v>
      </c>
      <c r="Q1091" s="437"/>
      <c r="R1091" s="437"/>
      <c r="S1091" s="437"/>
      <c r="T1091" s="26"/>
    </row>
    <row r="1092" spans="1:20" s="697" customFormat="1" ht="5.0999999999999996" customHeight="1" x14ac:dyDescent="0.2">
      <c r="A1092" s="437"/>
      <c r="B1092" s="414"/>
      <c r="C1092" s="414"/>
      <c r="D1092" s="414"/>
      <c r="E1092" s="526"/>
      <c r="F1092" s="526"/>
      <c r="G1092" s="526"/>
      <c r="H1092" s="526"/>
      <c r="I1092" s="924"/>
      <c r="J1092" s="924"/>
      <c r="K1092" s="924"/>
      <c r="L1092" s="924"/>
      <c r="M1092" s="924"/>
      <c r="N1092" s="823"/>
      <c r="O1092" s="25"/>
      <c r="P1092" s="26"/>
      <c r="Q1092" s="437"/>
      <c r="R1092" s="437"/>
      <c r="S1092" s="437"/>
      <c r="T1092" s="26"/>
    </row>
    <row r="1093" spans="1:20" s="697" customFormat="1" ht="12.75" customHeight="1" x14ac:dyDescent="0.2">
      <c r="A1093" s="437"/>
      <c r="B1093" s="414"/>
      <c r="C1093" s="414"/>
      <c r="D1093" s="414"/>
      <c r="E1093" s="1667" t="str">
        <f>Translations!$B$770</f>
        <v>Neto eksportētais siltums</v>
      </c>
      <c r="F1093" s="1660"/>
      <c r="G1093" s="1660"/>
      <c r="H1093" s="466" t="str">
        <f>EUconst_TJpa</f>
        <v>TJ / gads</v>
      </c>
      <c r="I1093" s="922" t="str">
        <f>IF($I1059="","",IF(INDEX(F_ProductBM!I:I,MATCH($P1093,F_ProductBM!$P:$P,0))="","",INDEX(F_ProductBM!I:I,MATCH($P1093,F_ProductBM!$P:$P,0))))</f>
        <v/>
      </c>
      <c r="J1093" s="922" t="str">
        <f>IF($I1059="","",IF(INDEX(F_ProductBM!J:J,MATCH($P1093,F_ProductBM!$P:$P,0))="","",INDEX(F_ProductBM!J:J,MATCH($P1093,F_ProductBM!$P:$P,0))))</f>
        <v/>
      </c>
      <c r="K1093" s="922" t="str">
        <f>IF($I1059="","",IF(INDEX(F_ProductBM!K:K,MATCH($P1093,F_ProductBM!$P:$P,0))="","",INDEX(F_ProductBM!K:K,MATCH($P1093,F_ProductBM!$P:$P,0))))</f>
        <v/>
      </c>
      <c r="L1093" s="922" t="str">
        <f>IF($I1059="","",IF(INDEX(F_ProductBM!L:L,MATCH($P1093,F_ProductBM!$P:$P,0))="","",INDEX(F_ProductBM!L:L,MATCH($P1093,F_ProductBM!$P:$P,0))))</f>
        <v/>
      </c>
      <c r="M1093" s="922" t="str">
        <f>IF($I1059="","",IF(INDEX(F_ProductBM!M:M,MATCH($P1093,F_ProductBM!$P:$P,0))="","",INDEX(F_ProductBM!M:M,MATCH($P1093,F_ProductBM!$P:$P,0))))</f>
        <v/>
      </c>
      <c r="N1093" s="823"/>
      <c r="O1093" s="25"/>
      <c r="P1093" s="367" t="str">
        <f>EUconst_CNTR_HeatExport &amp; I1059</f>
        <v>HeatEx_</v>
      </c>
      <c r="Q1093" s="437"/>
      <c r="R1093" s="437"/>
      <c r="S1093" s="437"/>
      <c r="T1093" s="26"/>
    </row>
    <row r="1094" spans="1:20" s="697" customFormat="1" ht="12.75" customHeight="1" x14ac:dyDescent="0.2">
      <c r="A1094" s="437"/>
      <c r="B1094" s="414"/>
      <c r="C1094" s="414"/>
      <c r="D1094" s="414"/>
      <c r="E1094" s="1737" t="str">
        <f>Translations!$B$771</f>
        <v>Īpatnējais EF (eksportētais siltums)</v>
      </c>
      <c r="F1094" s="1659"/>
      <c r="G1094" s="1659"/>
      <c r="H1094" s="485" t="str">
        <f>EUconst_tCO2pTJ</f>
        <v>t CO2 / TJ</v>
      </c>
      <c r="I1094" s="923" t="str">
        <f>IF($I1059="","",IF(INDEX(F_ProductBM!I:I,MATCH($P1094,F_ProductBM!$P:$P,0))="","",INDEX(F_ProductBM!I:I,MATCH($P1094,F_ProductBM!$P:$P,0))))</f>
        <v/>
      </c>
      <c r="J1094" s="923" t="str">
        <f>IF($I1059="","",IF(INDEX(F_ProductBM!J:J,MATCH($P1094,F_ProductBM!$P:$P,0))="","",INDEX(F_ProductBM!J:J,MATCH($P1094,F_ProductBM!$P:$P,0))))</f>
        <v/>
      </c>
      <c r="K1094" s="923" t="str">
        <f>IF($I1059="","",IF(INDEX(F_ProductBM!K:K,MATCH($P1094,F_ProductBM!$P:$P,0))="","",INDEX(F_ProductBM!K:K,MATCH($P1094,F_ProductBM!$P:$P,0))))</f>
        <v/>
      </c>
      <c r="L1094" s="923" t="str">
        <f>IF($I1059="","",IF(INDEX(F_ProductBM!L:L,MATCH($P1094,F_ProductBM!$P:$P,0))="","",INDEX(F_ProductBM!L:L,MATCH($P1094,F_ProductBM!$P:$P,0))))</f>
        <v/>
      </c>
      <c r="M1094" s="923" t="str">
        <f>IF($I1059="","",IF(INDEX(F_ProductBM!M:M,MATCH($P1094,F_ProductBM!$P:$P,0))="","",INDEX(F_ProductBM!M:M,MATCH($P1094,F_ProductBM!$P:$P,0))))</f>
        <v/>
      </c>
      <c r="N1094" s="823"/>
      <c r="O1094" s="25"/>
      <c r="P1094" s="367" t="str">
        <f>EUconst_CNTR_HeatExportEF &amp; I1059</f>
        <v>HeatExEF_</v>
      </c>
      <c r="Q1094" s="437"/>
      <c r="R1094" s="437"/>
      <c r="S1094" s="437"/>
      <c r="T1094" s="26"/>
    </row>
    <row r="1095" spans="1:20" s="697" customFormat="1" ht="5.0999999999999996" customHeight="1" x14ac:dyDescent="0.2">
      <c r="A1095" s="437"/>
      <c r="B1095" s="414"/>
      <c r="C1095" s="414"/>
      <c r="D1095" s="414"/>
      <c r="E1095" s="526"/>
      <c r="F1095" s="526"/>
      <c r="G1095" s="526"/>
      <c r="H1095" s="526"/>
      <c r="I1095" s="924"/>
      <c r="J1095" s="924"/>
      <c r="K1095" s="924"/>
      <c r="L1095" s="924"/>
      <c r="M1095" s="924"/>
      <c r="N1095" s="823"/>
      <c r="O1095" s="25"/>
      <c r="P1095" s="199"/>
      <c r="Q1095" s="437"/>
      <c r="R1095" s="437"/>
      <c r="S1095" s="437"/>
      <c r="T1095" s="26"/>
    </row>
    <row r="1096" spans="1:20" s="697" customFormat="1" ht="12.75" customHeight="1" x14ac:dyDescent="0.2">
      <c r="A1096" s="437"/>
      <c r="B1096" s="414"/>
      <c r="C1096" s="414"/>
      <c r="D1096" s="414"/>
      <c r="E1096" s="1667" t="str">
        <f>Translations!$B$778</f>
        <v>Radusies atlikumgāze</v>
      </c>
      <c r="F1096" s="1660"/>
      <c r="G1096" s="1660"/>
      <c r="H1096" s="466" t="str">
        <f>EUconst_TJpa</f>
        <v>TJ / gads</v>
      </c>
      <c r="I1096" s="922" t="str">
        <f>IF($I1059="","",IF(INDEX(F_ProductBM!I:I,MATCH($P1096,F_ProductBM!$P:$P,0))="","",INDEX(F_ProductBM!I:I,MATCH($P1096,F_ProductBM!$P:$P,0))))</f>
        <v/>
      </c>
      <c r="J1096" s="922" t="str">
        <f>IF($I1059="","",IF(INDEX(F_ProductBM!J:J,MATCH($P1096,F_ProductBM!$P:$P,0))="","",INDEX(F_ProductBM!J:J,MATCH($P1096,F_ProductBM!$P:$P,0))))</f>
        <v/>
      </c>
      <c r="K1096" s="922" t="str">
        <f>IF($I1059="","",IF(INDEX(F_ProductBM!K:K,MATCH($P1096,F_ProductBM!$P:$P,0))="","",INDEX(F_ProductBM!K:K,MATCH($P1096,F_ProductBM!$P:$P,0))))</f>
        <v/>
      </c>
      <c r="L1096" s="922" t="str">
        <f>IF($I1059="","",IF(INDEX(F_ProductBM!L:L,MATCH($P1096,F_ProductBM!$P:$P,0))="","",INDEX(F_ProductBM!L:L,MATCH($P1096,F_ProductBM!$P:$P,0))))</f>
        <v/>
      </c>
      <c r="M1096" s="922" t="str">
        <f>IF($I1059="","",IF(INDEX(F_ProductBM!M:M,MATCH($P1096,F_ProductBM!$P:$P,0))="","",INDEX(F_ProductBM!M:M,MATCH($P1096,F_ProductBM!$P:$P,0))))</f>
        <v/>
      </c>
      <c r="N1096" s="823"/>
      <c r="O1096" s="25"/>
      <c r="P1096" s="822" t="str">
        <f>EUconst_CNTR_WGProduced &amp; I1059</f>
        <v>WasteGasProd_</v>
      </c>
      <c r="Q1096" s="437"/>
      <c r="R1096" s="437"/>
      <c r="S1096" s="437"/>
      <c r="T1096" s="26"/>
    </row>
    <row r="1097" spans="1:20" s="697" customFormat="1" ht="12.75" customHeight="1" x14ac:dyDescent="0.2">
      <c r="A1097" s="437"/>
      <c r="B1097" s="414"/>
      <c r="C1097" s="414"/>
      <c r="D1097" s="414"/>
      <c r="E1097" s="1737" t="str">
        <f>Translations!$B$779</f>
        <v>Īpatnējais EF (radusies atlikumgāze)</v>
      </c>
      <c r="F1097" s="1659"/>
      <c r="G1097" s="1659"/>
      <c r="H1097" s="485" t="str">
        <f>EUconst_tCO2pTJ</f>
        <v>t CO2 / TJ</v>
      </c>
      <c r="I1097" s="923" t="str">
        <f>IF($I1059="","",IF(INDEX(F_ProductBM!I:I,MATCH($P1097,F_ProductBM!$P:$P,0))="","",INDEX(F_ProductBM!I:I,MATCH($P1097,F_ProductBM!$P:$P,0))))</f>
        <v/>
      </c>
      <c r="J1097" s="923" t="str">
        <f>IF($I1059="","",IF(INDEX(F_ProductBM!J:J,MATCH($P1097,F_ProductBM!$P:$P,0))="","",INDEX(F_ProductBM!J:J,MATCH($P1097,F_ProductBM!$P:$P,0))))</f>
        <v/>
      </c>
      <c r="K1097" s="923" t="str">
        <f>IF($I1059="","",IF(INDEX(F_ProductBM!K:K,MATCH($P1097,F_ProductBM!$P:$P,0))="","",INDEX(F_ProductBM!K:K,MATCH($P1097,F_ProductBM!$P:$P,0))))</f>
        <v/>
      </c>
      <c r="L1097" s="923" t="str">
        <f>IF($I1059="","",IF(INDEX(F_ProductBM!L:L,MATCH($P1097,F_ProductBM!$P:$P,0))="","",INDEX(F_ProductBM!L:L,MATCH($P1097,F_ProductBM!$P:$P,0))))</f>
        <v/>
      </c>
      <c r="M1097" s="923" t="str">
        <f>IF($I1059="","",IF(INDEX(F_ProductBM!M:M,MATCH($P1097,F_ProductBM!$P:$P,0))="","",INDEX(F_ProductBM!M:M,MATCH($P1097,F_ProductBM!$P:$P,0))))</f>
        <v/>
      </c>
      <c r="N1097" s="823"/>
      <c r="O1097" s="25"/>
      <c r="P1097" s="367" t="str">
        <f>EUconst_CNTR_WGProducedEF &amp; I1059</f>
        <v>WasteGasProdEF_</v>
      </c>
      <c r="Q1097" s="437"/>
      <c r="R1097" s="437"/>
      <c r="S1097" s="437"/>
      <c r="T1097" s="26"/>
    </row>
    <row r="1098" spans="1:20" s="697" customFormat="1" ht="12.75" customHeight="1" x14ac:dyDescent="0.2">
      <c r="A1098" s="437"/>
      <c r="B1098" s="414"/>
      <c r="C1098" s="414"/>
      <c r="D1098" s="414"/>
      <c r="E1098" s="1667" t="str">
        <f>Translations!$B$783</f>
        <v>Patērētā atlikumgāze</v>
      </c>
      <c r="F1098" s="1660"/>
      <c r="G1098" s="1660"/>
      <c r="H1098" s="466" t="str">
        <f>EUconst_TJpa</f>
        <v>TJ / gads</v>
      </c>
      <c r="I1098" s="922" t="str">
        <f>IF($I1059="","",IF(INDEX(F_ProductBM!I:I,MATCH($P1098,F_ProductBM!$P:$P,0))="","",INDEX(F_ProductBM!I:I,MATCH($P1098,F_ProductBM!$P:$P,0))))</f>
        <v/>
      </c>
      <c r="J1098" s="922" t="str">
        <f>IF($I1059="","",IF(INDEX(F_ProductBM!J:J,MATCH($P1098,F_ProductBM!$P:$P,0))="","",INDEX(F_ProductBM!J:J,MATCH($P1098,F_ProductBM!$P:$P,0))))</f>
        <v/>
      </c>
      <c r="K1098" s="922" t="str">
        <f>IF($I1059="","",IF(INDEX(F_ProductBM!K:K,MATCH($P1098,F_ProductBM!$P:$P,0))="","",INDEX(F_ProductBM!K:K,MATCH($P1098,F_ProductBM!$P:$P,0))))</f>
        <v/>
      </c>
      <c r="L1098" s="922" t="str">
        <f>IF($I1059="","",IF(INDEX(F_ProductBM!L:L,MATCH($P1098,F_ProductBM!$P:$P,0))="","",INDEX(F_ProductBM!L:L,MATCH($P1098,F_ProductBM!$P:$P,0))))</f>
        <v/>
      </c>
      <c r="M1098" s="922" t="str">
        <f>IF($I1059="","",IF(INDEX(F_ProductBM!M:M,MATCH($P1098,F_ProductBM!$P:$P,0))="","",INDEX(F_ProductBM!M:M,MATCH($P1098,F_ProductBM!$P:$P,0))))</f>
        <v/>
      </c>
      <c r="N1098" s="823"/>
      <c r="O1098" s="25"/>
      <c r="P1098" s="367" t="str">
        <f>EUconst_CNTR_WGConsumed &amp; I1059</f>
        <v>WasteGasCons_</v>
      </c>
      <c r="Q1098" s="437"/>
      <c r="R1098" s="437"/>
      <c r="S1098" s="437"/>
      <c r="T1098" s="26"/>
    </row>
    <row r="1099" spans="1:20" s="697" customFormat="1" ht="12.75" customHeight="1" x14ac:dyDescent="0.2">
      <c r="A1099" s="437"/>
      <c r="B1099" s="414"/>
      <c r="C1099" s="414"/>
      <c r="D1099" s="414"/>
      <c r="E1099" s="1737" t="str">
        <f>Translations!$B$784</f>
        <v>Īpatnējais EF (patērētā atlikumgāze)</v>
      </c>
      <c r="F1099" s="1659"/>
      <c r="G1099" s="1659"/>
      <c r="H1099" s="485" t="str">
        <f>EUconst_tCO2pTJ</f>
        <v>t CO2 / TJ</v>
      </c>
      <c r="I1099" s="923" t="str">
        <f>IF($I1059="","",IF(INDEX(F_ProductBM!I:I,MATCH($P1099,F_ProductBM!$P:$P,0))="","",INDEX(F_ProductBM!I:I,MATCH($P1099,F_ProductBM!$P:$P,0))))</f>
        <v/>
      </c>
      <c r="J1099" s="923" t="str">
        <f>IF($I1059="","",IF(INDEX(F_ProductBM!J:J,MATCH($P1099,F_ProductBM!$P:$P,0))="","",INDEX(F_ProductBM!J:J,MATCH($P1099,F_ProductBM!$P:$P,0))))</f>
        <v/>
      </c>
      <c r="K1099" s="923" t="str">
        <f>IF($I1059="","",IF(INDEX(F_ProductBM!K:K,MATCH($P1099,F_ProductBM!$P:$P,0))="","",INDEX(F_ProductBM!K:K,MATCH($P1099,F_ProductBM!$P:$P,0))))</f>
        <v/>
      </c>
      <c r="L1099" s="923" t="str">
        <f>IF($I1059="","",IF(INDEX(F_ProductBM!L:L,MATCH($P1099,F_ProductBM!$P:$P,0))="","",INDEX(F_ProductBM!L:L,MATCH($P1099,F_ProductBM!$P:$P,0))))</f>
        <v/>
      </c>
      <c r="M1099" s="923" t="str">
        <f>IF($I1059="","",IF(INDEX(F_ProductBM!M:M,MATCH($P1099,F_ProductBM!$P:$P,0))="","",INDEX(F_ProductBM!M:M,MATCH($P1099,F_ProductBM!$P:$P,0))))</f>
        <v/>
      </c>
      <c r="N1099" s="823"/>
      <c r="O1099" s="25"/>
      <c r="P1099" s="367" t="str">
        <f>EUconst_CNTR_WGConsumedEF &amp; I1059</f>
        <v>WasteGasConsEF_</v>
      </c>
      <c r="Q1099" s="437"/>
      <c r="R1099" s="437"/>
      <c r="S1099" s="437"/>
      <c r="T1099" s="26"/>
    </row>
    <row r="1100" spans="1:20" s="697" customFormat="1" ht="12.75" customHeight="1" x14ac:dyDescent="0.2">
      <c r="A1100" s="437"/>
      <c r="B1100" s="414"/>
      <c r="C1100" s="414"/>
      <c r="D1100" s="414"/>
      <c r="E1100" s="1667" t="str">
        <f>Translations!$B$790</f>
        <v>Lāpā sadedzinātā atlikumgāze</v>
      </c>
      <c r="F1100" s="1660"/>
      <c r="G1100" s="1660"/>
      <c r="H1100" s="466" t="str">
        <f>EUconst_TJpa</f>
        <v>TJ / gads</v>
      </c>
      <c r="I1100" s="922" t="str">
        <f>IF($I1059="","",IF(INDEX(F_ProductBM!I:I,MATCH($P1100,F_ProductBM!$P:$P,0))="","",INDEX(F_ProductBM!I:I,MATCH($P1100,F_ProductBM!$P:$P,0))))</f>
        <v/>
      </c>
      <c r="J1100" s="922" t="str">
        <f>IF($I1059="","",IF(INDEX(F_ProductBM!J:J,MATCH($P1100,F_ProductBM!$P:$P,0))="","",INDEX(F_ProductBM!J:J,MATCH($P1100,F_ProductBM!$P:$P,0))))</f>
        <v/>
      </c>
      <c r="K1100" s="922" t="str">
        <f>IF($I1059="","",IF(INDEX(F_ProductBM!K:K,MATCH($P1100,F_ProductBM!$P:$P,0))="","",INDEX(F_ProductBM!K:K,MATCH($P1100,F_ProductBM!$P:$P,0))))</f>
        <v/>
      </c>
      <c r="L1100" s="922" t="str">
        <f>IF($I1059="","",IF(INDEX(F_ProductBM!L:L,MATCH($P1100,F_ProductBM!$P:$P,0))="","",INDEX(F_ProductBM!L:L,MATCH($P1100,F_ProductBM!$P:$P,0))))</f>
        <v/>
      </c>
      <c r="M1100" s="922" t="str">
        <f>IF($I1059="","",IF(INDEX(F_ProductBM!M:M,MATCH($P1100,F_ProductBM!$P:$P,0))="","",INDEX(F_ProductBM!M:M,MATCH($P1100,F_ProductBM!$P:$P,0))))</f>
        <v/>
      </c>
      <c r="N1100" s="823"/>
      <c r="O1100" s="25"/>
      <c r="P1100" s="367" t="str">
        <f>EUconst_CNTR_WGFlared &amp; I1059</f>
        <v>WasteGasFlare_</v>
      </c>
      <c r="Q1100" s="437"/>
      <c r="R1100" s="437"/>
      <c r="S1100" s="437"/>
      <c r="T1100" s="26"/>
    </row>
    <row r="1101" spans="1:20" s="697" customFormat="1" ht="12.75" customHeight="1" x14ac:dyDescent="0.2">
      <c r="A1101" s="437"/>
      <c r="B1101" s="414"/>
      <c r="C1101" s="414"/>
      <c r="D1101" s="414"/>
      <c r="E1101" s="1737" t="str">
        <f>Translations!$B$791</f>
        <v>Īpatnējais EF (lāpā sadedzinātā atlikumgāze)</v>
      </c>
      <c r="F1101" s="1659"/>
      <c r="G1101" s="1659"/>
      <c r="H1101" s="485" t="str">
        <f>EUconst_tCO2pTJ</f>
        <v>t CO2 / TJ</v>
      </c>
      <c r="I1101" s="923" t="str">
        <f>IF($I1059="","",IF(INDEX(F_ProductBM!I:I,MATCH($P1101,F_ProductBM!$P:$P,0))="","",INDEX(F_ProductBM!I:I,MATCH($P1101,F_ProductBM!$P:$P,0))))</f>
        <v/>
      </c>
      <c r="J1101" s="923" t="str">
        <f>IF($I1059="","",IF(INDEX(F_ProductBM!J:J,MATCH($P1101,F_ProductBM!$P:$P,0))="","",INDEX(F_ProductBM!J:J,MATCH($P1101,F_ProductBM!$P:$P,0))))</f>
        <v/>
      </c>
      <c r="K1101" s="923" t="str">
        <f>IF($I1059="","",IF(INDEX(F_ProductBM!K:K,MATCH($P1101,F_ProductBM!$P:$P,0))="","",INDEX(F_ProductBM!K:K,MATCH($P1101,F_ProductBM!$P:$P,0))))</f>
        <v/>
      </c>
      <c r="L1101" s="923" t="str">
        <f>IF($I1059="","",IF(INDEX(F_ProductBM!L:L,MATCH($P1101,F_ProductBM!$P:$P,0))="","",INDEX(F_ProductBM!L:L,MATCH($P1101,F_ProductBM!$P:$P,0))))</f>
        <v/>
      </c>
      <c r="M1101" s="923" t="str">
        <f>IF($I1059="","",IF(INDEX(F_ProductBM!M:M,MATCH($P1101,F_ProductBM!$P:$P,0))="","",INDEX(F_ProductBM!M:M,MATCH($P1101,F_ProductBM!$P:$P,0))))</f>
        <v/>
      </c>
      <c r="N1101" s="823"/>
      <c r="O1101" s="25"/>
      <c r="P1101" s="367" t="str">
        <f>EUconst_CNTR_WGFlaredEF &amp; I1059</f>
        <v>WasteGasFlareEF_</v>
      </c>
      <c r="Q1101" s="437"/>
      <c r="R1101" s="437"/>
      <c r="S1101" s="437"/>
      <c r="T1101" s="26"/>
    </row>
    <row r="1102" spans="1:20" s="697" customFormat="1" ht="12.75" customHeight="1" x14ac:dyDescent="0.2">
      <c r="A1102" s="437"/>
      <c r="B1102" s="414"/>
      <c r="C1102" s="414"/>
      <c r="D1102" s="414"/>
      <c r="E1102" s="1667" t="str">
        <f>Translations!$B$796</f>
        <v>Importētā atlikumgāze</v>
      </c>
      <c r="F1102" s="1660"/>
      <c r="G1102" s="1660"/>
      <c r="H1102" s="466" t="str">
        <f>EUconst_TJpa</f>
        <v>TJ / gads</v>
      </c>
      <c r="I1102" s="922" t="str">
        <f>IF($I1059="","",IF(INDEX(F_ProductBM!I:I,MATCH($P1102,F_ProductBM!$P:$P,0))="","",INDEX(F_ProductBM!I:I,MATCH($P1102,F_ProductBM!$P:$P,0))))</f>
        <v/>
      </c>
      <c r="J1102" s="922" t="str">
        <f>IF($I1059="","",IF(INDEX(F_ProductBM!J:J,MATCH($P1102,F_ProductBM!$P:$P,0))="","",INDEX(F_ProductBM!J:J,MATCH($P1102,F_ProductBM!$P:$P,0))))</f>
        <v/>
      </c>
      <c r="K1102" s="922" t="str">
        <f>IF($I1059="","",IF(INDEX(F_ProductBM!K:K,MATCH($P1102,F_ProductBM!$P:$P,0))="","",INDEX(F_ProductBM!K:K,MATCH($P1102,F_ProductBM!$P:$P,0))))</f>
        <v/>
      </c>
      <c r="L1102" s="922" t="str">
        <f>IF($I1059="","",IF(INDEX(F_ProductBM!L:L,MATCH($P1102,F_ProductBM!$P:$P,0))="","",INDEX(F_ProductBM!L:L,MATCH($P1102,F_ProductBM!$P:$P,0))))</f>
        <v/>
      </c>
      <c r="M1102" s="922" t="str">
        <f>IF($I1059="","",IF(INDEX(F_ProductBM!M:M,MATCH($P1102,F_ProductBM!$P:$P,0))="","",INDEX(F_ProductBM!M:M,MATCH($P1102,F_ProductBM!$P:$P,0))))</f>
        <v/>
      </c>
      <c r="N1102" s="823"/>
      <c r="O1102" s="25"/>
      <c r="P1102" s="367" t="str">
        <f>EUconst_CNTR_WGImport &amp; I1059</f>
        <v>WasteGasIm_</v>
      </c>
      <c r="Q1102" s="437"/>
      <c r="R1102" s="437"/>
      <c r="S1102" s="437"/>
      <c r="T1102" s="26"/>
    </row>
    <row r="1103" spans="1:20" s="697" customFormat="1" ht="12.75" customHeight="1" x14ac:dyDescent="0.2">
      <c r="A1103" s="437"/>
      <c r="B1103" s="414"/>
      <c r="C1103" s="414"/>
      <c r="D1103" s="414"/>
      <c r="E1103" s="1737" t="str">
        <f>Translations!$B$797</f>
        <v>Īpatnējais EF (importētā atlikumgāze)</v>
      </c>
      <c r="F1103" s="1737"/>
      <c r="G1103" s="1737"/>
      <c r="H1103" s="824" t="str">
        <f>EUconst_tCO2pTJ</f>
        <v>t CO2 / TJ</v>
      </c>
      <c r="I1103" s="923" t="str">
        <f>IF($I1059="","",IF(INDEX(F_ProductBM!I:I,MATCH($P1103,F_ProductBM!$P:$P,0))="","",INDEX(F_ProductBM!I:I,MATCH($P1103,F_ProductBM!$P:$P,0))))</f>
        <v/>
      </c>
      <c r="J1103" s="923" t="str">
        <f>IF($I1059="","",IF(INDEX(F_ProductBM!J:J,MATCH($P1103,F_ProductBM!$P:$P,0))="","",INDEX(F_ProductBM!J:J,MATCH($P1103,F_ProductBM!$P:$P,0))))</f>
        <v/>
      </c>
      <c r="K1103" s="923" t="str">
        <f>IF($I1059="","",IF(INDEX(F_ProductBM!K:K,MATCH($P1103,F_ProductBM!$P:$P,0))="","",INDEX(F_ProductBM!K:K,MATCH($P1103,F_ProductBM!$P:$P,0))))</f>
        <v/>
      </c>
      <c r="L1103" s="923" t="str">
        <f>IF($I1059="","",IF(INDEX(F_ProductBM!L:L,MATCH($P1103,F_ProductBM!$P:$P,0))="","",INDEX(F_ProductBM!L:L,MATCH($P1103,F_ProductBM!$P:$P,0))))</f>
        <v/>
      </c>
      <c r="M1103" s="923" t="str">
        <f>IF($I1059="","",IF(INDEX(F_ProductBM!M:M,MATCH($P1103,F_ProductBM!$P:$P,0))="","",INDEX(F_ProductBM!M:M,MATCH($P1103,F_ProductBM!$P:$P,0))))</f>
        <v/>
      </c>
      <c r="N1103" s="823"/>
      <c r="O1103" s="25"/>
      <c r="P1103" s="367" t="str">
        <f>EUconst_CNTR_WGImportEF &amp; I1059</f>
        <v>WasteGasImEF_</v>
      </c>
      <c r="Q1103" s="437"/>
      <c r="R1103" s="437"/>
      <c r="S1103" s="437"/>
      <c r="T1103" s="26"/>
    </row>
    <row r="1104" spans="1:20" s="697" customFormat="1" ht="12.75" customHeight="1" x14ac:dyDescent="0.2">
      <c r="A1104" s="437"/>
      <c r="B1104" s="414"/>
      <c r="C1104" s="414"/>
      <c r="D1104" s="414"/>
      <c r="E1104" s="1667" t="str">
        <f>Translations!$B$801</f>
        <v>Eksportētā atlikumgāze</v>
      </c>
      <c r="F1104" s="1660"/>
      <c r="G1104" s="1660"/>
      <c r="H1104" s="466" t="str">
        <f>EUconst_TJpa</f>
        <v>TJ / gads</v>
      </c>
      <c r="I1104" s="922" t="str">
        <f>IF($I1059="","",IF(INDEX(F_ProductBM!I:I,MATCH($P1104,F_ProductBM!$P:$P,0))="","",INDEX(F_ProductBM!I:I,MATCH($P1104,F_ProductBM!$P:$P,0))))</f>
        <v/>
      </c>
      <c r="J1104" s="922" t="str">
        <f>IF($I1059="","",IF(INDEX(F_ProductBM!J:J,MATCH($P1104,F_ProductBM!$P:$P,0))="","",INDEX(F_ProductBM!J:J,MATCH($P1104,F_ProductBM!$P:$P,0))))</f>
        <v/>
      </c>
      <c r="K1104" s="922" t="str">
        <f>IF($I1059="","",IF(INDEX(F_ProductBM!K:K,MATCH($P1104,F_ProductBM!$P:$P,0))="","",INDEX(F_ProductBM!K:K,MATCH($P1104,F_ProductBM!$P:$P,0))))</f>
        <v/>
      </c>
      <c r="L1104" s="922" t="str">
        <f>IF($I1059="","",IF(INDEX(F_ProductBM!L:L,MATCH($P1104,F_ProductBM!$P:$P,0))="","",INDEX(F_ProductBM!L:L,MATCH($P1104,F_ProductBM!$P:$P,0))))</f>
        <v/>
      </c>
      <c r="M1104" s="922" t="str">
        <f>IF($I1059="","",IF(INDEX(F_ProductBM!M:M,MATCH($P1104,F_ProductBM!$P:$P,0))="","",INDEX(F_ProductBM!M:M,MATCH($P1104,F_ProductBM!$P:$P,0))))</f>
        <v/>
      </c>
      <c r="N1104" s="823"/>
      <c r="O1104" s="25"/>
      <c r="P1104" s="367" t="str">
        <f>EUconst_CNTR_WGExport &amp; I1059</f>
        <v>WasteGasEx_</v>
      </c>
      <c r="Q1104" s="437"/>
      <c r="R1104" s="437"/>
      <c r="S1104" s="437"/>
      <c r="T1104" s="26"/>
    </row>
    <row r="1105" spans="1:20" s="697" customFormat="1" ht="12.75" customHeight="1" x14ac:dyDescent="0.2">
      <c r="A1105" s="437"/>
      <c r="B1105" s="414"/>
      <c r="C1105" s="414"/>
      <c r="D1105" s="414"/>
      <c r="E1105" s="1737" t="str">
        <f>Translations!$B$802</f>
        <v>Īpatnējais EF (eksportētā atlikumgāze)</v>
      </c>
      <c r="F1105" s="1737"/>
      <c r="G1105" s="1737"/>
      <c r="H1105" s="824" t="str">
        <f>EUconst_tCO2pTJ</f>
        <v>t CO2 / TJ</v>
      </c>
      <c r="I1105" s="923" t="str">
        <f>IF($I1059="","",IF(INDEX(F_ProductBM!I:I,MATCH($P1105,F_ProductBM!$P:$P,0))="","",INDEX(F_ProductBM!I:I,MATCH($P1105,F_ProductBM!$P:$P,0))))</f>
        <v/>
      </c>
      <c r="J1105" s="923" t="str">
        <f>IF($I1059="","",IF(INDEX(F_ProductBM!J:J,MATCH($P1105,F_ProductBM!$P:$P,0))="","",INDEX(F_ProductBM!J:J,MATCH($P1105,F_ProductBM!$P:$P,0))))</f>
        <v/>
      </c>
      <c r="K1105" s="923" t="str">
        <f>IF($I1059="","",IF(INDEX(F_ProductBM!K:K,MATCH($P1105,F_ProductBM!$P:$P,0))="","",INDEX(F_ProductBM!K:K,MATCH($P1105,F_ProductBM!$P:$P,0))))</f>
        <v/>
      </c>
      <c r="L1105" s="923" t="str">
        <f>IF($I1059="","",IF(INDEX(F_ProductBM!L:L,MATCH($P1105,F_ProductBM!$P:$P,0))="","",INDEX(F_ProductBM!L:L,MATCH($P1105,F_ProductBM!$P:$P,0))))</f>
        <v/>
      </c>
      <c r="M1105" s="923" t="str">
        <f>IF($I1059="","",IF(INDEX(F_ProductBM!M:M,MATCH($P1105,F_ProductBM!$P:$P,0))="","",INDEX(F_ProductBM!M:M,MATCH($P1105,F_ProductBM!$P:$P,0))))</f>
        <v/>
      </c>
      <c r="N1105" s="823"/>
      <c r="O1105" s="25"/>
      <c r="P1105" s="367" t="str">
        <f>EUconst_CNTR_WGExportEF &amp; I1059</f>
        <v>WasteGasExEF_</v>
      </c>
      <c r="Q1105" s="437"/>
      <c r="R1105" s="437"/>
      <c r="S1105" s="437"/>
      <c r="T1105" s="26"/>
    </row>
    <row r="1106" spans="1:20" s="697" customFormat="1" ht="5.0999999999999996" customHeight="1" x14ac:dyDescent="0.2">
      <c r="A1106" s="437"/>
      <c r="B1106" s="414"/>
      <c r="C1106" s="414"/>
      <c r="D1106" s="414"/>
      <c r="E1106" s="526"/>
      <c r="F1106" s="526"/>
      <c r="G1106" s="526"/>
      <c r="H1106" s="526"/>
      <c r="I1106" s="924"/>
      <c r="J1106" s="924"/>
      <c r="K1106" s="924"/>
      <c r="L1106" s="924"/>
      <c r="M1106" s="924"/>
      <c r="N1106" s="823"/>
      <c r="O1106" s="25"/>
      <c r="P1106" s="199"/>
      <c r="Q1106" s="437"/>
      <c r="R1106" s="437"/>
      <c r="S1106" s="437"/>
      <c r="T1106" s="26"/>
    </row>
    <row r="1107" spans="1:20" s="697" customFormat="1" ht="12.75" customHeight="1" x14ac:dyDescent="0.2">
      <c r="A1107" s="437"/>
      <c r="B1107" s="414"/>
      <c r="C1107" s="414"/>
      <c r="D1107" s="414"/>
      <c r="E1107" s="1651" t="str">
        <f>Translations!$B$805</f>
        <v>Saražotā elektroenerģija</v>
      </c>
      <c r="F1107" s="1652"/>
      <c r="G1107" s="1652"/>
      <c r="H1107" s="465" t="str">
        <f>EUconst_MWhpa</f>
        <v>MWh / gads</v>
      </c>
      <c r="I1107" s="925" t="str">
        <f>IF($I1059="","",IF(INDEX(F_ProductBM!I:I,MATCH($P1107,F_ProductBM!$P:$P,0))="","",INDEX(F_ProductBM!I:I,MATCH($P1107,F_ProductBM!$P:$P,0))))</f>
        <v/>
      </c>
      <c r="J1107" s="925" t="str">
        <f>IF($I1059="","",IF(INDEX(F_ProductBM!J:J,MATCH($P1107,F_ProductBM!$P:$P,0))="","",INDEX(F_ProductBM!J:J,MATCH($P1107,F_ProductBM!$P:$P,0))))</f>
        <v/>
      </c>
      <c r="K1107" s="925" t="str">
        <f>IF($I1059="","",IF(INDEX(F_ProductBM!K:K,MATCH($P1107,F_ProductBM!$P:$P,0))="","",INDEX(F_ProductBM!K:K,MATCH($P1107,F_ProductBM!$P:$P,0))))</f>
        <v/>
      </c>
      <c r="L1107" s="925" t="str">
        <f>IF($I1059="","",IF(INDEX(F_ProductBM!L:L,MATCH($P1107,F_ProductBM!$P:$P,0))="","",INDEX(F_ProductBM!L:L,MATCH($P1107,F_ProductBM!$P:$P,0))))</f>
        <v/>
      </c>
      <c r="M1107" s="925" t="str">
        <f>IF($I1059="","",IF(INDEX(F_ProductBM!M:M,MATCH($P1107,F_ProductBM!$P:$P,0))="","",INDEX(F_ProductBM!M:M,MATCH($P1107,F_ProductBM!$P:$P,0))))</f>
        <v/>
      </c>
      <c r="N1107" s="823"/>
      <c r="O1107" s="25"/>
      <c r="P1107" s="367" t="str">
        <f>EUconst_CNTR_ElectricityExported &amp; I1059</f>
        <v>ElecEx_</v>
      </c>
      <c r="Q1107" s="437"/>
      <c r="R1107" s="437"/>
      <c r="S1107" s="437"/>
      <c r="T1107" s="26"/>
    </row>
    <row r="1108" spans="1:20" s="697" customFormat="1" ht="5.0999999999999996" customHeight="1" x14ac:dyDescent="0.2">
      <c r="A1108" s="437"/>
      <c r="B1108" s="414"/>
      <c r="C1108" s="414"/>
      <c r="D1108" s="414"/>
      <c r="E1108" s="526"/>
      <c r="F1108" s="526"/>
      <c r="G1108" s="526"/>
      <c r="H1108" s="526"/>
      <c r="I1108" s="924"/>
      <c r="J1108" s="924"/>
      <c r="K1108" s="924"/>
      <c r="L1108" s="924"/>
      <c r="M1108" s="924"/>
      <c r="N1108" s="823"/>
      <c r="O1108" s="25"/>
      <c r="P1108" s="199"/>
      <c r="Q1108" s="437"/>
      <c r="R1108" s="437"/>
      <c r="S1108" s="437"/>
      <c r="T1108" s="26"/>
    </row>
    <row r="1109" spans="1:20" s="697" customFormat="1" x14ac:dyDescent="0.2">
      <c r="A1109" s="437"/>
      <c r="B1109" s="414"/>
      <c r="C1109" s="414"/>
      <c r="D1109" s="414"/>
      <c r="E1109" s="1206" t="str">
        <f>Translations!$B$1239</f>
        <v>Starpproduktu imports:</v>
      </c>
      <c r="F1109" s="526"/>
      <c r="G1109" s="526"/>
      <c r="H1109" s="526"/>
      <c r="I1109" s="924"/>
      <c r="J1109" s="924"/>
      <c r="K1109" s="924"/>
      <c r="L1109" s="924"/>
      <c r="M1109" s="924"/>
      <c r="N1109" s="823"/>
      <c r="O1109" s="25"/>
      <c r="P1109" s="199"/>
      <c r="Q1109" s="437"/>
      <c r="R1109" s="437"/>
      <c r="S1109" s="437"/>
      <c r="T1109" s="26"/>
    </row>
    <row r="1110" spans="1:20" s="697" customFormat="1" x14ac:dyDescent="0.2">
      <c r="A1110" s="437"/>
      <c r="B1110" s="414"/>
      <c r="C1110" s="414"/>
      <c r="D1110" s="414"/>
      <c r="E1110" s="1689" t="str">
        <f>IF($I1059="","",IF(INDEX(F_ProductBM!E:E,MATCH($P1110,F_ProductBM!$P:$P,0))="","",INDEX(F_ProductBM!E:E,MATCH($P1110,F_ProductBM!$P:$P,0))))</f>
        <v/>
      </c>
      <c r="F1110" s="1689"/>
      <c r="G1110" s="1689"/>
      <c r="H1110" s="465" t="str">
        <f>EUconst_Tons</f>
        <v>tonnas</v>
      </c>
      <c r="I1110" s="1103" t="str">
        <f>IF($I1059="","",IF(INDEX(F_ProductBM!I:I,MATCH($P1110,F_ProductBM!$P:$P,0))="","",INDEX(F_ProductBM!I:I,MATCH($P1110,F_ProductBM!$P:$P,0))))</f>
        <v/>
      </c>
      <c r="J1110" s="1103" t="str">
        <f>IF($I1059="","",IF(INDEX(F_ProductBM!J:J,MATCH($P1110,F_ProductBM!$P:$P,0))="","",INDEX(F_ProductBM!J:J,MATCH($P1110,F_ProductBM!$P:$P,0))))</f>
        <v/>
      </c>
      <c r="K1110" s="1103" t="str">
        <f>IF($I1059="","",IF(INDEX(F_ProductBM!K:K,MATCH($P1110,F_ProductBM!$P:$P,0))="","",INDEX(F_ProductBM!K:K,MATCH($P1110,F_ProductBM!$P:$P,0))))</f>
        <v/>
      </c>
      <c r="L1110" s="1103" t="str">
        <f>IF($I1059="","",IF(INDEX(F_ProductBM!L:L,MATCH($P1110,F_ProductBM!$P:$P,0))="","",INDEX(F_ProductBM!L:L,MATCH($P1110,F_ProductBM!$P:$P,0))))</f>
        <v/>
      </c>
      <c r="M1110" s="1103" t="str">
        <f>IF($I1059="","",IF(INDEX(F_ProductBM!M:M,MATCH($P1110,F_ProductBM!$P:$P,0))="","",INDEX(F_ProductBM!M:M,MATCH($P1110,F_ProductBM!$P:$P,0))))</f>
        <v/>
      </c>
      <c r="N1110" s="823"/>
      <c r="O1110" s="25"/>
      <c r="P1110" s="367" t="str">
        <f>EUconst_CNTR_IntermediateImport &amp; R1110 &amp; "_" &amp; I1059</f>
        <v>IntImp_1_</v>
      </c>
      <c r="Q1110" s="437"/>
      <c r="R1110" s="869">
        <v>1</v>
      </c>
      <c r="S1110" s="437"/>
      <c r="T1110" s="26"/>
    </row>
    <row r="1111" spans="1:20" s="697" customFormat="1" x14ac:dyDescent="0.2">
      <c r="A1111" s="437"/>
      <c r="B1111" s="414"/>
      <c r="C1111" s="414"/>
      <c r="D1111" s="414"/>
      <c r="E1111" s="1689" t="str">
        <f>IF($I1059="","",IF(INDEX(F_ProductBM!E:E,MATCH($P1111,F_ProductBM!$P:$P,0))="","",INDEX(F_ProductBM!E:E,MATCH($P1111,F_ProductBM!$P:$P,0))))</f>
        <v/>
      </c>
      <c r="F1111" s="1689"/>
      <c r="G1111" s="1689"/>
      <c r="H1111" s="465" t="str">
        <f>EUconst_Tons</f>
        <v>tonnas</v>
      </c>
      <c r="I1111" s="1103" t="str">
        <f>IF($I1059="","",IF(INDEX(F_ProductBM!I:I,MATCH($P1111,F_ProductBM!$P:$P,0))="","",INDEX(F_ProductBM!I:I,MATCH($P1111,F_ProductBM!$P:$P,0))))</f>
        <v/>
      </c>
      <c r="J1111" s="1103" t="str">
        <f>IF($I1059="","",IF(INDEX(F_ProductBM!J:J,MATCH($P1111,F_ProductBM!$P:$P,0))="","",INDEX(F_ProductBM!J:J,MATCH($P1111,F_ProductBM!$P:$P,0))))</f>
        <v/>
      </c>
      <c r="K1111" s="1103" t="str">
        <f>IF($I1059="","",IF(INDEX(F_ProductBM!K:K,MATCH($P1111,F_ProductBM!$P:$P,0))="","",INDEX(F_ProductBM!K:K,MATCH($P1111,F_ProductBM!$P:$P,0))))</f>
        <v/>
      </c>
      <c r="L1111" s="1103" t="str">
        <f>IF($I1059="","",IF(INDEX(F_ProductBM!L:L,MATCH($P1111,F_ProductBM!$P:$P,0))="","",INDEX(F_ProductBM!L:L,MATCH($P1111,F_ProductBM!$P:$P,0))))</f>
        <v/>
      </c>
      <c r="M1111" s="1103" t="str">
        <f>IF($I1059="","",IF(INDEX(F_ProductBM!M:M,MATCH($P1111,F_ProductBM!$P:$P,0))="","",INDEX(F_ProductBM!M:M,MATCH($P1111,F_ProductBM!$P:$P,0))))</f>
        <v/>
      </c>
      <c r="N1111" s="823"/>
      <c r="O1111" s="25"/>
      <c r="P1111" s="367" t="str">
        <f>EUconst_CNTR_IntermediateImport &amp; R1111 &amp; "_" &amp; I1059</f>
        <v>IntImp_2_</v>
      </c>
      <c r="Q1111" s="437"/>
      <c r="R1111" s="869">
        <v>2</v>
      </c>
      <c r="S1111" s="437"/>
      <c r="T1111" s="26"/>
    </row>
    <row r="1112" spans="1:20" s="697" customFormat="1" x14ac:dyDescent="0.2">
      <c r="A1112" s="437"/>
      <c r="B1112" s="414"/>
      <c r="C1112" s="414"/>
      <c r="D1112" s="414"/>
      <c r="E1112" s="1206" t="str">
        <f>Translations!$B$1240</f>
        <v>Starpproduktu eksports:</v>
      </c>
      <c r="F1112" s="526"/>
      <c r="G1112" s="526"/>
      <c r="H1112" s="526"/>
      <c r="I1112" s="1140"/>
      <c r="J1112" s="1140"/>
      <c r="K1112" s="1140"/>
      <c r="L1112" s="1140"/>
      <c r="M1112" s="1140"/>
      <c r="N1112" s="823"/>
      <c r="O1112" s="25"/>
      <c r="P1112" s="199"/>
      <c r="Q1112" s="437"/>
      <c r="R1112" s="437"/>
      <c r="S1112" s="437"/>
      <c r="T1112" s="26"/>
    </row>
    <row r="1113" spans="1:20" s="697" customFormat="1" x14ac:dyDescent="0.2">
      <c r="A1113" s="437"/>
      <c r="B1113" s="414"/>
      <c r="C1113" s="414"/>
      <c r="D1113" s="414"/>
      <c r="E1113" s="1689" t="str">
        <f>IF($I1059="","",IF(INDEX(F_ProductBM!E:E,MATCH($P1113,F_ProductBM!$P:$P,0))="","",INDEX(F_ProductBM!E:E,MATCH($P1113,F_ProductBM!$P:$P,0))))</f>
        <v/>
      </c>
      <c r="F1113" s="1689"/>
      <c r="G1113" s="1689"/>
      <c r="H1113" s="465" t="str">
        <f>EUconst_Tons</f>
        <v>tonnas</v>
      </c>
      <c r="I1113" s="1103" t="str">
        <f>IF($I1059="","",IF(INDEX(F_ProductBM!I:I,MATCH($P1113,F_ProductBM!$P:$P,0))="","",INDEX(F_ProductBM!I:I,MATCH($P1113,F_ProductBM!$P:$P,0))))</f>
        <v/>
      </c>
      <c r="J1113" s="1103" t="str">
        <f>IF($I1059="","",IF(INDEX(F_ProductBM!J:J,MATCH($P1113,F_ProductBM!$P:$P,0))="","",INDEX(F_ProductBM!J:J,MATCH($P1113,F_ProductBM!$P:$P,0))))</f>
        <v/>
      </c>
      <c r="K1113" s="1103" t="str">
        <f>IF($I1059="","",IF(INDEX(F_ProductBM!K:K,MATCH($P1113,F_ProductBM!$P:$P,0))="","",INDEX(F_ProductBM!K:K,MATCH($P1113,F_ProductBM!$P:$P,0))))</f>
        <v/>
      </c>
      <c r="L1113" s="1103" t="str">
        <f>IF($I1059="","",IF(INDEX(F_ProductBM!L:L,MATCH($P1113,F_ProductBM!$P:$P,0))="","",INDEX(F_ProductBM!L:L,MATCH($P1113,F_ProductBM!$P:$P,0))))</f>
        <v/>
      </c>
      <c r="M1113" s="1103" t="str">
        <f>IF($I1059="","",IF(INDEX(F_ProductBM!M:M,MATCH($P1113,F_ProductBM!$P:$P,0))="","",INDEX(F_ProductBM!M:M,MATCH($P1113,F_ProductBM!$P:$P,0))))</f>
        <v/>
      </c>
      <c r="N1113" s="823"/>
      <c r="O1113" s="25"/>
      <c r="P1113" s="367" t="str">
        <f>EUconst_CNTR_IntermediateExport &amp; R1110 &amp; "_" &amp; I1059</f>
        <v>IntExp_1_</v>
      </c>
      <c r="Q1113" s="437"/>
      <c r="R1113" s="869">
        <v>1</v>
      </c>
      <c r="S1113" s="437"/>
      <c r="T1113" s="26"/>
    </row>
    <row r="1114" spans="1:20" s="697" customFormat="1" x14ac:dyDescent="0.2">
      <c r="A1114" s="437"/>
      <c r="B1114" s="414"/>
      <c r="C1114" s="414"/>
      <c r="D1114" s="414"/>
      <c r="E1114" s="1689" t="str">
        <f>IF($I1059="","",IF(INDEX(F_ProductBM!E:E,MATCH($P1114,F_ProductBM!$P:$P,0))="","",INDEX(F_ProductBM!E:E,MATCH($P1114,F_ProductBM!$P:$P,0))))</f>
        <v/>
      </c>
      <c r="F1114" s="1689"/>
      <c r="G1114" s="1689"/>
      <c r="H1114" s="465" t="str">
        <f>EUconst_Tons</f>
        <v>tonnas</v>
      </c>
      <c r="I1114" s="1103" t="str">
        <f>IF($I1059="","",IF(INDEX(F_ProductBM!I:I,MATCH($P1114,F_ProductBM!$P:$P,0))="","",INDEX(F_ProductBM!I:I,MATCH($P1114,F_ProductBM!$P:$P,0))))</f>
        <v/>
      </c>
      <c r="J1114" s="1103" t="str">
        <f>IF($I1059="","",IF(INDEX(F_ProductBM!J:J,MATCH($P1114,F_ProductBM!$P:$P,0))="","",INDEX(F_ProductBM!J:J,MATCH($P1114,F_ProductBM!$P:$P,0))))</f>
        <v/>
      </c>
      <c r="K1114" s="1103" t="str">
        <f>IF($I1059="","",IF(INDEX(F_ProductBM!K:K,MATCH($P1114,F_ProductBM!$P:$P,0))="","",INDEX(F_ProductBM!K:K,MATCH($P1114,F_ProductBM!$P:$P,0))))</f>
        <v/>
      </c>
      <c r="L1114" s="1103" t="str">
        <f>IF($I1059="","",IF(INDEX(F_ProductBM!L:L,MATCH($P1114,F_ProductBM!$P:$P,0))="","",INDEX(F_ProductBM!L:L,MATCH($P1114,F_ProductBM!$P:$P,0))))</f>
        <v/>
      </c>
      <c r="M1114" s="1103" t="str">
        <f>IF($I1059="","",IF(INDEX(F_ProductBM!M:M,MATCH($P1114,F_ProductBM!$P:$P,0))="","",INDEX(F_ProductBM!M:M,MATCH($P1114,F_ProductBM!$P:$P,0))))</f>
        <v/>
      </c>
      <c r="N1114" s="823"/>
      <c r="O1114" s="25"/>
      <c r="P1114" s="367" t="str">
        <f>EUconst_CNTR_IntermediateExport &amp; R1114 &amp; "_" &amp; I1059</f>
        <v>IntExp_2_</v>
      </c>
      <c r="Q1114" s="437"/>
      <c r="R1114" s="869">
        <v>2</v>
      </c>
      <c r="S1114" s="437"/>
      <c r="T1114" s="26"/>
    </row>
    <row r="1115" spans="1:20" s="697" customFormat="1" ht="5.0999999999999996" customHeight="1" x14ac:dyDescent="0.2">
      <c r="A1115" s="437"/>
      <c r="B1115" s="414"/>
      <c r="C1115" s="414"/>
      <c r="D1115" s="414"/>
      <c r="E1115" s="526"/>
      <c r="F1115" s="526"/>
      <c r="G1115" s="526"/>
      <c r="H1115" s="526"/>
      <c r="I1115" s="823"/>
      <c r="J1115" s="823"/>
      <c r="K1115" s="823"/>
      <c r="L1115" s="823"/>
      <c r="M1115" s="823"/>
      <c r="N1115" s="823"/>
      <c r="O1115" s="25"/>
      <c r="P1115" s="199"/>
      <c r="Q1115" s="437"/>
      <c r="R1115" s="931"/>
      <c r="S1115" s="437"/>
      <c r="T1115" s="26"/>
    </row>
    <row r="1116" spans="1:20" s="697" customFormat="1" x14ac:dyDescent="0.2">
      <c r="A1116" s="437"/>
      <c r="B1116" s="414"/>
      <c r="C1116" s="414"/>
      <c r="D1116" s="414"/>
      <c r="E1116" s="1881" t="str">
        <f>Translations!$B$1729</f>
        <v>Korekcijas īpašās līmeņatzīmes atjaunināšanai (attiecīgā gadījumā)</v>
      </c>
      <c r="F1116" s="1881"/>
      <c r="G1116" s="1881"/>
      <c r="H1116" s="1881"/>
      <c r="I1116" s="1881"/>
      <c r="J1116" s="1881"/>
      <c r="K1116" s="1881"/>
      <c r="L1116" s="1881"/>
      <c r="M1116" s="1881"/>
      <c r="N1116" s="823"/>
      <c r="O1116" s="25"/>
      <c r="P1116" s="199"/>
      <c r="Q1116" s="437"/>
      <c r="R1116" s="931"/>
      <c r="S1116" s="437"/>
      <c r="T1116" s="26"/>
    </row>
    <row r="1117" spans="1:20" s="697" customFormat="1" ht="12.75" customHeight="1" x14ac:dyDescent="0.2">
      <c r="A1117" s="437"/>
      <c r="B1117" s="414"/>
      <c r="C1117" s="414"/>
      <c r="D1117" s="414"/>
      <c r="E1117" s="1651" t="str">
        <f>Translations!$B$806</f>
        <v>Kopējais saražotās pulpas daudzums</v>
      </c>
      <c r="F1117" s="1651"/>
      <c r="G1117" s="1651"/>
      <c r="H1117" s="465" t="str">
        <f>EUconst_Tons</f>
        <v>tonnas</v>
      </c>
      <c r="I1117" s="1103" t="str">
        <f>IF($I1059="","",IF(INDEX(F_ProductBM!I:I,MATCH($P1117,F_ProductBM!$P:$P,0))="","",INDEX(F_ProductBM!I:I,MATCH($P1117,F_ProductBM!$P:$P,0))))</f>
        <v/>
      </c>
      <c r="J1117" s="1103" t="str">
        <f>IF($I1059="","",IF(INDEX(F_ProductBM!J:J,MATCH($P1117,F_ProductBM!$P:$P,0))="","",INDEX(F_ProductBM!J:J,MATCH($P1117,F_ProductBM!$P:$P,0))))</f>
        <v/>
      </c>
      <c r="K1117" s="1103" t="str">
        <f>IF($I1059="","",IF(INDEX(F_ProductBM!K:K,MATCH($P1117,F_ProductBM!$P:$P,0))="","",INDEX(F_ProductBM!K:K,MATCH($P1117,F_ProductBM!$P:$P,0))))</f>
        <v/>
      </c>
      <c r="L1117" s="1103" t="str">
        <f>IF($I1059="","",IF(INDEX(F_ProductBM!L:L,MATCH($P1117,F_ProductBM!$P:$P,0))="","",INDEX(F_ProductBM!L:L,MATCH($P1117,F_ProductBM!$P:$P,0))))</f>
        <v/>
      </c>
      <c r="M1117" s="1103" t="str">
        <f>IF($I1059="","",IF(INDEX(F_ProductBM!M:M,MATCH($P1117,F_ProductBM!$P:$P,0))="","",INDEX(F_ProductBM!M:M,MATCH($P1117,F_ProductBM!$P:$P,0))))</f>
        <v/>
      </c>
      <c r="N1117" s="823"/>
      <c r="O1117" s="25"/>
      <c r="P1117" s="367" t="str">
        <f>EUconst_CNTR_HALPulpTotal &amp; I1059</f>
        <v>HALPulpTotal_</v>
      </c>
      <c r="Q1117" s="437"/>
      <c r="R1117" s="437"/>
      <c r="S1117" s="437"/>
      <c r="T1117" s="26"/>
    </row>
    <row r="1118" spans="1:20" s="697" customFormat="1" ht="5.0999999999999996" customHeight="1" x14ac:dyDescent="0.2">
      <c r="A1118" s="437"/>
      <c r="B1118" s="414"/>
      <c r="C1118" s="414"/>
      <c r="D1118" s="414"/>
      <c r="E1118" s="526"/>
      <c r="F1118" s="526"/>
      <c r="G1118" s="526"/>
      <c r="H1118" s="526"/>
      <c r="I1118" s="1140"/>
      <c r="J1118" s="1140"/>
      <c r="K1118" s="1140"/>
      <c r="L1118" s="1140"/>
      <c r="M1118" s="1140"/>
      <c r="N1118" s="823"/>
      <c r="O1118" s="25"/>
      <c r="P1118" s="199"/>
      <c r="Q1118" s="437"/>
      <c r="R1118" s="437"/>
      <c r="S1118" s="437"/>
      <c r="T1118" s="26"/>
    </row>
    <row r="1119" spans="1:20" s="697" customFormat="1" ht="12.75" customHeight="1" x14ac:dyDescent="0.2">
      <c r="A1119" s="437"/>
      <c r="B1119" s="414"/>
      <c r="C1119" s="414"/>
      <c r="D1119" s="414"/>
      <c r="E1119" s="1651" t="str">
        <f>Translations!$B$1730</f>
        <v>Ūdeņraža ražošana (faktiskā + teorētiskā)</v>
      </c>
      <c r="F1119" s="1651"/>
      <c r="G1119" s="1651"/>
      <c r="H1119" s="465" t="str">
        <f>EUconst_Tons</f>
        <v>tonnas</v>
      </c>
      <c r="I1119" s="1103" t="str">
        <f>IF($K1062=$R1119,SUMIFS(H_SpecialBM!I:I,H_SpecialBM!$P:$P,$P1119),"")</f>
        <v/>
      </c>
      <c r="J1119" s="1103" t="str">
        <f>IF($K1062=$R1119,SUMIFS(H_SpecialBM!J:J,H_SpecialBM!$P:$P,$P1119),"")</f>
        <v/>
      </c>
      <c r="K1119" s="1103" t="str">
        <f>IF($K1062=$R1119,SUMIFS(H_SpecialBM!K:K,H_SpecialBM!$P:$P,$P1119),"")</f>
        <v/>
      </c>
      <c r="L1119" s="1103" t="str">
        <f>IF($K1062=$R1119,SUMIFS(H_SpecialBM!L:L,H_SpecialBM!$P:$P,$P1119),"")</f>
        <v/>
      </c>
      <c r="M1119" s="1103" t="str">
        <f>IF($K1062=$R1119,SUMIFS(H_SpecialBM!M:M,H_SpecialBM!$P:$P,$P1119),"")</f>
        <v/>
      </c>
      <c r="N1119" s="823"/>
      <c r="O1119" s="25"/>
      <c r="P1119" s="134" t="str">
        <f>EUconst_CNTR_H2ActualPlusTheoretical</f>
        <v>H2Total_</v>
      </c>
      <c r="Q1119" s="437"/>
      <c r="R1119" s="869">
        <v>50</v>
      </c>
      <c r="S1119" s="437"/>
      <c r="T1119" s="26"/>
    </row>
    <row r="1120" spans="1:20" s="697" customFormat="1" ht="12.75" customHeight="1" x14ac:dyDescent="0.2">
      <c r="A1120" s="437"/>
      <c r="B1120" s="414"/>
      <c r="C1120" s="414"/>
      <c r="D1120" s="414"/>
      <c r="E1120" s="1651" t="str">
        <f>Translations!$B$1731</f>
        <v>Ar ūdeņradi saistītās emisijas</v>
      </c>
      <c r="F1120" s="1651"/>
      <c r="G1120" s="1651"/>
      <c r="H1120" s="465" t="str">
        <f>EUconst_tCO2pa</f>
        <v>t CO2 / gads</v>
      </c>
      <c r="I1120" s="1103" t="str">
        <f>IF($K1062=$R1120,SUMIFS(H_SpecialBM!I:I,H_SpecialBM!$P:$P,$P1120),"")</f>
        <v/>
      </c>
      <c r="J1120" s="1103" t="str">
        <f>IF($K1062=$R1120,SUMIFS(H_SpecialBM!J:J,H_SpecialBM!$P:$P,$P1120),"")</f>
        <v/>
      </c>
      <c r="K1120" s="1103" t="str">
        <f>IF($K1062=$R1120,SUMIFS(H_SpecialBM!K:K,H_SpecialBM!$P:$P,$P1120),"")</f>
        <v/>
      </c>
      <c r="L1120" s="1103" t="str">
        <f>IF($K1062=$R1120,SUMIFS(H_SpecialBM!L:L,H_SpecialBM!$P:$P,$P1120),"")</f>
        <v/>
      </c>
      <c r="M1120" s="1103" t="str">
        <f>IF($K1062=$R1120,SUMIFS(H_SpecialBM!M:M,H_SpecialBM!$P:$P,$P1120),"")</f>
        <v/>
      </c>
      <c r="N1120" s="823"/>
      <c r="O1120" s="25"/>
      <c r="P1120" s="202" t="str">
        <f>EUconst_CNTR_H2AdditionalEmissions</f>
        <v>H2AddEm_</v>
      </c>
      <c r="Q1120" s="437"/>
      <c r="R1120" s="869">
        <v>50</v>
      </c>
      <c r="S1120" s="437"/>
      <c r="T1120" s="26"/>
    </row>
    <row r="1121" spans="1:20" s="697" customFormat="1" ht="5.0999999999999996" customHeight="1" x14ac:dyDescent="0.2">
      <c r="A1121" s="437"/>
      <c r="B1121" s="414"/>
      <c r="C1121" s="414"/>
      <c r="D1121" s="414"/>
      <c r="E1121" s="526"/>
      <c r="F1121" s="526"/>
      <c r="G1121" s="526"/>
      <c r="H1121" s="526"/>
      <c r="I1121" s="1140"/>
      <c r="J1121" s="1140"/>
      <c r="K1121" s="1140"/>
      <c r="L1121" s="1140"/>
      <c r="M1121" s="1140"/>
      <c r="N1121" s="823"/>
      <c r="O1121" s="25"/>
      <c r="P1121" s="437"/>
      <c r="Q1121" s="437"/>
      <c r="R1121" s="437"/>
      <c r="S1121" s="437"/>
      <c r="T1121" s="26"/>
    </row>
    <row r="1122" spans="1:20" s="697" customFormat="1" ht="12.75" customHeight="1" x14ac:dyDescent="0.2">
      <c r="A1122" s="437"/>
      <c r="B1122" s="414"/>
      <c r="C1122" s="414"/>
      <c r="D1122" s="414"/>
      <c r="E1122" s="1651" t="str">
        <f>Translations!$B$1732</f>
        <v>HVC emisiju korekcija</v>
      </c>
      <c r="F1122" s="1651"/>
      <c r="G1122" s="1651"/>
      <c r="H1122" s="465" t="str">
        <f>EUconst_tCO2pa</f>
        <v>t CO2 / gads</v>
      </c>
      <c r="I1122" s="1103" t="str">
        <f>IF($K1062=$R1122,-SUMIFS(H_SpecialBM!S:S,H_SpecialBM!$P:$P,$P1122),"")</f>
        <v/>
      </c>
      <c r="J1122" s="1103" t="str">
        <f>IF($K1062=$R1122,-SUMIFS(H_SpecialBM!T:T,H_SpecialBM!$P:$P,$P1122),"")</f>
        <v/>
      </c>
      <c r="K1122" s="1103" t="str">
        <f>IF($K1062=$R1122,-SUMIFS(H_SpecialBM!U:U,H_SpecialBM!$P:$P,$P1122),"")</f>
        <v/>
      </c>
      <c r="L1122" s="1103" t="str">
        <f>IF($K1062=$R1122,-SUMIFS(H_SpecialBM!V:V,H_SpecialBM!$P:$P,$P1122),"")</f>
        <v/>
      </c>
      <c r="M1122" s="1103" t="str">
        <f>IF($K1062=$R1122,-SUMIFS(H_SpecialBM!W:W,H_SpecialBM!$P:$P,$P1122),"")</f>
        <v/>
      </c>
      <c r="N1122" s="823"/>
      <c r="O1122" s="25"/>
      <c r="P1122" s="367" t="str">
        <f>EUconst_CNTR_HVC</f>
        <v>HVC_</v>
      </c>
      <c r="Q1122" s="437"/>
      <c r="R1122" s="869">
        <v>42</v>
      </c>
      <c r="S1122" s="437"/>
      <c r="T1122" s="26"/>
    </row>
    <row r="1123" spans="1:20" s="697" customFormat="1" ht="5.0999999999999996" customHeight="1" x14ac:dyDescent="0.2">
      <c r="A1123" s="437"/>
      <c r="B1123" s="414"/>
      <c r="C1123" s="414"/>
      <c r="D1123" s="414"/>
      <c r="E1123" s="526"/>
      <c r="F1123" s="526"/>
      <c r="G1123" s="526"/>
      <c r="H1123" s="526"/>
      <c r="I1123" s="1140"/>
      <c r="J1123" s="1140"/>
      <c r="K1123" s="1140"/>
      <c r="L1123" s="1140"/>
      <c r="M1123" s="1140"/>
      <c r="N1123" s="823"/>
      <c r="O1123" s="25"/>
      <c r="P1123" s="199"/>
      <c r="Q1123" s="437"/>
      <c r="R1123" s="437"/>
      <c r="S1123" s="437"/>
      <c r="T1123" s="26"/>
    </row>
    <row r="1124" spans="1:20" s="697" customFormat="1" ht="12.75" customHeight="1" x14ac:dyDescent="0.2">
      <c r="A1124" s="437"/>
      <c r="B1124" s="414"/>
      <c r="C1124" s="414"/>
      <c r="D1124" s="414"/>
      <c r="E1124" s="1651" t="str">
        <f>Translations!$B$1733</f>
        <v>VCM emisiju korekcija</v>
      </c>
      <c r="F1124" s="1651"/>
      <c r="G1124" s="1651"/>
      <c r="H1124" s="465" t="str">
        <f>EUconst_tCO2pa</f>
        <v>t CO2 / gads</v>
      </c>
      <c r="I1124" s="1103" t="str">
        <f>IF($K1062=$R1124,SUMIFS(H_SpecialBM!I:I,H_SpecialBM!$P:$P,$P1124)/EUconst_HeatBMvalue*EUconst_HeatBMvalueForBM,"")</f>
        <v/>
      </c>
      <c r="J1124" s="1103" t="str">
        <f>IF($K1062=$R1124,SUMIFS(H_SpecialBM!J:J,H_SpecialBM!$P:$P,$P1124)/EUconst_HeatBMvalue*EUconst_HeatBMvalueForBM,"")</f>
        <v/>
      </c>
      <c r="K1124" s="1103" t="str">
        <f>IF($K1062=$R1124,SUMIFS(H_SpecialBM!K:K,H_SpecialBM!$P:$P,$P1124)/EUconst_HeatBMvalue*EUconst_HeatBMvalueForBM,"")</f>
        <v/>
      </c>
      <c r="L1124" s="1103" t="str">
        <f>IF($K1062=$R1124,SUMIFS(H_SpecialBM!L:L,H_SpecialBM!$P:$P,$P1124)/EUconst_HeatBMvalue*EUconst_HeatBMvalueForBM,"")</f>
        <v/>
      </c>
      <c r="M1124" s="1103" t="str">
        <f>IF($K1062=$R1124,SUMIFS(H_SpecialBM!M:M,H_SpecialBM!$P:$P,$P1124)/EUconst_HeatBMvalue*EUconst_HeatBMvalueForBM,"")</f>
        <v/>
      </c>
      <c r="N1124" s="823"/>
      <c r="O1124" s="25"/>
      <c r="P1124" s="134" t="str">
        <f>EUconst_CNTR_VCM</f>
        <v>VCM_</v>
      </c>
      <c r="Q1124" s="437"/>
      <c r="R1124" s="869">
        <v>47</v>
      </c>
      <c r="S1124" s="437"/>
      <c r="T1124" s="26"/>
    </row>
    <row r="1125" spans="1:20" s="697" customFormat="1" ht="12.75" customHeight="1" x14ac:dyDescent="0.2">
      <c r="A1125" s="437"/>
      <c r="B1125" s="414"/>
      <c r="C1125" s="414"/>
      <c r="D1125" s="414"/>
      <c r="E1125" s="526"/>
      <c r="F1125" s="526"/>
      <c r="G1125" s="526"/>
      <c r="H1125" s="526"/>
      <c r="I1125" s="823"/>
      <c r="J1125" s="823"/>
      <c r="K1125" s="823"/>
      <c r="L1125" s="823"/>
      <c r="M1125" s="823"/>
      <c r="N1125" s="823"/>
      <c r="O1125" s="25"/>
      <c r="P1125" s="199"/>
      <c r="Q1125" s="437"/>
      <c r="R1125" s="437"/>
      <c r="S1125" s="437"/>
      <c r="T1125" s="26"/>
    </row>
    <row r="1126" spans="1:20" s="697" customFormat="1" ht="12.75" customHeight="1" thickBot="1" x14ac:dyDescent="0.25">
      <c r="A1126" s="437"/>
      <c r="B1126" s="414"/>
      <c r="C1126" s="414"/>
      <c r="D1126" s="414"/>
      <c r="E1126" s="935"/>
      <c r="O1126" s="25"/>
      <c r="P1126" s="437"/>
      <c r="Q1126" s="437"/>
      <c r="R1126" s="437"/>
      <c r="S1126" s="437"/>
      <c r="T1126" s="26"/>
    </row>
    <row r="1127" spans="1:20" s="697" customFormat="1" ht="5.0999999999999996" customHeight="1" thickBot="1" x14ac:dyDescent="0.25">
      <c r="A1127" s="437"/>
      <c r="B1127" s="21"/>
      <c r="C1127" s="294"/>
      <c r="D1127" s="294"/>
      <c r="E1127" s="294"/>
      <c r="F1127" s="294"/>
      <c r="G1127" s="294"/>
      <c r="H1127" s="294"/>
      <c r="I1127" s="294"/>
      <c r="J1127" s="294"/>
      <c r="K1127" s="294"/>
      <c r="L1127" s="294"/>
      <c r="M1127" s="294"/>
      <c r="N1127" s="294"/>
      <c r="O1127" s="25"/>
      <c r="P1127" s="437"/>
      <c r="Q1127" s="437"/>
      <c r="R1127" s="437"/>
      <c r="S1127" s="437"/>
      <c r="T1127" s="26"/>
    </row>
    <row r="1128" spans="1:20" s="697" customFormat="1" ht="15" customHeight="1" thickBot="1" x14ac:dyDescent="0.3">
      <c r="A1128" s="437"/>
      <c r="B1128" s="414"/>
      <c r="C1128" s="36">
        <f>C1059+1</f>
        <v>10</v>
      </c>
      <c r="D1128" s="1890" t="str">
        <f>CONCATENATE(EUconst_BMSubinst," ",C1128, ":")</f>
        <v>Apakšiekārta ar produkta līmeņatzīmi 10:</v>
      </c>
      <c r="E1128" s="1890"/>
      <c r="F1128" s="1890"/>
      <c r="G1128" s="1890"/>
      <c r="H1128" s="1891"/>
      <c r="I1128" s="1887" t="str">
        <f>IF(INDEX(CNTR_SubInstListIsProdBM,$C1128),INDEX(CNTR_SubInstListNames,$C1128),"")</f>
        <v/>
      </c>
      <c r="J1128" s="1888"/>
      <c r="K1128" s="1888"/>
      <c r="L1128" s="1888"/>
      <c r="M1128" s="1888"/>
      <c r="N1128" s="1889"/>
      <c r="O1128" s="25"/>
      <c r="P1128" s="437"/>
      <c r="Q1128" s="904">
        <f>C1128</f>
        <v>10</v>
      </c>
      <c r="R1128" s="901" t="str">
        <f>I1128</f>
        <v/>
      </c>
      <c r="S1128" s="903" t="str">
        <f>H1131</f>
        <v>NA</v>
      </c>
      <c r="T1128" s="902" t="str">
        <f>IF(M1142="","",IF(S1131=0,0,SUM(M1142)/S1131))</f>
        <v/>
      </c>
    </row>
    <row r="1129" spans="1:20" s="697" customFormat="1" ht="5.0999999999999996" customHeight="1" thickBot="1" x14ac:dyDescent="0.25">
      <c r="A1129" s="437"/>
      <c r="B1129" s="414"/>
      <c r="C1129" s="414"/>
      <c r="D1129" s="414"/>
      <c r="E1129" s="414"/>
      <c r="F1129" s="414"/>
      <c r="G1129" s="414"/>
      <c r="H1129" s="414"/>
      <c r="I1129" s="414"/>
      <c r="J1129" s="414"/>
      <c r="K1129" s="414"/>
      <c r="L1129" s="414"/>
      <c r="M1129" s="414"/>
      <c r="N1129" s="414"/>
      <c r="O1129" s="25"/>
      <c r="P1129" s="437"/>
      <c r="Q1129" s="437"/>
      <c r="R1129" s="437"/>
      <c r="S1129" s="437"/>
      <c r="T1129" s="26"/>
    </row>
    <row r="1130" spans="1:20" s="697" customFormat="1" ht="13.5" thickBot="1" x14ac:dyDescent="0.25">
      <c r="A1130" s="437"/>
      <c r="B1130" s="414"/>
      <c r="C1130" s="414"/>
      <c r="D1130" s="414"/>
      <c r="E1130" s="414"/>
      <c r="F1130" s="414"/>
      <c r="G1130" s="414"/>
      <c r="H1130" s="647" t="str">
        <f>Translations!$B$1204</f>
        <v>Pakļauta OEP</v>
      </c>
      <c r="I1130" s="38"/>
      <c r="J1130" s="648" t="str">
        <f>Translations!$B$1208</f>
        <v>Ekspl. sākta</v>
      </c>
      <c r="K1130" s="648" t="str">
        <f>Translations!$B$1206</f>
        <v>LA Nr.</v>
      </c>
      <c r="L1130" s="812" t="str">
        <f>Translations!$B$1212</f>
        <v>15(7)3?</v>
      </c>
      <c r="M1130" s="989" t="str">
        <f>Translations!$B$1234</f>
        <v>LA vērtība (min./maks./fakt.)</v>
      </c>
      <c r="N1130" s="990"/>
      <c r="O1130" s="25"/>
      <c r="P1130" s="437"/>
      <c r="Q1130" s="437"/>
      <c r="R1130" s="646" t="s">
        <v>641</v>
      </c>
      <c r="S1130" s="903" t="str">
        <f>H1133</f>
        <v>NA</v>
      </c>
      <c r="T1130" s="26"/>
    </row>
    <row r="1131" spans="1:20" s="697" customFormat="1" x14ac:dyDescent="0.2">
      <c r="A1131" s="437"/>
      <c r="B1131" s="414"/>
      <c r="C1131" s="414"/>
      <c r="D1131" s="414"/>
      <c r="E1131" s="649" t="str">
        <f>I1128</f>
        <v/>
      </c>
      <c r="F1131" s="650"/>
      <c r="G1131" s="594"/>
      <c r="H1131" s="651" t="str">
        <f>IF(K1131=EUconst_NA,EUconst_NA,INDEX(EUconst_BMlistCLstatus,MATCH(K1131,EUconst_BMlistMainNumberOfBM,0)))</f>
        <v>NA</v>
      </c>
      <c r="I1131" s="38"/>
      <c r="J1131" s="846" t="str">
        <f>IF($I1128="",EUconst_NA,INDEX(CNTR_SubInstStartDate,MATCH(E1131,CNTR_SubInstListNames,0)))</f>
        <v>NA</v>
      </c>
      <c r="K1131" s="546" t="str">
        <f>IF($I1128="",EUconst_NA,INDEX(EUconst_BMlistMainNumberOfBM,MATCH(E1131,EUconst_BMlistNames,0)))</f>
        <v>NA</v>
      </c>
      <c r="L1131" s="988" t="str">
        <f>IF(E1131="","",INDEX(CNTR_SubInstLess1Year,MATCH(E1131,CNTR_SubInstListNames,0)))</f>
        <v/>
      </c>
      <c r="M1131" s="991" t="str">
        <f>IF(I1128="",EUconst_NA,INDEX(EUconst_BMlistBMvaluesMatrix,MATCH(K1131,EUconst_BMlistMainNumberOfBM,0),2))</f>
        <v>NA</v>
      </c>
      <c r="N1131" s="992" t="str">
        <f>EUconst_EUA &amp; "/" &amp; H1136</f>
        <v>ESK/tonnas</v>
      </c>
      <c r="O1131" s="25"/>
      <c r="P1131" s="437"/>
      <c r="Q1131" s="437"/>
      <c r="R1131" s="732" t="s">
        <v>554</v>
      </c>
      <c r="S1131" s="815" t="str">
        <f>IF(H1131=EUconst_NA,"",IF(H1131,1,INDEX(EUconst_CLEFYears,1)))</f>
        <v/>
      </c>
      <c r="T1131" s="26"/>
    </row>
    <row r="1132" spans="1:20" s="697" customFormat="1" x14ac:dyDescent="0.2">
      <c r="A1132" s="437"/>
      <c r="B1132" s="414"/>
      <c r="C1132" s="414"/>
      <c r="D1132" s="414"/>
      <c r="G1132" s="648" t="str">
        <f>Translations!$B$1218</f>
        <v>ETS neaptverts siltums</v>
      </c>
      <c r="H1132" s="647" t="s">
        <v>623</v>
      </c>
      <c r="I1132" s="812" t="str">
        <f>Translations!$B$1220</f>
        <v>AGlāpā</v>
      </c>
      <c r="J1132" s="648" t="s">
        <v>550</v>
      </c>
      <c r="K1132" s="648" t="s">
        <v>551</v>
      </c>
      <c r="L1132" s="38"/>
      <c r="M1132" s="991" t="str">
        <f>IF(I1128="",EUconst_NA,INDEX(EUconst_BMlistBMvaluesMatrix,MATCH(K1131,EUconst_BMlistMainNumberOfBM,0),1))</f>
        <v>NA</v>
      </c>
      <c r="N1132" s="992" t="str">
        <f>EUconst_EUA &amp; "/" &amp; H1136</f>
        <v>ESK/tonnas</v>
      </c>
      <c r="O1132" s="25"/>
      <c r="P1132" s="437"/>
      <c r="Q1132" s="437"/>
      <c r="R1132" s="732" t="s">
        <v>658</v>
      </c>
      <c r="S1132" s="1150" t="str">
        <f>IF($I1128="",EUconst_NA,INDEX(EUconst_BMlistNumberOfBM,MATCH(I1128,EUconst_BMlistNames,0)))</f>
        <v>NA</v>
      </c>
      <c r="T1132" s="26"/>
    </row>
    <row r="1133" spans="1:20" s="697" customFormat="1" ht="13.5" thickBot="1" x14ac:dyDescent="0.25">
      <c r="A1133" s="437"/>
      <c r="B1133" s="414"/>
      <c r="C1133" s="414"/>
      <c r="D1133" s="414"/>
      <c r="E1133" s="868" t="str">
        <f>Translations!$B$1235</f>
        <v>Īpaši koeficienti/faktori:</v>
      </c>
      <c r="F1133" s="868"/>
      <c r="G1133" s="546" t="str">
        <f>IF($I1128="","",SUMIF(F_ProductBM!$P:$P,EUconst_CNTR_HEAT&amp;$I1128,F_ProductBM!$Q:$Q))</f>
        <v/>
      </c>
      <c r="H1133" s="651" t="str">
        <f>IF(S1132=EUconst_NA,EUconst_NA,INDEX(EUconst_BMlistCBAMstatus,MATCH(S1132,EUconst_BMlistNumberOfBM,0)))</f>
        <v>NA</v>
      </c>
      <c r="I1133" s="844" t="str">
        <f>IF(OR($I1128="",CNTR_BaselinePeriod&lt;&gt;2),"",SUMIF(F_ProductBM!$P:$P,EUconst_CNTR_WGFlaredEF &amp; I1128,F_ProductBM!$R:$R))</f>
        <v/>
      </c>
      <c r="J1133" s="546" t="str">
        <f>IF($I1128="","",IF($K1131=42,SUMIF(H_SpecialBM!$P$9:$P$401,EUconst_CNTR_HVC,H_SpecialBM!$I$9:$I$401),0))</f>
        <v/>
      </c>
      <c r="K1133" s="867" t="str">
        <f>IF($I1128="","",IF($K1131=47,IF(ISNUMBER(INDEX(H_SpecialBM!$Q$9:$Q$401,MATCH(EUconst_CNTR_VCM,H_SpecialBM!$P$9:$P$401,0))),INDEX(H_SpecialBM!$Q$9:$Q$401,MATCH(EUconst_CNTR_VCM,H_SpecialBM!$P$9:$P$401,0)),1),1))</f>
        <v/>
      </c>
      <c r="L1133" s="38"/>
      <c r="M1133" s="993" t="str">
        <f>IF(I1128="",EUconst_NA,IF(EUconst_StatusOfDataCollection,INDEX(EUconst_BMlistBMvaluesMatrix,MATCH(K1131,EUconst_BMlistMainNumberOfBM,0),3),""))</f>
        <v>NA</v>
      </c>
      <c r="N1133" s="994" t="str">
        <f>EUconst_EUA &amp; "/" &amp; H1136</f>
        <v>ESK/tonnas</v>
      </c>
      <c r="O1133" s="25"/>
      <c r="P1133" s="437"/>
      <c r="Q1133" s="437"/>
      <c r="R1133" s="732"/>
      <c r="S1133" s="866"/>
      <c r="T1133" s="26"/>
    </row>
    <row r="1134" spans="1:20" s="697" customFormat="1" ht="5.0999999999999996" customHeight="1" x14ac:dyDescent="0.2">
      <c r="A1134" s="437"/>
      <c r="B1134" s="414"/>
      <c r="C1134" s="414"/>
      <c r="D1134" s="414"/>
      <c r="E1134" s="414"/>
      <c r="F1134" s="414"/>
      <c r="G1134" s="414"/>
      <c r="H1134" s="414"/>
      <c r="I1134" s="414"/>
      <c r="J1134" s="414"/>
      <c r="K1134" s="414"/>
      <c r="L1134" s="414"/>
      <c r="M1134" s="414"/>
      <c r="N1134" s="414"/>
      <c r="O1134" s="25"/>
      <c r="P1134" s="437"/>
      <c r="Q1134" s="437"/>
      <c r="R1134" s="437"/>
      <c r="S1134" s="437"/>
      <c r="T1134" s="26"/>
    </row>
    <row r="1135" spans="1:20" s="697" customFormat="1" x14ac:dyDescent="0.2">
      <c r="A1135" s="437"/>
      <c r="B1135" s="414"/>
      <c r="C1135" s="414"/>
      <c r="D1135" s="414"/>
      <c r="E1135" s="652"/>
      <c r="F1135" s="652"/>
      <c r="G1135" s="653"/>
      <c r="H1135" s="864" t="str">
        <f>EUconst_Unit</f>
        <v>Vienība</v>
      </c>
      <c r="I1135" s="447">
        <f>I$1652</f>
        <v>2019</v>
      </c>
      <c r="J1135" s="447">
        <f>J$1652</f>
        <v>2020</v>
      </c>
      <c r="K1135" s="447">
        <f>K$1652</f>
        <v>2021</v>
      </c>
      <c r="L1135" s="447">
        <f>L$1652</f>
        <v>2022</v>
      </c>
      <c r="M1135" s="447">
        <f>M$1652</f>
        <v>2023</v>
      </c>
      <c r="N1135" s="414"/>
      <c r="O1135" s="25"/>
      <c r="P1135" s="202" t="s">
        <v>228</v>
      </c>
      <c r="Q1135" s="437"/>
      <c r="R1135" s="437"/>
      <c r="S1135" s="437"/>
      <c r="T1135" s="26"/>
    </row>
    <row r="1136" spans="1:20" s="697" customFormat="1" x14ac:dyDescent="0.2">
      <c r="A1136" s="437"/>
      <c r="B1136" s="414"/>
      <c r="C1136" s="414"/>
      <c r="D1136" s="414"/>
      <c r="E1136" s="654" t="str">
        <f>Translations!$B$1236</f>
        <v>Ziņotais HAL (vēsturiskais darbības līmenis)</v>
      </c>
      <c r="F1136" s="655"/>
      <c r="G1136" s="656"/>
      <c r="H1136" s="651" t="str">
        <f>IF(ISNUMBER(K1131),INDEX(EUconst_BMlistUnits,MATCH(K1131,EUconst_BMlistMainNumberOfBM,0)),EUconst_Tons)</f>
        <v>tonnas</v>
      </c>
      <c r="I1136" s="546" t="str">
        <f>IF($I1128="","",SUMIF(F_ProductBM!$P$11:$P$1814,$P1136,F_ProductBM!I$11:I$1814))</f>
        <v/>
      </c>
      <c r="J1136" s="546" t="str">
        <f>IF($I1128="","",SUMIF(F_ProductBM!$P$11:$P$1814,$P1136,F_ProductBM!J$11:J$1814))</f>
        <v/>
      </c>
      <c r="K1136" s="546" t="str">
        <f>IF($I1128="","",SUMIF(F_ProductBM!$P$11:$P$1814,$P1136,F_ProductBM!K$11:K$1814))</f>
        <v/>
      </c>
      <c r="L1136" s="546" t="str">
        <f>IF($I1128="","",SUMIF(F_ProductBM!$P$11:$P$1814,$P1136,F_ProductBM!L$11:L$1814))</f>
        <v/>
      </c>
      <c r="M1136" s="546" t="str">
        <f>IF($I1128="","",SUMIF(F_ProductBM!$P$11:$P$1814,$P1136,F_ProductBM!M$11:M$1814))</f>
        <v/>
      </c>
      <c r="N1136" s="648" t="s">
        <v>625</v>
      </c>
      <c r="O1136" s="25"/>
      <c r="P1136" s="202" t="str">
        <f>EUconst_CNTR_HAL&amp;I1128</f>
        <v>HAL_</v>
      </c>
      <c r="Q1136" s="437"/>
      <c r="R1136" s="437"/>
      <c r="S1136" s="437"/>
      <c r="T1136" s="26"/>
    </row>
    <row r="1137" spans="1:20" s="697" customFormat="1" x14ac:dyDescent="0.2">
      <c r="A1137" s="437"/>
      <c r="B1137" s="414"/>
      <c r="C1137" s="414"/>
      <c r="D1137" s="414"/>
      <c r="E1137" s="654" t="str">
        <f>Translations!$B$1237</f>
        <v>HAL aprēķinam izmantotās vērtības:</v>
      </c>
      <c r="F1137" s="655"/>
      <c r="G1137" s="656"/>
      <c r="H1137" s="651" t="str">
        <f>H1136</f>
        <v>tonnas</v>
      </c>
      <c r="I1137" s="546" t="str">
        <f>IF($I1128="","",INDEX(F_ProductBM!S$11:S$1814,MATCH($P1137,F_ProductBM!$P$11:$P$1814,0)))</f>
        <v/>
      </c>
      <c r="J1137" s="546" t="str">
        <f>IF($I1128="","",INDEX(F_ProductBM!T$11:T$1814,MATCH($P1137,F_ProductBM!$P$11:$P$1814,0)))</f>
        <v/>
      </c>
      <c r="K1137" s="546" t="str">
        <f>IF($I1128="","",INDEX(F_ProductBM!U$11:U$1814,MATCH($P1137,F_ProductBM!$P$11:$P$1814,0)))</f>
        <v/>
      </c>
      <c r="L1137" s="546" t="str">
        <f>IF($I1128="","",INDEX(F_ProductBM!V$11:V$1814,MATCH($P1137,F_ProductBM!$P$11:$P$1814,0)))</f>
        <v/>
      </c>
      <c r="M1137" s="546" t="str">
        <f>IF($I1128="","",INDEX(F_ProductBM!W$11:W$1814,MATCH($P1137,F_ProductBM!$P$11:$P$1814,0)))</f>
        <v/>
      </c>
      <c r="N1137" s="546" t="str">
        <f>IF(OR($I1128="",$L1131=TRUE),"",IF(COUNT($I1137:$M1137)&gt;0,MEDIAN($I1137:$M1137),""))</f>
        <v/>
      </c>
      <c r="O1137" s="25"/>
      <c r="P1137" s="202" t="str">
        <f>EUconst_CNTR_HAL&amp;I1128</f>
        <v>HAL_</v>
      </c>
      <c r="Q1137" s="437"/>
      <c r="R1137" s="931" t="s">
        <v>604</v>
      </c>
      <c r="S1137" s="931" t="s">
        <v>605</v>
      </c>
      <c r="T1137" s="931" t="s">
        <v>606</v>
      </c>
    </row>
    <row r="1138" spans="1:20" s="697" customFormat="1" ht="5.0999999999999996" customHeight="1" x14ac:dyDescent="0.2">
      <c r="A1138" s="437"/>
      <c r="B1138" s="414"/>
      <c r="C1138" s="414"/>
      <c r="D1138" s="414"/>
      <c r="E1138" s="865"/>
      <c r="F1138" s="865"/>
      <c r="G1138" s="865"/>
      <c r="H1138" s="865"/>
      <c r="I1138" s="865"/>
      <c r="J1138" s="865"/>
      <c r="K1138" s="865"/>
      <c r="L1138" s="865"/>
      <c r="O1138" s="25"/>
      <c r="P1138" s="437"/>
      <c r="Q1138" s="437"/>
      <c r="R1138" s="437"/>
      <c r="S1138" s="437"/>
      <c r="T1138" s="26"/>
    </row>
    <row r="1139" spans="1:20" s="697" customFormat="1" ht="12.75" customHeight="1" x14ac:dyDescent="0.2">
      <c r="A1139" s="437"/>
      <c r="B1139" s="414"/>
      <c r="C1139" s="414"/>
      <c r="D1139" s="414"/>
      <c r="E1139" s="1892" t="str">
        <f>Translations!$B$689</f>
        <v>Relevantais elektroenerģijas patēriņš</v>
      </c>
      <c r="F1139" s="1892"/>
      <c r="G1139" s="1892"/>
      <c r="H1139" s="1101" t="str">
        <f>EUconst_MWhpa</f>
        <v>MWh / gads</v>
      </c>
      <c r="I1139" s="1166" t="str">
        <f>IF($I1128="","",IF(INDEX(F_ProductBM!I:I,MATCH($P1139,F_ProductBM!$Q:$Q,0))="","",INDEX(F_ProductBM!I:I,MATCH($P1139,F_ProductBM!$Q:$Q,0))))</f>
        <v/>
      </c>
      <c r="J1139" s="1166" t="str">
        <f>IF($I1128="","",IF(INDEX(F_ProductBM!J:J,MATCH($P1139,F_ProductBM!$Q:$Q,0))="","",INDEX(F_ProductBM!J:J,MATCH($P1139,F_ProductBM!$Q:$Q,0))))</f>
        <v/>
      </c>
      <c r="K1139" s="1166" t="str">
        <f>IF($I1128="","",IF(INDEX(F_ProductBM!K:K,MATCH($P1139,F_ProductBM!$Q:$Q,0))="","",INDEX(F_ProductBM!K:K,MATCH($P1139,F_ProductBM!$Q:$Q,0))))</f>
        <v/>
      </c>
      <c r="L1139" s="1166" t="str">
        <f>IF($I1128="","",IF(INDEX(F_ProductBM!L:L,MATCH($P1139,F_ProductBM!$Q:$Q,0))="","",INDEX(F_ProductBM!L:L,MATCH($P1139,F_ProductBM!$Q:$Q,0))))</f>
        <v/>
      </c>
      <c r="M1139" s="1166" t="str">
        <f>IF($I1128="","",IF(INDEX(F_ProductBM!M:M,MATCH($P1139,F_ProductBM!$Q:$Q,0))="","",INDEX(F_ProductBM!M:M,MATCH($P1139,F_ProductBM!$Q:$Q,0))))</f>
        <v/>
      </c>
      <c r="N1139" s="38"/>
      <c r="O1139" s="25"/>
      <c r="P1139" s="202" t="str">
        <f>EUconst_CNTR_HAL&amp;EUconst_CNTR_ELEXCH &amp; I1128</f>
        <v>HAL_ELEXCH_</v>
      </c>
      <c r="Q1139" s="437"/>
      <c r="R1139" s="437"/>
      <c r="S1139" s="437"/>
      <c r="T1139" s="26"/>
    </row>
    <row r="1140" spans="1:20" s="697" customFormat="1" ht="5.0999999999999996" customHeight="1" thickBot="1" x14ac:dyDescent="0.25">
      <c r="A1140" s="437"/>
      <c r="B1140" s="414"/>
      <c r="C1140" s="414"/>
      <c r="D1140" s="414"/>
      <c r="E1140" s="865"/>
      <c r="F1140" s="865"/>
      <c r="G1140" s="865"/>
      <c r="H1140" s="865"/>
      <c r="I1140" s="865"/>
      <c r="J1140" s="865"/>
      <c r="K1140" s="865"/>
      <c r="L1140" s="865"/>
      <c r="O1140" s="25"/>
      <c r="P1140" s="437"/>
      <c r="Q1140" s="437"/>
      <c r="R1140" s="437"/>
      <c r="S1140" s="437"/>
      <c r="T1140" s="26"/>
    </row>
    <row r="1141" spans="1:20" s="697" customFormat="1" ht="13.5" thickBot="1" x14ac:dyDescent="0.25">
      <c r="A1141" s="437"/>
      <c r="B1141" s="414"/>
      <c r="D1141" s="414"/>
      <c r="E1141" s="865"/>
      <c r="F1141" s="816" t="str">
        <f>Translations!$B$1728</f>
        <v>HAL kopā</v>
      </c>
      <c r="G1141" s="817"/>
      <c r="I1141" s="816" t="str">
        <f>Translations!$B$1226</f>
        <v>1. gada prov. ied. apj. (min.)</v>
      </c>
      <c r="J1141" s="817"/>
      <c r="K1141" s="816" t="str">
        <f>Translations!$B$1229</f>
        <v>1. gada prov. ied. apj. (maks.)</v>
      </c>
      <c r="L1141" s="817"/>
      <c r="M1141" s="816" t="str">
        <f>Translations!$B$1231</f>
        <v>1. gada prov. ied. apj. (fakt.)</v>
      </c>
      <c r="N1141" s="817"/>
      <c r="O1141" s="25"/>
      <c r="P1141" s="202" t="str">
        <f>EUconst_AllocPrelim&amp;I1128</f>
        <v>AllocPrelim_</v>
      </c>
      <c r="Q1141" s="437"/>
      <c r="R1141" s="900" t="str">
        <f>IF(I1142="","",IF(S1131=0,0,SUM(I1142)/S1131))</f>
        <v/>
      </c>
      <c r="S1141" s="900" t="str">
        <f>IF(K1142="","",IF(S1131=0,0,SUM(K1142)/S1131))</f>
        <v/>
      </c>
      <c r="T1141" s="900" t="str">
        <f>T1128</f>
        <v/>
      </c>
    </row>
    <row r="1142" spans="1:20" s="697" customFormat="1" ht="13.5" thickBot="1" x14ac:dyDescent="0.25">
      <c r="A1142" s="437"/>
      <c r="B1142" s="414"/>
      <c r="E1142" s="865"/>
      <c r="F1142" s="658" t="str">
        <f>IF(I1128="","",MAX(0, IF(L1131=TRUE, SUM(L1133), SUM(N1137))))</f>
        <v/>
      </c>
      <c r="G1142" s="659" t="str">
        <f>H1136&amp;" / "&amp;EUconst_Year</f>
        <v>tonnas / gads</v>
      </c>
      <c r="I1142" s="814" t="str">
        <f>IF(I1128="","",ROUND((SUM(M1131)*SUM(F1142)*SUM(K1133)-SUM(G1133)-SUM(I1133)+SUM(J1133))*SUM(S1131),0))</f>
        <v/>
      </c>
      <c r="J1142" s="884" t="str">
        <f>EUconst_EUApa</f>
        <v>ESK / gads</v>
      </c>
      <c r="K1142" s="814" t="str">
        <f>IF(I1128="","",ROUND((SUM(M1132)*SUM(F1142)*SUM(K1133)-SUM(G1133)-SUM(I1133)+SUM(J1133))*SUM(S1131),0))</f>
        <v/>
      </c>
      <c r="L1142" s="884" t="str">
        <f>EUconst_EUApa</f>
        <v>ESK / gads</v>
      </c>
      <c r="M1142" s="814" t="str">
        <f>IF(OR(I1128="",M1133=""),"",ROUND((SUM(M1133)*SUM(F1142)*SUM(K1133)-SUM(G1133)-SUM(I1133)+SUM(J1133))*SUM(S1131),0))</f>
        <v/>
      </c>
      <c r="N1142" s="884" t="str">
        <f>EUconst_EUApa</f>
        <v>ESK / gads</v>
      </c>
      <c r="O1142" s="25"/>
      <c r="P1142" s="202" t="str">
        <f>EUconst_HALsum &amp; I1128</f>
        <v>HALsum_</v>
      </c>
      <c r="Q1142" s="437"/>
      <c r="R1142" s="437"/>
      <c r="S1142" s="437"/>
      <c r="T1142" s="26"/>
    </row>
    <row r="1143" spans="1:20" s="697" customFormat="1" ht="5.0999999999999996" customHeight="1" x14ac:dyDescent="0.2">
      <c r="A1143" s="437"/>
      <c r="B1143" s="414"/>
      <c r="C1143" s="414"/>
      <c r="E1143" s="440"/>
      <c r="F1143" s="414"/>
      <c r="G1143" s="414"/>
      <c r="H1143" s="414"/>
      <c r="I1143" s="414"/>
      <c r="J1143" s="414"/>
      <c r="K1143" s="414"/>
      <c r="L1143" s="414"/>
      <c r="M1143" s="414"/>
      <c r="N1143" s="414"/>
      <c r="O1143" s="25"/>
      <c r="P1143" s="437"/>
      <c r="Q1143" s="437"/>
      <c r="R1143" s="437"/>
      <c r="S1143" s="437"/>
      <c r="T1143" s="26"/>
    </row>
    <row r="1144" spans="1:20" s="697" customFormat="1" ht="5.0999999999999996" customHeight="1" x14ac:dyDescent="0.2">
      <c r="A1144" s="437"/>
      <c r="B1144" s="414"/>
      <c r="C1144" s="414"/>
      <c r="D1144" s="414"/>
      <c r="E1144" s="526"/>
      <c r="F1144" s="823"/>
      <c r="G1144" s="823"/>
      <c r="H1144" s="823"/>
      <c r="I1144" s="823"/>
      <c r="J1144" s="823"/>
      <c r="K1144" s="823"/>
      <c r="L1144" s="823"/>
      <c r="M1144" s="823"/>
      <c r="N1144" s="823"/>
      <c r="O1144" s="25"/>
      <c r="P1144" s="437"/>
      <c r="Q1144" s="437"/>
      <c r="R1144" s="437"/>
      <c r="S1144" s="437"/>
      <c r="T1144" s="26"/>
    </row>
    <row r="1145" spans="1:20" s="697" customFormat="1" ht="13.5" thickBot="1" x14ac:dyDescent="0.25">
      <c r="A1145" s="437"/>
      <c r="B1145" s="414"/>
      <c r="C1145" s="414"/>
      <c r="D1145" s="414"/>
      <c r="E1145" s="526"/>
      <c r="F1145" s="823"/>
      <c r="G1145" s="823"/>
      <c r="H1145" s="525" t="str">
        <f>EUconst_Unit</f>
        <v>Vienība</v>
      </c>
      <c r="I1145" s="929">
        <f>I$1652</f>
        <v>2019</v>
      </c>
      <c r="J1145" s="463">
        <f>J$1652</f>
        <v>2020</v>
      </c>
      <c r="K1145" s="463">
        <f>K$1652</f>
        <v>2021</v>
      </c>
      <c r="L1145" s="463">
        <f>L$1652</f>
        <v>2022</v>
      </c>
      <c r="M1145" s="463">
        <f>M$1652</f>
        <v>2023</v>
      </c>
      <c r="N1145" s="823"/>
      <c r="O1145" s="25"/>
      <c r="P1145" s="437"/>
      <c r="Q1145" s="437"/>
      <c r="R1145" s="437"/>
      <c r="S1145" s="437"/>
      <c r="T1145" s="26"/>
    </row>
    <row r="1146" spans="1:20" s="697" customFormat="1" ht="13.5" customHeight="1" thickBot="1" x14ac:dyDescent="0.25">
      <c r="A1146" s="437"/>
      <c r="B1146" s="414"/>
      <c r="C1146" s="414"/>
      <c r="D1146" s="414"/>
      <c r="E1146" s="1789" t="str">
        <f>Translations!$B$1238</f>
        <v>Kopējās attiecinātās emisijas</v>
      </c>
      <c r="F1146" s="1789"/>
      <c r="G1146" s="1789"/>
      <c r="H1146" s="886" t="str">
        <f>EUconst_tCO2epa</f>
        <v>t CO2e/gads</v>
      </c>
      <c r="I1146" s="1151" t="str">
        <f>INDEX(I$115:I$134,MATCH($I1128,$E$115:$E$134,0))</f>
        <v/>
      </c>
      <c r="J1146" s="1152" t="str">
        <f>INDEX(J$115:J$134,MATCH($I1128,$E$115:$E$134,0))</f>
        <v/>
      </c>
      <c r="K1146" s="1152" t="str">
        <f>INDEX(K$115:K$134,MATCH($I1128,$E$115:$E$134,0))</f>
        <v/>
      </c>
      <c r="L1146" s="1152" t="str">
        <f>INDEX(L$115:L$134,MATCH($I1128,$E$115:$E$134,0))</f>
        <v/>
      </c>
      <c r="M1146" s="1153" t="str">
        <f>INDEX(M$115:M$134,MATCH($I1128,$E$115:$E$134,0))</f>
        <v/>
      </c>
      <c r="N1146" s="823"/>
      <c r="O1146" s="25"/>
      <c r="P1146" s="437"/>
      <c r="Q1146" s="437"/>
      <c r="R1146" s="437"/>
      <c r="S1146" s="437"/>
      <c r="T1146" s="26"/>
    </row>
    <row r="1147" spans="1:20" s="697" customFormat="1" ht="5.0999999999999996" customHeight="1" x14ac:dyDescent="0.2">
      <c r="A1147" s="437"/>
      <c r="B1147" s="414"/>
      <c r="C1147" s="414"/>
      <c r="D1147" s="414"/>
      <c r="E1147" s="526"/>
      <c r="F1147" s="526"/>
      <c r="G1147" s="526"/>
      <c r="H1147" s="526"/>
      <c r="I1147" s="921"/>
      <c r="J1147" s="921"/>
      <c r="K1147" s="921"/>
      <c r="L1147" s="921"/>
      <c r="M1147" s="921"/>
      <c r="N1147" s="526"/>
      <c r="O1147" s="25"/>
      <c r="P1147" s="437"/>
      <c r="Q1147" s="437"/>
      <c r="R1147" s="437"/>
      <c r="S1147" s="437"/>
      <c r="T1147" s="26"/>
    </row>
    <row r="1148" spans="1:20" s="697" customFormat="1" ht="12.75" customHeight="1" x14ac:dyDescent="0.2">
      <c r="A1148" s="437"/>
      <c r="B1148" s="414"/>
      <c r="C1148" s="414"/>
      <c r="D1148" s="414"/>
      <c r="E1148" s="1667" t="str">
        <f>Translations!$B$1623</f>
        <v>Kopējā enerģijas ielaide</v>
      </c>
      <c r="F1148" s="1667"/>
      <c r="G1148" s="1667"/>
      <c r="H1148" s="466" t="str">
        <f>EUconst_TJpa</f>
        <v>TJ / gads</v>
      </c>
      <c r="I1148" s="922" t="str">
        <f>IF($I1128="","",IF(INDEX(F_ProductBM!I:I,MATCH($P1148,F_ProductBM!$P:$P,0))="","",INDEX(F_ProductBM!I:I,MATCH($P1148,F_ProductBM!$P:$P,0))))</f>
        <v/>
      </c>
      <c r="J1148" s="922" t="str">
        <f>IF($I1128="","",IF(INDEX(F_ProductBM!J:J,MATCH($P1148,F_ProductBM!$P:$P,0))="","",INDEX(F_ProductBM!J:J,MATCH($P1148,F_ProductBM!$P:$P,0))))</f>
        <v/>
      </c>
      <c r="K1148" s="922" t="str">
        <f>IF($I1128="","",IF(INDEX(F_ProductBM!K:K,MATCH($P1148,F_ProductBM!$P:$P,0))="","",INDEX(F_ProductBM!K:K,MATCH($P1148,F_ProductBM!$P:$P,0))))</f>
        <v/>
      </c>
      <c r="L1148" s="922" t="str">
        <f>IF($I1128="","",IF(INDEX(F_ProductBM!L:L,MATCH($P1148,F_ProductBM!$P:$P,0))="","",INDEX(F_ProductBM!L:L,MATCH($P1148,F_ProductBM!$P:$P,0))))</f>
        <v/>
      </c>
      <c r="M1148" s="922" t="str">
        <f>IF($I1128="","",IF(INDEX(F_ProductBM!M:M,MATCH($P1148,F_ProductBM!$P:$P,0))="","",INDEX(F_ProductBM!M:M,MATCH($P1148,F_ProductBM!$P:$P,0))))</f>
        <v/>
      </c>
      <c r="N1148" s="823"/>
      <c r="O1148" s="25"/>
      <c r="P1148" s="822" t="str">
        <f>EUconst_CNTR_FuelInput &amp; I1128</f>
        <v>FuelInput_</v>
      </c>
      <c r="Q1148" s="437"/>
      <c r="R1148" s="437"/>
      <c r="S1148" s="437"/>
      <c r="T1148" s="26"/>
    </row>
    <row r="1149" spans="1:20" s="697" customFormat="1" ht="12.75" customHeight="1" x14ac:dyDescent="0.2">
      <c r="A1149" s="437"/>
      <c r="B1149" s="414"/>
      <c r="C1149" s="414"/>
      <c r="D1149" s="414"/>
      <c r="E1149" s="1737" t="str">
        <f>Translations!$B$732</f>
        <v>Svērtais emisijas faktors</v>
      </c>
      <c r="F1149" s="1659"/>
      <c r="G1149" s="1659"/>
      <c r="H1149" s="485" t="str">
        <f>EUconst_tCO2pTJ</f>
        <v>t CO2 / TJ</v>
      </c>
      <c r="I1149" s="923" t="str">
        <f>IF($I1128="","",IF(INDEX(F_ProductBM!I:I,MATCH($P1149,F_ProductBM!$P:$P,0))="","",INDEX(F_ProductBM!I:I,MATCH($P1149,F_ProductBM!$P:$P,0))))</f>
        <v/>
      </c>
      <c r="J1149" s="923" t="str">
        <f>IF($I1128="","",IF(INDEX(F_ProductBM!J:J,MATCH($P1149,F_ProductBM!$P:$P,0))="","",INDEX(F_ProductBM!J:J,MATCH($P1149,F_ProductBM!$P:$P,0))))</f>
        <v/>
      </c>
      <c r="K1149" s="923" t="str">
        <f>IF($I1128="","",IF(INDEX(F_ProductBM!K:K,MATCH($P1149,F_ProductBM!$P:$P,0))="","",INDEX(F_ProductBM!K:K,MATCH($P1149,F_ProductBM!$P:$P,0))))</f>
        <v/>
      </c>
      <c r="L1149" s="923" t="str">
        <f>IF($I1128="","",IF(INDEX(F_ProductBM!L:L,MATCH($P1149,F_ProductBM!$P:$P,0))="","",INDEX(F_ProductBM!L:L,MATCH($P1149,F_ProductBM!$P:$P,0))))</f>
        <v/>
      </c>
      <c r="M1149" s="923" t="str">
        <f>IF($I1128="","",IF(INDEX(F_ProductBM!M:M,MATCH($P1149,F_ProductBM!$P:$P,0))="","",INDEX(F_ProductBM!M:M,MATCH($P1149,F_ProductBM!$P:$P,0))))</f>
        <v/>
      </c>
      <c r="N1149" s="823"/>
      <c r="O1149" s="25"/>
      <c r="P1149" s="367" t="str">
        <f>EUconst_CNTR_FuelEF &amp; I1128</f>
        <v>FuelEF_</v>
      </c>
      <c r="Q1149" s="437"/>
      <c r="R1149" s="437"/>
      <c r="S1149" s="437"/>
      <c r="T1149" s="26"/>
    </row>
    <row r="1150" spans="1:20" s="697" customFormat="1" ht="5.0999999999999996" customHeight="1" x14ac:dyDescent="0.2">
      <c r="A1150" s="437"/>
      <c r="B1150" s="414"/>
      <c r="C1150" s="414"/>
      <c r="E1150" s="526"/>
      <c r="F1150" s="823"/>
      <c r="G1150" s="823"/>
      <c r="H1150" s="823"/>
      <c r="I1150" s="924"/>
      <c r="J1150" s="924"/>
      <c r="K1150" s="924"/>
      <c r="L1150" s="924"/>
      <c r="M1150" s="924"/>
      <c r="N1150" s="823"/>
      <c r="O1150" s="25"/>
      <c r="P1150" s="437"/>
      <c r="Q1150" s="437"/>
      <c r="R1150" s="437"/>
      <c r="S1150" s="437"/>
      <c r="T1150" s="26"/>
    </row>
    <row r="1151" spans="1:20" s="697" customFormat="1" ht="12.75" customHeight="1" x14ac:dyDescent="0.2">
      <c r="A1151" s="437"/>
      <c r="B1151" s="414"/>
      <c r="C1151" s="414"/>
      <c r="E1151" s="1651" t="str">
        <f>Translations!$B$687</f>
        <v>Tiešās emisijas</v>
      </c>
      <c r="F1151" s="1652"/>
      <c r="G1151" s="1652"/>
      <c r="H1151" s="465" t="str">
        <f>EUconst_tCO2pa</f>
        <v>t CO2 / gads</v>
      </c>
      <c r="I1151" s="1103" t="str">
        <f>IF($I1128="","",IF(INDEX(F_ProductBM!I:I,MATCH($P1151,F_ProductBM!$P:$P,0))="","",INDEX(F_ProductBM!I:I,MATCH($P1151,F_ProductBM!$P:$P,0))))</f>
        <v/>
      </c>
      <c r="J1151" s="1103" t="str">
        <f>IF($I1128="","",IF(INDEX(F_ProductBM!J:J,MATCH($P1151,F_ProductBM!$P:$P,0))="","",INDEX(F_ProductBM!J:J,MATCH($P1151,F_ProductBM!$P:$P,0))))</f>
        <v/>
      </c>
      <c r="K1151" s="1103" t="str">
        <f>IF($I1128="","",IF(INDEX(F_ProductBM!K:K,MATCH($P1151,F_ProductBM!$P:$P,0))="","",INDEX(F_ProductBM!K:K,MATCH($P1151,F_ProductBM!$P:$P,0))))</f>
        <v/>
      </c>
      <c r="L1151" s="1103" t="str">
        <f>IF($I1128="","",IF(INDEX(F_ProductBM!L:L,MATCH($P1151,F_ProductBM!$P:$P,0))="","",INDEX(F_ProductBM!L:L,MATCH($P1151,F_ProductBM!$P:$P,0))))</f>
        <v/>
      </c>
      <c r="M1151" s="1103" t="str">
        <f>IF($I1128="","",IF(INDEX(F_ProductBM!M:M,MATCH($P1151,F_ProductBM!$P:$P,0))="","",INDEX(F_ProductBM!M:M,MATCH($P1151,F_ProductBM!$P:$P,0))))</f>
        <v/>
      </c>
      <c r="N1151" s="823"/>
      <c r="O1151" s="25"/>
      <c r="P1151" s="367" t="str">
        <f>EUconst_CNTR_Emissions &amp; I1128</f>
        <v>DirEmissions_</v>
      </c>
      <c r="Q1151" s="437"/>
      <c r="R1151" s="437"/>
      <c r="S1151" s="437"/>
      <c r="T1151" s="26"/>
    </row>
    <row r="1152" spans="1:20" s="697" customFormat="1" ht="12.75" customHeight="1" x14ac:dyDescent="0.2">
      <c r="A1152" s="437"/>
      <c r="B1152" s="414"/>
      <c r="C1152" s="414"/>
      <c r="E1152" s="1893" t="str">
        <f>Translations!$B$742</f>
        <v>Citas avota plūsmas, 1:</v>
      </c>
      <c r="F1152" s="1893"/>
      <c r="G1152" s="1893"/>
      <c r="H1152" s="465" t="str">
        <f>EUconst_tCO2pa</f>
        <v>t CO2 / gads</v>
      </c>
      <c r="I1152" s="1103" t="str">
        <f>IF($I1128="","",IF(INDEX(F_ProductBM!I:I,MATCH($P1152,F_ProductBM!$P:$P,0))="","",INDEX(F_ProductBM!I:I,MATCH($P1152,F_ProductBM!$P:$P,0))))</f>
        <v/>
      </c>
      <c r="J1152" s="1103" t="str">
        <f>IF($I1128="","",IF(INDEX(F_ProductBM!J:J,MATCH($P1152,F_ProductBM!$P:$P,0))="","",INDEX(F_ProductBM!J:J,MATCH($P1152,F_ProductBM!$P:$P,0))))</f>
        <v/>
      </c>
      <c r="K1152" s="1103" t="str">
        <f>IF($I1128="","",IF(INDEX(F_ProductBM!K:K,MATCH($P1152,F_ProductBM!$P:$P,0))="","",INDEX(F_ProductBM!K:K,MATCH($P1152,F_ProductBM!$P:$P,0))))</f>
        <v/>
      </c>
      <c r="L1152" s="1103" t="str">
        <f>IF($I1128="","",IF(INDEX(F_ProductBM!L:L,MATCH($P1152,F_ProductBM!$P:$P,0))="","",INDEX(F_ProductBM!L:L,MATCH($P1152,F_ProductBM!$P:$P,0))))</f>
        <v/>
      </c>
      <c r="M1152" s="1103" t="str">
        <f>IF($I1128="","",IF(INDEX(F_ProductBM!M:M,MATCH($P1152,F_ProductBM!$P:$P,0))="","",INDEX(F_ProductBM!M:M,MATCH($P1152,F_ProductBM!$P:$P,0))))</f>
        <v/>
      </c>
      <c r="N1152" s="823"/>
      <c r="O1152" s="25"/>
      <c r="P1152" s="367" t="str">
        <f>EUconst_CNTR_EmissionsIntSource1 &amp; I1128</f>
        <v>EmInternalSource1_</v>
      </c>
      <c r="Q1152" s="437"/>
      <c r="R1152" s="437"/>
      <c r="S1152" s="437"/>
      <c r="T1152" s="26"/>
    </row>
    <row r="1153" spans="1:20" s="697" customFormat="1" ht="12.75" customHeight="1" x14ac:dyDescent="0.2">
      <c r="A1153" s="437"/>
      <c r="B1153" s="414"/>
      <c r="C1153" s="414"/>
      <c r="E1153" s="1893" t="str">
        <f>Translations!$B$752</f>
        <v>Citas avota plūsmas, 2:</v>
      </c>
      <c r="F1153" s="1893"/>
      <c r="G1153" s="1893"/>
      <c r="H1153" s="465" t="str">
        <f>EUconst_tCO2pa</f>
        <v>t CO2 / gads</v>
      </c>
      <c r="I1153" s="1103" t="str">
        <f>IF($I1128="","",IF(INDEX(F_ProductBM!I:I,MATCH($P1153,F_ProductBM!$P:$P,0))="","",INDEX(F_ProductBM!I:I,MATCH($P1153,F_ProductBM!$P:$P,0))))</f>
        <v/>
      </c>
      <c r="J1153" s="1103" t="str">
        <f>IF($I1128="","",IF(INDEX(F_ProductBM!J:J,MATCH($P1153,F_ProductBM!$P:$P,0))="","",INDEX(F_ProductBM!J:J,MATCH($P1153,F_ProductBM!$P:$P,0))))</f>
        <v/>
      </c>
      <c r="K1153" s="1103" t="str">
        <f>IF($I1128="","",IF(INDEX(F_ProductBM!K:K,MATCH($P1153,F_ProductBM!$P:$P,0))="","",INDEX(F_ProductBM!K:K,MATCH($P1153,F_ProductBM!$P:$P,0))))</f>
        <v/>
      </c>
      <c r="L1153" s="1103" t="str">
        <f>IF($I1128="","",IF(INDEX(F_ProductBM!L:L,MATCH($P1153,F_ProductBM!$P:$P,0))="","",INDEX(F_ProductBM!L:L,MATCH($P1153,F_ProductBM!$P:$P,0))))</f>
        <v/>
      </c>
      <c r="M1153" s="1103" t="str">
        <f>IF($I1128="","",IF(INDEX(F_ProductBM!M:M,MATCH($P1153,F_ProductBM!$P:$P,0))="","",INDEX(F_ProductBM!M:M,MATCH($P1153,F_ProductBM!$P:$P,0))))</f>
        <v/>
      </c>
      <c r="N1153" s="823"/>
      <c r="O1153" s="25"/>
      <c r="P1153" s="367" t="str">
        <f>EUconst_CNTR_EmissionsIntSource2 &amp; I1128</f>
        <v>EmInternalSource2_</v>
      </c>
      <c r="Q1153" s="437"/>
      <c r="R1153" s="437"/>
      <c r="S1153" s="437"/>
      <c r="T1153" s="26"/>
    </row>
    <row r="1154" spans="1:20" s="697" customFormat="1" ht="12.75" customHeight="1" x14ac:dyDescent="0.2">
      <c r="A1154" s="437"/>
      <c r="B1154" s="414"/>
      <c r="C1154" s="414"/>
      <c r="D1154" s="414"/>
      <c r="E1154" s="1651" t="str">
        <f>Translations!$B$756</f>
        <v>Importētās vai eksportētās SEG</v>
      </c>
      <c r="F1154" s="1652"/>
      <c r="G1154" s="1652"/>
      <c r="H1154" s="465" t="str">
        <f>EUconst_tCO2epa</f>
        <v>t CO2e/gads</v>
      </c>
      <c r="I1154" s="1103" t="str">
        <f>IF($I1128="","",IF(INDEX(F_ProductBM!I:I,MATCH($P1154,F_ProductBM!$P:$P,0))="","",INDEX(F_ProductBM!I:I,MATCH($P1154,F_ProductBM!$P:$P,0))))</f>
        <v/>
      </c>
      <c r="J1154" s="1103" t="str">
        <f>IF($I1128="","",IF(INDEX(F_ProductBM!J:J,MATCH($P1154,F_ProductBM!$P:$P,0))="","",INDEX(F_ProductBM!J:J,MATCH($P1154,F_ProductBM!$P:$P,0))))</f>
        <v/>
      </c>
      <c r="K1154" s="1103" t="str">
        <f>IF($I1128="","",IF(INDEX(F_ProductBM!K:K,MATCH($P1154,F_ProductBM!$P:$P,0))="","",INDEX(F_ProductBM!K:K,MATCH($P1154,F_ProductBM!$P:$P,0))))</f>
        <v/>
      </c>
      <c r="L1154" s="1103" t="str">
        <f>IF($I1128="","",IF(INDEX(F_ProductBM!L:L,MATCH($P1154,F_ProductBM!$P:$P,0))="","",INDEX(F_ProductBM!L:L,MATCH($P1154,F_ProductBM!$P:$P,0))))</f>
        <v/>
      </c>
      <c r="M1154" s="1103" t="str">
        <f>IF($I1128="","",IF(INDEX(F_ProductBM!M:M,MATCH($P1154,F_ProductBM!$P:$P,0))="","",INDEX(F_ProductBM!M:M,MATCH($P1154,F_ProductBM!$P:$P,0))))</f>
        <v/>
      </c>
      <c r="N1154" s="823"/>
      <c r="O1154" s="25"/>
      <c r="P1154" s="367" t="str">
        <f>EUconst_CNTR_CO2Feedstock &amp; I1128</f>
        <v>EmCO2Feedstock_</v>
      </c>
      <c r="Q1154" s="437"/>
      <c r="R1154" s="437"/>
      <c r="S1154" s="437"/>
      <c r="T1154" s="26"/>
    </row>
    <row r="1155" spans="1:20" s="697" customFormat="1" ht="5.0999999999999996" customHeight="1" x14ac:dyDescent="0.2">
      <c r="A1155" s="437"/>
      <c r="B1155" s="414"/>
      <c r="C1155" s="414"/>
      <c r="D1155" s="414"/>
      <c r="E1155" s="823"/>
      <c r="F1155" s="823"/>
      <c r="G1155" s="823"/>
      <c r="H1155" s="823"/>
      <c r="I1155" s="924"/>
      <c r="J1155" s="924"/>
      <c r="K1155" s="924"/>
      <c r="L1155" s="924"/>
      <c r="M1155" s="924"/>
      <c r="N1155" s="823"/>
      <c r="O1155" s="25"/>
      <c r="P1155" s="437"/>
      <c r="Q1155" s="437"/>
      <c r="R1155" s="437"/>
      <c r="S1155" s="437"/>
      <c r="T1155" s="26"/>
    </row>
    <row r="1156" spans="1:20" s="697" customFormat="1" ht="12.75" customHeight="1" x14ac:dyDescent="0.2">
      <c r="A1156" s="437"/>
      <c r="B1156" s="414"/>
      <c r="C1156" s="414"/>
      <c r="D1156" s="414"/>
      <c r="E1156" s="1667" t="str">
        <f>Translations!$B$764</f>
        <v>Neto importētais siltums</v>
      </c>
      <c r="F1156" s="1660"/>
      <c r="G1156" s="1660"/>
      <c r="H1156" s="466" t="str">
        <f>EUconst_TJpa</f>
        <v>TJ / gads</v>
      </c>
      <c r="I1156" s="922" t="str">
        <f>IF($I1128="","",IF(INDEX(F_ProductBM!I:I,MATCH($P1156,F_ProductBM!$P:$P,0))="","",INDEX(F_ProductBM!I:I,MATCH($P1156,F_ProductBM!$P:$P,0))))</f>
        <v/>
      </c>
      <c r="J1156" s="922" t="str">
        <f>IF($I1128="","",IF(INDEX(F_ProductBM!J:J,MATCH($P1156,F_ProductBM!$P:$P,0))="","",INDEX(F_ProductBM!J:J,MATCH($P1156,F_ProductBM!$P:$P,0))))</f>
        <v/>
      </c>
      <c r="K1156" s="922" t="str">
        <f>IF($I1128="","",IF(INDEX(F_ProductBM!K:K,MATCH($P1156,F_ProductBM!$P:$P,0))="","",INDEX(F_ProductBM!K:K,MATCH($P1156,F_ProductBM!$P:$P,0))))</f>
        <v/>
      </c>
      <c r="L1156" s="922" t="str">
        <f>IF($I1128="","",IF(INDEX(F_ProductBM!L:L,MATCH($P1156,F_ProductBM!$P:$P,0))="","",INDEX(F_ProductBM!L:L,MATCH($P1156,F_ProductBM!$P:$P,0))))</f>
        <v/>
      </c>
      <c r="M1156" s="922" t="str">
        <f>IF($I1128="","",IF(INDEX(F_ProductBM!M:M,MATCH($P1156,F_ProductBM!$P:$P,0))="","",INDEX(F_ProductBM!M:M,MATCH($P1156,F_ProductBM!$P:$P,0))))</f>
        <v/>
      </c>
      <c r="N1156" s="823"/>
      <c r="O1156" s="25"/>
      <c r="P1156" s="367" t="str">
        <f>EUconst_CNTR_HeatImport &amp; I1128</f>
        <v>HeatIm_</v>
      </c>
      <c r="Q1156" s="437"/>
      <c r="R1156" s="437"/>
      <c r="S1156" s="437"/>
      <c r="T1156" s="26"/>
    </row>
    <row r="1157" spans="1:20" s="697" customFormat="1" ht="12.75" customHeight="1" x14ac:dyDescent="0.2">
      <c r="A1157" s="437"/>
      <c r="B1157" s="414"/>
      <c r="C1157" s="414"/>
      <c r="D1157" s="414"/>
      <c r="E1157" s="1737" t="str">
        <f>Translations!$B$765</f>
        <v>Īpatnējais EF (importētais siltums)</v>
      </c>
      <c r="F1157" s="1659"/>
      <c r="G1157" s="1659"/>
      <c r="H1157" s="485" t="str">
        <f>EUconst_tCO2pTJ</f>
        <v>t CO2 / TJ</v>
      </c>
      <c r="I1157" s="923" t="str">
        <f>IF($I1128="","",IF(INDEX(F_ProductBM!I:I,MATCH($P1157,F_ProductBM!$P:$P,0))="","",INDEX(F_ProductBM!I:I,MATCH($P1157,F_ProductBM!$P:$P,0))))</f>
        <v/>
      </c>
      <c r="J1157" s="923" t="str">
        <f>IF($I1128="","",IF(INDEX(F_ProductBM!J:J,MATCH($P1157,F_ProductBM!$P:$P,0))="","",INDEX(F_ProductBM!J:J,MATCH($P1157,F_ProductBM!$P:$P,0))))</f>
        <v/>
      </c>
      <c r="K1157" s="923" t="str">
        <f>IF($I1128="","",IF(INDEX(F_ProductBM!K:K,MATCH($P1157,F_ProductBM!$P:$P,0))="","",INDEX(F_ProductBM!K:K,MATCH($P1157,F_ProductBM!$P:$P,0))))</f>
        <v/>
      </c>
      <c r="L1157" s="923" t="str">
        <f>IF($I1128="","",IF(INDEX(F_ProductBM!L:L,MATCH($P1157,F_ProductBM!$P:$P,0))="","",INDEX(F_ProductBM!L:L,MATCH($P1157,F_ProductBM!$P:$P,0))))</f>
        <v/>
      </c>
      <c r="M1157" s="923" t="str">
        <f>IF($I1128="","",IF(INDEX(F_ProductBM!M:M,MATCH($P1157,F_ProductBM!$P:$P,0))="","",INDEX(F_ProductBM!M:M,MATCH($P1157,F_ProductBM!$P:$P,0))))</f>
        <v/>
      </c>
      <c r="N1157" s="823"/>
      <c r="O1157" s="25"/>
      <c r="P1157" s="367" t="str">
        <f>EUconst_CNTR_HeatImportEF &amp; I1128</f>
        <v>HeatImEF_</v>
      </c>
      <c r="Q1157" s="437"/>
      <c r="R1157" s="437"/>
      <c r="S1157" s="437"/>
      <c r="T1157" s="26"/>
    </row>
    <row r="1158" spans="1:20" s="697" customFormat="1" ht="5.0999999999999996" customHeight="1" x14ac:dyDescent="0.2">
      <c r="A1158" s="437"/>
      <c r="B1158" s="414"/>
      <c r="C1158" s="414"/>
      <c r="D1158" s="414"/>
      <c r="E1158" s="526"/>
      <c r="F1158" s="823"/>
      <c r="G1158" s="823"/>
      <c r="H1158" s="823"/>
      <c r="I1158" s="924"/>
      <c r="J1158" s="924"/>
      <c r="K1158" s="924"/>
      <c r="L1158" s="924"/>
      <c r="M1158" s="924"/>
      <c r="N1158" s="823"/>
      <c r="O1158" s="25"/>
      <c r="P1158" s="26"/>
      <c r="Q1158" s="437"/>
      <c r="R1158" s="437"/>
      <c r="S1158" s="437"/>
      <c r="T1158" s="26"/>
    </row>
    <row r="1159" spans="1:20" s="697" customFormat="1" ht="12.75" customHeight="1" x14ac:dyDescent="0.2">
      <c r="A1159" s="437"/>
      <c r="B1159" s="414"/>
      <c r="C1159" s="414"/>
      <c r="D1159" s="414"/>
      <c r="E1159" s="1651" t="str">
        <f>Translations!$B$820</f>
        <v>No pulpas apakšiekārtām importētais neto siltums</v>
      </c>
      <c r="F1159" s="1652"/>
      <c r="G1159" s="1652"/>
      <c r="H1159" s="465" t="str">
        <f>EUconst_TJpa</f>
        <v>TJ / gads</v>
      </c>
      <c r="I1159" s="925" t="str">
        <f>IF($I1128="","",IF(INDEX(F_ProductBM!I:I,MATCH($P1159,F_ProductBM!$P:$P,0))="","",INDEX(F_ProductBM!I:I,MATCH($P1159,F_ProductBM!$P:$P,0))))</f>
        <v/>
      </c>
      <c r="J1159" s="925" t="str">
        <f>IF($I1128="","",IF(INDEX(F_ProductBM!J:J,MATCH($P1159,F_ProductBM!$P:$P,0))="","",INDEX(F_ProductBM!J:J,MATCH($P1159,F_ProductBM!$P:$P,0))))</f>
        <v/>
      </c>
      <c r="K1159" s="925" t="str">
        <f>IF($I1128="","",IF(INDEX(F_ProductBM!K:K,MATCH($P1159,F_ProductBM!$P:$P,0))="","",INDEX(F_ProductBM!K:K,MATCH($P1159,F_ProductBM!$P:$P,0))))</f>
        <v/>
      </c>
      <c r="L1159" s="925" t="str">
        <f>IF($I1128="","",IF(INDEX(F_ProductBM!L:L,MATCH($P1159,F_ProductBM!$P:$P,0))="","",INDEX(F_ProductBM!L:L,MATCH($P1159,F_ProductBM!$P:$P,0))))</f>
        <v/>
      </c>
      <c r="M1159" s="925" t="str">
        <f>IF($I1128="","",IF(INDEX(F_ProductBM!M:M,MATCH($P1159,F_ProductBM!$P:$P,0))="","",INDEX(F_ProductBM!M:M,MATCH($P1159,F_ProductBM!$P:$P,0))))</f>
        <v/>
      </c>
      <c r="N1159" s="823"/>
      <c r="O1159" s="25"/>
      <c r="P1159" s="367" t="str">
        <f>EUconst_CNTR_HeatImportPulp &amp; I1128</f>
        <v>HeatImPulp_</v>
      </c>
      <c r="Q1159" s="437"/>
      <c r="R1159" s="437"/>
      <c r="S1159" s="437"/>
      <c r="T1159" s="26"/>
    </row>
    <row r="1160" spans="1:20" s="697" customFormat="1" ht="12.75" customHeight="1" x14ac:dyDescent="0.2">
      <c r="A1160" s="437"/>
      <c r="B1160" s="414"/>
      <c r="C1160" s="414"/>
      <c r="D1160" s="414"/>
      <c r="E1160" s="1651" t="str">
        <f>Translations!$B$768</f>
        <v>No slāpekļskābes apakšiekārtas importētais neto siltums</v>
      </c>
      <c r="F1160" s="1652"/>
      <c r="G1160" s="1652"/>
      <c r="H1160" s="465" t="str">
        <f>EUconst_TJpa</f>
        <v>TJ / gads</v>
      </c>
      <c r="I1160" s="925" t="str">
        <f>IF($I1128="","",IF(INDEX(F_ProductBM!I:I,MATCH($P1160,F_ProductBM!$P:$P,0))="","",INDEX(F_ProductBM!I:I,MATCH($P1160,F_ProductBM!$P:$P,0))))</f>
        <v/>
      </c>
      <c r="J1160" s="925" t="str">
        <f>IF($I1128="","",IF(INDEX(F_ProductBM!J:J,MATCH($P1160,F_ProductBM!$P:$P,0))="","",INDEX(F_ProductBM!J:J,MATCH($P1160,F_ProductBM!$P:$P,0))))</f>
        <v/>
      </c>
      <c r="K1160" s="925" t="str">
        <f>IF($I1128="","",IF(INDEX(F_ProductBM!K:K,MATCH($P1160,F_ProductBM!$P:$P,0))="","",INDEX(F_ProductBM!K:K,MATCH($P1160,F_ProductBM!$P:$P,0))))</f>
        <v/>
      </c>
      <c r="L1160" s="925" t="str">
        <f>IF($I1128="","",IF(INDEX(F_ProductBM!L:L,MATCH($P1160,F_ProductBM!$P:$P,0))="","",INDEX(F_ProductBM!L:L,MATCH($P1160,F_ProductBM!$P:$P,0))))</f>
        <v/>
      </c>
      <c r="M1160" s="925" t="str">
        <f>IF($I1128="","",IF(INDEX(F_ProductBM!M:M,MATCH($P1160,F_ProductBM!$P:$P,0))="","",INDEX(F_ProductBM!M:M,MATCH($P1160,F_ProductBM!$P:$P,0))))</f>
        <v/>
      </c>
      <c r="N1160" s="823"/>
      <c r="O1160" s="25"/>
      <c r="P1160" s="367" t="str">
        <f>EUconst_CNTR_HeatImportNitric &amp; I1128</f>
        <v>HeatImNitric_</v>
      </c>
      <c r="Q1160" s="437"/>
      <c r="R1160" s="437"/>
      <c r="S1160" s="437"/>
      <c r="T1160" s="26"/>
    </row>
    <row r="1161" spans="1:20" s="697" customFormat="1" ht="5.0999999999999996" customHeight="1" x14ac:dyDescent="0.2">
      <c r="A1161" s="437"/>
      <c r="B1161" s="414"/>
      <c r="C1161" s="414"/>
      <c r="D1161" s="414"/>
      <c r="E1161" s="526"/>
      <c r="F1161" s="526"/>
      <c r="G1161" s="526"/>
      <c r="H1161" s="526"/>
      <c r="I1161" s="924"/>
      <c r="J1161" s="924"/>
      <c r="K1161" s="924"/>
      <c r="L1161" s="924"/>
      <c r="M1161" s="924"/>
      <c r="N1161" s="823"/>
      <c r="O1161" s="25"/>
      <c r="P1161" s="26"/>
      <c r="Q1161" s="437"/>
      <c r="R1161" s="437"/>
      <c r="S1161" s="437"/>
      <c r="T1161" s="26"/>
    </row>
    <row r="1162" spans="1:20" s="697" customFormat="1" ht="12.75" customHeight="1" x14ac:dyDescent="0.2">
      <c r="A1162" s="437"/>
      <c r="B1162" s="414"/>
      <c r="C1162" s="414"/>
      <c r="D1162" s="414"/>
      <c r="E1162" s="1667" t="str">
        <f>Translations!$B$770</f>
        <v>Neto eksportētais siltums</v>
      </c>
      <c r="F1162" s="1660"/>
      <c r="G1162" s="1660"/>
      <c r="H1162" s="466" t="str">
        <f>EUconst_TJpa</f>
        <v>TJ / gads</v>
      </c>
      <c r="I1162" s="922" t="str">
        <f>IF($I1128="","",IF(INDEX(F_ProductBM!I:I,MATCH($P1162,F_ProductBM!$P:$P,0))="","",INDEX(F_ProductBM!I:I,MATCH($P1162,F_ProductBM!$P:$P,0))))</f>
        <v/>
      </c>
      <c r="J1162" s="922" t="str">
        <f>IF($I1128="","",IF(INDEX(F_ProductBM!J:J,MATCH($P1162,F_ProductBM!$P:$P,0))="","",INDEX(F_ProductBM!J:J,MATCH($P1162,F_ProductBM!$P:$P,0))))</f>
        <v/>
      </c>
      <c r="K1162" s="922" t="str">
        <f>IF($I1128="","",IF(INDEX(F_ProductBM!K:K,MATCH($P1162,F_ProductBM!$P:$P,0))="","",INDEX(F_ProductBM!K:K,MATCH($P1162,F_ProductBM!$P:$P,0))))</f>
        <v/>
      </c>
      <c r="L1162" s="922" t="str">
        <f>IF($I1128="","",IF(INDEX(F_ProductBM!L:L,MATCH($P1162,F_ProductBM!$P:$P,0))="","",INDEX(F_ProductBM!L:L,MATCH($P1162,F_ProductBM!$P:$P,0))))</f>
        <v/>
      </c>
      <c r="M1162" s="922" t="str">
        <f>IF($I1128="","",IF(INDEX(F_ProductBM!M:M,MATCH($P1162,F_ProductBM!$P:$P,0))="","",INDEX(F_ProductBM!M:M,MATCH($P1162,F_ProductBM!$P:$P,0))))</f>
        <v/>
      </c>
      <c r="N1162" s="823"/>
      <c r="O1162" s="25"/>
      <c r="P1162" s="367" t="str">
        <f>EUconst_CNTR_HeatExport &amp; I1128</f>
        <v>HeatEx_</v>
      </c>
      <c r="Q1162" s="437"/>
      <c r="R1162" s="437"/>
      <c r="S1162" s="437"/>
      <c r="T1162" s="26"/>
    </row>
    <row r="1163" spans="1:20" s="697" customFormat="1" ht="12.75" customHeight="1" x14ac:dyDescent="0.2">
      <c r="A1163" s="437"/>
      <c r="B1163" s="414"/>
      <c r="C1163" s="414"/>
      <c r="D1163" s="414"/>
      <c r="E1163" s="1737" t="str">
        <f>Translations!$B$771</f>
        <v>Īpatnējais EF (eksportētais siltums)</v>
      </c>
      <c r="F1163" s="1659"/>
      <c r="G1163" s="1659"/>
      <c r="H1163" s="485" t="str">
        <f>EUconst_tCO2pTJ</f>
        <v>t CO2 / TJ</v>
      </c>
      <c r="I1163" s="923" t="str">
        <f>IF($I1128="","",IF(INDEX(F_ProductBM!I:I,MATCH($P1163,F_ProductBM!$P:$P,0))="","",INDEX(F_ProductBM!I:I,MATCH($P1163,F_ProductBM!$P:$P,0))))</f>
        <v/>
      </c>
      <c r="J1163" s="923" t="str">
        <f>IF($I1128="","",IF(INDEX(F_ProductBM!J:J,MATCH($P1163,F_ProductBM!$P:$P,0))="","",INDEX(F_ProductBM!J:J,MATCH($P1163,F_ProductBM!$P:$P,0))))</f>
        <v/>
      </c>
      <c r="K1163" s="923" t="str">
        <f>IF($I1128="","",IF(INDEX(F_ProductBM!K:K,MATCH($P1163,F_ProductBM!$P:$P,0))="","",INDEX(F_ProductBM!K:K,MATCH($P1163,F_ProductBM!$P:$P,0))))</f>
        <v/>
      </c>
      <c r="L1163" s="923" t="str">
        <f>IF($I1128="","",IF(INDEX(F_ProductBM!L:L,MATCH($P1163,F_ProductBM!$P:$P,0))="","",INDEX(F_ProductBM!L:L,MATCH($P1163,F_ProductBM!$P:$P,0))))</f>
        <v/>
      </c>
      <c r="M1163" s="923" t="str">
        <f>IF($I1128="","",IF(INDEX(F_ProductBM!M:M,MATCH($P1163,F_ProductBM!$P:$P,0))="","",INDEX(F_ProductBM!M:M,MATCH($P1163,F_ProductBM!$P:$P,0))))</f>
        <v/>
      </c>
      <c r="N1163" s="823"/>
      <c r="O1163" s="25"/>
      <c r="P1163" s="367" t="str">
        <f>EUconst_CNTR_HeatExportEF &amp; I1128</f>
        <v>HeatExEF_</v>
      </c>
      <c r="Q1163" s="437"/>
      <c r="R1163" s="437"/>
      <c r="S1163" s="437"/>
      <c r="T1163" s="26"/>
    </row>
    <row r="1164" spans="1:20" s="697" customFormat="1" ht="5.0999999999999996" customHeight="1" x14ac:dyDescent="0.2">
      <c r="A1164" s="437"/>
      <c r="B1164" s="414"/>
      <c r="C1164" s="414"/>
      <c r="D1164" s="414"/>
      <c r="E1164" s="526"/>
      <c r="F1164" s="526"/>
      <c r="G1164" s="526"/>
      <c r="H1164" s="526"/>
      <c r="I1164" s="924"/>
      <c r="J1164" s="924"/>
      <c r="K1164" s="924"/>
      <c r="L1164" s="924"/>
      <c r="M1164" s="924"/>
      <c r="N1164" s="823"/>
      <c r="O1164" s="25"/>
      <c r="P1164" s="199"/>
      <c r="Q1164" s="437"/>
      <c r="R1164" s="437"/>
      <c r="S1164" s="437"/>
      <c r="T1164" s="26"/>
    </row>
    <row r="1165" spans="1:20" s="697" customFormat="1" ht="12.75" customHeight="1" x14ac:dyDescent="0.2">
      <c r="A1165" s="437"/>
      <c r="B1165" s="414"/>
      <c r="C1165" s="414"/>
      <c r="D1165" s="414"/>
      <c r="E1165" s="1667" t="str">
        <f>Translations!$B$778</f>
        <v>Radusies atlikumgāze</v>
      </c>
      <c r="F1165" s="1660"/>
      <c r="G1165" s="1660"/>
      <c r="H1165" s="466" t="str">
        <f>EUconst_TJpa</f>
        <v>TJ / gads</v>
      </c>
      <c r="I1165" s="922" t="str">
        <f>IF($I1128="","",IF(INDEX(F_ProductBM!I:I,MATCH($P1165,F_ProductBM!$P:$P,0))="","",INDEX(F_ProductBM!I:I,MATCH($P1165,F_ProductBM!$P:$P,0))))</f>
        <v/>
      </c>
      <c r="J1165" s="922" t="str">
        <f>IF($I1128="","",IF(INDEX(F_ProductBM!J:J,MATCH($P1165,F_ProductBM!$P:$P,0))="","",INDEX(F_ProductBM!J:J,MATCH($P1165,F_ProductBM!$P:$P,0))))</f>
        <v/>
      </c>
      <c r="K1165" s="922" t="str">
        <f>IF($I1128="","",IF(INDEX(F_ProductBM!K:K,MATCH($P1165,F_ProductBM!$P:$P,0))="","",INDEX(F_ProductBM!K:K,MATCH($P1165,F_ProductBM!$P:$P,0))))</f>
        <v/>
      </c>
      <c r="L1165" s="922" t="str">
        <f>IF($I1128="","",IF(INDEX(F_ProductBM!L:L,MATCH($P1165,F_ProductBM!$P:$P,0))="","",INDEX(F_ProductBM!L:L,MATCH($P1165,F_ProductBM!$P:$P,0))))</f>
        <v/>
      </c>
      <c r="M1165" s="922" t="str">
        <f>IF($I1128="","",IF(INDEX(F_ProductBM!M:M,MATCH($P1165,F_ProductBM!$P:$P,0))="","",INDEX(F_ProductBM!M:M,MATCH($P1165,F_ProductBM!$P:$P,0))))</f>
        <v/>
      </c>
      <c r="N1165" s="823"/>
      <c r="O1165" s="25"/>
      <c r="P1165" s="822" t="str">
        <f>EUconst_CNTR_WGProduced &amp; I1128</f>
        <v>WasteGasProd_</v>
      </c>
      <c r="Q1165" s="437"/>
      <c r="R1165" s="437"/>
      <c r="S1165" s="437"/>
      <c r="T1165" s="26"/>
    </row>
    <row r="1166" spans="1:20" s="697" customFormat="1" ht="12.75" customHeight="1" x14ac:dyDescent="0.2">
      <c r="A1166" s="437"/>
      <c r="B1166" s="414"/>
      <c r="C1166" s="414"/>
      <c r="D1166" s="414"/>
      <c r="E1166" s="1737" t="str">
        <f>Translations!$B$779</f>
        <v>Īpatnējais EF (radusies atlikumgāze)</v>
      </c>
      <c r="F1166" s="1659"/>
      <c r="G1166" s="1659"/>
      <c r="H1166" s="485" t="str">
        <f>EUconst_tCO2pTJ</f>
        <v>t CO2 / TJ</v>
      </c>
      <c r="I1166" s="923" t="str">
        <f>IF($I1128="","",IF(INDEX(F_ProductBM!I:I,MATCH($P1166,F_ProductBM!$P:$P,0))="","",INDEX(F_ProductBM!I:I,MATCH($P1166,F_ProductBM!$P:$P,0))))</f>
        <v/>
      </c>
      <c r="J1166" s="923" t="str">
        <f>IF($I1128="","",IF(INDEX(F_ProductBM!J:J,MATCH($P1166,F_ProductBM!$P:$P,0))="","",INDEX(F_ProductBM!J:J,MATCH($P1166,F_ProductBM!$P:$P,0))))</f>
        <v/>
      </c>
      <c r="K1166" s="923" t="str">
        <f>IF($I1128="","",IF(INDEX(F_ProductBM!K:K,MATCH($P1166,F_ProductBM!$P:$P,0))="","",INDEX(F_ProductBM!K:K,MATCH($P1166,F_ProductBM!$P:$P,0))))</f>
        <v/>
      </c>
      <c r="L1166" s="923" t="str">
        <f>IF($I1128="","",IF(INDEX(F_ProductBM!L:L,MATCH($P1166,F_ProductBM!$P:$P,0))="","",INDEX(F_ProductBM!L:L,MATCH($P1166,F_ProductBM!$P:$P,0))))</f>
        <v/>
      </c>
      <c r="M1166" s="923" t="str">
        <f>IF($I1128="","",IF(INDEX(F_ProductBM!M:M,MATCH($P1166,F_ProductBM!$P:$P,0))="","",INDEX(F_ProductBM!M:M,MATCH($P1166,F_ProductBM!$P:$P,0))))</f>
        <v/>
      </c>
      <c r="N1166" s="823"/>
      <c r="O1166" s="25"/>
      <c r="P1166" s="367" t="str">
        <f>EUconst_CNTR_WGProducedEF &amp; I1128</f>
        <v>WasteGasProdEF_</v>
      </c>
      <c r="Q1166" s="437"/>
      <c r="R1166" s="437"/>
      <c r="S1166" s="437"/>
      <c r="T1166" s="26"/>
    </row>
    <row r="1167" spans="1:20" s="697" customFormat="1" ht="12.75" customHeight="1" x14ac:dyDescent="0.2">
      <c r="A1167" s="437"/>
      <c r="B1167" s="414"/>
      <c r="C1167" s="414"/>
      <c r="D1167" s="414"/>
      <c r="E1167" s="1667" t="str">
        <f>Translations!$B$783</f>
        <v>Patērētā atlikumgāze</v>
      </c>
      <c r="F1167" s="1660"/>
      <c r="G1167" s="1660"/>
      <c r="H1167" s="466" t="str">
        <f>EUconst_TJpa</f>
        <v>TJ / gads</v>
      </c>
      <c r="I1167" s="922" t="str">
        <f>IF($I1128="","",IF(INDEX(F_ProductBM!I:I,MATCH($P1167,F_ProductBM!$P:$P,0))="","",INDEX(F_ProductBM!I:I,MATCH($P1167,F_ProductBM!$P:$P,0))))</f>
        <v/>
      </c>
      <c r="J1167" s="922" t="str">
        <f>IF($I1128="","",IF(INDEX(F_ProductBM!J:J,MATCH($P1167,F_ProductBM!$P:$P,0))="","",INDEX(F_ProductBM!J:J,MATCH($P1167,F_ProductBM!$P:$P,0))))</f>
        <v/>
      </c>
      <c r="K1167" s="922" t="str">
        <f>IF($I1128="","",IF(INDEX(F_ProductBM!K:K,MATCH($P1167,F_ProductBM!$P:$P,0))="","",INDEX(F_ProductBM!K:K,MATCH($P1167,F_ProductBM!$P:$P,0))))</f>
        <v/>
      </c>
      <c r="L1167" s="922" t="str">
        <f>IF($I1128="","",IF(INDEX(F_ProductBM!L:L,MATCH($P1167,F_ProductBM!$P:$P,0))="","",INDEX(F_ProductBM!L:L,MATCH($P1167,F_ProductBM!$P:$P,0))))</f>
        <v/>
      </c>
      <c r="M1167" s="922" t="str">
        <f>IF($I1128="","",IF(INDEX(F_ProductBM!M:M,MATCH($P1167,F_ProductBM!$P:$P,0))="","",INDEX(F_ProductBM!M:M,MATCH($P1167,F_ProductBM!$P:$P,0))))</f>
        <v/>
      </c>
      <c r="N1167" s="823"/>
      <c r="O1167" s="25"/>
      <c r="P1167" s="367" t="str">
        <f>EUconst_CNTR_WGConsumed &amp; I1128</f>
        <v>WasteGasCons_</v>
      </c>
      <c r="Q1167" s="437"/>
      <c r="R1167" s="437"/>
      <c r="S1167" s="437"/>
      <c r="T1167" s="26"/>
    </row>
    <row r="1168" spans="1:20" s="697" customFormat="1" ht="12.75" customHeight="1" x14ac:dyDescent="0.2">
      <c r="A1168" s="437"/>
      <c r="B1168" s="414"/>
      <c r="C1168" s="414"/>
      <c r="D1168" s="414"/>
      <c r="E1168" s="1737" t="str">
        <f>Translations!$B$784</f>
        <v>Īpatnējais EF (patērētā atlikumgāze)</v>
      </c>
      <c r="F1168" s="1659"/>
      <c r="G1168" s="1659"/>
      <c r="H1168" s="485" t="str">
        <f>EUconst_tCO2pTJ</f>
        <v>t CO2 / TJ</v>
      </c>
      <c r="I1168" s="923" t="str">
        <f>IF($I1128="","",IF(INDEX(F_ProductBM!I:I,MATCH($P1168,F_ProductBM!$P:$P,0))="","",INDEX(F_ProductBM!I:I,MATCH($P1168,F_ProductBM!$P:$P,0))))</f>
        <v/>
      </c>
      <c r="J1168" s="923" t="str">
        <f>IF($I1128="","",IF(INDEX(F_ProductBM!J:J,MATCH($P1168,F_ProductBM!$P:$P,0))="","",INDEX(F_ProductBM!J:J,MATCH($P1168,F_ProductBM!$P:$P,0))))</f>
        <v/>
      </c>
      <c r="K1168" s="923" t="str">
        <f>IF($I1128="","",IF(INDEX(F_ProductBM!K:K,MATCH($P1168,F_ProductBM!$P:$P,0))="","",INDEX(F_ProductBM!K:K,MATCH($P1168,F_ProductBM!$P:$P,0))))</f>
        <v/>
      </c>
      <c r="L1168" s="923" t="str">
        <f>IF($I1128="","",IF(INDEX(F_ProductBM!L:L,MATCH($P1168,F_ProductBM!$P:$P,0))="","",INDEX(F_ProductBM!L:L,MATCH($P1168,F_ProductBM!$P:$P,0))))</f>
        <v/>
      </c>
      <c r="M1168" s="923" t="str">
        <f>IF($I1128="","",IF(INDEX(F_ProductBM!M:M,MATCH($P1168,F_ProductBM!$P:$P,0))="","",INDEX(F_ProductBM!M:M,MATCH($P1168,F_ProductBM!$P:$P,0))))</f>
        <v/>
      </c>
      <c r="N1168" s="823"/>
      <c r="O1168" s="25"/>
      <c r="P1168" s="367" t="str">
        <f>EUconst_CNTR_WGConsumedEF &amp; I1128</f>
        <v>WasteGasConsEF_</v>
      </c>
      <c r="Q1168" s="437"/>
      <c r="R1168" s="437"/>
      <c r="S1168" s="437"/>
      <c r="T1168" s="26"/>
    </row>
    <row r="1169" spans="1:20" s="697" customFormat="1" ht="12.75" customHeight="1" x14ac:dyDescent="0.2">
      <c r="A1169" s="437"/>
      <c r="B1169" s="414"/>
      <c r="C1169" s="414"/>
      <c r="D1169" s="414"/>
      <c r="E1169" s="1667" t="str">
        <f>Translations!$B$790</f>
        <v>Lāpā sadedzinātā atlikumgāze</v>
      </c>
      <c r="F1169" s="1660"/>
      <c r="G1169" s="1660"/>
      <c r="H1169" s="466" t="str">
        <f>EUconst_TJpa</f>
        <v>TJ / gads</v>
      </c>
      <c r="I1169" s="922" t="str">
        <f>IF($I1128="","",IF(INDEX(F_ProductBM!I:I,MATCH($P1169,F_ProductBM!$P:$P,0))="","",INDEX(F_ProductBM!I:I,MATCH($P1169,F_ProductBM!$P:$P,0))))</f>
        <v/>
      </c>
      <c r="J1169" s="922" t="str">
        <f>IF($I1128="","",IF(INDEX(F_ProductBM!J:J,MATCH($P1169,F_ProductBM!$P:$P,0))="","",INDEX(F_ProductBM!J:J,MATCH($P1169,F_ProductBM!$P:$P,0))))</f>
        <v/>
      </c>
      <c r="K1169" s="922" t="str">
        <f>IF($I1128="","",IF(INDEX(F_ProductBM!K:K,MATCH($P1169,F_ProductBM!$P:$P,0))="","",INDEX(F_ProductBM!K:K,MATCH($P1169,F_ProductBM!$P:$P,0))))</f>
        <v/>
      </c>
      <c r="L1169" s="922" t="str">
        <f>IF($I1128="","",IF(INDEX(F_ProductBM!L:L,MATCH($P1169,F_ProductBM!$P:$P,0))="","",INDEX(F_ProductBM!L:L,MATCH($P1169,F_ProductBM!$P:$P,0))))</f>
        <v/>
      </c>
      <c r="M1169" s="922" t="str">
        <f>IF($I1128="","",IF(INDEX(F_ProductBM!M:M,MATCH($P1169,F_ProductBM!$P:$P,0))="","",INDEX(F_ProductBM!M:M,MATCH($P1169,F_ProductBM!$P:$P,0))))</f>
        <v/>
      </c>
      <c r="N1169" s="823"/>
      <c r="O1169" s="25"/>
      <c r="P1169" s="367" t="str">
        <f>EUconst_CNTR_WGFlared &amp; I1128</f>
        <v>WasteGasFlare_</v>
      </c>
      <c r="Q1169" s="437"/>
      <c r="R1169" s="437"/>
      <c r="S1169" s="437"/>
      <c r="T1169" s="26"/>
    </row>
    <row r="1170" spans="1:20" s="697" customFormat="1" ht="12.75" customHeight="1" x14ac:dyDescent="0.2">
      <c r="A1170" s="437"/>
      <c r="B1170" s="414"/>
      <c r="C1170" s="414"/>
      <c r="D1170" s="414"/>
      <c r="E1170" s="1737" t="str">
        <f>Translations!$B$791</f>
        <v>Īpatnējais EF (lāpā sadedzinātā atlikumgāze)</v>
      </c>
      <c r="F1170" s="1659"/>
      <c r="G1170" s="1659"/>
      <c r="H1170" s="485" t="str">
        <f>EUconst_tCO2pTJ</f>
        <v>t CO2 / TJ</v>
      </c>
      <c r="I1170" s="923" t="str">
        <f>IF($I1128="","",IF(INDEX(F_ProductBM!I:I,MATCH($P1170,F_ProductBM!$P:$P,0))="","",INDEX(F_ProductBM!I:I,MATCH($P1170,F_ProductBM!$P:$P,0))))</f>
        <v/>
      </c>
      <c r="J1170" s="923" t="str">
        <f>IF($I1128="","",IF(INDEX(F_ProductBM!J:J,MATCH($P1170,F_ProductBM!$P:$P,0))="","",INDEX(F_ProductBM!J:J,MATCH($P1170,F_ProductBM!$P:$P,0))))</f>
        <v/>
      </c>
      <c r="K1170" s="923" t="str">
        <f>IF($I1128="","",IF(INDEX(F_ProductBM!K:K,MATCH($P1170,F_ProductBM!$P:$P,0))="","",INDEX(F_ProductBM!K:K,MATCH($P1170,F_ProductBM!$P:$P,0))))</f>
        <v/>
      </c>
      <c r="L1170" s="923" t="str">
        <f>IF($I1128="","",IF(INDEX(F_ProductBM!L:L,MATCH($P1170,F_ProductBM!$P:$P,0))="","",INDEX(F_ProductBM!L:L,MATCH($P1170,F_ProductBM!$P:$P,0))))</f>
        <v/>
      </c>
      <c r="M1170" s="923" t="str">
        <f>IF($I1128="","",IF(INDEX(F_ProductBM!M:M,MATCH($P1170,F_ProductBM!$P:$P,0))="","",INDEX(F_ProductBM!M:M,MATCH($P1170,F_ProductBM!$P:$P,0))))</f>
        <v/>
      </c>
      <c r="N1170" s="823"/>
      <c r="O1170" s="25"/>
      <c r="P1170" s="367" t="str">
        <f>EUconst_CNTR_WGFlaredEF &amp; I1128</f>
        <v>WasteGasFlareEF_</v>
      </c>
      <c r="Q1170" s="437"/>
      <c r="R1170" s="437"/>
      <c r="S1170" s="437"/>
      <c r="T1170" s="26"/>
    </row>
    <row r="1171" spans="1:20" s="697" customFormat="1" ht="12.75" customHeight="1" x14ac:dyDescent="0.2">
      <c r="A1171" s="437"/>
      <c r="B1171" s="414"/>
      <c r="C1171" s="414"/>
      <c r="D1171" s="414"/>
      <c r="E1171" s="1667" t="str">
        <f>Translations!$B$796</f>
        <v>Importētā atlikumgāze</v>
      </c>
      <c r="F1171" s="1660"/>
      <c r="G1171" s="1660"/>
      <c r="H1171" s="466" t="str">
        <f>EUconst_TJpa</f>
        <v>TJ / gads</v>
      </c>
      <c r="I1171" s="922" t="str">
        <f>IF($I1128="","",IF(INDEX(F_ProductBM!I:I,MATCH($P1171,F_ProductBM!$P:$P,0))="","",INDEX(F_ProductBM!I:I,MATCH($P1171,F_ProductBM!$P:$P,0))))</f>
        <v/>
      </c>
      <c r="J1171" s="922" t="str">
        <f>IF($I1128="","",IF(INDEX(F_ProductBM!J:J,MATCH($P1171,F_ProductBM!$P:$P,0))="","",INDEX(F_ProductBM!J:J,MATCH($P1171,F_ProductBM!$P:$P,0))))</f>
        <v/>
      </c>
      <c r="K1171" s="922" t="str">
        <f>IF($I1128="","",IF(INDEX(F_ProductBM!K:K,MATCH($P1171,F_ProductBM!$P:$P,0))="","",INDEX(F_ProductBM!K:K,MATCH($P1171,F_ProductBM!$P:$P,0))))</f>
        <v/>
      </c>
      <c r="L1171" s="922" t="str">
        <f>IF($I1128="","",IF(INDEX(F_ProductBM!L:L,MATCH($P1171,F_ProductBM!$P:$P,0))="","",INDEX(F_ProductBM!L:L,MATCH($P1171,F_ProductBM!$P:$P,0))))</f>
        <v/>
      </c>
      <c r="M1171" s="922" t="str">
        <f>IF($I1128="","",IF(INDEX(F_ProductBM!M:M,MATCH($P1171,F_ProductBM!$P:$P,0))="","",INDEX(F_ProductBM!M:M,MATCH($P1171,F_ProductBM!$P:$P,0))))</f>
        <v/>
      </c>
      <c r="N1171" s="823"/>
      <c r="O1171" s="25"/>
      <c r="P1171" s="367" t="str">
        <f>EUconst_CNTR_WGImport &amp; I1128</f>
        <v>WasteGasIm_</v>
      </c>
      <c r="Q1171" s="437"/>
      <c r="R1171" s="437"/>
      <c r="S1171" s="437"/>
      <c r="T1171" s="26"/>
    </row>
    <row r="1172" spans="1:20" s="697" customFormat="1" ht="12.75" customHeight="1" x14ac:dyDescent="0.2">
      <c r="A1172" s="437"/>
      <c r="B1172" s="414"/>
      <c r="C1172" s="414"/>
      <c r="D1172" s="414"/>
      <c r="E1172" s="1737" t="str">
        <f>Translations!$B$797</f>
        <v>Īpatnējais EF (importētā atlikumgāze)</v>
      </c>
      <c r="F1172" s="1737"/>
      <c r="G1172" s="1737"/>
      <c r="H1172" s="824" t="str">
        <f>EUconst_tCO2pTJ</f>
        <v>t CO2 / TJ</v>
      </c>
      <c r="I1172" s="923" t="str">
        <f>IF($I1128="","",IF(INDEX(F_ProductBM!I:I,MATCH($P1172,F_ProductBM!$P:$P,0))="","",INDEX(F_ProductBM!I:I,MATCH($P1172,F_ProductBM!$P:$P,0))))</f>
        <v/>
      </c>
      <c r="J1172" s="923" t="str">
        <f>IF($I1128="","",IF(INDEX(F_ProductBM!J:J,MATCH($P1172,F_ProductBM!$P:$P,0))="","",INDEX(F_ProductBM!J:J,MATCH($P1172,F_ProductBM!$P:$P,0))))</f>
        <v/>
      </c>
      <c r="K1172" s="923" t="str">
        <f>IF($I1128="","",IF(INDEX(F_ProductBM!K:K,MATCH($P1172,F_ProductBM!$P:$P,0))="","",INDEX(F_ProductBM!K:K,MATCH($P1172,F_ProductBM!$P:$P,0))))</f>
        <v/>
      </c>
      <c r="L1172" s="923" t="str">
        <f>IF($I1128="","",IF(INDEX(F_ProductBM!L:L,MATCH($P1172,F_ProductBM!$P:$P,0))="","",INDEX(F_ProductBM!L:L,MATCH($P1172,F_ProductBM!$P:$P,0))))</f>
        <v/>
      </c>
      <c r="M1172" s="923" t="str">
        <f>IF($I1128="","",IF(INDEX(F_ProductBM!M:M,MATCH($P1172,F_ProductBM!$P:$P,0))="","",INDEX(F_ProductBM!M:M,MATCH($P1172,F_ProductBM!$P:$P,0))))</f>
        <v/>
      </c>
      <c r="N1172" s="823"/>
      <c r="O1172" s="25"/>
      <c r="P1172" s="367" t="str">
        <f>EUconst_CNTR_WGImportEF &amp; I1128</f>
        <v>WasteGasImEF_</v>
      </c>
      <c r="Q1172" s="437"/>
      <c r="R1172" s="437"/>
      <c r="S1172" s="437"/>
      <c r="T1172" s="26"/>
    </row>
    <row r="1173" spans="1:20" s="697" customFormat="1" ht="12.75" customHeight="1" x14ac:dyDescent="0.2">
      <c r="A1173" s="437"/>
      <c r="B1173" s="414"/>
      <c r="C1173" s="414"/>
      <c r="D1173" s="414"/>
      <c r="E1173" s="1667" t="str">
        <f>Translations!$B$801</f>
        <v>Eksportētā atlikumgāze</v>
      </c>
      <c r="F1173" s="1660"/>
      <c r="G1173" s="1660"/>
      <c r="H1173" s="466" t="str">
        <f>EUconst_TJpa</f>
        <v>TJ / gads</v>
      </c>
      <c r="I1173" s="922" t="str">
        <f>IF($I1128="","",IF(INDEX(F_ProductBM!I:I,MATCH($P1173,F_ProductBM!$P:$P,0))="","",INDEX(F_ProductBM!I:I,MATCH($P1173,F_ProductBM!$P:$P,0))))</f>
        <v/>
      </c>
      <c r="J1173" s="922" t="str">
        <f>IF($I1128="","",IF(INDEX(F_ProductBM!J:J,MATCH($P1173,F_ProductBM!$P:$P,0))="","",INDEX(F_ProductBM!J:J,MATCH($P1173,F_ProductBM!$P:$P,0))))</f>
        <v/>
      </c>
      <c r="K1173" s="922" t="str">
        <f>IF($I1128="","",IF(INDEX(F_ProductBM!K:K,MATCH($P1173,F_ProductBM!$P:$P,0))="","",INDEX(F_ProductBM!K:K,MATCH($P1173,F_ProductBM!$P:$P,0))))</f>
        <v/>
      </c>
      <c r="L1173" s="922" t="str">
        <f>IF($I1128="","",IF(INDEX(F_ProductBM!L:L,MATCH($P1173,F_ProductBM!$P:$P,0))="","",INDEX(F_ProductBM!L:L,MATCH($P1173,F_ProductBM!$P:$P,0))))</f>
        <v/>
      </c>
      <c r="M1173" s="922" t="str">
        <f>IF($I1128="","",IF(INDEX(F_ProductBM!M:M,MATCH($P1173,F_ProductBM!$P:$P,0))="","",INDEX(F_ProductBM!M:M,MATCH($P1173,F_ProductBM!$P:$P,0))))</f>
        <v/>
      </c>
      <c r="N1173" s="823"/>
      <c r="O1173" s="25"/>
      <c r="P1173" s="367" t="str">
        <f>EUconst_CNTR_WGExport &amp; I1128</f>
        <v>WasteGasEx_</v>
      </c>
      <c r="Q1173" s="437"/>
      <c r="R1173" s="437"/>
      <c r="S1173" s="437"/>
      <c r="T1173" s="26"/>
    </row>
    <row r="1174" spans="1:20" s="697" customFormat="1" ht="12.75" customHeight="1" x14ac:dyDescent="0.2">
      <c r="A1174" s="437"/>
      <c r="B1174" s="414"/>
      <c r="C1174" s="414"/>
      <c r="D1174" s="414"/>
      <c r="E1174" s="1737" t="str">
        <f>Translations!$B$802</f>
        <v>Īpatnējais EF (eksportētā atlikumgāze)</v>
      </c>
      <c r="F1174" s="1737"/>
      <c r="G1174" s="1737"/>
      <c r="H1174" s="824" t="str">
        <f>EUconst_tCO2pTJ</f>
        <v>t CO2 / TJ</v>
      </c>
      <c r="I1174" s="923" t="str">
        <f>IF($I1128="","",IF(INDEX(F_ProductBM!I:I,MATCH($P1174,F_ProductBM!$P:$P,0))="","",INDEX(F_ProductBM!I:I,MATCH($P1174,F_ProductBM!$P:$P,0))))</f>
        <v/>
      </c>
      <c r="J1174" s="923" t="str">
        <f>IF($I1128="","",IF(INDEX(F_ProductBM!J:J,MATCH($P1174,F_ProductBM!$P:$P,0))="","",INDEX(F_ProductBM!J:J,MATCH($P1174,F_ProductBM!$P:$P,0))))</f>
        <v/>
      </c>
      <c r="K1174" s="923" t="str">
        <f>IF($I1128="","",IF(INDEX(F_ProductBM!K:K,MATCH($P1174,F_ProductBM!$P:$P,0))="","",INDEX(F_ProductBM!K:K,MATCH($P1174,F_ProductBM!$P:$P,0))))</f>
        <v/>
      </c>
      <c r="L1174" s="923" t="str">
        <f>IF($I1128="","",IF(INDEX(F_ProductBM!L:L,MATCH($P1174,F_ProductBM!$P:$P,0))="","",INDEX(F_ProductBM!L:L,MATCH($P1174,F_ProductBM!$P:$P,0))))</f>
        <v/>
      </c>
      <c r="M1174" s="923" t="str">
        <f>IF($I1128="","",IF(INDEX(F_ProductBM!M:M,MATCH($P1174,F_ProductBM!$P:$P,0))="","",INDEX(F_ProductBM!M:M,MATCH($P1174,F_ProductBM!$P:$P,0))))</f>
        <v/>
      </c>
      <c r="N1174" s="823"/>
      <c r="O1174" s="25"/>
      <c r="P1174" s="367" t="str">
        <f>EUconst_CNTR_WGExportEF &amp; I1128</f>
        <v>WasteGasExEF_</v>
      </c>
      <c r="Q1174" s="437"/>
      <c r="R1174" s="437"/>
      <c r="S1174" s="437"/>
      <c r="T1174" s="26"/>
    </row>
    <row r="1175" spans="1:20" s="697" customFormat="1" ht="5.0999999999999996" customHeight="1" x14ac:dyDescent="0.2">
      <c r="A1175" s="437"/>
      <c r="B1175" s="414"/>
      <c r="C1175" s="414"/>
      <c r="D1175" s="414"/>
      <c r="E1175" s="526"/>
      <c r="F1175" s="526"/>
      <c r="G1175" s="526"/>
      <c r="H1175" s="526"/>
      <c r="I1175" s="924"/>
      <c r="J1175" s="924"/>
      <c r="K1175" s="924"/>
      <c r="L1175" s="924"/>
      <c r="M1175" s="924"/>
      <c r="N1175" s="823"/>
      <c r="O1175" s="25"/>
      <c r="P1175" s="199"/>
      <c r="Q1175" s="437"/>
      <c r="R1175" s="437"/>
      <c r="S1175" s="437"/>
      <c r="T1175" s="26"/>
    </row>
    <row r="1176" spans="1:20" s="697" customFormat="1" ht="12.75" customHeight="1" x14ac:dyDescent="0.2">
      <c r="A1176" s="437"/>
      <c r="B1176" s="414"/>
      <c r="C1176" s="414"/>
      <c r="D1176" s="414"/>
      <c r="E1176" s="1651" t="str">
        <f>Translations!$B$805</f>
        <v>Saražotā elektroenerģija</v>
      </c>
      <c r="F1176" s="1652"/>
      <c r="G1176" s="1652"/>
      <c r="H1176" s="465" t="str">
        <f>EUconst_MWhpa</f>
        <v>MWh / gads</v>
      </c>
      <c r="I1176" s="925" t="str">
        <f>IF($I1128="","",IF(INDEX(F_ProductBM!I:I,MATCH($P1176,F_ProductBM!$P:$P,0))="","",INDEX(F_ProductBM!I:I,MATCH($P1176,F_ProductBM!$P:$P,0))))</f>
        <v/>
      </c>
      <c r="J1176" s="925" t="str">
        <f>IF($I1128="","",IF(INDEX(F_ProductBM!J:J,MATCH($P1176,F_ProductBM!$P:$P,0))="","",INDEX(F_ProductBM!J:J,MATCH($P1176,F_ProductBM!$P:$P,0))))</f>
        <v/>
      </c>
      <c r="K1176" s="925" t="str">
        <f>IF($I1128="","",IF(INDEX(F_ProductBM!K:K,MATCH($P1176,F_ProductBM!$P:$P,0))="","",INDEX(F_ProductBM!K:K,MATCH($P1176,F_ProductBM!$P:$P,0))))</f>
        <v/>
      </c>
      <c r="L1176" s="925" t="str">
        <f>IF($I1128="","",IF(INDEX(F_ProductBM!L:L,MATCH($P1176,F_ProductBM!$P:$P,0))="","",INDEX(F_ProductBM!L:L,MATCH($P1176,F_ProductBM!$P:$P,0))))</f>
        <v/>
      </c>
      <c r="M1176" s="925" t="str">
        <f>IF($I1128="","",IF(INDEX(F_ProductBM!M:M,MATCH($P1176,F_ProductBM!$P:$P,0))="","",INDEX(F_ProductBM!M:M,MATCH($P1176,F_ProductBM!$P:$P,0))))</f>
        <v/>
      </c>
      <c r="N1176" s="823"/>
      <c r="O1176" s="25"/>
      <c r="P1176" s="367" t="str">
        <f>EUconst_CNTR_ElectricityExported &amp; I1128</f>
        <v>ElecEx_</v>
      </c>
      <c r="Q1176" s="437"/>
      <c r="R1176" s="437"/>
      <c r="S1176" s="437"/>
      <c r="T1176" s="26"/>
    </row>
    <row r="1177" spans="1:20" s="697" customFormat="1" ht="5.0999999999999996" customHeight="1" x14ac:dyDescent="0.2">
      <c r="A1177" s="437"/>
      <c r="B1177" s="414"/>
      <c r="C1177" s="414"/>
      <c r="D1177" s="414"/>
      <c r="E1177" s="526"/>
      <c r="F1177" s="526"/>
      <c r="G1177" s="526"/>
      <c r="H1177" s="526"/>
      <c r="I1177" s="924"/>
      <c r="J1177" s="924"/>
      <c r="K1177" s="924"/>
      <c r="L1177" s="924"/>
      <c r="M1177" s="924"/>
      <c r="N1177" s="823"/>
      <c r="O1177" s="25"/>
      <c r="P1177" s="199"/>
      <c r="Q1177" s="437"/>
      <c r="R1177" s="437"/>
      <c r="S1177" s="437"/>
      <c r="T1177" s="26"/>
    </row>
    <row r="1178" spans="1:20" s="697" customFormat="1" x14ac:dyDescent="0.2">
      <c r="A1178" s="437"/>
      <c r="B1178" s="414"/>
      <c r="C1178" s="414"/>
      <c r="D1178" s="414"/>
      <c r="E1178" s="1206" t="str">
        <f>Translations!$B$1239</f>
        <v>Starpproduktu imports:</v>
      </c>
      <c r="F1178" s="526"/>
      <c r="G1178" s="526"/>
      <c r="H1178" s="526"/>
      <c r="I1178" s="924"/>
      <c r="J1178" s="924"/>
      <c r="K1178" s="924"/>
      <c r="L1178" s="924"/>
      <c r="M1178" s="924"/>
      <c r="N1178" s="823"/>
      <c r="O1178" s="25"/>
      <c r="P1178" s="199"/>
      <c r="Q1178" s="437"/>
      <c r="R1178" s="437"/>
      <c r="S1178" s="437"/>
      <c r="T1178" s="26"/>
    </row>
    <row r="1179" spans="1:20" s="697" customFormat="1" x14ac:dyDescent="0.2">
      <c r="A1179" s="437"/>
      <c r="B1179" s="414"/>
      <c r="C1179" s="414"/>
      <c r="D1179" s="414"/>
      <c r="E1179" s="1689" t="str">
        <f>IF($I1128="","",IF(INDEX(F_ProductBM!E:E,MATCH($P1179,F_ProductBM!$P:$P,0))="","",INDEX(F_ProductBM!E:E,MATCH($P1179,F_ProductBM!$P:$P,0))))</f>
        <v/>
      </c>
      <c r="F1179" s="1689"/>
      <c r="G1179" s="1689"/>
      <c r="H1179" s="465" t="str">
        <f>EUconst_Tons</f>
        <v>tonnas</v>
      </c>
      <c r="I1179" s="1103" t="str">
        <f>IF($I1128="","",IF(INDEX(F_ProductBM!I:I,MATCH($P1179,F_ProductBM!$P:$P,0))="","",INDEX(F_ProductBM!I:I,MATCH($P1179,F_ProductBM!$P:$P,0))))</f>
        <v/>
      </c>
      <c r="J1179" s="1103" t="str">
        <f>IF($I1128="","",IF(INDEX(F_ProductBM!J:J,MATCH($P1179,F_ProductBM!$P:$P,0))="","",INDEX(F_ProductBM!J:J,MATCH($P1179,F_ProductBM!$P:$P,0))))</f>
        <v/>
      </c>
      <c r="K1179" s="1103" t="str">
        <f>IF($I1128="","",IF(INDEX(F_ProductBM!K:K,MATCH($P1179,F_ProductBM!$P:$P,0))="","",INDEX(F_ProductBM!K:K,MATCH($P1179,F_ProductBM!$P:$P,0))))</f>
        <v/>
      </c>
      <c r="L1179" s="1103" t="str">
        <f>IF($I1128="","",IF(INDEX(F_ProductBM!L:L,MATCH($P1179,F_ProductBM!$P:$P,0))="","",INDEX(F_ProductBM!L:L,MATCH($P1179,F_ProductBM!$P:$P,0))))</f>
        <v/>
      </c>
      <c r="M1179" s="1103" t="str">
        <f>IF($I1128="","",IF(INDEX(F_ProductBM!M:M,MATCH($P1179,F_ProductBM!$P:$P,0))="","",INDEX(F_ProductBM!M:M,MATCH($P1179,F_ProductBM!$P:$P,0))))</f>
        <v/>
      </c>
      <c r="N1179" s="823"/>
      <c r="O1179" s="25"/>
      <c r="P1179" s="367" t="str">
        <f>EUconst_CNTR_IntermediateImport &amp; R1179 &amp; "_" &amp; I1128</f>
        <v>IntImp_1_</v>
      </c>
      <c r="Q1179" s="437"/>
      <c r="R1179" s="869">
        <v>1</v>
      </c>
      <c r="S1179" s="437"/>
      <c r="T1179" s="26"/>
    </row>
    <row r="1180" spans="1:20" s="697" customFormat="1" x14ac:dyDescent="0.2">
      <c r="A1180" s="437"/>
      <c r="B1180" s="414"/>
      <c r="C1180" s="414"/>
      <c r="D1180" s="414"/>
      <c r="E1180" s="1689" t="str">
        <f>IF($I1128="","",IF(INDEX(F_ProductBM!E:E,MATCH($P1180,F_ProductBM!$P:$P,0))="","",INDEX(F_ProductBM!E:E,MATCH($P1180,F_ProductBM!$P:$P,0))))</f>
        <v/>
      </c>
      <c r="F1180" s="1689"/>
      <c r="G1180" s="1689"/>
      <c r="H1180" s="465" t="str">
        <f>EUconst_Tons</f>
        <v>tonnas</v>
      </c>
      <c r="I1180" s="1103" t="str">
        <f>IF($I1128="","",IF(INDEX(F_ProductBM!I:I,MATCH($P1180,F_ProductBM!$P:$P,0))="","",INDEX(F_ProductBM!I:I,MATCH($P1180,F_ProductBM!$P:$P,0))))</f>
        <v/>
      </c>
      <c r="J1180" s="1103" t="str">
        <f>IF($I1128="","",IF(INDEX(F_ProductBM!J:J,MATCH($P1180,F_ProductBM!$P:$P,0))="","",INDEX(F_ProductBM!J:J,MATCH($P1180,F_ProductBM!$P:$P,0))))</f>
        <v/>
      </c>
      <c r="K1180" s="1103" t="str">
        <f>IF($I1128="","",IF(INDEX(F_ProductBM!K:K,MATCH($P1180,F_ProductBM!$P:$P,0))="","",INDEX(F_ProductBM!K:K,MATCH($P1180,F_ProductBM!$P:$P,0))))</f>
        <v/>
      </c>
      <c r="L1180" s="1103" t="str">
        <f>IF($I1128="","",IF(INDEX(F_ProductBM!L:L,MATCH($P1180,F_ProductBM!$P:$P,0))="","",INDEX(F_ProductBM!L:L,MATCH($P1180,F_ProductBM!$P:$P,0))))</f>
        <v/>
      </c>
      <c r="M1180" s="1103" t="str">
        <f>IF($I1128="","",IF(INDEX(F_ProductBM!M:M,MATCH($P1180,F_ProductBM!$P:$P,0))="","",INDEX(F_ProductBM!M:M,MATCH($P1180,F_ProductBM!$P:$P,0))))</f>
        <v/>
      </c>
      <c r="N1180" s="823"/>
      <c r="O1180" s="25"/>
      <c r="P1180" s="367" t="str">
        <f>EUconst_CNTR_IntermediateImport &amp; R1180 &amp; "_" &amp; I1128</f>
        <v>IntImp_2_</v>
      </c>
      <c r="Q1180" s="437"/>
      <c r="R1180" s="869">
        <v>2</v>
      </c>
      <c r="S1180" s="437"/>
      <c r="T1180" s="26"/>
    </row>
    <row r="1181" spans="1:20" s="697" customFormat="1" x14ac:dyDescent="0.2">
      <c r="A1181" s="437"/>
      <c r="B1181" s="414"/>
      <c r="C1181" s="414"/>
      <c r="D1181" s="414"/>
      <c r="E1181" s="1206" t="str">
        <f>Translations!$B$1240</f>
        <v>Starpproduktu eksports:</v>
      </c>
      <c r="F1181" s="526"/>
      <c r="G1181" s="526"/>
      <c r="H1181" s="526"/>
      <c r="I1181" s="1140"/>
      <c r="J1181" s="1140"/>
      <c r="K1181" s="1140"/>
      <c r="L1181" s="1140"/>
      <c r="M1181" s="1140"/>
      <c r="N1181" s="823"/>
      <c r="O1181" s="25"/>
      <c r="P1181" s="199"/>
      <c r="Q1181" s="437"/>
      <c r="R1181" s="437"/>
      <c r="S1181" s="437"/>
      <c r="T1181" s="26"/>
    </row>
    <row r="1182" spans="1:20" s="697" customFormat="1" x14ac:dyDescent="0.2">
      <c r="A1182" s="437"/>
      <c r="B1182" s="414"/>
      <c r="C1182" s="414"/>
      <c r="D1182" s="414"/>
      <c r="E1182" s="1689" t="str">
        <f>IF($I1128="","",IF(INDEX(F_ProductBM!E:E,MATCH($P1182,F_ProductBM!$P:$P,0))="","",INDEX(F_ProductBM!E:E,MATCH($P1182,F_ProductBM!$P:$P,0))))</f>
        <v/>
      </c>
      <c r="F1182" s="1689"/>
      <c r="G1182" s="1689"/>
      <c r="H1182" s="465" t="str">
        <f>EUconst_Tons</f>
        <v>tonnas</v>
      </c>
      <c r="I1182" s="1103" t="str">
        <f>IF($I1128="","",IF(INDEX(F_ProductBM!I:I,MATCH($P1182,F_ProductBM!$P:$P,0))="","",INDEX(F_ProductBM!I:I,MATCH($P1182,F_ProductBM!$P:$P,0))))</f>
        <v/>
      </c>
      <c r="J1182" s="1103" t="str">
        <f>IF($I1128="","",IF(INDEX(F_ProductBM!J:J,MATCH($P1182,F_ProductBM!$P:$P,0))="","",INDEX(F_ProductBM!J:J,MATCH($P1182,F_ProductBM!$P:$P,0))))</f>
        <v/>
      </c>
      <c r="K1182" s="1103" t="str">
        <f>IF($I1128="","",IF(INDEX(F_ProductBM!K:K,MATCH($P1182,F_ProductBM!$P:$P,0))="","",INDEX(F_ProductBM!K:K,MATCH($P1182,F_ProductBM!$P:$P,0))))</f>
        <v/>
      </c>
      <c r="L1182" s="1103" t="str">
        <f>IF($I1128="","",IF(INDEX(F_ProductBM!L:L,MATCH($P1182,F_ProductBM!$P:$P,0))="","",INDEX(F_ProductBM!L:L,MATCH($P1182,F_ProductBM!$P:$P,0))))</f>
        <v/>
      </c>
      <c r="M1182" s="1103" t="str">
        <f>IF($I1128="","",IF(INDEX(F_ProductBM!M:M,MATCH($P1182,F_ProductBM!$P:$P,0))="","",INDEX(F_ProductBM!M:M,MATCH($P1182,F_ProductBM!$P:$P,0))))</f>
        <v/>
      </c>
      <c r="N1182" s="823"/>
      <c r="O1182" s="25"/>
      <c r="P1182" s="367" t="str">
        <f>EUconst_CNTR_IntermediateExport &amp; R1179 &amp; "_" &amp; I1128</f>
        <v>IntExp_1_</v>
      </c>
      <c r="Q1182" s="437"/>
      <c r="R1182" s="869">
        <v>1</v>
      </c>
      <c r="S1182" s="437"/>
      <c r="T1182" s="26"/>
    </row>
    <row r="1183" spans="1:20" s="697" customFormat="1" x14ac:dyDescent="0.2">
      <c r="A1183" s="437"/>
      <c r="B1183" s="414"/>
      <c r="C1183" s="414"/>
      <c r="D1183" s="414"/>
      <c r="E1183" s="1689" t="str">
        <f>IF($I1128="","",IF(INDEX(F_ProductBM!E:E,MATCH($P1183,F_ProductBM!$P:$P,0))="","",INDEX(F_ProductBM!E:E,MATCH($P1183,F_ProductBM!$P:$P,0))))</f>
        <v/>
      </c>
      <c r="F1183" s="1689"/>
      <c r="G1183" s="1689"/>
      <c r="H1183" s="465" t="str">
        <f>EUconst_Tons</f>
        <v>tonnas</v>
      </c>
      <c r="I1183" s="1103" t="str">
        <f>IF($I1128="","",IF(INDEX(F_ProductBM!I:I,MATCH($P1183,F_ProductBM!$P:$P,0))="","",INDEX(F_ProductBM!I:I,MATCH($P1183,F_ProductBM!$P:$P,0))))</f>
        <v/>
      </c>
      <c r="J1183" s="1103" t="str">
        <f>IF($I1128="","",IF(INDEX(F_ProductBM!J:J,MATCH($P1183,F_ProductBM!$P:$P,0))="","",INDEX(F_ProductBM!J:J,MATCH($P1183,F_ProductBM!$P:$P,0))))</f>
        <v/>
      </c>
      <c r="K1183" s="1103" t="str">
        <f>IF($I1128="","",IF(INDEX(F_ProductBM!K:K,MATCH($P1183,F_ProductBM!$P:$P,0))="","",INDEX(F_ProductBM!K:K,MATCH($P1183,F_ProductBM!$P:$P,0))))</f>
        <v/>
      </c>
      <c r="L1183" s="1103" t="str">
        <f>IF($I1128="","",IF(INDEX(F_ProductBM!L:L,MATCH($P1183,F_ProductBM!$P:$P,0))="","",INDEX(F_ProductBM!L:L,MATCH($P1183,F_ProductBM!$P:$P,0))))</f>
        <v/>
      </c>
      <c r="M1183" s="1103" t="str">
        <f>IF($I1128="","",IF(INDEX(F_ProductBM!M:M,MATCH($P1183,F_ProductBM!$P:$P,0))="","",INDEX(F_ProductBM!M:M,MATCH($P1183,F_ProductBM!$P:$P,0))))</f>
        <v/>
      </c>
      <c r="N1183" s="823"/>
      <c r="O1183" s="25"/>
      <c r="P1183" s="367" t="str">
        <f>EUconst_CNTR_IntermediateExport &amp; R1183 &amp; "_" &amp; I1128</f>
        <v>IntExp_2_</v>
      </c>
      <c r="Q1183" s="437"/>
      <c r="R1183" s="869">
        <v>2</v>
      </c>
      <c r="S1183" s="437"/>
      <c r="T1183" s="26"/>
    </row>
    <row r="1184" spans="1:20" s="697" customFormat="1" ht="5.0999999999999996" customHeight="1" x14ac:dyDescent="0.2">
      <c r="A1184" s="437"/>
      <c r="B1184" s="414"/>
      <c r="C1184" s="414"/>
      <c r="D1184" s="414"/>
      <c r="E1184" s="526"/>
      <c r="F1184" s="526"/>
      <c r="G1184" s="526"/>
      <c r="H1184" s="526"/>
      <c r="I1184" s="823"/>
      <c r="J1184" s="823"/>
      <c r="K1184" s="823"/>
      <c r="L1184" s="823"/>
      <c r="M1184" s="823"/>
      <c r="N1184" s="823"/>
      <c r="O1184" s="25"/>
      <c r="P1184" s="199"/>
      <c r="Q1184" s="437"/>
      <c r="R1184" s="931"/>
      <c r="S1184" s="437"/>
      <c r="T1184" s="26"/>
    </row>
    <row r="1185" spans="1:20" s="697" customFormat="1" x14ac:dyDescent="0.2">
      <c r="A1185" s="437"/>
      <c r="B1185" s="414"/>
      <c r="C1185" s="414"/>
      <c r="D1185" s="414"/>
      <c r="E1185" s="1881" t="str">
        <f>Translations!$B$1729</f>
        <v>Korekcijas īpašās līmeņatzīmes atjaunināšanai (attiecīgā gadījumā)</v>
      </c>
      <c r="F1185" s="1881"/>
      <c r="G1185" s="1881"/>
      <c r="H1185" s="1881"/>
      <c r="I1185" s="1881"/>
      <c r="J1185" s="1881"/>
      <c r="K1185" s="1881"/>
      <c r="L1185" s="1881"/>
      <c r="M1185" s="1881"/>
      <c r="N1185" s="823"/>
      <c r="O1185" s="25"/>
      <c r="P1185" s="199"/>
      <c r="Q1185" s="437"/>
      <c r="R1185" s="931"/>
      <c r="S1185" s="437"/>
      <c r="T1185" s="26"/>
    </row>
    <row r="1186" spans="1:20" s="697" customFormat="1" ht="12.75" customHeight="1" x14ac:dyDescent="0.2">
      <c r="A1186" s="437"/>
      <c r="B1186" s="414"/>
      <c r="C1186" s="414"/>
      <c r="D1186" s="414"/>
      <c r="E1186" s="1651" t="str">
        <f>Translations!$B$806</f>
        <v>Kopējais saražotās pulpas daudzums</v>
      </c>
      <c r="F1186" s="1651"/>
      <c r="G1186" s="1651"/>
      <c r="H1186" s="465" t="str">
        <f>EUconst_Tons</f>
        <v>tonnas</v>
      </c>
      <c r="I1186" s="1103" t="str">
        <f>IF($I1128="","",IF(INDEX(F_ProductBM!I:I,MATCH($P1186,F_ProductBM!$P:$P,0))="","",INDEX(F_ProductBM!I:I,MATCH($P1186,F_ProductBM!$P:$P,0))))</f>
        <v/>
      </c>
      <c r="J1186" s="1103" t="str">
        <f>IF($I1128="","",IF(INDEX(F_ProductBM!J:J,MATCH($P1186,F_ProductBM!$P:$P,0))="","",INDEX(F_ProductBM!J:J,MATCH($P1186,F_ProductBM!$P:$P,0))))</f>
        <v/>
      </c>
      <c r="K1186" s="1103" t="str">
        <f>IF($I1128="","",IF(INDEX(F_ProductBM!K:K,MATCH($P1186,F_ProductBM!$P:$P,0))="","",INDEX(F_ProductBM!K:K,MATCH($P1186,F_ProductBM!$P:$P,0))))</f>
        <v/>
      </c>
      <c r="L1186" s="1103" t="str">
        <f>IF($I1128="","",IF(INDEX(F_ProductBM!L:L,MATCH($P1186,F_ProductBM!$P:$P,0))="","",INDEX(F_ProductBM!L:L,MATCH($P1186,F_ProductBM!$P:$P,0))))</f>
        <v/>
      </c>
      <c r="M1186" s="1103" t="str">
        <f>IF($I1128="","",IF(INDEX(F_ProductBM!M:M,MATCH($P1186,F_ProductBM!$P:$P,0))="","",INDEX(F_ProductBM!M:M,MATCH($P1186,F_ProductBM!$P:$P,0))))</f>
        <v/>
      </c>
      <c r="N1186" s="823"/>
      <c r="O1186" s="25"/>
      <c r="P1186" s="367" t="str">
        <f>EUconst_CNTR_HALPulpTotal &amp; I1128</f>
        <v>HALPulpTotal_</v>
      </c>
      <c r="Q1186" s="437"/>
      <c r="R1186" s="437"/>
      <c r="S1186" s="437"/>
      <c r="T1186" s="26"/>
    </row>
    <row r="1187" spans="1:20" s="697" customFormat="1" ht="5.0999999999999996" customHeight="1" x14ac:dyDescent="0.2">
      <c r="A1187" s="437"/>
      <c r="B1187" s="414"/>
      <c r="C1187" s="414"/>
      <c r="D1187" s="414"/>
      <c r="E1187" s="526"/>
      <c r="F1187" s="526"/>
      <c r="G1187" s="526"/>
      <c r="H1187" s="526"/>
      <c r="I1187" s="1140"/>
      <c r="J1187" s="1140"/>
      <c r="K1187" s="1140"/>
      <c r="L1187" s="1140"/>
      <c r="M1187" s="1140"/>
      <c r="N1187" s="823"/>
      <c r="O1187" s="25"/>
      <c r="P1187" s="199"/>
      <c r="Q1187" s="437"/>
      <c r="R1187" s="437"/>
      <c r="S1187" s="437"/>
      <c r="T1187" s="26"/>
    </row>
    <row r="1188" spans="1:20" s="697" customFormat="1" ht="12.75" customHeight="1" x14ac:dyDescent="0.2">
      <c r="A1188" s="437"/>
      <c r="B1188" s="414"/>
      <c r="C1188" s="414"/>
      <c r="D1188" s="414"/>
      <c r="E1188" s="1651" t="str">
        <f>Translations!$B$1730</f>
        <v>Ūdeņraža ražošana (faktiskā + teorētiskā)</v>
      </c>
      <c r="F1188" s="1651"/>
      <c r="G1188" s="1651"/>
      <c r="H1188" s="465" t="str">
        <f>EUconst_Tons</f>
        <v>tonnas</v>
      </c>
      <c r="I1188" s="1103" t="str">
        <f>IF($K1131=$R1188,SUMIFS(H_SpecialBM!I:I,H_SpecialBM!$P:$P,$P1188),"")</f>
        <v/>
      </c>
      <c r="J1188" s="1103" t="str">
        <f>IF($K1131=$R1188,SUMIFS(H_SpecialBM!J:J,H_SpecialBM!$P:$P,$P1188),"")</f>
        <v/>
      </c>
      <c r="K1188" s="1103" t="str">
        <f>IF($K1131=$R1188,SUMIFS(H_SpecialBM!K:K,H_SpecialBM!$P:$P,$P1188),"")</f>
        <v/>
      </c>
      <c r="L1188" s="1103" t="str">
        <f>IF($K1131=$R1188,SUMIFS(H_SpecialBM!L:L,H_SpecialBM!$P:$P,$P1188),"")</f>
        <v/>
      </c>
      <c r="M1188" s="1103" t="str">
        <f>IF($K1131=$R1188,SUMIFS(H_SpecialBM!M:M,H_SpecialBM!$P:$P,$P1188),"")</f>
        <v/>
      </c>
      <c r="N1188" s="823"/>
      <c r="O1188" s="25"/>
      <c r="P1188" s="134" t="str">
        <f>EUconst_CNTR_H2ActualPlusTheoretical</f>
        <v>H2Total_</v>
      </c>
      <c r="Q1188" s="437"/>
      <c r="R1188" s="869">
        <v>50</v>
      </c>
      <c r="S1188" s="437"/>
      <c r="T1188" s="26"/>
    </row>
    <row r="1189" spans="1:20" s="697" customFormat="1" ht="12.75" customHeight="1" x14ac:dyDescent="0.2">
      <c r="A1189" s="437"/>
      <c r="B1189" s="414"/>
      <c r="C1189" s="414"/>
      <c r="D1189" s="414"/>
      <c r="E1189" s="1651" t="str">
        <f>Translations!$B$1731</f>
        <v>Ar ūdeņradi saistītās emisijas</v>
      </c>
      <c r="F1189" s="1651"/>
      <c r="G1189" s="1651"/>
      <c r="H1189" s="465" t="str">
        <f>EUconst_tCO2pa</f>
        <v>t CO2 / gads</v>
      </c>
      <c r="I1189" s="1103" t="str">
        <f>IF($K1131=$R1189,SUMIFS(H_SpecialBM!I:I,H_SpecialBM!$P:$P,$P1189),"")</f>
        <v/>
      </c>
      <c r="J1189" s="1103" t="str">
        <f>IF($K1131=$R1189,SUMIFS(H_SpecialBM!J:J,H_SpecialBM!$P:$P,$P1189),"")</f>
        <v/>
      </c>
      <c r="K1189" s="1103" t="str">
        <f>IF($K1131=$R1189,SUMIFS(H_SpecialBM!K:K,H_SpecialBM!$P:$P,$P1189),"")</f>
        <v/>
      </c>
      <c r="L1189" s="1103" t="str">
        <f>IF($K1131=$R1189,SUMIFS(H_SpecialBM!L:L,H_SpecialBM!$P:$P,$P1189),"")</f>
        <v/>
      </c>
      <c r="M1189" s="1103" t="str">
        <f>IF($K1131=$R1189,SUMIFS(H_SpecialBM!M:M,H_SpecialBM!$P:$P,$P1189),"")</f>
        <v/>
      </c>
      <c r="N1189" s="823"/>
      <c r="O1189" s="25"/>
      <c r="P1189" s="202" t="str">
        <f>EUconst_CNTR_H2AdditionalEmissions</f>
        <v>H2AddEm_</v>
      </c>
      <c r="Q1189" s="437"/>
      <c r="R1189" s="869">
        <v>50</v>
      </c>
      <c r="S1189" s="437"/>
      <c r="T1189" s="26"/>
    </row>
    <row r="1190" spans="1:20" s="697" customFormat="1" ht="5.0999999999999996" customHeight="1" x14ac:dyDescent="0.2">
      <c r="A1190" s="437"/>
      <c r="B1190" s="414"/>
      <c r="C1190" s="414"/>
      <c r="D1190" s="414"/>
      <c r="E1190" s="526"/>
      <c r="F1190" s="526"/>
      <c r="G1190" s="526"/>
      <c r="H1190" s="526"/>
      <c r="I1190" s="1140"/>
      <c r="J1190" s="1140"/>
      <c r="K1190" s="1140"/>
      <c r="L1190" s="1140"/>
      <c r="M1190" s="1140"/>
      <c r="N1190" s="823"/>
      <c r="O1190" s="25"/>
      <c r="P1190" s="437"/>
      <c r="Q1190" s="437"/>
      <c r="R1190" s="437"/>
      <c r="S1190" s="437"/>
      <c r="T1190" s="26"/>
    </row>
    <row r="1191" spans="1:20" s="697" customFormat="1" ht="12.75" customHeight="1" x14ac:dyDescent="0.2">
      <c r="A1191" s="437"/>
      <c r="B1191" s="414"/>
      <c r="C1191" s="414"/>
      <c r="D1191" s="414"/>
      <c r="E1191" s="1651" t="str">
        <f>Translations!$B$1732</f>
        <v>HVC emisiju korekcija</v>
      </c>
      <c r="F1191" s="1651"/>
      <c r="G1191" s="1651"/>
      <c r="H1191" s="465" t="str">
        <f>EUconst_tCO2pa</f>
        <v>t CO2 / gads</v>
      </c>
      <c r="I1191" s="1103" t="str">
        <f>IF($K1131=$R1191,-SUMIFS(H_SpecialBM!S:S,H_SpecialBM!$P:$P,$P1191),"")</f>
        <v/>
      </c>
      <c r="J1191" s="1103" t="str">
        <f>IF($K1131=$R1191,-SUMIFS(H_SpecialBM!T:T,H_SpecialBM!$P:$P,$P1191),"")</f>
        <v/>
      </c>
      <c r="K1191" s="1103" t="str">
        <f>IF($K1131=$R1191,-SUMIFS(H_SpecialBM!U:U,H_SpecialBM!$P:$P,$P1191),"")</f>
        <v/>
      </c>
      <c r="L1191" s="1103" t="str">
        <f>IF($K1131=$R1191,-SUMIFS(H_SpecialBM!V:V,H_SpecialBM!$P:$P,$P1191),"")</f>
        <v/>
      </c>
      <c r="M1191" s="1103" t="str">
        <f>IF($K1131=$R1191,-SUMIFS(H_SpecialBM!W:W,H_SpecialBM!$P:$P,$P1191),"")</f>
        <v/>
      </c>
      <c r="N1191" s="823"/>
      <c r="O1191" s="25"/>
      <c r="P1191" s="367" t="str">
        <f>EUconst_CNTR_HVC</f>
        <v>HVC_</v>
      </c>
      <c r="Q1191" s="437"/>
      <c r="R1191" s="869">
        <v>42</v>
      </c>
      <c r="S1191" s="437"/>
      <c r="T1191" s="26"/>
    </row>
    <row r="1192" spans="1:20" s="697" customFormat="1" ht="5.0999999999999996" customHeight="1" x14ac:dyDescent="0.2">
      <c r="A1192" s="437"/>
      <c r="B1192" s="414"/>
      <c r="C1192" s="414"/>
      <c r="D1192" s="414"/>
      <c r="E1192" s="526"/>
      <c r="F1192" s="526"/>
      <c r="G1192" s="526"/>
      <c r="H1192" s="526"/>
      <c r="I1192" s="1140"/>
      <c r="J1192" s="1140"/>
      <c r="K1192" s="1140"/>
      <c r="L1192" s="1140"/>
      <c r="M1192" s="1140"/>
      <c r="N1192" s="823"/>
      <c r="O1192" s="25"/>
      <c r="P1192" s="199"/>
      <c r="Q1192" s="437"/>
      <c r="R1192" s="437"/>
      <c r="S1192" s="437"/>
      <c r="T1192" s="26"/>
    </row>
    <row r="1193" spans="1:20" s="697" customFormat="1" ht="12.75" customHeight="1" x14ac:dyDescent="0.2">
      <c r="A1193" s="437"/>
      <c r="B1193" s="414"/>
      <c r="C1193" s="414"/>
      <c r="D1193" s="414"/>
      <c r="E1193" s="1651" t="str">
        <f>Translations!$B$1733</f>
        <v>VCM emisiju korekcija</v>
      </c>
      <c r="F1193" s="1651"/>
      <c r="G1193" s="1651"/>
      <c r="H1193" s="465" t="str">
        <f>EUconst_tCO2pa</f>
        <v>t CO2 / gads</v>
      </c>
      <c r="I1193" s="1103" t="str">
        <f>IF($K1131=$R1193,SUMIFS(H_SpecialBM!I:I,H_SpecialBM!$P:$P,$P1193)/EUconst_HeatBMvalue*EUconst_HeatBMvalueForBM,"")</f>
        <v/>
      </c>
      <c r="J1193" s="1103" t="str">
        <f>IF($K1131=$R1193,SUMIFS(H_SpecialBM!J:J,H_SpecialBM!$P:$P,$P1193)/EUconst_HeatBMvalue*EUconst_HeatBMvalueForBM,"")</f>
        <v/>
      </c>
      <c r="K1193" s="1103" t="str">
        <f>IF($K1131=$R1193,SUMIFS(H_SpecialBM!K:K,H_SpecialBM!$P:$P,$P1193)/EUconst_HeatBMvalue*EUconst_HeatBMvalueForBM,"")</f>
        <v/>
      </c>
      <c r="L1193" s="1103" t="str">
        <f>IF($K1131=$R1193,SUMIFS(H_SpecialBM!L:L,H_SpecialBM!$P:$P,$P1193)/EUconst_HeatBMvalue*EUconst_HeatBMvalueForBM,"")</f>
        <v/>
      </c>
      <c r="M1193" s="1103" t="str">
        <f>IF($K1131=$R1193,SUMIFS(H_SpecialBM!M:M,H_SpecialBM!$P:$P,$P1193)/EUconst_HeatBMvalue*EUconst_HeatBMvalueForBM,"")</f>
        <v/>
      </c>
      <c r="N1193" s="823"/>
      <c r="O1193" s="25"/>
      <c r="P1193" s="134" t="str">
        <f>EUconst_CNTR_VCM</f>
        <v>VCM_</v>
      </c>
      <c r="Q1193" s="437"/>
      <c r="R1193" s="869">
        <v>47</v>
      </c>
      <c r="S1193" s="437"/>
      <c r="T1193" s="26"/>
    </row>
    <row r="1194" spans="1:20" s="697" customFormat="1" ht="12.75" customHeight="1" x14ac:dyDescent="0.2">
      <c r="A1194" s="437"/>
      <c r="B1194" s="414"/>
      <c r="C1194" s="414"/>
      <c r="D1194" s="414"/>
      <c r="E1194" s="526"/>
      <c r="F1194" s="526"/>
      <c r="G1194" s="526"/>
      <c r="H1194" s="526"/>
      <c r="I1194" s="823"/>
      <c r="J1194" s="823"/>
      <c r="K1194" s="823"/>
      <c r="L1194" s="823"/>
      <c r="M1194" s="823"/>
      <c r="N1194" s="823"/>
      <c r="O1194" s="25"/>
      <c r="P1194" s="199"/>
      <c r="Q1194" s="437"/>
      <c r="R1194" s="437"/>
      <c r="S1194" s="437"/>
      <c r="T1194" s="26"/>
    </row>
    <row r="1195" spans="1:20" s="697" customFormat="1" x14ac:dyDescent="0.2">
      <c r="A1195" s="437"/>
      <c r="B1195" s="414"/>
      <c r="C1195" s="414"/>
      <c r="D1195" s="414"/>
      <c r="E1195" s="440"/>
      <c r="F1195" s="440"/>
      <c r="G1195" s="440"/>
      <c r="H1195" s="440"/>
      <c r="I1195" s="414"/>
      <c r="J1195" s="414"/>
      <c r="K1195" s="414"/>
      <c r="L1195" s="414"/>
      <c r="M1195" s="414"/>
      <c r="N1195" s="414"/>
      <c r="O1195" s="25"/>
      <c r="P1195" s="199"/>
      <c r="Q1195" s="437"/>
      <c r="R1195" s="437"/>
      <c r="S1195" s="437"/>
      <c r="T1195" s="26"/>
    </row>
    <row r="1196" spans="1:20" s="697" customFormat="1" ht="5.0999999999999996" customHeight="1" thickBot="1" x14ac:dyDescent="0.25">
      <c r="A1196" s="437"/>
      <c r="B1196" s="414"/>
      <c r="C1196" s="414"/>
      <c r="D1196" s="414"/>
      <c r="E1196" s="440"/>
      <c r="F1196" s="414"/>
      <c r="G1196" s="583"/>
      <c r="H1196" s="414"/>
      <c r="I1196" s="414"/>
      <c r="J1196" s="414"/>
      <c r="K1196" s="414"/>
      <c r="L1196" s="414"/>
      <c r="M1196" s="414"/>
      <c r="N1196" s="414"/>
      <c r="O1196" s="25"/>
      <c r="P1196" s="437"/>
      <c r="Q1196" s="437"/>
      <c r="R1196" s="437"/>
      <c r="S1196" s="437"/>
      <c r="T1196" s="26"/>
    </row>
    <row r="1197" spans="1:20" s="697" customFormat="1" ht="5.0999999999999996" customHeight="1" thickBot="1" x14ac:dyDescent="0.25">
      <c r="A1197" s="437"/>
      <c r="B1197" s="21"/>
      <c r="C1197" s="294"/>
      <c r="D1197" s="294"/>
      <c r="E1197" s="294"/>
      <c r="F1197" s="294"/>
      <c r="G1197" s="294"/>
      <c r="H1197" s="294"/>
      <c r="I1197" s="294"/>
      <c r="J1197" s="294"/>
      <c r="K1197" s="294"/>
      <c r="L1197" s="294"/>
      <c r="M1197" s="294"/>
      <c r="N1197" s="294"/>
      <c r="O1197" s="25"/>
      <c r="P1197" s="437"/>
      <c r="Q1197" s="437"/>
      <c r="R1197" s="437"/>
      <c r="S1197" s="437"/>
      <c r="T1197" s="26"/>
    </row>
    <row r="1198" spans="1:20" s="697" customFormat="1" ht="12.75" customHeight="1" thickBot="1" x14ac:dyDescent="0.25">
      <c r="A1198" s="437"/>
      <c r="B1198" s="21"/>
      <c r="C1198" s="294"/>
      <c r="D1198" s="294"/>
      <c r="E1198" s="294"/>
      <c r="F1198" s="294"/>
      <c r="G1198" s="294"/>
      <c r="H1198" s="294"/>
      <c r="I1198" s="294"/>
      <c r="J1198" s="294"/>
      <c r="K1198" s="294"/>
      <c r="L1198" s="294"/>
      <c r="M1198" s="294"/>
      <c r="N1198" s="294"/>
      <c r="O1198" s="25"/>
      <c r="P1198" s="437"/>
      <c r="Q1198" s="437"/>
      <c r="R1198" s="437"/>
      <c r="S1198" s="437"/>
      <c r="T1198" s="26" t="s">
        <v>560</v>
      </c>
    </row>
    <row r="1199" spans="1:20" s="697" customFormat="1" ht="15" customHeight="1" thickBot="1" x14ac:dyDescent="0.3">
      <c r="A1199" s="437"/>
      <c r="B1199" s="414"/>
      <c r="C1199" s="36">
        <v>11</v>
      </c>
      <c r="D1199" s="1318" t="str">
        <f>CONCATENATE(EUconst_FBSubinst," ",C1199-10, ":")</f>
        <v>Alternatīva apakšiekārta 1:</v>
      </c>
      <c r="E1199" s="1318"/>
      <c r="F1199" s="1318"/>
      <c r="G1199" s="1318"/>
      <c r="H1199" s="1809"/>
      <c r="I1199" s="1877" t="str">
        <f>INDEX(EUconst_FallBackListNames,$C1199-10)</f>
        <v>Siltuma līmeņatzīmes apakšiekārta, OEP | bez OIM)</v>
      </c>
      <c r="J1199" s="1878"/>
      <c r="K1199" s="1878"/>
      <c r="L1199" s="1879"/>
      <c r="M1199" s="1783" t="str">
        <f>IF(ISBLANK(INDEX(CNTR_FallBackSubInstRelevant,C1199-10)),"",IF(INDEX(CNTR_FallBackSubInstRelevant,C1199-10),EUconst_Relevant,EUconst_NotRelevant))</f>
        <v/>
      </c>
      <c r="N1199" s="1784"/>
      <c r="O1199" s="25"/>
      <c r="P1199" s="437"/>
      <c r="Q1199" s="904">
        <f>C1199</f>
        <v>11</v>
      </c>
      <c r="R1199" s="901" t="str">
        <f>I1199</f>
        <v>Siltuma līmeņatzīmes apakšiekārta, OEP | bez OIM)</v>
      </c>
      <c r="S1199" s="903" t="b">
        <f>H1202</f>
        <v>1</v>
      </c>
      <c r="T1199" s="902" t="str">
        <f>IF(M1211="","",IF(S1202=0,0,SUM(M1211)/S1202))</f>
        <v/>
      </c>
    </row>
    <row r="1200" spans="1:20" s="697" customFormat="1" ht="5.0999999999999996" customHeight="1" thickBot="1" x14ac:dyDescent="0.25">
      <c r="A1200" s="437"/>
      <c r="B1200" s="414"/>
      <c r="C1200" s="414"/>
      <c r="D1200" s="414"/>
      <c r="E1200" s="414"/>
      <c r="F1200" s="414"/>
      <c r="G1200" s="414"/>
      <c r="H1200" s="414"/>
      <c r="I1200" s="414"/>
      <c r="J1200" s="414"/>
      <c r="K1200" s="414"/>
      <c r="L1200" s="414"/>
      <c r="M1200" s="414"/>
      <c r="N1200" s="414"/>
      <c r="O1200" s="25"/>
      <c r="P1200" s="437"/>
      <c r="Q1200" s="437"/>
      <c r="R1200" s="437"/>
      <c r="S1200" s="437"/>
      <c r="T1200" s="26"/>
    </row>
    <row r="1201" spans="1:20" s="697" customFormat="1" ht="13.5" thickBot="1" x14ac:dyDescent="0.25">
      <c r="A1201" s="437"/>
      <c r="B1201" s="414"/>
      <c r="C1201" s="414"/>
      <c r="D1201" s="414"/>
      <c r="E1201" s="414"/>
      <c r="F1201" s="414"/>
      <c r="G1201" s="414"/>
      <c r="H1201" s="647" t="str">
        <f>Translations!$B$1204</f>
        <v>Pakļauta OEP</v>
      </c>
      <c r="I1201" s="647" t="str">
        <f>Translations!$B$1208</f>
        <v>Ekspl. sākta</v>
      </c>
      <c r="J1201" s="647" t="str">
        <f>Translations!$B$1212</f>
        <v>15(7)3?</v>
      </c>
      <c r="L1201" s="1172" t="str">
        <f>Translations!$B$1206</f>
        <v>LA Nr.</v>
      </c>
      <c r="M1201" s="989" t="str">
        <f>Translations!$B$1234</f>
        <v>LA vērtība (min./maks./fakt.)</v>
      </c>
      <c r="N1201" s="990"/>
      <c r="O1201" s="25"/>
      <c r="P1201" s="437"/>
      <c r="Q1201" s="437"/>
      <c r="R1201" s="646" t="s">
        <v>641</v>
      </c>
      <c r="S1201" s="903" t="b">
        <f>H1204</f>
        <v>0</v>
      </c>
      <c r="T1201" s="26"/>
    </row>
    <row r="1202" spans="1:20" s="697" customFormat="1" x14ac:dyDescent="0.2">
      <c r="A1202" s="437"/>
      <c r="B1202" s="414"/>
      <c r="C1202" s="414"/>
      <c r="D1202" s="414"/>
      <c r="E1202" s="649" t="str">
        <f>I1199</f>
        <v>Siltuma līmeņatzīmes apakšiekārta, OEP | bez OIM)</v>
      </c>
      <c r="F1202" s="650"/>
      <c r="G1202" s="594"/>
      <c r="H1202" s="651" t="b">
        <f>INDEX(EUconst_FallBackListCLstatus,MATCH(I1199,EUconst_FallBackListNames,0))</f>
        <v>1</v>
      </c>
      <c r="I1202" s="1171" t="str">
        <f>IF(M1199&lt;&gt;EUconst_Relevant,"",INDEX(CNTR_SubInstStartDate,MATCH(E1202,CNTR_SubInstListNames,0)))</f>
        <v/>
      </c>
      <c r="J1202" s="651" t="str">
        <f>IF(M1199&lt;&gt;EUconst_Relevant,"",INDEX(CNTR_SubInstLess1Year,MATCH(E1202,CNTR_SubInstListNames,0)))</f>
        <v/>
      </c>
      <c r="L1202" s="1173">
        <f>C1199-10</f>
        <v>1</v>
      </c>
      <c r="M1202" s="995" t="str">
        <f>IF(M1199&lt;&gt;EUconst_Relevant,"",INDEX(EUconst_FallBackListBMvaluesMatrix,L1202,2))</f>
        <v/>
      </c>
      <c r="N1202" s="992" t="str">
        <f>EUconst_EUA &amp; "/" &amp; H1207</f>
        <v>ESK/TJ</v>
      </c>
      <c r="O1202" s="25"/>
      <c r="P1202" s="437"/>
      <c r="Q1202" s="437"/>
      <c r="R1202" s="732" t="s">
        <v>554</v>
      </c>
      <c r="S1202" s="815">
        <f>IF(H1202,1,INDEX(EUconst_CLEFYears,1))</f>
        <v>1</v>
      </c>
      <c r="T1202" s="437"/>
    </row>
    <row r="1203" spans="1:20" s="697" customFormat="1" x14ac:dyDescent="0.2">
      <c r="A1203" s="437"/>
      <c r="B1203" s="414"/>
      <c r="C1203" s="414"/>
      <c r="H1203" s="647" t="s">
        <v>623</v>
      </c>
      <c r="M1203" s="995" t="str">
        <f>IF(M1199&lt;&gt;EUconst_Relevant,"",INDEX(EUconst_FallBackListBMvaluesMatrix,L1202,1))</f>
        <v/>
      </c>
      <c r="N1203" s="992" t="str">
        <f>EUconst_EUA &amp; "/" &amp; H1207</f>
        <v>ESK/TJ</v>
      </c>
      <c r="O1203" s="25"/>
      <c r="P1203" s="437"/>
      <c r="Q1203" s="437"/>
      <c r="R1203" s="732"/>
      <c r="S1203" s="866"/>
      <c r="T1203" s="437"/>
    </row>
    <row r="1204" spans="1:20" s="697" customFormat="1" ht="13.5" thickBot="1" x14ac:dyDescent="0.25">
      <c r="A1204" s="437"/>
      <c r="B1204" s="414"/>
      <c r="C1204" s="414"/>
      <c r="H1204" s="651" t="b">
        <f>INDEX(EUconst_FallBackListCBAMstatus,MATCH(I1199,EUconst_FallBackListNames,0))</f>
        <v>0</v>
      </c>
      <c r="M1204" s="996" t="str">
        <f>IF(M1199&lt;&gt;EUconst_Relevant,"",IF(EUconst_StatusOfDataCollection,INDEX(EUconst_FallBackListBMvaluesMatrix,L1202,3),""))</f>
        <v/>
      </c>
      <c r="N1204" s="994" t="str">
        <f>EUconst_EUA &amp; "/" &amp; H1207</f>
        <v>ESK/TJ</v>
      </c>
      <c r="O1204" s="25"/>
      <c r="P1204" s="437"/>
      <c r="Q1204" s="437"/>
      <c r="R1204" s="732"/>
      <c r="S1204" s="866"/>
      <c r="T1204" s="437"/>
    </row>
    <row r="1205" spans="1:20" s="697" customFormat="1" ht="5.0999999999999996" customHeight="1" x14ac:dyDescent="0.2">
      <c r="A1205" s="437"/>
      <c r="B1205" s="414"/>
      <c r="C1205" s="414"/>
      <c r="D1205" s="414"/>
      <c r="E1205" s="414"/>
      <c r="F1205" s="414"/>
      <c r="G1205" s="414"/>
      <c r="H1205" s="414"/>
      <c r="I1205" s="414"/>
      <c r="J1205" s="414"/>
      <c r="K1205" s="414"/>
      <c r="L1205" s="414"/>
      <c r="M1205" s="414"/>
      <c r="N1205" s="414"/>
      <c r="O1205" s="25"/>
      <c r="P1205" s="437"/>
      <c r="Q1205" s="437"/>
      <c r="R1205" s="437"/>
      <c r="S1205" s="437"/>
      <c r="T1205" s="437"/>
    </row>
    <row r="1206" spans="1:20" s="697" customFormat="1" x14ac:dyDescent="0.2">
      <c r="A1206" s="437"/>
      <c r="B1206" s="414"/>
      <c r="C1206" s="414"/>
      <c r="D1206" s="414"/>
      <c r="E1206" s="652"/>
      <c r="F1206" s="652"/>
      <c r="G1206" s="653"/>
      <c r="H1206" s="647" t="str">
        <f>EUconst_Unit</f>
        <v>Vienība</v>
      </c>
      <c r="I1206" s="447">
        <f>I$1652</f>
        <v>2019</v>
      </c>
      <c r="J1206" s="447">
        <f>J$1652</f>
        <v>2020</v>
      </c>
      <c r="K1206" s="447">
        <f>K$1652</f>
        <v>2021</v>
      </c>
      <c r="L1206" s="447">
        <f>L$1652</f>
        <v>2022</v>
      </c>
      <c r="M1206" s="447">
        <f>M$1652</f>
        <v>2023</v>
      </c>
      <c r="N1206" s="414"/>
      <c r="O1206" s="25"/>
      <c r="P1206" s="202" t="s">
        <v>228</v>
      </c>
      <c r="Q1206" s="437"/>
      <c r="R1206" s="437"/>
      <c r="S1206" s="437"/>
      <c r="T1206" s="437"/>
    </row>
    <row r="1207" spans="1:20" s="697" customFormat="1" x14ac:dyDescent="0.2">
      <c r="A1207" s="437"/>
      <c r="B1207" s="414"/>
      <c r="C1207" s="414"/>
      <c r="D1207" s="414"/>
      <c r="E1207" s="654" t="str">
        <f>Translations!$B$1236</f>
        <v>Ziņotais HAL (vēsturiskais darbības līmenis)</v>
      </c>
      <c r="F1207" s="655"/>
      <c r="G1207" s="656"/>
      <c r="H1207" s="651" t="str">
        <f>INDEX(EUconst_FallBackListUnits,L1202)</f>
        <v>TJ</v>
      </c>
      <c r="I1207" s="546" t="str">
        <f>IF($M1199&lt;&gt;EUconst_Relevant,"",SUMIF('G_Fall-back'!$P:$P,$P1208,'G_Fall-back'!I:I))</f>
        <v/>
      </c>
      <c r="J1207" s="546" t="str">
        <f>IF($M1199&lt;&gt;EUconst_Relevant,"",SUMIF('G_Fall-back'!$P:$P,$P1208,'G_Fall-back'!J:J))</f>
        <v/>
      </c>
      <c r="K1207" s="546" t="str">
        <f>IF($M1199&lt;&gt;EUconst_Relevant,"",SUMIF('G_Fall-back'!$P:$P,$P1208,'G_Fall-back'!K:K))</f>
        <v/>
      </c>
      <c r="L1207" s="546" t="str">
        <f>IF($M1199&lt;&gt;EUconst_Relevant,"",SUMIF('G_Fall-back'!$P:$P,$P1208,'G_Fall-back'!L:L))</f>
        <v/>
      </c>
      <c r="M1207" s="546" t="str">
        <f>IF($M1199&lt;&gt;EUconst_Relevant,"",SUMIF('G_Fall-back'!$P:$P,$P1208,'G_Fall-back'!M:M))</f>
        <v/>
      </c>
      <c r="N1207" s="648" t="s">
        <v>625</v>
      </c>
      <c r="O1207" s="25"/>
      <c r="P1207" s="202" t="str">
        <f>EUconst_CNTR_HAL&amp;I1199</f>
        <v>HAL_Siltuma līmeņatzīmes apakšiekārta, OEP | bez OIM)</v>
      </c>
      <c r="Q1207" s="437"/>
      <c r="R1207" s="437"/>
      <c r="S1207" s="437"/>
      <c r="T1207" s="26"/>
    </row>
    <row r="1208" spans="1:20" s="697" customFormat="1" x14ac:dyDescent="0.2">
      <c r="A1208" s="437"/>
      <c r="B1208" s="414"/>
      <c r="C1208" s="414"/>
      <c r="D1208" s="414"/>
      <c r="E1208" s="654" t="str">
        <f>Translations!$B$1237</f>
        <v>HAL aprēķinam izmantotās vērtības:</v>
      </c>
      <c r="F1208" s="655"/>
      <c r="G1208" s="656"/>
      <c r="H1208" s="651" t="str">
        <f>H1207</f>
        <v>TJ</v>
      </c>
      <c r="I1208" s="442" t="str">
        <f>IF($M1199&lt;&gt;EUconst_Relevant,"",INDEX('G_Fall-back'!S:S,MATCH($P1208,'G_Fall-back'!$P:$P,0)))</f>
        <v/>
      </c>
      <c r="J1208" s="442" t="str">
        <f>IF($M1199&lt;&gt;EUconst_Relevant,"",INDEX('G_Fall-back'!T:T,MATCH($P1208,'G_Fall-back'!$P:$P,0)))</f>
        <v/>
      </c>
      <c r="K1208" s="442" t="str">
        <f>IF($M1199&lt;&gt;EUconst_Relevant,"",INDEX('G_Fall-back'!U:U,MATCH($P1208,'G_Fall-back'!$P:$P,0)))</f>
        <v/>
      </c>
      <c r="L1208" s="442" t="str">
        <f>IF($M1199&lt;&gt;EUconst_Relevant,"",INDEX('G_Fall-back'!V:V,MATCH($P1208,'G_Fall-back'!$P:$P,0)))</f>
        <v/>
      </c>
      <c r="M1208" s="442" t="str">
        <f>IF($M1199&lt;&gt;EUconst_Relevant,"",INDEX('G_Fall-back'!W:W,MATCH($P1208,'G_Fall-back'!$P:$P,0)))</f>
        <v/>
      </c>
      <c r="N1208" s="546" t="str">
        <f>IF(OR($M1199&lt;&gt;EUconst_Relevant,$J1202=TRUE),"",IF(COUNT($I1208:$M1208)&gt;0,MEDIAN($I1208:$M1208),""))</f>
        <v/>
      </c>
      <c r="O1208" s="25"/>
      <c r="P1208" s="202" t="str">
        <f>EUconst_CNTR_HAL&amp;I1199</f>
        <v>HAL_Siltuma līmeņatzīmes apakšiekārta, OEP | bez OIM)</v>
      </c>
      <c r="Q1208" s="437"/>
      <c r="R1208" s="931" t="s">
        <v>604</v>
      </c>
      <c r="S1208" s="931" t="s">
        <v>605</v>
      </c>
      <c r="T1208" s="931" t="s">
        <v>606</v>
      </c>
    </row>
    <row r="1209" spans="1:20" s="697" customFormat="1" ht="5.0999999999999996" customHeight="1" thickBot="1" x14ac:dyDescent="0.25">
      <c r="A1209" s="437"/>
      <c r="B1209" s="414"/>
      <c r="C1209" s="414"/>
      <c r="D1209" s="414"/>
      <c r="E1209" s="414"/>
      <c r="F1209" s="414"/>
      <c r="G1209" s="414"/>
      <c r="H1209" s="414"/>
      <c r="I1209" s="414"/>
      <c r="J1209" s="414"/>
      <c r="K1209" s="414"/>
      <c r="L1209" s="414"/>
      <c r="M1209" s="414"/>
      <c r="N1209" s="414"/>
      <c r="O1209" s="25"/>
      <c r="P1209" s="437"/>
      <c r="Q1209" s="437"/>
      <c r="R1209" s="437"/>
      <c r="S1209" s="437"/>
      <c r="T1209" s="26"/>
    </row>
    <row r="1210" spans="1:20" s="697" customFormat="1" ht="13.5" thickBot="1" x14ac:dyDescent="0.25">
      <c r="A1210" s="437"/>
      <c r="B1210" s="414"/>
      <c r="C1210" s="414"/>
      <c r="D1210" s="414"/>
      <c r="E1210" s="414"/>
      <c r="F1210" s="657" t="str">
        <f>Translations!$B$1728</f>
        <v>HAL kopā</v>
      </c>
      <c r="G1210" s="817"/>
      <c r="H1210" s="414"/>
      <c r="I1210" s="816" t="str">
        <f>Translations!$B$1226</f>
        <v>1. gada prov. ied. apj. (min.)</v>
      </c>
      <c r="J1210" s="817"/>
      <c r="K1210" s="816" t="str">
        <f>Translations!$B$1229</f>
        <v>1. gada prov. ied. apj. (maks.)</v>
      </c>
      <c r="L1210" s="817"/>
      <c r="M1210" s="816" t="str">
        <f>Translations!$B$1231</f>
        <v>1. gada prov. ied. apj. (fakt.)</v>
      </c>
      <c r="N1210" s="817"/>
      <c r="O1210" s="25"/>
      <c r="P1210" s="202" t="str">
        <f>EUconst_AllocPrelim&amp;I1199</f>
        <v>AllocPrelim_Siltuma līmeņatzīmes apakšiekārta, OEP | bez OIM)</v>
      </c>
      <c r="Q1210" s="437"/>
      <c r="R1210" s="900" t="str">
        <f>IF(I1211="","",IF(S1202=0,0,SUM(I1211)/S1202))</f>
        <v/>
      </c>
      <c r="S1210" s="900" t="str">
        <f>IF(K1211="","",IF(S1202=0,0,SUM(K1211)/S1202))</f>
        <v/>
      </c>
      <c r="T1210" s="900" t="str">
        <f>T1199</f>
        <v/>
      </c>
    </row>
    <row r="1211" spans="1:20" s="697" customFormat="1" ht="13.5" thickBot="1" x14ac:dyDescent="0.25">
      <c r="A1211" s="437"/>
      <c r="B1211" s="414"/>
      <c r="C1211" s="414"/>
      <c r="D1211" s="414"/>
      <c r="E1211" s="414"/>
      <c r="F1211" s="658" t="str">
        <f>IF(M1199&lt;&gt;EUconst_Relevant,"",MAX(0, IF(J1202=TRUE, SUM(K1202), SUM(N1208))))</f>
        <v/>
      </c>
      <c r="G1211" s="884" t="str">
        <f>H1208&amp;" / "&amp;EUconst_Year</f>
        <v>TJ / gads</v>
      </c>
      <c r="H1211" s="414"/>
      <c r="I1211" s="814" t="str">
        <f>IF(M1199&lt;&gt;EUconst_Relevant,"",ROUND(SUM(M1202)*SUM(F1211)*SUM(S1202),0))</f>
        <v/>
      </c>
      <c r="J1211" s="884" t="str">
        <f>EUconst_EUApa</f>
        <v>ESK / gads</v>
      </c>
      <c r="K1211" s="814" t="str">
        <f>IF(M1199&lt;&gt;EUconst_Relevant,"",ROUND(SUM(M1203)*SUM(F1211)*SUM(S1202),0))</f>
        <v/>
      </c>
      <c r="L1211" s="884" t="str">
        <f>EUconst_EUApa</f>
        <v>ESK / gads</v>
      </c>
      <c r="M1211" s="814" t="str">
        <f>IF(OR(M1199&lt;&gt;EUconst_Relevant,M1204=""),"",ROUND(SUM(M1204)*SUM(F1211)*SUM(S1202),0))</f>
        <v/>
      </c>
      <c r="N1211" s="884" t="str">
        <f>EUconst_EUApa</f>
        <v>ESK / gads</v>
      </c>
      <c r="O1211" s="25"/>
      <c r="P1211" s="202" t="str">
        <f>EUconst_HALsum &amp; I1199</f>
        <v>HALsum_Siltuma līmeņatzīmes apakšiekārta, OEP | bez OIM)</v>
      </c>
      <c r="Q1211" s="437"/>
      <c r="R1211" s="437"/>
      <c r="S1211" s="437"/>
      <c r="T1211" s="437"/>
    </row>
    <row r="1212" spans="1:20" s="697" customFormat="1" x14ac:dyDescent="0.2">
      <c r="A1212" s="437"/>
      <c r="B1212" s="414"/>
      <c r="C1212" s="414"/>
      <c r="D1212" s="414"/>
      <c r="E1212" s="414"/>
      <c r="F1212" s="414"/>
      <c r="G1212" s="414"/>
      <c r="H1212" s="414"/>
      <c r="I1212" s="414"/>
      <c r="J1212" s="414"/>
      <c r="K1212" s="414"/>
      <c r="L1212" s="414"/>
      <c r="M1212" s="414"/>
      <c r="N1212" s="414"/>
      <c r="O1212" s="25"/>
      <c r="P1212" s="437"/>
      <c r="Q1212" s="437"/>
      <c r="R1212" s="437"/>
      <c r="S1212" s="437"/>
      <c r="T1212" s="437"/>
    </row>
    <row r="1213" spans="1:20" s="697" customFormat="1" ht="12.75" customHeight="1" x14ac:dyDescent="0.2">
      <c r="A1213" s="437"/>
      <c r="B1213" s="414"/>
      <c r="C1213" s="414"/>
      <c r="D1213" s="414"/>
      <c r="E1213" s="526"/>
      <c r="F1213" s="823"/>
      <c r="G1213" s="823"/>
      <c r="H1213" s="823"/>
      <c r="I1213" s="823"/>
      <c r="J1213" s="823"/>
      <c r="K1213" s="823"/>
      <c r="L1213" s="823"/>
      <c r="M1213" s="823"/>
      <c r="N1213" s="823"/>
      <c r="O1213" s="25"/>
      <c r="P1213" s="437"/>
      <c r="Q1213" s="437"/>
      <c r="R1213" s="437"/>
      <c r="S1213" s="437"/>
      <c r="T1213" s="437"/>
    </row>
    <row r="1214" spans="1:20" s="697" customFormat="1" ht="13.5" thickBot="1" x14ac:dyDescent="0.25">
      <c r="A1214" s="437"/>
      <c r="B1214" s="414"/>
      <c r="C1214" s="414"/>
      <c r="D1214" s="414"/>
      <c r="E1214" s="526"/>
      <c r="F1214" s="823"/>
      <c r="G1214" s="823"/>
      <c r="H1214" s="525" t="str">
        <f>EUconst_Unit</f>
        <v>Vienība</v>
      </c>
      <c r="I1214" s="929">
        <f>I$1652</f>
        <v>2019</v>
      </c>
      <c r="J1214" s="463">
        <f>J$1652</f>
        <v>2020</v>
      </c>
      <c r="K1214" s="463">
        <f>K$1652</f>
        <v>2021</v>
      </c>
      <c r="L1214" s="463">
        <f>L$1652</f>
        <v>2022</v>
      </c>
      <c r="M1214" s="463">
        <f>M$1652</f>
        <v>2023</v>
      </c>
      <c r="N1214" s="823"/>
      <c r="O1214" s="25"/>
      <c r="P1214" s="437"/>
      <c r="Q1214" s="437"/>
      <c r="R1214" s="437"/>
      <c r="S1214" s="437"/>
      <c r="T1214" s="437"/>
    </row>
    <row r="1215" spans="1:20" s="697" customFormat="1" ht="13.5" customHeight="1" thickBot="1" x14ac:dyDescent="0.25">
      <c r="A1215" s="437"/>
      <c r="B1215" s="414"/>
      <c r="C1215" s="414"/>
      <c r="D1215" s="414"/>
      <c r="E1215" s="1789" t="str">
        <f>Translations!$B$1734</f>
        <v>Kopā saražotais siltums</v>
      </c>
      <c r="F1215" s="1789"/>
      <c r="G1215" s="1789"/>
      <c r="H1215" s="886" t="str">
        <f>EUconst_TJpa</f>
        <v>TJ / gads</v>
      </c>
      <c r="I1215" s="918" t="str">
        <f>IF($M1199&lt;&gt;EUconst_Relevant,"",IF(INDEX('G_Fall-back'!I:I,MATCH($P1215,'G_Fall-back'!$P:$P,0))="","",INDEX('G_Fall-back'!I:I,MATCH($P1215,'G_Fall-back'!$P:$P,0))))</f>
        <v/>
      </c>
      <c r="J1215" s="919" t="str">
        <f>IF($M1199&lt;&gt;EUconst_Relevant,"",IF(INDEX('G_Fall-back'!J:J,MATCH($P1215,'G_Fall-back'!$P:$P,0))="","",INDEX('G_Fall-back'!J:J,MATCH($P1215,'G_Fall-back'!$P:$P,0))))</f>
        <v/>
      </c>
      <c r="K1215" s="919" t="str">
        <f>IF($M1199&lt;&gt;EUconst_Relevant,"",IF(INDEX('G_Fall-back'!K:K,MATCH($P1215,'G_Fall-back'!$P:$P,0))="","",INDEX('G_Fall-back'!K:K,MATCH($P1215,'G_Fall-back'!$P:$P,0))))</f>
        <v/>
      </c>
      <c r="L1215" s="919" t="str">
        <f>IF($M1199&lt;&gt;EUconst_Relevant,"",IF(INDEX('G_Fall-back'!L:L,MATCH($P1215,'G_Fall-back'!$P:$P,0))="","",INDEX('G_Fall-back'!L:L,MATCH($P1215,'G_Fall-back'!$P:$P,0))))</f>
        <v/>
      </c>
      <c r="M1215" s="920" t="str">
        <f>IF($M1199&lt;&gt;EUconst_Relevant,"",IF(INDEX('G_Fall-back'!M:M,MATCH($P1215,'G_Fall-back'!$P:$P,0))="","",INDEX('G_Fall-back'!M:M,MATCH($P1215,'G_Fall-back'!$P:$P,0))))</f>
        <v/>
      </c>
      <c r="N1215" s="823"/>
      <c r="O1215" s="25"/>
      <c r="P1215" s="367" t="str">
        <f>EUconst_CNTR_HeatProduced &amp; I1199</f>
        <v>HeatProd_Siltuma līmeņatzīmes apakšiekārta, OEP | bez OIM)</v>
      </c>
      <c r="Q1215" s="437"/>
      <c r="R1215" s="437"/>
      <c r="S1215" s="437"/>
      <c r="T1215" s="437"/>
    </row>
    <row r="1216" spans="1:20" s="697" customFormat="1" ht="12.75" customHeight="1" x14ac:dyDescent="0.2">
      <c r="A1216" s="437"/>
      <c r="B1216" s="414"/>
      <c r="C1216" s="414"/>
      <c r="D1216" s="414"/>
      <c r="E1216" s="1651" t="str">
        <f>Translations!$B$1681</f>
        <v>No elektroenerģijas saražotais siltums</v>
      </c>
      <c r="F1216" s="1651"/>
      <c r="G1216" s="1651"/>
      <c r="H1216" s="1113" t="str">
        <f>EUconst_TJpa</f>
        <v>TJ / gads</v>
      </c>
      <c r="I1216" s="1114" t="str">
        <f>IF($M1199&lt;&gt;EUconst_Relevant,"",IF(INDEX('G_Fall-back'!I:I,MATCH($P1216,'G_Fall-back'!$P:$P,0))="","",INDEX('G_Fall-back'!I:I,MATCH($P1216,'G_Fall-back'!$P:$P,0))))</f>
        <v/>
      </c>
      <c r="J1216" s="1114" t="str">
        <f>IF($M1199&lt;&gt;EUconst_Relevant,"",IF(INDEX('G_Fall-back'!J:J,MATCH($P1216,'G_Fall-back'!$P:$P,0))="","",INDEX('G_Fall-back'!J:J,MATCH($P1216,'G_Fall-back'!$P:$P,0))))</f>
        <v/>
      </c>
      <c r="K1216" s="1114" t="str">
        <f>IF($M1199&lt;&gt;EUconst_Relevant,"",IF(INDEX('G_Fall-back'!K:K,MATCH($P1216,'G_Fall-back'!$P:$P,0))="","",INDEX('G_Fall-back'!K:K,MATCH($P1216,'G_Fall-back'!$P:$P,0))))</f>
        <v/>
      </c>
      <c r="L1216" s="1114" t="str">
        <f>IF($M1199&lt;&gt;EUconst_Relevant,"",IF(INDEX('G_Fall-back'!L:L,MATCH($P1216,'G_Fall-back'!$P:$P,0))="","",INDEX('G_Fall-back'!L:L,MATCH($P1216,'G_Fall-back'!$P:$P,0))))</f>
        <v/>
      </c>
      <c r="M1216" s="1114" t="str">
        <f>IF($M1199&lt;&gt;EUconst_Relevant,"",IF(INDEX('G_Fall-back'!M:M,MATCH($P1216,'G_Fall-back'!$P:$P,0))="","",INDEX('G_Fall-back'!M:M,MATCH($P1216,'G_Fall-back'!$P:$P,0))))</f>
        <v/>
      </c>
      <c r="N1216" s="823"/>
      <c r="O1216" s="25"/>
      <c r="P1216" s="367" t="str">
        <f>EUconst_CNTR_HeatProducedElectricity &amp; I1199</f>
        <v>HeatProdElec_Siltuma līmeņatzīmes apakšiekārta, OEP | bez OIM)</v>
      </c>
      <c r="Q1216" s="437"/>
      <c r="R1216" s="437"/>
      <c r="S1216" s="437"/>
      <c r="T1216" s="437"/>
    </row>
    <row r="1217" spans="1:20" s="697" customFormat="1" ht="5.0999999999999996" customHeight="1" thickBot="1" x14ac:dyDescent="0.25">
      <c r="A1217" s="437"/>
      <c r="B1217" s="414"/>
      <c r="C1217" s="414"/>
      <c r="D1217" s="414"/>
      <c r="E1217" s="526"/>
      <c r="F1217" s="526"/>
      <c r="G1217" s="526"/>
      <c r="H1217" s="526"/>
      <c r="I1217" s="924"/>
      <c r="J1217" s="924"/>
      <c r="K1217" s="924"/>
      <c r="L1217" s="924"/>
      <c r="M1217" s="924"/>
      <c r="N1217" s="823"/>
      <c r="O1217" s="25"/>
      <c r="P1217" s="437"/>
      <c r="Q1217" s="437"/>
      <c r="R1217" s="437"/>
      <c r="S1217" s="437"/>
      <c r="T1217" s="437"/>
    </row>
    <row r="1218" spans="1:20" s="697" customFormat="1" ht="13.5" customHeight="1" thickBot="1" x14ac:dyDescent="0.25">
      <c r="A1218" s="437"/>
      <c r="B1218" s="414"/>
      <c r="C1218" s="414"/>
      <c r="D1218" s="414"/>
      <c r="E1218" s="1789" t="str">
        <f>Translations!$B$1238</f>
        <v>Kopējās attiecinātās emisijas</v>
      </c>
      <c r="F1218" s="1789"/>
      <c r="G1218" s="1789"/>
      <c r="H1218" s="886" t="str">
        <f>EUconst_tCO2epa</f>
        <v>t CO2e/gads</v>
      </c>
      <c r="I1218" s="918" t="str">
        <f>INDEX(I$115:I$134,MATCH($I1199,$E$115:$E$134,0))</f>
        <v/>
      </c>
      <c r="J1218" s="919" t="str">
        <f>INDEX(J$115:J$134,MATCH($I1199,$E$115:$E$134,0))</f>
        <v/>
      </c>
      <c r="K1218" s="919" t="str">
        <f>INDEX(K$115:K$134,MATCH($I1199,$E$115:$E$134,0))</f>
        <v/>
      </c>
      <c r="L1218" s="919" t="str">
        <f>INDEX(L$115:L$134,MATCH($I1199,$E$115:$E$134,0))</f>
        <v/>
      </c>
      <c r="M1218" s="920" t="str">
        <f>INDEX(M$115:M$134,MATCH($I1199,$E$115:$E$134,0))</f>
        <v/>
      </c>
      <c r="N1218" s="823"/>
      <c r="O1218" s="25"/>
      <c r="P1218" s="437"/>
      <c r="Q1218" s="437"/>
      <c r="R1218" s="437"/>
      <c r="S1218" s="437"/>
      <c r="T1218" s="26"/>
    </row>
    <row r="1219" spans="1:20" s="697" customFormat="1" ht="5.0999999999999996" customHeight="1" x14ac:dyDescent="0.2">
      <c r="A1219" s="437"/>
      <c r="B1219" s="414"/>
      <c r="C1219" s="414"/>
      <c r="D1219" s="414"/>
      <c r="E1219" s="526"/>
      <c r="F1219" s="526"/>
      <c r="G1219" s="526"/>
      <c r="H1219" s="526"/>
      <c r="I1219" s="921"/>
      <c r="J1219" s="921"/>
      <c r="K1219" s="921"/>
      <c r="L1219" s="921"/>
      <c r="M1219" s="921"/>
      <c r="N1219" s="526"/>
      <c r="O1219" s="25"/>
      <c r="P1219" s="437"/>
      <c r="Q1219" s="437"/>
      <c r="R1219" s="437"/>
      <c r="S1219" s="437"/>
      <c r="T1219" s="26"/>
    </row>
    <row r="1220" spans="1:20" s="697" customFormat="1" x14ac:dyDescent="0.2">
      <c r="A1220" s="437"/>
      <c r="B1220" s="414"/>
      <c r="C1220" s="414"/>
      <c r="D1220" s="414"/>
      <c r="E1220" s="1667" t="str">
        <f>Translations!$B$731</f>
        <v>Kurināmā ielaide</v>
      </c>
      <c r="F1220" s="1667"/>
      <c r="G1220" s="1667"/>
      <c r="H1220" s="466" t="str">
        <f>EUconst_TJpa</f>
        <v>TJ / gads</v>
      </c>
      <c r="I1220" s="922" t="str">
        <f>IF($M1199&lt;&gt;EUconst_Relevant,"",IF(INDEX('G_Fall-back'!I:I,MATCH($P1220,'G_Fall-back'!$P:$P,0))="","",INDEX('G_Fall-back'!I:I,MATCH($P1220,'G_Fall-back'!$P:$P,0))))</f>
        <v/>
      </c>
      <c r="J1220" s="922" t="str">
        <f>IF($M1199&lt;&gt;EUconst_Relevant,"",IF(INDEX('G_Fall-back'!J:J,MATCH($P1220,'G_Fall-back'!$P:$P,0))="","",INDEX('G_Fall-back'!J:J,MATCH($P1220,'G_Fall-back'!$P:$P,0))))</f>
        <v/>
      </c>
      <c r="K1220" s="922" t="str">
        <f>IF($M1199&lt;&gt;EUconst_Relevant,"",IF(INDEX('G_Fall-back'!K:K,MATCH($P1220,'G_Fall-back'!$P:$P,0))="","",INDEX('G_Fall-back'!K:K,MATCH($P1220,'G_Fall-back'!$P:$P,0))))</f>
        <v/>
      </c>
      <c r="L1220" s="922" t="str">
        <f>IF($M1199&lt;&gt;EUconst_Relevant,"",IF(INDEX('G_Fall-back'!L:L,MATCH($P1220,'G_Fall-back'!$P:$P,0))="","",INDEX('G_Fall-back'!L:L,MATCH($P1220,'G_Fall-back'!$P:$P,0))))</f>
        <v/>
      </c>
      <c r="M1220" s="922" t="str">
        <f>IF($M1199&lt;&gt;EUconst_Relevant,"",IF(INDEX('G_Fall-back'!M:M,MATCH($P1220,'G_Fall-back'!$P:$P,0))="","",INDEX('G_Fall-back'!M:M,MATCH($P1220,'G_Fall-back'!$P:$P,0))))</f>
        <v/>
      </c>
      <c r="N1220" s="823"/>
      <c r="O1220" s="25"/>
      <c r="P1220" s="822" t="str">
        <f>EUconst_CNTR_FuelInput &amp; I1199</f>
        <v>FuelInput_Siltuma līmeņatzīmes apakšiekārta, OEP | bez OIM)</v>
      </c>
      <c r="Q1220" s="437"/>
      <c r="R1220" s="437"/>
      <c r="S1220" s="437"/>
      <c r="T1220" s="437"/>
    </row>
    <row r="1221" spans="1:20" s="697" customFormat="1" ht="12.75" customHeight="1" x14ac:dyDescent="0.2">
      <c r="A1221" s="437"/>
      <c r="B1221" s="414"/>
      <c r="C1221" s="414"/>
      <c r="D1221" s="414"/>
      <c r="E1221" s="1737" t="str">
        <f>Translations!$B$732</f>
        <v>Svērtais emisijas faktors</v>
      </c>
      <c r="F1221" s="1737"/>
      <c r="G1221" s="1737"/>
      <c r="H1221" s="485" t="str">
        <f>EUconst_tCO2pTJ</f>
        <v>t CO2 / TJ</v>
      </c>
      <c r="I1221" s="923" t="str">
        <f>IF($M1199&lt;&gt;EUconst_Relevant,"",IF(INDEX('G_Fall-back'!I:I,MATCH($P1221,'G_Fall-back'!$P:$P,0))="","",INDEX('G_Fall-back'!I:I,MATCH($P1221,'G_Fall-back'!$P:$P,0))))</f>
        <v/>
      </c>
      <c r="J1221" s="923" t="str">
        <f>IF($M1199&lt;&gt;EUconst_Relevant,"",IF(INDEX('G_Fall-back'!J:J,MATCH($P1221,'G_Fall-back'!$P:$P,0))="","",INDEX('G_Fall-back'!J:J,MATCH($P1221,'G_Fall-back'!$P:$P,0))))</f>
        <v/>
      </c>
      <c r="K1221" s="923" t="str">
        <f>IF($M1199&lt;&gt;EUconst_Relevant,"",IF(INDEX('G_Fall-back'!K:K,MATCH($P1221,'G_Fall-back'!$P:$P,0))="","",INDEX('G_Fall-back'!K:K,MATCH($P1221,'G_Fall-back'!$P:$P,0))))</f>
        <v/>
      </c>
      <c r="L1221" s="923" t="str">
        <f>IF($M1199&lt;&gt;EUconst_Relevant,"",IF(INDEX('G_Fall-back'!L:L,MATCH($P1221,'G_Fall-back'!$P:$P,0))="","",INDEX('G_Fall-back'!L:L,MATCH($P1221,'G_Fall-back'!$P:$P,0))))</f>
        <v/>
      </c>
      <c r="M1221" s="923" t="str">
        <f>IF($M1199&lt;&gt;EUconst_Relevant,"",IF(INDEX('G_Fall-back'!M:M,MATCH($P1221,'G_Fall-back'!$P:$P,0))="","",INDEX('G_Fall-back'!M:M,MATCH($P1221,'G_Fall-back'!$P:$P,0))))</f>
        <v/>
      </c>
      <c r="N1221" s="823"/>
      <c r="O1221" s="25"/>
      <c r="P1221" s="367" t="str">
        <f>EUconst_CNTR_FuelEF &amp; I1199</f>
        <v>FuelEF_Siltuma līmeņatzīmes apakšiekārta, OEP | bez OIM)</v>
      </c>
      <c r="Q1221" s="437"/>
      <c r="R1221" s="437"/>
      <c r="S1221" s="437"/>
      <c r="T1221" s="437"/>
    </row>
    <row r="1222" spans="1:20" s="697" customFormat="1" ht="12.75" customHeight="1" x14ac:dyDescent="0.2">
      <c r="A1222" s="437"/>
      <c r="B1222" s="414"/>
      <c r="C1222" s="414"/>
      <c r="D1222" s="414"/>
      <c r="E1222" s="1667" t="str">
        <f>Translations!$B$853</f>
        <v>Atlikumgāzu kurināmā ielaide</v>
      </c>
      <c r="F1222" s="1667"/>
      <c r="G1222" s="1667"/>
      <c r="H1222" s="466" t="str">
        <f>EUconst_TJpa</f>
        <v>TJ / gads</v>
      </c>
      <c r="I1222" s="922" t="str">
        <f>IF($M1199&lt;&gt;EUconst_Relevant,"",IF(INDEX('G_Fall-back'!I:I,MATCH($P1222,'G_Fall-back'!$P:$P,0))="","",INDEX('G_Fall-back'!I:I,MATCH($P1222,'G_Fall-back'!$P:$P,0))))</f>
        <v/>
      </c>
      <c r="J1222" s="922" t="str">
        <f>IF($M1199&lt;&gt;EUconst_Relevant,"",IF(INDEX('G_Fall-back'!J:J,MATCH($P1222,'G_Fall-back'!$P:$P,0))="","",INDEX('G_Fall-back'!J:J,MATCH($P1222,'G_Fall-back'!$P:$P,0))))</f>
        <v/>
      </c>
      <c r="K1222" s="922" t="str">
        <f>IF($M1199&lt;&gt;EUconst_Relevant,"",IF(INDEX('G_Fall-back'!K:K,MATCH($P1222,'G_Fall-back'!$P:$P,0))="","",INDEX('G_Fall-back'!K:K,MATCH($P1222,'G_Fall-back'!$P:$P,0))))</f>
        <v/>
      </c>
      <c r="L1222" s="922" t="str">
        <f>IF($M1199&lt;&gt;EUconst_Relevant,"",IF(INDEX('G_Fall-back'!L:L,MATCH($P1222,'G_Fall-back'!$P:$P,0))="","",INDEX('G_Fall-back'!L:L,MATCH($P1222,'G_Fall-back'!$P:$P,0))))</f>
        <v/>
      </c>
      <c r="M1222" s="922" t="str">
        <f>IF($M1199&lt;&gt;EUconst_Relevant,"",IF(INDEX('G_Fall-back'!M:M,MATCH($P1222,'G_Fall-back'!$P:$P,0))="","",INDEX('G_Fall-back'!M:M,MATCH($P1222,'G_Fall-back'!$P:$P,0))))</f>
        <v/>
      </c>
      <c r="N1222" s="823"/>
      <c r="O1222" s="25"/>
      <c r="P1222" s="453" t="str">
        <f>EUconst_CNTR_WGConsumed &amp; I1199</f>
        <v>WasteGasCons_Siltuma līmeņatzīmes apakšiekārta, OEP | bez OIM)</v>
      </c>
      <c r="Q1222" s="437"/>
      <c r="R1222" s="437"/>
      <c r="S1222" s="437"/>
      <c r="T1222" s="437"/>
    </row>
    <row r="1223" spans="1:20" s="697" customFormat="1" ht="12.75" customHeight="1" x14ac:dyDescent="0.2">
      <c r="A1223" s="437"/>
      <c r="B1223" s="414"/>
      <c r="C1223" s="414"/>
      <c r="D1223" s="414"/>
      <c r="E1223" s="1737" t="str">
        <f>Translations!$B$732</f>
        <v>Svērtais emisijas faktors</v>
      </c>
      <c r="F1223" s="1737"/>
      <c r="G1223" s="1737"/>
      <c r="H1223" s="485" t="str">
        <f>EUconst_tCO2pTJ</f>
        <v>t CO2 / TJ</v>
      </c>
      <c r="I1223" s="923" t="str">
        <f>IF($M1199&lt;&gt;EUconst_Relevant,"",IF(INDEX('G_Fall-back'!I:I,MATCH($P1223,'G_Fall-back'!$P:$P,0))="","",INDEX('G_Fall-back'!I:I,MATCH($P1223,'G_Fall-back'!$P:$P,0))))</f>
        <v/>
      </c>
      <c r="J1223" s="923" t="str">
        <f>IF($M1199&lt;&gt;EUconst_Relevant,"",IF(INDEX('G_Fall-back'!J:J,MATCH($P1223,'G_Fall-back'!$P:$P,0))="","",INDEX('G_Fall-back'!J:J,MATCH($P1223,'G_Fall-back'!$P:$P,0))))</f>
        <v/>
      </c>
      <c r="K1223" s="923" t="str">
        <f>IF($M1199&lt;&gt;EUconst_Relevant,"",IF(INDEX('G_Fall-back'!K:K,MATCH($P1223,'G_Fall-back'!$P:$P,0))="","",INDEX('G_Fall-back'!K:K,MATCH($P1223,'G_Fall-back'!$P:$P,0))))</f>
        <v/>
      </c>
      <c r="L1223" s="923" t="str">
        <f>IF($M1199&lt;&gt;EUconst_Relevant,"",IF(INDEX('G_Fall-back'!L:L,MATCH($P1223,'G_Fall-back'!$P:$P,0))="","",INDEX('G_Fall-back'!L:L,MATCH($P1223,'G_Fall-back'!$P:$P,0))))</f>
        <v/>
      </c>
      <c r="M1223" s="923" t="str">
        <f>IF($M1199&lt;&gt;EUconst_Relevant,"",IF(INDEX('G_Fall-back'!M:M,MATCH($P1223,'G_Fall-back'!$P:$P,0))="","",INDEX('G_Fall-back'!M:M,MATCH($P1223,'G_Fall-back'!$P:$P,0))))</f>
        <v/>
      </c>
      <c r="N1223" s="823"/>
      <c r="O1223" s="25"/>
      <c r="P1223" s="367" t="str">
        <f>EUconst_CNTR_WGConsumedEF &amp; I1199</f>
        <v>WasteGasConsEF_Siltuma līmeņatzīmes apakšiekārta, OEP | bez OIM)</v>
      </c>
      <c r="Q1223" s="437"/>
      <c r="R1223" s="437"/>
      <c r="S1223" s="437"/>
      <c r="T1223" s="437"/>
    </row>
    <row r="1224" spans="1:20" s="697" customFormat="1" ht="12.75" customHeight="1" x14ac:dyDescent="0.2">
      <c r="A1224" s="437"/>
      <c r="B1224" s="414"/>
      <c r="C1224" s="414"/>
      <c r="D1224" s="414"/>
      <c r="E1224" s="1667" t="str">
        <f>Translations!$B$1631</f>
        <v>Elektroenerģijas ielaide siltuma ražošanai</v>
      </c>
      <c r="F1224" s="1667"/>
      <c r="G1224" s="1667"/>
      <c r="H1224" s="466" t="str">
        <f>EUconst_TJpa</f>
        <v>TJ / gads</v>
      </c>
      <c r="I1224" s="922" t="str">
        <f>IF($M1199&lt;&gt;EUconst_Relevant,"",IF(INDEX('G_Fall-back'!I:I,MATCH($P1224,'G_Fall-back'!$P:$P,0))="","",INDEX('G_Fall-back'!I:I,MATCH($P1224,'G_Fall-back'!$P:$P,0))))</f>
        <v/>
      </c>
      <c r="J1224" s="922" t="str">
        <f>IF($M1199&lt;&gt;EUconst_Relevant,"",IF(INDEX('G_Fall-back'!J:J,MATCH($P1224,'G_Fall-back'!$P:$P,0))="","",INDEX('G_Fall-back'!J:J,MATCH($P1224,'G_Fall-back'!$P:$P,0))))</f>
        <v/>
      </c>
      <c r="K1224" s="922" t="str">
        <f>IF($M1199&lt;&gt;EUconst_Relevant,"",IF(INDEX('G_Fall-back'!K:K,MATCH($P1224,'G_Fall-back'!$P:$P,0))="","",INDEX('G_Fall-back'!K:K,MATCH($P1224,'G_Fall-back'!$P:$P,0))))</f>
        <v/>
      </c>
      <c r="L1224" s="922" t="str">
        <f>IF($M1199&lt;&gt;EUconst_Relevant,"",IF(INDEX('G_Fall-back'!L:L,MATCH($P1224,'G_Fall-back'!$P:$P,0))="","",INDEX('G_Fall-back'!L:L,MATCH($P1224,'G_Fall-back'!$P:$P,0))))</f>
        <v/>
      </c>
      <c r="M1224" s="922" t="str">
        <f>IF($M1199&lt;&gt;EUconst_Relevant,"",IF(INDEX('G_Fall-back'!M:M,MATCH($P1224,'G_Fall-back'!$P:$P,0))="","",INDEX('G_Fall-back'!M:M,MATCH($P1224,'G_Fall-back'!$P:$P,0))))</f>
        <v/>
      </c>
      <c r="N1224" s="823"/>
      <c r="O1224" s="25"/>
      <c r="P1224" s="453" t="str">
        <f>EUconst_CNTR_ElectricityInput &amp; I1199</f>
        <v>ElectricityInput_Siltuma līmeņatzīmes apakšiekārta, OEP | bez OIM)</v>
      </c>
      <c r="Q1224" s="437"/>
      <c r="R1224" s="437"/>
      <c r="S1224" s="437"/>
      <c r="T1224" s="437"/>
    </row>
    <row r="1225" spans="1:20" s="697" customFormat="1" ht="12.75" customHeight="1" x14ac:dyDescent="0.2">
      <c r="A1225" s="437"/>
      <c r="B1225" s="414"/>
      <c r="C1225" s="414"/>
      <c r="D1225" s="414"/>
      <c r="E1225" s="1737" t="str">
        <f>Translations!$B$732</f>
        <v>Svērtais emisijas faktors</v>
      </c>
      <c r="F1225" s="1737"/>
      <c r="G1225" s="1737"/>
      <c r="H1225" s="485" t="str">
        <f>EUconst_tCO2pTJ</f>
        <v>t CO2 / TJ</v>
      </c>
      <c r="I1225" s="923" t="str">
        <f>IF($M1199&lt;&gt;EUconst_Relevant,"",IF(INDEX('G_Fall-back'!I:I,MATCH($P1225,'G_Fall-back'!$P:$P,0))="","",INDEX('G_Fall-back'!I:I,MATCH($P1225,'G_Fall-back'!$P:$P,0))))</f>
        <v/>
      </c>
      <c r="J1225" s="923" t="str">
        <f>IF($M1199&lt;&gt;EUconst_Relevant,"",IF(INDEX('G_Fall-back'!J:J,MATCH($P1225,'G_Fall-back'!$P:$P,0))="","",INDEX('G_Fall-back'!J:J,MATCH($P1225,'G_Fall-back'!$P:$P,0))))</f>
        <v/>
      </c>
      <c r="K1225" s="923" t="str">
        <f>IF($M1199&lt;&gt;EUconst_Relevant,"",IF(INDEX('G_Fall-back'!K:K,MATCH($P1225,'G_Fall-back'!$P:$P,0))="","",INDEX('G_Fall-back'!K:K,MATCH($P1225,'G_Fall-back'!$P:$P,0))))</f>
        <v/>
      </c>
      <c r="L1225" s="923" t="str">
        <f>IF($M1199&lt;&gt;EUconst_Relevant,"",IF(INDEX('G_Fall-back'!L:L,MATCH($P1225,'G_Fall-back'!$P:$P,0))="","",INDEX('G_Fall-back'!L:L,MATCH($P1225,'G_Fall-back'!$P:$P,0))))</f>
        <v/>
      </c>
      <c r="M1225" s="923" t="str">
        <f>IF($M1199&lt;&gt;EUconst_Relevant,"",IF(INDEX('G_Fall-back'!M:M,MATCH($P1225,'G_Fall-back'!$P:$P,0))="","",INDEX('G_Fall-back'!M:M,MATCH($P1225,'G_Fall-back'!$P:$P,0))))</f>
        <v/>
      </c>
      <c r="N1225" s="823"/>
      <c r="O1225" s="25"/>
      <c r="P1225" s="367" t="str">
        <f>EUconst_CNTR_ElectricityEF &amp; I1199</f>
        <v>ElectricityEF_Siltuma līmeņatzīmes apakšiekārta, OEP | bez OIM)</v>
      </c>
      <c r="Q1225" s="437"/>
      <c r="R1225" s="437"/>
      <c r="S1225" s="437"/>
      <c r="T1225" s="437"/>
    </row>
    <row r="1226" spans="1:20" s="697" customFormat="1" ht="12.75" customHeight="1" x14ac:dyDescent="0.2">
      <c r="A1226" s="437"/>
      <c r="B1226" s="414"/>
      <c r="C1226" s="414"/>
      <c r="D1226" s="414"/>
      <c r="E1226" s="1667" t="str">
        <f>Translations!$B$1632</f>
        <v>Citas enerģijas (piemēram, eksotermiskā siltuma) ielaide</v>
      </c>
      <c r="F1226" s="1667"/>
      <c r="G1226" s="1667"/>
      <c r="H1226" s="466" t="str">
        <f>EUconst_TJpa</f>
        <v>TJ / gads</v>
      </c>
      <c r="I1226" s="922" t="str">
        <f>IF($M1199&lt;&gt;EUconst_Relevant,"",IF(INDEX('G_Fall-back'!I:I,MATCH($P1226,'G_Fall-back'!$P:$P,0))="","",INDEX('G_Fall-back'!I:I,MATCH($P1226,'G_Fall-back'!$P:$P,0))))</f>
        <v/>
      </c>
      <c r="J1226" s="922" t="str">
        <f>IF($M1199&lt;&gt;EUconst_Relevant,"",IF(INDEX('G_Fall-back'!J:J,MATCH($P1226,'G_Fall-back'!$P:$P,0))="","",INDEX('G_Fall-back'!J:J,MATCH($P1226,'G_Fall-back'!$P:$P,0))))</f>
        <v/>
      </c>
      <c r="K1226" s="922" t="str">
        <f>IF($M1199&lt;&gt;EUconst_Relevant,"",IF(INDEX('G_Fall-back'!K:K,MATCH($P1226,'G_Fall-back'!$P:$P,0))="","",INDEX('G_Fall-back'!K:K,MATCH($P1226,'G_Fall-back'!$P:$P,0))))</f>
        <v/>
      </c>
      <c r="L1226" s="922" t="str">
        <f>IF($M1199&lt;&gt;EUconst_Relevant,"",IF(INDEX('G_Fall-back'!L:L,MATCH($P1226,'G_Fall-back'!$P:$P,0))="","",INDEX('G_Fall-back'!L:L,MATCH($P1226,'G_Fall-back'!$P:$P,0))))</f>
        <v/>
      </c>
      <c r="M1226" s="922" t="str">
        <f>IF($M1199&lt;&gt;EUconst_Relevant,"",IF(INDEX('G_Fall-back'!M:M,MATCH($P1226,'G_Fall-back'!$P:$P,0))="","",INDEX('G_Fall-back'!M:M,MATCH($P1226,'G_Fall-back'!$P:$P,0))))</f>
        <v/>
      </c>
      <c r="N1226" s="823"/>
      <c r="O1226" s="25"/>
      <c r="P1226" s="453" t="str">
        <f>EUconst_CNTR_OtherEnergyInput &amp; I1199</f>
        <v>OtherEnergyInput_Siltuma līmeņatzīmes apakšiekārta, OEP | bez OIM)</v>
      </c>
      <c r="Q1226" s="437"/>
      <c r="R1226" s="437"/>
      <c r="S1226" s="437"/>
      <c r="T1226" s="437"/>
    </row>
    <row r="1227" spans="1:20" s="697" customFormat="1" ht="12.75" customHeight="1" x14ac:dyDescent="0.2">
      <c r="A1227" s="437"/>
      <c r="B1227" s="414"/>
      <c r="C1227" s="414"/>
      <c r="D1227" s="414"/>
      <c r="E1227" s="1737" t="str">
        <f>Translations!$B$732</f>
        <v>Svērtais emisijas faktors</v>
      </c>
      <c r="F1227" s="1737"/>
      <c r="G1227" s="1737"/>
      <c r="H1227" s="485" t="str">
        <f>EUconst_tCO2pTJ</f>
        <v>t CO2 / TJ</v>
      </c>
      <c r="I1227" s="923" t="str">
        <f>IF($M1199&lt;&gt;EUconst_Relevant,"",IF(INDEX('G_Fall-back'!I:I,MATCH($P1227,'G_Fall-back'!$P:$P,0))="","",INDEX('G_Fall-back'!I:I,MATCH($P1227,'G_Fall-back'!$P:$P,0))))</f>
        <v/>
      </c>
      <c r="J1227" s="923" t="str">
        <f>IF($M1199&lt;&gt;EUconst_Relevant,"",IF(INDEX('G_Fall-back'!J:J,MATCH($P1227,'G_Fall-back'!$P:$P,0))="","",INDEX('G_Fall-back'!J:J,MATCH($P1227,'G_Fall-back'!$P:$P,0))))</f>
        <v/>
      </c>
      <c r="K1227" s="923" t="str">
        <f>IF($M1199&lt;&gt;EUconst_Relevant,"",IF(INDEX('G_Fall-back'!K:K,MATCH($P1227,'G_Fall-back'!$P:$P,0))="","",INDEX('G_Fall-back'!K:K,MATCH($P1227,'G_Fall-back'!$P:$P,0))))</f>
        <v/>
      </c>
      <c r="L1227" s="923" t="str">
        <f>IF($M1199&lt;&gt;EUconst_Relevant,"",IF(INDEX('G_Fall-back'!L:L,MATCH($P1227,'G_Fall-back'!$P:$P,0))="","",INDEX('G_Fall-back'!L:L,MATCH($P1227,'G_Fall-back'!$P:$P,0))))</f>
        <v/>
      </c>
      <c r="M1227" s="923" t="str">
        <f>IF($M1199&lt;&gt;EUconst_Relevant,"",IF(INDEX('G_Fall-back'!M:M,MATCH($P1227,'G_Fall-back'!$P:$P,0))="","",INDEX('G_Fall-back'!M:M,MATCH($P1227,'G_Fall-back'!$P:$P,0))))</f>
        <v/>
      </c>
      <c r="N1227" s="823"/>
      <c r="O1227" s="25"/>
      <c r="P1227" s="367" t="str">
        <f>EUconst_CNTR_OtherEnergyEF &amp; I1199</f>
        <v>OtherEnergyEF_Siltuma līmeņatzīmes apakšiekārta, OEP | bez OIM)</v>
      </c>
      <c r="Q1227" s="437"/>
      <c r="R1227" s="437"/>
      <c r="S1227" s="437"/>
      <c r="T1227" s="437"/>
    </row>
    <row r="1228" spans="1:20" s="697" customFormat="1" ht="12.75" customHeight="1" x14ac:dyDescent="0.2">
      <c r="A1228" s="437"/>
      <c r="B1228" s="414"/>
      <c r="C1228" s="414"/>
      <c r="D1228" s="414"/>
      <c r="E1228" s="1651" t="str">
        <f>Translations!$B$1678</f>
        <v>Kopējā enerģijas ielaide (= i. + v. + vii.)</v>
      </c>
      <c r="F1228" s="1651"/>
      <c r="G1228" s="1651"/>
      <c r="H1228" s="465" t="str">
        <f>EUconst_TJpa</f>
        <v>TJ / gads</v>
      </c>
      <c r="I1228" s="925" t="str">
        <f>IF($M1199&lt;&gt;EUconst_Relevant,"",IF(INDEX('G_Fall-back'!I:I,MATCH($P1228,'G_Fall-back'!$P:$P,0))="","",INDEX('G_Fall-back'!I:I,MATCH($P1228,'G_Fall-back'!$P:$P,0))))</f>
        <v/>
      </c>
      <c r="J1228" s="925" t="str">
        <f>IF($M1199&lt;&gt;EUconst_Relevant,"",IF(INDEX('G_Fall-back'!J:J,MATCH($P1228,'G_Fall-back'!$P:$P,0))="","",INDEX('G_Fall-back'!J:J,MATCH($P1228,'G_Fall-back'!$P:$P,0))))</f>
        <v/>
      </c>
      <c r="K1228" s="925" t="str">
        <f>IF($M1199&lt;&gt;EUconst_Relevant,"",IF(INDEX('G_Fall-back'!K:K,MATCH($P1228,'G_Fall-back'!$P:$P,0))="","",INDEX('G_Fall-back'!K:K,MATCH($P1228,'G_Fall-back'!$P:$P,0))))</f>
        <v/>
      </c>
      <c r="L1228" s="925" t="str">
        <f>IF($M1199&lt;&gt;EUconst_Relevant,"",IF(INDEX('G_Fall-back'!L:L,MATCH($P1228,'G_Fall-back'!$P:$P,0))="","",INDEX('G_Fall-back'!L:L,MATCH($P1228,'G_Fall-back'!$P:$P,0))))</f>
        <v/>
      </c>
      <c r="M1228" s="925" t="str">
        <f>IF($M1199&lt;&gt;EUconst_Relevant,"",IF(INDEX('G_Fall-back'!M:M,MATCH($P1228,'G_Fall-back'!$P:$P,0))="","",INDEX('G_Fall-back'!M:M,MATCH($P1228,'G_Fall-back'!$P:$P,0))))</f>
        <v/>
      </c>
      <c r="N1228" s="823"/>
      <c r="O1228" s="25"/>
      <c r="P1228" s="453" t="str">
        <f>EUconst_CNTR_TotalEnergyInput &amp; I1199</f>
        <v>TotalEnergyInput_Siltuma līmeņatzīmes apakšiekārta, OEP | bez OIM)</v>
      </c>
      <c r="Q1228" s="437"/>
      <c r="R1228" s="437"/>
      <c r="S1228" s="437"/>
      <c r="T1228" s="437"/>
    </row>
    <row r="1229" spans="1:20" s="697" customFormat="1" ht="5.0999999999999996" customHeight="1" x14ac:dyDescent="0.2">
      <c r="A1229" s="437"/>
      <c r="B1229" s="414"/>
      <c r="C1229" s="414"/>
      <c r="D1229" s="414"/>
      <c r="E1229" s="526"/>
      <c r="F1229" s="823"/>
      <c r="G1229" s="823"/>
      <c r="H1229" s="823"/>
      <c r="I1229" s="924"/>
      <c r="J1229" s="924"/>
      <c r="K1229" s="924"/>
      <c r="L1229" s="924"/>
      <c r="M1229" s="924"/>
      <c r="N1229" s="823"/>
      <c r="O1229" s="25"/>
      <c r="P1229" s="437"/>
      <c r="Q1229" s="437"/>
      <c r="R1229" s="437"/>
      <c r="S1229" s="437"/>
      <c r="T1229" s="437"/>
    </row>
    <row r="1230" spans="1:20" s="697" customFormat="1" ht="12.75" customHeight="1" x14ac:dyDescent="0.2">
      <c r="A1230" s="437"/>
      <c r="B1230" s="414"/>
      <c r="C1230" s="414"/>
      <c r="D1230" s="414"/>
      <c r="E1230" s="1651" t="str">
        <f>Translations!$B$687</f>
        <v>Tiešās emisijas</v>
      </c>
      <c r="F1230" s="1651"/>
      <c r="G1230" s="1651"/>
      <c r="H1230" s="465" t="str">
        <f>EUconst_tCO2pa</f>
        <v>t CO2 / gads</v>
      </c>
      <c r="I1230" s="925" t="str">
        <f>IF($M1199&lt;&gt;EUconst_Relevant,"",IF(INDEX('G_Fall-back'!I:I,MATCH($P1230,'G_Fall-back'!$P:$P,0))="","",INDEX('G_Fall-back'!I:I,MATCH($P1230,'G_Fall-back'!$P:$P,0))))</f>
        <v/>
      </c>
      <c r="J1230" s="925" t="str">
        <f>IF($M1199&lt;&gt;EUconst_Relevant,"",IF(INDEX('G_Fall-back'!J:J,MATCH($P1230,'G_Fall-back'!$P:$P,0))="","",INDEX('G_Fall-back'!J:J,MATCH($P1230,'G_Fall-back'!$P:$P,0))))</f>
        <v/>
      </c>
      <c r="K1230" s="925" t="str">
        <f>IF($M1199&lt;&gt;EUconst_Relevant,"",IF(INDEX('G_Fall-back'!K:K,MATCH($P1230,'G_Fall-back'!$P:$P,0))="","",INDEX('G_Fall-back'!K:K,MATCH($P1230,'G_Fall-back'!$P:$P,0))))</f>
        <v/>
      </c>
      <c r="L1230" s="925" t="str">
        <f>IF($M1199&lt;&gt;EUconst_Relevant,"",IF(INDEX('G_Fall-back'!L:L,MATCH($P1230,'G_Fall-back'!$P:$P,0))="","",INDEX('G_Fall-back'!L:L,MATCH($P1230,'G_Fall-back'!$P:$P,0))))</f>
        <v/>
      </c>
      <c r="M1230" s="925" t="str">
        <f>IF($M1199&lt;&gt;EUconst_Relevant,"",IF(INDEX('G_Fall-back'!M:M,MATCH($P1230,'G_Fall-back'!$P:$P,0))="","",INDEX('G_Fall-back'!M:M,MATCH($P1230,'G_Fall-back'!$P:$P,0))))</f>
        <v/>
      </c>
      <c r="N1230" s="823"/>
      <c r="O1230" s="25"/>
      <c r="P1230" s="367" t="str">
        <f>EUconst_CNTR_Emissions &amp; I1199</f>
        <v>DirEmissions_Siltuma līmeņatzīmes apakšiekārta, OEP | bez OIM)</v>
      </c>
      <c r="Q1230" s="437"/>
      <c r="R1230" s="437"/>
      <c r="S1230" s="437"/>
      <c r="T1230" s="437"/>
    </row>
    <row r="1231" spans="1:20" s="697" customFormat="1" ht="5.0999999999999996" customHeight="1" x14ac:dyDescent="0.2">
      <c r="A1231" s="437"/>
      <c r="B1231" s="414"/>
      <c r="C1231" s="414"/>
      <c r="D1231" s="414"/>
      <c r="E1231" s="526"/>
      <c r="F1231" s="526"/>
      <c r="G1231" s="526"/>
      <c r="H1231" s="526"/>
      <c r="I1231" s="924"/>
      <c r="J1231" s="924"/>
      <c r="K1231" s="924"/>
      <c r="L1231" s="924"/>
      <c r="M1231" s="924"/>
      <c r="N1231" s="823"/>
      <c r="O1231" s="25"/>
      <c r="P1231" s="437"/>
      <c r="Q1231" s="437"/>
      <c r="R1231" s="437"/>
      <c r="S1231" s="437"/>
      <c r="T1231" s="437"/>
    </row>
    <row r="1232" spans="1:20" s="697" customFormat="1" ht="12.75" customHeight="1" x14ac:dyDescent="0.2">
      <c r="A1232" s="437"/>
      <c r="B1232" s="414"/>
      <c r="C1232" s="414"/>
      <c r="D1232" s="414"/>
      <c r="E1232" s="1667" t="str">
        <f>Translations!$B$1241</f>
        <v>Neto importētais siltums (citi)</v>
      </c>
      <c r="F1232" s="1667"/>
      <c r="G1232" s="1667"/>
      <c r="H1232" s="466" t="str">
        <f>EUconst_TJpa</f>
        <v>TJ / gads</v>
      </c>
      <c r="I1232" s="922" t="str">
        <f>IF($M1199&lt;&gt;EUconst_Relevant,"",IF(INDEX('G_Fall-back'!I:I,MATCH($P1232,'G_Fall-back'!$P:$P,0))="","",INDEX('G_Fall-back'!I:I,MATCH($P1232,'G_Fall-back'!$P:$P,0))))</f>
        <v/>
      </c>
      <c r="J1232" s="922" t="str">
        <f>IF($M1199&lt;&gt;EUconst_Relevant,"",IF(INDEX('G_Fall-back'!J:J,MATCH($P1232,'G_Fall-back'!$P:$P,0))="","",INDEX('G_Fall-back'!J:J,MATCH($P1232,'G_Fall-back'!$P:$P,0))))</f>
        <v/>
      </c>
      <c r="K1232" s="922" t="str">
        <f>IF($M1199&lt;&gt;EUconst_Relevant,"",IF(INDEX('G_Fall-back'!K:K,MATCH($P1232,'G_Fall-back'!$P:$P,0))="","",INDEX('G_Fall-back'!K:K,MATCH($P1232,'G_Fall-back'!$P:$P,0))))</f>
        <v/>
      </c>
      <c r="L1232" s="922" t="str">
        <f>IF($M1199&lt;&gt;EUconst_Relevant,"",IF(INDEX('G_Fall-back'!L:L,MATCH($P1232,'G_Fall-back'!$P:$P,0))="","",INDEX('G_Fall-back'!L:L,MATCH($P1232,'G_Fall-back'!$P:$P,0))))</f>
        <v/>
      </c>
      <c r="M1232" s="922" t="str">
        <f>IF($M1199&lt;&gt;EUconst_Relevant,"",IF(INDEX('G_Fall-back'!M:M,MATCH($P1232,'G_Fall-back'!$P:$P,0))="","",INDEX('G_Fall-back'!M:M,MATCH($P1232,'G_Fall-back'!$P:$P,0))))</f>
        <v/>
      </c>
      <c r="N1232" s="823"/>
      <c r="O1232" s="25"/>
      <c r="P1232" s="367" t="str">
        <f>EUconst_CNTR_HeatImport &amp; I1199</f>
        <v>HeatIm_Siltuma līmeņatzīmes apakšiekārta, OEP | bez OIM)</v>
      </c>
      <c r="Q1232" s="437"/>
      <c r="R1232" s="437"/>
      <c r="S1232" s="437"/>
      <c r="T1232" s="437"/>
    </row>
    <row r="1233" spans="1:20" s="697" customFormat="1" ht="12.75" customHeight="1" x14ac:dyDescent="0.2">
      <c r="A1233" s="437"/>
      <c r="B1233" s="414"/>
      <c r="C1233" s="414"/>
      <c r="D1233" s="414"/>
      <c r="E1233" s="1737" t="str">
        <f>Translations!$B$765</f>
        <v>Īpatnējais EF (importētais siltums)</v>
      </c>
      <c r="F1233" s="1737"/>
      <c r="G1233" s="1737"/>
      <c r="H1233" s="485" t="str">
        <f>EUconst_tCO2pTJ</f>
        <v>t CO2 / TJ</v>
      </c>
      <c r="I1233" s="923" t="str">
        <f>IF($M1199&lt;&gt;EUconst_Relevant,"",IF(INDEX('G_Fall-back'!I:I,MATCH($P1233,'G_Fall-back'!$P:$P,0))="","",INDEX('G_Fall-back'!I:I,MATCH($P1233,'G_Fall-back'!$P:$P,0))))</f>
        <v/>
      </c>
      <c r="J1233" s="923" t="str">
        <f>IF($M1199&lt;&gt;EUconst_Relevant,"",IF(INDEX('G_Fall-back'!J:J,MATCH($P1233,'G_Fall-back'!$P:$P,0))="","",INDEX('G_Fall-back'!J:J,MATCH($P1233,'G_Fall-back'!$P:$P,0))))</f>
        <v/>
      </c>
      <c r="K1233" s="923" t="str">
        <f>IF($M1199&lt;&gt;EUconst_Relevant,"",IF(INDEX('G_Fall-back'!K:K,MATCH($P1233,'G_Fall-back'!$P:$P,0))="","",INDEX('G_Fall-back'!K:K,MATCH($P1233,'G_Fall-back'!$P:$P,0))))</f>
        <v/>
      </c>
      <c r="L1233" s="923" t="str">
        <f>IF($M1199&lt;&gt;EUconst_Relevant,"",IF(INDEX('G_Fall-back'!L:L,MATCH($P1233,'G_Fall-back'!$P:$P,0))="","",INDEX('G_Fall-back'!L:L,MATCH($P1233,'G_Fall-back'!$P:$P,0))))</f>
        <v/>
      </c>
      <c r="M1233" s="923" t="str">
        <f>IF($M1199&lt;&gt;EUconst_Relevant,"",IF(INDEX('G_Fall-back'!M:M,MATCH($P1233,'G_Fall-back'!$P:$P,0))="","",INDEX('G_Fall-back'!M:M,MATCH($P1233,'G_Fall-back'!$P:$P,0))))</f>
        <v/>
      </c>
      <c r="N1233" s="823"/>
      <c r="O1233" s="25"/>
      <c r="P1233" s="367" t="str">
        <f>EUconst_CNTR_HeatImportEF &amp; I1199</f>
        <v>HeatImEF_Siltuma līmeņatzīmes apakšiekārta, OEP | bez OIM)</v>
      </c>
      <c r="Q1233" s="437"/>
      <c r="R1233" s="437"/>
      <c r="S1233" s="437"/>
      <c r="T1233" s="437"/>
    </row>
    <row r="1234" spans="1:20" s="697" customFormat="1" ht="12.75" customHeight="1" x14ac:dyDescent="0.2">
      <c r="A1234" s="437"/>
      <c r="B1234" s="414"/>
      <c r="C1234" s="414"/>
      <c r="D1234" s="414"/>
      <c r="E1234" s="1667" t="str">
        <f>Translations!$B$1242</f>
        <v>Neto importētais siltums (produkta LA)</v>
      </c>
      <c r="F1234" s="1667"/>
      <c r="G1234" s="1667"/>
      <c r="H1234" s="466" t="str">
        <f>EUconst_TJpa</f>
        <v>TJ / gads</v>
      </c>
      <c r="I1234" s="922" t="str">
        <f>IF($M1199&lt;&gt;EUconst_Relevant,"",IF(INDEX('G_Fall-back'!I:I,MATCH($P1234,'G_Fall-back'!$P:$P,0))="","",INDEX('G_Fall-back'!I:I,MATCH($P1234,'G_Fall-back'!$P:$P,0))))</f>
        <v/>
      </c>
      <c r="J1234" s="922" t="str">
        <f>IF($M1199&lt;&gt;EUconst_Relevant,"",IF(INDEX('G_Fall-back'!J:J,MATCH($P1234,'G_Fall-back'!$P:$P,0))="","",INDEX('G_Fall-back'!J:J,MATCH($P1234,'G_Fall-back'!$P:$P,0))))</f>
        <v/>
      </c>
      <c r="K1234" s="922" t="str">
        <f>IF($M1199&lt;&gt;EUconst_Relevant,"",IF(INDEX('G_Fall-back'!K:K,MATCH($P1234,'G_Fall-back'!$P:$P,0))="","",INDEX('G_Fall-back'!K:K,MATCH($P1234,'G_Fall-back'!$P:$P,0))))</f>
        <v/>
      </c>
      <c r="L1234" s="922" t="str">
        <f>IF($M1199&lt;&gt;EUconst_Relevant,"",IF(INDEX('G_Fall-back'!L:L,MATCH($P1234,'G_Fall-back'!$P:$P,0))="","",INDEX('G_Fall-back'!L:L,MATCH($P1234,'G_Fall-back'!$P:$P,0))))</f>
        <v/>
      </c>
      <c r="M1234" s="922" t="str">
        <f>IF($M1199&lt;&gt;EUconst_Relevant,"",IF(INDEX('G_Fall-back'!M:M,MATCH($P1234,'G_Fall-back'!$P:$P,0))="","",INDEX('G_Fall-back'!M:M,MATCH($P1234,'G_Fall-back'!$P:$P,0))))</f>
        <v/>
      </c>
      <c r="N1234" s="823"/>
      <c r="O1234" s="25"/>
      <c r="P1234" s="367" t="str">
        <f>EUconst_CNTR_HeatImportProduct &amp; I1199</f>
        <v>HeatImProd_Siltuma līmeņatzīmes apakšiekārta, OEP | bez OIM)</v>
      </c>
      <c r="Q1234" s="437"/>
      <c r="R1234" s="437"/>
      <c r="S1234" s="437"/>
      <c r="T1234" s="437"/>
    </row>
    <row r="1235" spans="1:20" s="697" customFormat="1" ht="12.75" customHeight="1" x14ac:dyDescent="0.2">
      <c r="A1235" s="437"/>
      <c r="B1235" s="414"/>
      <c r="C1235" s="414"/>
      <c r="D1235" s="414"/>
      <c r="E1235" s="1737" t="str">
        <f>Translations!$B$868</f>
        <v>Īpatnējais EF (siltums no produkta LA)</v>
      </c>
      <c r="F1235" s="1737"/>
      <c r="G1235" s="1737"/>
      <c r="H1235" s="485" t="str">
        <f>EUconst_tCO2pTJ</f>
        <v>t CO2 / TJ</v>
      </c>
      <c r="I1235" s="923" t="str">
        <f>IF($M1199&lt;&gt;EUconst_Relevant,"",IF(INDEX('G_Fall-back'!I:I,MATCH($P1235,'G_Fall-back'!$P:$P,0))="","",INDEX('G_Fall-back'!I:I,MATCH($P1235,'G_Fall-back'!$P:$P,0))))</f>
        <v/>
      </c>
      <c r="J1235" s="923" t="str">
        <f>IF($M1199&lt;&gt;EUconst_Relevant,"",IF(INDEX('G_Fall-back'!J:J,MATCH($P1235,'G_Fall-back'!$P:$P,0))="","",INDEX('G_Fall-back'!J:J,MATCH($P1235,'G_Fall-back'!$P:$P,0))))</f>
        <v/>
      </c>
      <c r="K1235" s="923" t="str">
        <f>IF($M1199&lt;&gt;EUconst_Relevant,"",IF(INDEX('G_Fall-back'!K:K,MATCH($P1235,'G_Fall-back'!$P:$P,0))="","",INDEX('G_Fall-back'!K:K,MATCH($P1235,'G_Fall-back'!$P:$P,0))))</f>
        <v/>
      </c>
      <c r="L1235" s="923" t="str">
        <f>IF($M1199&lt;&gt;EUconst_Relevant,"",IF(INDEX('G_Fall-back'!L:L,MATCH($P1235,'G_Fall-back'!$P:$P,0))="","",INDEX('G_Fall-back'!L:L,MATCH($P1235,'G_Fall-back'!$P:$P,0))))</f>
        <v/>
      </c>
      <c r="M1235" s="923" t="str">
        <f>IF($M1199&lt;&gt;EUconst_Relevant,"",IF(INDEX('G_Fall-back'!M:M,MATCH($P1235,'G_Fall-back'!$P:$P,0))="","",INDEX('G_Fall-back'!M:M,MATCH($P1235,'G_Fall-back'!$P:$P,0))))</f>
        <v/>
      </c>
      <c r="N1235" s="823"/>
      <c r="O1235" s="25"/>
      <c r="P1235" s="367" t="str">
        <f>EUconst_CNTR_HeatImportProductEF &amp; I1199</f>
        <v>HeatImProdEF_Siltuma līmeņatzīmes apakšiekārta, OEP | bez OIM)</v>
      </c>
      <c r="Q1235" s="437"/>
      <c r="R1235" s="437"/>
      <c r="S1235" s="437"/>
      <c r="T1235" s="437"/>
    </row>
    <row r="1236" spans="1:20" s="697" customFormat="1" ht="12.75" customHeight="1" x14ac:dyDescent="0.2">
      <c r="A1236" s="437"/>
      <c r="B1236" s="414"/>
      <c r="C1236" s="414"/>
      <c r="D1236" s="414"/>
      <c r="E1236" s="1667" t="str">
        <f>Translations!$B$1243</f>
        <v>Neto importētais siltums (pulpa)</v>
      </c>
      <c r="F1236" s="1667"/>
      <c r="G1236" s="1667"/>
      <c r="H1236" s="466" t="str">
        <f>EUconst_TJpa</f>
        <v>TJ / gads</v>
      </c>
      <c r="I1236" s="922" t="str">
        <f>IF($M1199&lt;&gt;EUconst_Relevant,"",IF(INDEX('G_Fall-back'!I:I,MATCH($P1236,'G_Fall-back'!$P:$P,0))="","",INDEX('G_Fall-back'!I:I,MATCH($P1236,'G_Fall-back'!$P:$P,0))))</f>
        <v/>
      </c>
      <c r="J1236" s="922" t="str">
        <f>IF($M1199&lt;&gt;EUconst_Relevant,"",IF(INDEX('G_Fall-back'!J:J,MATCH($P1236,'G_Fall-back'!$P:$P,0))="","",INDEX('G_Fall-back'!J:J,MATCH($P1236,'G_Fall-back'!$P:$P,0))))</f>
        <v/>
      </c>
      <c r="K1236" s="922" t="str">
        <f>IF($M1199&lt;&gt;EUconst_Relevant,"",IF(INDEX('G_Fall-back'!K:K,MATCH($P1236,'G_Fall-back'!$P:$P,0))="","",INDEX('G_Fall-back'!K:K,MATCH($P1236,'G_Fall-back'!$P:$P,0))))</f>
        <v/>
      </c>
      <c r="L1236" s="922" t="str">
        <f>IF($M1199&lt;&gt;EUconst_Relevant,"",IF(INDEX('G_Fall-back'!L:L,MATCH($P1236,'G_Fall-back'!$P:$P,0))="","",INDEX('G_Fall-back'!L:L,MATCH($P1236,'G_Fall-back'!$P:$P,0))))</f>
        <v/>
      </c>
      <c r="M1236" s="922" t="str">
        <f>IF($M1199&lt;&gt;EUconst_Relevant,"",IF(INDEX('G_Fall-back'!M:M,MATCH($P1236,'G_Fall-back'!$P:$P,0))="","",INDEX('G_Fall-back'!M:M,MATCH($P1236,'G_Fall-back'!$P:$P,0))))</f>
        <v/>
      </c>
      <c r="N1236" s="823"/>
      <c r="O1236" s="25"/>
      <c r="P1236" s="367" t="str">
        <f>EUconst_CNTR_HeatImportPulp &amp; I1199</f>
        <v>HeatImPulp_Siltuma līmeņatzīmes apakšiekārta, OEP | bez OIM)</v>
      </c>
      <c r="Q1236" s="437"/>
      <c r="R1236" s="437"/>
      <c r="S1236" s="437"/>
      <c r="T1236" s="437"/>
    </row>
    <row r="1237" spans="1:20" s="697" customFormat="1" ht="12.75" customHeight="1" x14ac:dyDescent="0.2">
      <c r="A1237" s="437"/>
      <c r="B1237" s="414"/>
      <c r="C1237" s="414"/>
      <c r="D1237" s="414"/>
      <c r="E1237" s="1737" t="str">
        <f>Translations!$B$870</f>
        <v>Īpatnējais EF (siltums no pulpas)</v>
      </c>
      <c r="F1237" s="1737"/>
      <c r="G1237" s="1737"/>
      <c r="H1237" s="485" t="str">
        <f>EUconst_tCO2pTJ</f>
        <v>t CO2 / TJ</v>
      </c>
      <c r="I1237" s="923" t="str">
        <f>IF($M1199&lt;&gt;EUconst_Relevant,"",IF(INDEX('G_Fall-back'!I:I,MATCH($P1237,'G_Fall-back'!$P:$P,0))="","",INDEX('G_Fall-back'!I:I,MATCH($P1237,'G_Fall-back'!$P:$P,0))))</f>
        <v/>
      </c>
      <c r="J1237" s="923" t="str">
        <f>IF($M1199&lt;&gt;EUconst_Relevant,"",IF(INDEX('G_Fall-back'!J:J,MATCH($P1237,'G_Fall-back'!$P:$P,0))="","",INDEX('G_Fall-back'!J:J,MATCH($P1237,'G_Fall-back'!$P:$P,0))))</f>
        <v/>
      </c>
      <c r="K1237" s="923" t="str">
        <f>IF($M1199&lt;&gt;EUconst_Relevant,"",IF(INDEX('G_Fall-back'!K:K,MATCH($P1237,'G_Fall-back'!$P:$P,0))="","",INDEX('G_Fall-back'!K:K,MATCH($P1237,'G_Fall-back'!$P:$P,0))))</f>
        <v/>
      </c>
      <c r="L1237" s="923" t="str">
        <f>IF($M1199&lt;&gt;EUconst_Relevant,"",IF(INDEX('G_Fall-back'!L:L,MATCH($P1237,'G_Fall-back'!$P:$P,0))="","",INDEX('G_Fall-back'!L:L,MATCH($P1237,'G_Fall-back'!$P:$P,0))))</f>
        <v/>
      </c>
      <c r="M1237" s="923" t="str">
        <f>IF($M1199&lt;&gt;EUconst_Relevant,"",IF(INDEX('G_Fall-back'!M:M,MATCH($P1237,'G_Fall-back'!$P:$P,0))="","",INDEX('G_Fall-back'!M:M,MATCH($P1237,'G_Fall-back'!$P:$P,0))))</f>
        <v/>
      </c>
      <c r="N1237" s="823"/>
      <c r="O1237" s="25"/>
      <c r="P1237" s="367" t="str">
        <f>EUconst_CNTR_HeatImportPulpEF &amp; I1199</f>
        <v>HeatImPulpEF_Siltuma līmeņatzīmes apakšiekārta, OEP | bez OIM)</v>
      </c>
      <c r="Q1237" s="437"/>
      <c r="R1237" s="437"/>
      <c r="S1237" s="437"/>
      <c r="T1237" s="437"/>
    </row>
    <row r="1238" spans="1:20" s="697" customFormat="1" ht="12.75" customHeight="1" x14ac:dyDescent="0.2">
      <c r="A1238" s="437"/>
      <c r="B1238" s="414"/>
      <c r="C1238" s="414"/>
      <c r="D1238" s="414"/>
      <c r="E1238" s="1667" t="str">
        <f>Translations!$B$1244</f>
        <v>Neto importētais siltums (kurināmā LA)</v>
      </c>
      <c r="F1238" s="1667"/>
      <c r="G1238" s="1667"/>
      <c r="H1238" s="466" t="str">
        <f>EUconst_TJpa</f>
        <v>TJ / gads</v>
      </c>
      <c r="I1238" s="922" t="str">
        <f>IF($M1199&lt;&gt;EUconst_Relevant,"",IF(INDEX('G_Fall-back'!I:I,MATCH($P1238,'G_Fall-back'!$P:$P,0))="","",INDEX('G_Fall-back'!I:I,MATCH($P1238,'G_Fall-back'!$P:$P,0))))</f>
        <v/>
      </c>
      <c r="J1238" s="922" t="str">
        <f>IF($M1199&lt;&gt;EUconst_Relevant,"",IF(INDEX('G_Fall-back'!J:J,MATCH($P1238,'G_Fall-back'!$P:$P,0))="","",INDEX('G_Fall-back'!J:J,MATCH($P1238,'G_Fall-back'!$P:$P,0))))</f>
        <v/>
      </c>
      <c r="K1238" s="922" t="str">
        <f>IF($M1199&lt;&gt;EUconst_Relevant,"",IF(INDEX('G_Fall-back'!K:K,MATCH($P1238,'G_Fall-back'!$P:$P,0))="","",INDEX('G_Fall-back'!K:K,MATCH($P1238,'G_Fall-back'!$P:$P,0))))</f>
        <v/>
      </c>
      <c r="L1238" s="922" t="str">
        <f>IF($M1199&lt;&gt;EUconst_Relevant,"",IF(INDEX('G_Fall-back'!L:L,MATCH($P1238,'G_Fall-back'!$P:$P,0))="","",INDEX('G_Fall-back'!L:L,MATCH($P1238,'G_Fall-back'!$P:$P,0))))</f>
        <v/>
      </c>
      <c r="M1238" s="922" t="str">
        <f>IF($M1199&lt;&gt;EUconst_Relevant,"",IF(INDEX('G_Fall-back'!M:M,MATCH($P1238,'G_Fall-back'!$P:$P,0))="","",INDEX('G_Fall-back'!M:M,MATCH($P1238,'G_Fall-back'!$P:$P,0))))</f>
        <v/>
      </c>
      <c r="N1238" s="823"/>
      <c r="O1238" s="25"/>
      <c r="P1238" s="367" t="str">
        <f>EUconst_CNTR_HeatImportFuel &amp; I1199</f>
        <v>HeatImFuel_Siltuma līmeņatzīmes apakšiekārta, OEP | bez OIM)</v>
      </c>
      <c r="Q1238" s="437"/>
      <c r="R1238" s="437"/>
      <c r="S1238" s="437"/>
      <c r="T1238" s="437"/>
    </row>
    <row r="1239" spans="1:20" s="697" customFormat="1" ht="12.75" customHeight="1" x14ac:dyDescent="0.2">
      <c r="A1239" s="437"/>
      <c r="B1239" s="414"/>
      <c r="C1239" s="414"/>
      <c r="D1239" s="414"/>
      <c r="E1239" s="1737" t="str">
        <f>Translations!$B$872</f>
        <v>Īpatnējais EF (no kurināmā LA)</v>
      </c>
      <c r="F1239" s="1737"/>
      <c r="G1239" s="1737"/>
      <c r="H1239" s="824" t="str">
        <f>EUconst_tCO2pTJ</f>
        <v>t CO2 / TJ</v>
      </c>
      <c r="I1239" s="923" t="str">
        <f>IF($M1199&lt;&gt;EUconst_Relevant,"",IF(INDEX('G_Fall-back'!I:I,MATCH($P1239,'G_Fall-back'!$P:$P,0))="","",INDEX('G_Fall-back'!I:I,MATCH($P1239,'G_Fall-back'!$P:$P,0))))</f>
        <v/>
      </c>
      <c r="J1239" s="923" t="str">
        <f>IF($M1199&lt;&gt;EUconst_Relevant,"",IF(INDEX('G_Fall-back'!J:J,MATCH($P1239,'G_Fall-back'!$P:$P,0))="","",INDEX('G_Fall-back'!J:J,MATCH($P1239,'G_Fall-back'!$P:$P,0))))</f>
        <v/>
      </c>
      <c r="K1239" s="923" t="str">
        <f>IF($M1199&lt;&gt;EUconst_Relevant,"",IF(INDEX('G_Fall-back'!K:K,MATCH($P1239,'G_Fall-back'!$P:$P,0))="","",INDEX('G_Fall-back'!K:K,MATCH($P1239,'G_Fall-back'!$P:$P,0))))</f>
        <v/>
      </c>
      <c r="L1239" s="923" t="str">
        <f>IF($M1199&lt;&gt;EUconst_Relevant,"",IF(INDEX('G_Fall-back'!L:L,MATCH($P1239,'G_Fall-back'!$P:$P,0))="","",INDEX('G_Fall-back'!L:L,MATCH($P1239,'G_Fall-back'!$P:$P,0))))</f>
        <v/>
      </c>
      <c r="M1239" s="923" t="str">
        <f>IF($M1199&lt;&gt;EUconst_Relevant,"",IF(INDEX('G_Fall-back'!M:M,MATCH($P1239,'G_Fall-back'!$P:$P,0))="","",INDEX('G_Fall-back'!M:M,MATCH($P1239,'G_Fall-back'!$P:$P,0))))</f>
        <v/>
      </c>
      <c r="N1239" s="823"/>
      <c r="O1239" s="25"/>
      <c r="P1239" s="367" t="str">
        <f>EUconst_CNTR_HeatImportFuelEF &amp; I1199</f>
        <v>HeatImFuelEF_Siltuma līmeņatzīmes apakšiekārta, OEP | bez OIM)</v>
      </c>
      <c r="Q1239" s="437"/>
      <c r="R1239" s="437"/>
      <c r="S1239" s="437"/>
      <c r="T1239" s="437"/>
    </row>
    <row r="1240" spans="1:20" s="697" customFormat="1" ht="12.75" customHeight="1" x14ac:dyDescent="0.2">
      <c r="A1240" s="437"/>
      <c r="B1240" s="414"/>
      <c r="C1240" s="414"/>
      <c r="D1240" s="414"/>
      <c r="E1240" s="1667" t="str">
        <f>Translations!$B$1245</f>
        <v>Neto importētais siltums (atlikumgāze)</v>
      </c>
      <c r="F1240" s="1667"/>
      <c r="G1240" s="1667"/>
      <c r="H1240" s="466" t="str">
        <f>EUconst_TJpa</f>
        <v>TJ / gads</v>
      </c>
      <c r="I1240" s="922" t="str">
        <f>IF($M1199&lt;&gt;EUconst_Relevant,"",IF(INDEX('G_Fall-back'!I:I,MATCH($P1240,'G_Fall-back'!$P:$P,0))="","",INDEX('G_Fall-back'!I:I,MATCH($P1240,'G_Fall-back'!$P:$P,0))))</f>
        <v/>
      </c>
      <c r="J1240" s="922" t="str">
        <f>IF($M1199&lt;&gt;EUconst_Relevant,"",IF(INDEX('G_Fall-back'!J:J,MATCH($P1240,'G_Fall-back'!$P:$P,0))="","",INDEX('G_Fall-back'!J:J,MATCH($P1240,'G_Fall-back'!$P:$P,0))))</f>
        <v/>
      </c>
      <c r="K1240" s="922" t="str">
        <f>IF($M1199&lt;&gt;EUconst_Relevant,"",IF(INDEX('G_Fall-back'!K:K,MATCH($P1240,'G_Fall-back'!$P:$P,0))="","",INDEX('G_Fall-back'!K:K,MATCH($P1240,'G_Fall-back'!$P:$P,0))))</f>
        <v/>
      </c>
      <c r="L1240" s="922" t="str">
        <f>IF($M1199&lt;&gt;EUconst_Relevant,"",IF(INDEX('G_Fall-back'!L:L,MATCH($P1240,'G_Fall-back'!$P:$P,0))="","",INDEX('G_Fall-back'!L:L,MATCH($P1240,'G_Fall-back'!$P:$P,0))))</f>
        <v/>
      </c>
      <c r="M1240" s="922" t="str">
        <f>IF($M1199&lt;&gt;EUconst_Relevant,"",IF(INDEX('G_Fall-back'!M:M,MATCH($P1240,'G_Fall-back'!$P:$P,0))="","",INDEX('G_Fall-back'!M:M,MATCH($P1240,'G_Fall-back'!$P:$P,0))))</f>
        <v/>
      </c>
      <c r="N1240" s="823"/>
      <c r="O1240" s="25"/>
      <c r="P1240" s="367" t="str">
        <f>EUconst_CNTR_WGImport &amp; I1199</f>
        <v>WasteGasIm_Siltuma līmeņatzīmes apakšiekārta, OEP | bez OIM)</v>
      </c>
      <c r="Q1240" s="437"/>
      <c r="R1240" s="437"/>
      <c r="S1240" s="437"/>
      <c r="T1240" s="437"/>
    </row>
    <row r="1241" spans="1:20" s="697" customFormat="1" ht="12.75" customHeight="1" x14ac:dyDescent="0.2">
      <c r="A1241" s="437"/>
      <c r="B1241" s="414"/>
      <c r="C1241" s="414"/>
      <c r="D1241" s="414"/>
      <c r="E1241" s="1737" t="str">
        <f>Translations!$B$874</f>
        <v>Īpatnējais EF (no atlikumgāzēm)</v>
      </c>
      <c r="F1241" s="1737"/>
      <c r="G1241" s="1737"/>
      <c r="H1241" s="824" t="str">
        <f>EUconst_tCO2pTJ</f>
        <v>t CO2 / TJ</v>
      </c>
      <c r="I1241" s="923" t="str">
        <f>IF($M1199&lt;&gt;EUconst_Relevant,"",IF(INDEX('G_Fall-back'!I:I,MATCH($P1241,'G_Fall-back'!$P:$P,0))="","",INDEX('G_Fall-back'!I:I,MATCH($P1241,'G_Fall-back'!$P:$P,0))))</f>
        <v/>
      </c>
      <c r="J1241" s="923" t="str">
        <f>IF($M1199&lt;&gt;EUconst_Relevant,"",IF(INDEX('G_Fall-back'!J:J,MATCH($P1241,'G_Fall-back'!$P:$P,0))="","",INDEX('G_Fall-back'!J:J,MATCH($P1241,'G_Fall-back'!$P:$P,0))))</f>
        <v/>
      </c>
      <c r="K1241" s="923" t="str">
        <f>IF($M1199&lt;&gt;EUconst_Relevant,"",IF(INDEX('G_Fall-back'!K:K,MATCH($P1241,'G_Fall-back'!$P:$P,0))="","",INDEX('G_Fall-back'!K:K,MATCH($P1241,'G_Fall-back'!$P:$P,0))))</f>
        <v/>
      </c>
      <c r="L1241" s="923" t="str">
        <f>IF($M1199&lt;&gt;EUconst_Relevant,"",IF(INDEX('G_Fall-back'!L:L,MATCH($P1241,'G_Fall-back'!$P:$P,0))="","",INDEX('G_Fall-back'!L:L,MATCH($P1241,'G_Fall-back'!$P:$P,0))))</f>
        <v/>
      </c>
      <c r="M1241" s="923" t="str">
        <f>IF($M1199&lt;&gt;EUconst_Relevant,"",IF(INDEX('G_Fall-back'!M:M,MATCH($P1241,'G_Fall-back'!$P:$P,0))="","",INDEX('G_Fall-back'!M:M,MATCH($P1241,'G_Fall-back'!$P:$P,0))))</f>
        <v/>
      </c>
      <c r="N1241" s="823"/>
      <c r="O1241" s="25"/>
      <c r="P1241" s="367" t="str">
        <f>EUconst_CNTR_WGImportEF &amp; I1199</f>
        <v>WasteGasImEF_Siltuma līmeņatzīmes apakšiekārta, OEP | bez OIM)</v>
      </c>
      <c r="Q1241" s="437"/>
      <c r="R1241" s="437"/>
      <c r="S1241" s="437"/>
      <c r="T1241" s="437"/>
    </row>
    <row r="1242" spans="1:20" s="697" customFormat="1" ht="12.75" customHeight="1" x14ac:dyDescent="0.2">
      <c r="A1242" s="437"/>
      <c r="B1242" s="414"/>
      <c r="C1242" s="414"/>
      <c r="D1242" s="414"/>
      <c r="E1242" s="823"/>
      <c r="F1242" s="823"/>
      <c r="G1242" s="823"/>
      <c r="H1242" s="823"/>
      <c r="I1242" s="823"/>
      <c r="J1242" s="823"/>
      <c r="K1242" s="823"/>
      <c r="L1242" s="823"/>
      <c r="M1242" s="823"/>
      <c r="N1242" s="823"/>
      <c r="O1242" s="25"/>
      <c r="P1242" s="437"/>
      <c r="Q1242" s="437"/>
      <c r="R1242" s="437"/>
      <c r="S1242" s="437"/>
      <c r="T1242" s="437"/>
    </row>
    <row r="1243" spans="1:20" s="697" customFormat="1" ht="13.5" thickBot="1" x14ac:dyDescent="0.25">
      <c r="A1243" s="437"/>
      <c r="B1243" s="414"/>
      <c r="C1243" s="414"/>
      <c r="D1243" s="414"/>
      <c r="E1243" s="414"/>
      <c r="F1243" s="414"/>
      <c r="G1243" s="414"/>
      <c r="M1243" s="414"/>
      <c r="N1243" s="414"/>
      <c r="O1243" s="25"/>
      <c r="P1243" s="437"/>
      <c r="Q1243" s="437"/>
      <c r="R1243" s="437"/>
      <c r="S1243" s="437"/>
      <c r="T1243" s="437"/>
    </row>
    <row r="1244" spans="1:20" s="697" customFormat="1" ht="12.75" customHeight="1" thickBot="1" x14ac:dyDescent="0.25">
      <c r="A1244" s="437"/>
      <c r="B1244" s="21"/>
      <c r="C1244" s="294"/>
      <c r="D1244" s="294"/>
      <c r="E1244" s="294"/>
      <c r="F1244" s="294"/>
      <c r="G1244" s="294"/>
      <c r="H1244" s="294"/>
      <c r="I1244" s="294"/>
      <c r="J1244" s="294"/>
      <c r="K1244" s="294"/>
      <c r="L1244" s="294"/>
      <c r="M1244" s="294"/>
      <c r="N1244" s="294"/>
      <c r="O1244" s="25"/>
      <c r="P1244" s="437"/>
      <c r="Q1244" s="437"/>
      <c r="R1244" s="437"/>
      <c r="S1244" s="437"/>
      <c r="T1244" s="26" t="s">
        <v>560</v>
      </c>
    </row>
    <row r="1245" spans="1:20" s="697" customFormat="1" ht="15" customHeight="1" thickBot="1" x14ac:dyDescent="0.3">
      <c r="A1245" s="437"/>
      <c r="B1245" s="414"/>
      <c r="C1245" s="36">
        <f>C1199+1</f>
        <v>12</v>
      </c>
      <c r="D1245" s="1318" t="str">
        <f>CONCATENATE(EUconst_FBSubinst," ",C1245-10, ":")</f>
        <v>Alternatīva apakšiekārta 2:</v>
      </c>
      <c r="E1245" s="1251"/>
      <c r="F1245" s="1251"/>
      <c r="G1245" s="1251"/>
      <c r="H1245" s="1328"/>
      <c r="I1245" s="1877" t="str">
        <f>INDEX(EUconst_FallBackListNames,$C1245-10)</f>
        <v>Siltuma līmeņatzīmes apakšiekārta (bez OEP | bez OIM)</v>
      </c>
      <c r="J1245" s="1878"/>
      <c r="K1245" s="1878"/>
      <c r="L1245" s="1879"/>
      <c r="M1245" s="1783" t="str">
        <f>IF(ISBLANK(INDEX(CNTR_FallBackSubInstRelevant,C1245-10)),"",IF(INDEX(CNTR_FallBackSubInstRelevant,C1245-10),EUconst_Relevant,EUconst_NotRelevant))</f>
        <v/>
      </c>
      <c r="N1245" s="1784"/>
      <c r="O1245" s="25"/>
      <c r="P1245" s="437"/>
      <c r="Q1245" s="904">
        <f>C1245</f>
        <v>12</v>
      </c>
      <c r="R1245" s="901" t="str">
        <f>I1245</f>
        <v>Siltuma līmeņatzīmes apakšiekārta (bez OEP | bez OIM)</v>
      </c>
      <c r="S1245" s="903" t="b">
        <f>H1248</f>
        <v>0</v>
      </c>
      <c r="T1245" s="902" t="str">
        <f>IF(M1257="","",IF(S1248=0,0,SUM(M1257)/S1248))</f>
        <v/>
      </c>
    </row>
    <row r="1246" spans="1:20" s="697" customFormat="1" ht="5.0999999999999996" customHeight="1" thickBot="1" x14ac:dyDescent="0.25">
      <c r="A1246" s="437"/>
      <c r="B1246" s="414"/>
      <c r="C1246" s="414"/>
      <c r="D1246" s="414"/>
      <c r="E1246" s="414"/>
      <c r="F1246" s="414"/>
      <c r="G1246" s="414"/>
      <c r="H1246" s="414"/>
      <c r="I1246" s="414"/>
      <c r="J1246" s="414"/>
      <c r="K1246" s="414"/>
      <c r="L1246" s="414"/>
      <c r="M1246" s="414"/>
      <c r="N1246" s="414"/>
      <c r="O1246" s="25"/>
      <c r="P1246" s="437"/>
      <c r="Q1246" s="437"/>
      <c r="R1246" s="437"/>
      <c r="S1246" s="437"/>
      <c r="T1246" s="26"/>
    </row>
    <row r="1247" spans="1:20" s="697" customFormat="1" ht="13.5" thickBot="1" x14ac:dyDescent="0.25">
      <c r="A1247" s="437"/>
      <c r="B1247" s="414"/>
      <c r="C1247" s="414"/>
      <c r="D1247" s="414"/>
      <c r="E1247" s="414"/>
      <c r="F1247" s="414"/>
      <c r="G1247" s="414"/>
      <c r="H1247" s="647" t="str">
        <f>Translations!$B$1204</f>
        <v>Pakļauta OEP</v>
      </c>
      <c r="I1247" s="647" t="str">
        <f>Translations!$B$1208</f>
        <v>Ekspl. sākta</v>
      </c>
      <c r="J1247" s="647" t="str">
        <f>Translations!$B$1212</f>
        <v>15(7)3?</v>
      </c>
      <c r="L1247" s="1172" t="str">
        <f>Translations!$B$1206</f>
        <v>LA Nr.</v>
      </c>
      <c r="M1247" s="989" t="str">
        <f>Translations!$B$1234</f>
        <v>LA vērtība (min./maks./fakt.)</v>
      </c>
      <c r="N1247" s="990"/>
      <c r="O1247" s="25"/>
      <c r="P1247" s="437"/>
      <c r="Q1247" s="437"/>
      <c r="R1247" s="646" t="s">
        <v>641</v>
      </c>
      <c r="S1247" s="903" t="b">
        <f>H1250</f>
        <v>0</v>
      </c>
      <c r="T1247" s="26"/>
    </row>
    <row r="1248" spans="1:20" s="697" customFormat="1" x14ac:dyDescent="0.2">
      <c r="A1248" s="437"/>
      <c r="B1248" s="414"/>
      <c r="C1248" s="414"/>
      <c r="D1248" s="414"/>
      <c r="E1248" s="649" t="str">
        <f>I1245</f>
        <v>Siltuma līmeņatzīmes apakšiekārta (bez OEP | bez OIM)</v>
      </c>
      <c r="F1248" s="650"/>
      <c r="G1248" s="594"/>
      <c r="H1248" s="651" t="b">
        <f>INDEX(EUconst_FallBackListCLstatus,MATCH(I1245,EUconst_FallBackListNames,0))</f>
        <v>0</v>
      </c>
      <c r="I1248" s="1171" t="str">
        <f>IF(M1245&lt;&gt;EUconst_Relevant,"",INDEX(CNTR_SubInstStartDate,MATCH(E1248,CNTR_SubInstListNames,0)))</f>
        <v/>
      </c>
      <c r="J1248" s="651" t="str">
        <f>IF(M1245&lt;&gt;EUconst_Relevant,"",INDEX(CNTR_SubInstLess1Year,MATCH(E1248,CNTR_SubInstListNames,0)))</f>
        <v/>
      </c>
      <c r="L1248" s="1173">
        <f>C1245-10</f>
        <v>2</v>
      </c>
      <c r="M1248" s="995" t="str">
        <f>IF(M1245&lt;&gt;EUconst_Relevant,"",INDEX(EUconst_FallBackListBMvaluesMatrix,L1248,2))</f>
        <v/>
      </c>
      <c r="N1248" s="992" t="str">
        <f>EUconst_EUA &amp; "/" &amp; H1253</f>
        <v>ESK/TJ</v>
      </c>
      <c r="O1248" s="25"/>
      <c r="P1248" s="437"/>
      <c r="Q1248" s="437"/>
      <c r="R1248" s="732" t="s">
        <v>554</v>
      </c>
      <c r="S1248" s="815">
        <f>IF(H1248,1,INDEX(EUconst_CLEFYears,1))</f>
        <v>0.3</v>
      </c>
      <c r="T1248" s="437"/>
    </row>
    <row r="1249" spans="1:20" s="697" customFormat="1" x14ac:dyDescent="0.2">
      <c r="A1249" s="437"/>
      <c r="B1249" s="414"/>
      <c r="C1249" s="414"/>
      <c r="H1249" s="647" t="s">
        <v>623</v>
      </c>
      <c r="M1249" s="995" t="str">
        <f>IF(M1245&lt;&gt;EUconst_Relevant,"",INDEX(EUconst_FallBackListBMvaluesMatrix,L1248,1))</f>
        <v/>
      </c>
      <c r="N1249" s="992" t="str">
        <f>EUconst_EUA &amp; "/" &amp; H1253</f>
        <v>ESK/TJ</v>
      </c>
      <c r="O1249" s="25"/>
      <c r="P1249" s="437"/>
      <c r="Q1249" s="437"/>
      <c r="R1249" s="732"/>
      <c r="S1249" s="866"/>
      <c r="T1249" s="437"/>
    </row>
    <row r="1250" spans="1:20" s="697" customFormat="1" ht="13.5" thickBot="1" x14ac:dyDescent="0.25">
      <c r="A1250" s="437"/>
      <c r="B1250" s="414"/>
      <c r="C1250" s="414"/>
      <c r="H1250" s="651" t="b">
        <f>INDEX(EUconst_FallBackListCBAMstatus,MATCH(I1245,EUconst_FallBackListNames,0))</f>
        <v>0</v>
      </c>
      <c r="M1250" s="996" t="str">
        <f>IF(M1245&lt;&gt;EUconst_Relevant,"",IF(EUconst_StatusOfDataCollection,INDEX(EUconst_FallBackListBMvaluesMatrix,L1248,3),""))</f>
        <v/>
      </c>
      <c r="N1250" s="994" t="str">
        <f>EUconst_EUA &amp; "/" &amp; H1253</f>
        <v>ESK/TJ</v>
      </c>
      <c r="O1250" s="25"/>
      <c r="P1250" s="437"/>
      <c r="Q1250" s="437"/>
      <c r="R1250" s="732"/>
      <c r="S1250" s="866"/>
      <c r="T1250" s="437"/>
    </row>
    <row r="1251" spans="1:20" s="697" customFormat="1" ht="5.0999999999999996" customHeight="1" x14ac:dyDescent="0.2">
      <c r="A1251" s="437"/>
      <c r="B1251" s="414"/>
      <c r="C1251" s="414"/>
      <c r="D1251" s="414"/>
      <c r="E1251" s="414"/>
      <c r="F1251" s="414"/>
      <c r="G1251" s="414"/>
      <c r="H1251" s="414"/>
      <c r="I1251" s="414"/>
      <c r="J1251" s="414"/>
      <c r="K1251" s="414"/>
      <c r="L1251" s="414"/>
      <c r="M1251" s="414"/>
      <c r="N1251" s="414"/>
      <c r="O1251" s="25"/>
      <c r="P1251" s="437"/>
      <c r="Q1251" s="437"/>
      <c r="R1251" s="437"/>
      <c r="S1251" s="437"/>
      <c r="T1251" s="437"/>
    </row>
    <row r="1252" spans="1:20" s="697" customFormat="1" x14ac:dyDescent="0.2">
      <c r="A1252" s="437"/>
      <c r="B1252" s="414"/>
      <c r="C1252" s="414"/>
      <c r="D1252" s="414"/>
      <c r="E1252" s="652"/>
      <c r="F1252" s="652"/>
      <c r="G1252" s="653"/>
      <c r="H1252" s="647" t="str">
        <f>EUconst_Unit</f>
        <v>Vienība</v>
      </c>
      <c r="I1252" s="447">
        <f>I$1652</f>
        <v>2019</v>
      </c>
      <c r="J1252" s="447">
        <f>J$1652</f>
        <v>2020</v>
      </c>
      <c r="K1252" s="447">
        <f>K$1652</f>
        <v>2021</v>
      </c>
      <c r="L1252" s="447">
        <f>L$1652</f>
        <v>2022</v>
      </c>
      <c r="M1252" s="447">
        <f>M$1652</f>
        <v>2023</v>
      </c>
      <c r="N1252" s="414"/>
      <c r="O1252" s="25"/>
      <c r="P1252" s="202" t="s">
        <v>228</v>
      </c>
      <c r="Q1252" s="437"/>
      <c r="R1252" s="437"/>
      <c r="S1252" s="437"/>
      <c r="T1252" s="437"/>
    </row>
    <row r="1253" spans="1:20" s="697" customFormat="1" x14ac:dyDescent="0.2">
      <c r="A1253" s="437"/>
      <c r="B1253" s="414"/>
      <c r="C1253" s="414"/>
      <c r="D1253" s="414"/>
      <c r="E1253" s="654" t="str">
        <f>Translations!$B$1236</f>
        <v>Ziņotais HAL (vēsturiskais darbības līmenis)</v>
      </c>
      <c r="F1253" s="655"/>
      <c r="G1253" s="656"/>
      <c r="H1253" s="651" t="str">
        <f>INDEX(EUconst_FallBackListUnits,L1248)</f>
        <v>TJ</v>
      </c>
      <c r="I1253" s="546" t="str">
        <f>IF($M1245&lt;&gt;EUconst_Relevant,"",SUMIF('G_Fall-back'!$P:$P,$P1254,'G_Fall-back'!I:I))</f>
        <v/>
      </c>
      <c r="J1253" s="546" t="str">
        <f>IF($M1245&lt;&gt;EUconst_Relevant,"",SUMIF('G_Fall-back'!$P:$P,$P1254,'G_Fall-back'!J:J))</f>
        <v/>
      </c>
      <c r="K1253" s="546" t="str">
        <f>IF($M1245&lt;&gt;EUconst_Relevant,"",SUMIF('G_Fall-back'!$P:$P,$P1254,'G_Fall-back'!K:K))</f>
        <v/>
      </c>
      <c r="L1253" s="546" t="str">
        <f>IF($M1245&lt;&gt;EUconst_Relevant,"",SUMIF('G_Fall-back'!$P:$P,$P1254,'G_Fall-back'!L:L))</f>
        <v/>
      </c>
      <c r="M1253" s="546" t="str">
        <f>IF($M1245&lt;&gt;EUconst_Relevant,"",SUMIF('G_Fall-back'!$P:$P,$P1254,'G_Fall-back'!M:M))</f>
        <v/>
      </c>
      <c r="N1253" s="648" t="s">
        <v>625</v>
      </c>
      <c r="O1253" s="25"/>
      <c r="P1253" s="202" t="str">
        <f>EUconst_CNTR_HAL&amp;I1245</f>
        <v>HAL_Siltuma līmeņatzīmes apakšiekārta (bez OEP | bez OIM)</v>
      </c>
      <c r="Q1253" s="437"/>
      <c r="R1253" s="437"/>
      <c r="S1253" s="437"/>
      <c r="T1253" s="26"/>
    </row>
    <row r="1254" spans="1:20" s="697" customFormat="1" x14ac:dyDescent="0.2">
      <c r="A1254" s="437"/>
      <c r="B1254" s="414"/>
      <c r="C1254" s="414"/>
      <c r="D1254" s="414"/>
      <c r="E1254" s="654" t="str">
        <f>Translations!$B$1237</f>
        <v>HAL aprēķinam izmantotās vērtības:</v>
      </c>
      <c r="F1254" s="655"/>
      <c r="G1254" s="656"/>
      <c r="H1254" s="651" t="str">
        <f>H1253</f>
        <v>TJ</v>
      </c>
      <c r="I1254" s="442" t="str">
        <f>IF($M1245&lt;&gt;EUconst_Relevant,"",INDEX('G_Fall-back'!S:S,MATCH($P1254,'G_Fall-back'!$P:$P,0)))</f>
        <v/>
      </c>
      <c r="J1254" s="442" t="str">
        <f>IF($M1245&lt;&gt;EUconst_Relevant,"",INDEX('G_Fall-back'!T:T,MATCH($P1254,'G_Fall-back'!$P:$P,0)))</f>
        <v/>
      </c>
      <c r="K1254" s="442" t="str">
        <f>IF($M1245&lt;&gt;EUconst_Relevant,"",INDEX('G_Fall-back'!U:U,MATCH($P1254,'G_Fall-back'!$P:$P,0)))</f>
        <v/>
      </c>
      <c r="L1254" s="442" t="str">
        <f>IF($M1245&lt;&gt;EUconst_Relevant,"",INDEX('G_Fall-back'!V:V,MATCH($P1254,'G_Fall-back'!$P:$P,0)))</f>
        <v/>
      </c>
      <c r="M1254" s="442" t="str">
        <f>IF($M1245&lt;&gt;EUconst_Relevant,"",INDEX('G_Fall-back'!W:W,MATCH($P1254,'G_Fall-back'!$P:$P,0)))</f>
        <v/>
      </c>
      <c r="N1254" s="546" t="str">
        <f>IF(OR($M1245&lt;&gt;EUconst_Relevant,$J1248=TRUE),"",IF(COUNT($I1254:$M1254)&gt;0,MEDIAN($I1254:$M1254),""))</f>
        <v/>
      </c>
      <c r="O1254" s="25"/>
      <c r="P1254" s="202" t="str">
        <f>EUconst_CNTR_HAL&amp;I1245</f>
        <v>HAL_Siltuma līmeņatzīmes apakšiekārta (bez OEP | bez OIM)</v>
      </c>
      <c r="Q1254" s="437"/>
      <c r="R1254" s="931" t="s">
        <v>604</v>
      </c>
      <c r="S1254" s="931" t="s">
        <v>605</v>
      </c>
      <c r="T1254" s="931" t="s">
        <v>606</v>
      </c>
    </row>
    <row r="1255" spans="1:20" s="697" customFormat="1" ht="5.0999999999999996" customHeight="1" thickBot="1" x14ac:dyDescent="0.25">
      <c r="A1255" s="437"/>
      <c r="B1255" s="414"/>
      <c r="C1255" s="414"/>
      <c r="D1255" s="414"/>
      <c r="E1255" s="414"/>
      <c r="F1255" s="414"/>
      <c r="G1255" s="414"/>
      <c r="H1255" s="414"/>
      <c r="I1255" s="414"/>
      <c r="J1255" s="414"/>
      <c r="K1255" s="414"/>
      <c r="L1255" s="414"/>
      <c r="M1255" s="414"/>
      <c r="N1255" s="414"/>
      <c r="O1255" s="25"/>
      <c r="P1255" s="437"/>
      <c r="Q1255" s="437"/>
      <c r="R1255" s="437"/>
      <c r="S1255" s="437"/>
      <c r="T1255" s="26"/>
    </row>
    <row r="1256" spans="1:20" s="697" customFormat="1" ht="13.5" thickBot="1" x14ac:dyDescent="0.25">
      <c r="A1256" s="437"/>
      <c r="B1256" s="414"/>
      <c r="C1256" s="414"/>
      <c r="D1256" s="414"/>
      <c r="E1256" s="414"/>
      <c r="F1256" s="657" t="str">
        <f>Translations!$B$1728</f>
        <v>HAL kopā</v>
      </c>
      <c r="G1256" s="817"/>
      <c r="H1256" s="414"/>
      <c r="I1256" s="816" t="str">
        <f>Translations!$B$1226</f>
        <v>1. gada prov. ied. apj. (min.)</v>
      </c>
      <c r="J1256" s="817"/>
      <c r="K1256" s="816" t="str">
        <f>Translations!$B$1229</f>
        <v>1. gada prov. ied. apj. (maks.)</v>
      </c>
      <c r="L1256" s="817"/>
      <c r="M1256" s="816" t="str">
        <f>Translations!$B$1231</f>
        <v>1. gada prov. ied. apj. (fakt.)</v>
      </c>
      <c r="N1256" s="817"/>
      <c r="O1256" s="25"/>
      <c r="P1256" s="202" t="str">
        <f>EUconst_AllocPrelim&amp;I1245</f>
        <v>AllocPrelim_Siltuma līmeņatzīmes apakšiekārta (bez OEP | bez OIM)</v>
      </c>
      <c r="Q1256" s="437"/>
      <c r="R1256" s="900" t="str">
        <f>IF(I1257="","",IF(S1248=0,0,SUM(I1257)/S1248))</f>
        <v/>
      </c>
      <c r="S1256" s="900" t="str">
        <f>IF(K1257="","",IF(S1248=0,0,SUM(K1257)/S1248))</f>
        <v/>
      </c>
      <c r="T1256" s="900" t="str">
        <f>T1245</f>
        <v/>
      </c>
    </row>
    <row r="1257" spans="1:20" s="697" customFormat="1" ht="13.5" thickBot="1" x14ac:dyDescent="0.25">
      <c r="A1257" s="437"/>
      <c r="B1257" s="414"/>
      <c r="C1257" s="414"/>
      <c r="D1257" s="414"/>
      <c r="E1257" s="414"/>
      <c r="F1257" s="658" t="str">
        <f>IF(M1245&lt;&gt;EUconst_Relevant,"",MAX(0, IF(J1248=TRUE, SUM(K1248), SUM(N1254))))</f>
        <v/>
      </c>
      <c r="G1257" s="884" t="str">
        <f>H1254&amp;" / "&amp;EUconst_Year</f>
        <v>TJ / gads</v>
      </c>
      <c r="H1257" s="414"/>
      <c r="I1257" s="814" t="str">
        <f>IF(M1245&lt;&gt;EUconst_Relevant,"",ROUND(SUM(M1248)*SUM(F1257)*SUM(S1248),0))</f>
        <v/>
      </c>
      <c r="J1257" s="884" t="str">
        <f>EUconst_EUApa</f>
        <v>ESK / gads</v>
      </c>
      <c r="K1257" s="814" t="str">
        <f>IF(M1245&lt;&gt;EUconst_Relevant,"",ROUND(SUM(M1249)*SUM(F1257)*SUM(S1248),0))</f>
        <v/>
      </c>
      <c r="L1257" s="884" t="str">
        <f>EUconst_EUApa</f>
        <v>ESK / gads</v>
      </c>
      <c r="M1257" s="814" t="str">
        <f>IF(OR(M1245&lt;&gt;EUconst_Relevant,M1250=""),"",ROUND(SUM(M1250)*SUM(F1257)*SUM(S1248),0))</f>
        <v/>
      </c>
      <c r="N1257" s="884" t="str">
        <f>EUconst_EUApa</f>
        <v>ESK / gads</v>
      </c>
      <c r="O1257" s="25"/>
      <c r="P1257" s="202" t="str">
        <f>EUconst_HALsum &amp; I1245</f>
        <v>HALsum_Siltuma līmeņatzīmes apakšiekārta (bez OEP | bez OIM)</v>
      </c>
      <c r="Q1257" s="437"/>
      <c r="R1257" s="437"/>
      <c r="S1257" s="437"/>
      <c r="T1257" s="437"/>
    </row>
    <row r="1258" spans="1:20" s="697" customFormat="1" x14ac:dyDescent="0.2">
      <c r="A1258" s="437"/>
      <c r="B1258" s="414"/>
      <c r="C1258" s="414"/>
      <c r="D1258" s="414"/>
      <c r="E1258" s="414"/>
      <c r="F1258" s="414"/>
      <c r="G1258" s="414"/>
      <c r="H1258" s="414"/>
      <c r="I1258" s="414"/>
      <c r="J1258" s="414"/>
      <c r="K1258" s="414"/>
      <c r="L1258" s="414"/>
      <c r="M1258" s="414"/>
      <c r="N1258" s="414"/>
      <c r="O1258" s="25"/>
      <c r="P1258" s="437"/>
      <c r="Q1258" s="437"/>
      <c r="R1258" s="437"/>
      <c r="S1258" s="437"/>
      <c r="T1258" s="437"/>
    </row>
    <row r="1259" spans="1:20" s="697" customFormat="1" ht="12.75" customHeight="1" x14ac:dyDescent="0.2">
      <c r="A1259" s="437"/>
      <c r="B1259" s="414"/>
      <c r="C1259" s="414"/>
      <c r="D1259" s="414"/>
      <c r="E1259" s="526"/>
      <c r="F1259" s="823"/>
      <c r="G1259" s="823"/>
      <c r="H1259" s="823"/>
      <c r="I1259" s="823"/>
      <c r="J1259" s="823"/>
      <c r="K1259" s="823"/>
      <c r="L1259" s="823"/>
      <c r="M1259" s="823"/>
      <c r="N1259" s="823"/>
      <c r="O1259" s="25"/>
      <c r="P1259" s="437"/>
      <c r="Q1259" s="437"/>
      <c r="R1259" s="437"/>
      <c r="S1259" s="437"/>
      <c r="T1259" s="437"/>
    </row>
    <row r="1260" spans="1:20" s="697" customFormat="1" ht="13.5" thickBot="1" x14ac:dyDescent="0.25">
      <c r="A1260" s="437"/>
      <c r="B1260" s="414"/>
      <c r="C1260" s="414"/>
      <c r="D1260" s="414"/>
      <c r="E1260" s="526"/>
      <c r="F1260" s="823"/>
      <c r="G1260" s="823"/>
      <c r="H1260" s="525" t="str">
        <f>EUconst_Unit</f>
        <v>Vienība</v>
      </c>
      <c r="I1260" s="928">
        <f>I$1652</f>
        <v>2019</v>
      </c>
      <c r="J1260" s="825">
        <f>J$1652</f>
        <v>2020</v>
      </c>
      <c r="K1260" s="825">
        <f>K$1652</f>
        <v>2021</v>
      </c>
      <c r="L1260" s="825">
        <f>L$1652</f>
        <v>2022</v>
      </c>
      <c r="M1260" s="825">
        <f>M$1652</f>
        <v>2023</v>
      </c>
      <c r="N1260" s="823"/>
      <c r="O1260" s="25"/>
      <c r="P1260" s="437"/>
      <c r="Q1260" s="437"/>
      <c r="R1260" s="437"/>
      <c r="S1260" s="437"/>
      <c r="T1260" s="437"/>
    </row>
    <row r="1261" spans="1:20" s="697" customFormat="1" ht="13.5" thickBot="1" x14ac:dyDescent="0.25">
      <c r="A1261" s="437"/>
      <c r="B1261" s="414"/>
      <c r="C1261" s="414"/>
      <c r="D1261" s="414"/>
      <c r="E1261" s="1789" t="str">
        <f>Translations!$B$1734</f>
        <v>Kopā saražotais siltums</v>
      </c>
      <c r="F1261" s="1789"/>
      <c r="G1261" s="1789"/>
      <c r="H1261" s="886" t="str">
        <f>EUconst_TJpa</f>
        <v>TJ / gads</v>
      </c>
      <c r="I1261" s="918" t="str">
        <f>IF($M1245&lt;&gt;EUconst_Relevant,"",IF(INDEX('G_Fall-back'!I:I,MATCH($P1261,'G_Fall-back'!$P:$P,0))="","",INDEX('G_Fall-back'!I:I,MATCH($P1261,'G_Fall-back'!$P:$P,0))))</f>
        <v/>
      </c>
      <c r="J1261" s="919" t="str">
        <f>IF($M1245&lt;&gt;EUconst_Relevant,"",IF(INDEX('G_Fall-back'!J:J,MATCH($P1261,'G_Fall-back'!$P:$P,0))="","",INDEX('G_Fall-back'!J:J,MATCH($P1261,'G_Fall-back'!$P:$P,0))))</f>
        <v/>
      </c>
      <c r="K1261" s="919" t="str">
        <f>IF($M1245&lt;&gt;EUconst_Relevant,"",IF(INDEX('G_Fall-back'!K:K,MATCH($P1261,'G_Fall-back'!$P:$P,0))="","",INDEX('G_Fall-back'!K:K,MATCH($P1261,'G_Fall-back'!$P:$P,0))))</f>
        <v/>
      </c>
      <c r="L1261" s="919" t="str">
        <f>IF($M1245&lt;&gt;EUconst_Relevant,"",IF(INDEX('G_Fall-back'!L:L,MATCH($P1261,'G_Fall-back'!$P:$P,0))="","",INDEX('G_Fall-back'!L:L,MATCH($P1261,'G_Fall-back'!$P:$P,0))))</f>
        <v/>
      </c>
      <c r="M1261" s="920" t="str">
        <f>IF($M1245&lt;&gt;EUconst_Relevant,"",IF(INDEX('G_Fall-back'!M:M,MATCH($P1261,'G_Fall-back'!$P:$P,0))="","",INDEX('G_Fall-back'!M:M,MATCH($P1261,'G_Fall-back'!$P:$P,0))))</f>
        <v/>
      </c>
      <c r="N1261" s="823"/>
      <c r="O1261" s="25"/>
      <c r="P1261" s="367" t="str">
        <f>EUconst_CNTR_HeatProduced &amp; I1245</f>
        <v>HeatProd_Siltuma līmeņatzīmes apakšiekārta (bez OEP | bez OIM)</v>
      </c>
      <c r="Q1261" s="437"/>
      <c r="R1261" s="437"/>
      <c r="S1261" s="437"/>
      <c r="T1261" s="437"/>
    </row>
    <row r="1262" spans="1:20" s="697" customFormat="1" x14ac:dyDescent="0.2">
      <c r="A1262" s="437"/>
      <c r="B1262" s="414"/>
      <c r="C1262" s="414"/>
      <c r="D1262" s="414"/>
      <c r="E1262" s="1651" t="str">
        <f>Translations!$B$1681</f>
        <v>No elektroenerģijas saražotais siltums</v>
      </c>
      <c r="F1262" s="1651"/>
      <c r="G1262" s="1651"/>
      <c r="H1262" s="1113" t="str">
        <f>EUconst_TJpa</f>
        <v>TJ / gads</v>
      </c>
      <c r="I1262" s="1114" t="str">
        <f>IF($M1245&lt;&gt;EUconst_Relevant,"",IF(INDEX('G_Fall-back'!I:I,MATCH($P1262,'G_Fall-back'!$P:$P,0))="","",INDEX('G_Fall-back'!I:I,MATCH($P1262,'G_Fall-back'!$P:$P,0))))</f>
        <v/>
      </c>
      <c r="J1262" s="1114" t="str">
        <f>IF($M1245&lt;&gt;EUconst_Relevant,"",IF(INDEX('G_Fall-back'!J:J,MATCH($P1262,'G_Fall-back'!$P:$P,0))="","",INDEX('G_Fall-back'!J:J,MATCH($P1262,'G_Fall-back'!$P:$P,0))))</f>
        <v/>
      </c>
      <c r="K1262" s="1114" t="str">
        <f>IF($M1245&lt;&gt;EUconst_Relevant,"",IF(INDEX('G_Fall-back'!K:K,MATCH($P1262,'G_Fall-back'!$P:$P,0))="","",INDEX('G_Fall-back'!K:K,MATCH($P1262,'G_Fall-back'!$P:$P,0))))</f>
        <v/>
      </c>
      <c r="L1262" s="1114" t="str">
        <f>IF($M1245&lt;&gt;EUconst_Relevant,"",IF(INDEX('G_Fall-back'!L:L,MATCH($P1262,'G_Fall-back'!$P:$P,0))="","",INDEX('G_Fall-back'!L:L,MATCH($P1262,'G_Fall-back'!$P:$P,0))))</f>
        <v/>
      </c>
      <c r="M1262" s="1114" t="str">
        <f>IF($M1245&lt;&gt;EUconst_Relevant,"",IF(INDEX('G_Fall-back'!M:M,MATCH($P1262,'G_Fall-back'!$P:$P,0))="","",INDEX('G_Fall-back'!M:M,MATCH($P1262,'G_Fall-back'!$P:$P,0))))</f>
        <v/>
      </c>
      <c r="N1262" s="823"/>
      <c r="O1262" s="25"/>
      <c r="P1262" s="367" t="str">
        <f>EUconst_CNTR_HeatProducedElectricity &amp; I1245</f>
        <v>HeatProdElec_Siltuma līmeņatzīmes apakšiekārta (bez OEP | bez OIM)</v>
      </c>
      <c r="Q1262" s="437"/>
      <c r="R1262" s="437"/>
      <c r="S1262" s="437"/>
      <c r="T1262" s="437"/>
    </row>
    <row r="1263" spans="1:20" s="697" customFormat="1" ht="5.0999999999999996" customHeight="1" thickBot="1" x14ac:dyDescent="0.25">
      <c r="A1263" s="437"/>
      <c r="B1263" s="414"/>
      <c r="C1263" s="414"/>
      <c r="D1263" s="414"/>
      <c r="E1263" s="526"/>
      <c r="F1263" s="526"/>
      <c r="G1263" s="526"/>
      <c r="H1263" s="526"/>
      <c r="I1263" s="924"/>
      <c r="J1263" s="924"/>
      <c r="K1263" s="924"/>
      <c r="L1263" s="924"/>
      <c r="M1263" s="924"/>
      <c r="N1263" s="823"/>
      <c r="O1263" s="25"/>
      <c r="P1263" s="437"/>
      <c r="Q1263" s="437"/>
      <c r="R1263" s="437"/>
      <c r="S1263" s="437"/>
      <c r="T1263" s="437"/>
    </row>
    <row r="1264" spans="1:20" s="697" customFormat="1" ht="13.5" thickBot="1" x14ac:dyDescent="0.25">
      <c r="A1264" s="437"/>
      <c r="B1264" s="414"/>
      <c r="C1264" s="414"/>
      <c r="D1264" s="414"/>
      <c r="E1264" s="1789" t="str">
        <f>Translations!$B$1238</f>
        <v>Kopējās attiecinātās emisijas</v>
      </c>
      <c r="F1264" s="1789"/>
      <c r="G1264" s="1789"/>
      <c r="H1264" s="886" t="str">
        <f>EUconst_tCO2epa</f>
        <v>t CO2e/gads</v>
      </c>
      <c r="I1264" s="918" t="str">
        <f>INDEX(I$115:I$134,MATCH($I1245,$E$115:$E$134,0))</f>
        <v/>
      </c>
      <c r="J1264" s="919" t="str">
        <f>INDEX(J$115:J$134,MATCH($I1245,$E$115:$E$134,0))</f>
        <v/>
      </c>
      <c r="K1264" s="919" t="str">
        <f>INDEX(K$115:K$134,MATCH($I1245,$E$115:$E$134,0))</f>
        <v/>
      </c>
      <c r="L1264" s="919" t="str">
        <f>INDEX(L$115:L$134,MATCH($I1245,$E$115:$E$134,0))</f>
        <v/>
      </c>
      <c r="M1264" s="920" t="str">
        <f>INDEX(M$115:M$134,MATCH($I1245,$E$115:$E$134,0))</f>
        <v/>
      </c>
      <c r="N1264" s="823"/>
      <c r="O1264" s="25"/>
      <c r="P1264" s="437"/>
      <c r="Q1264" s="437"/>
      <c r="R1264" s="437"/>
      <c r="S1264" s="437"/>
      <c r="T1264" s="26"/>
    </row>
    <row r="1265" spans="1:20" s="697" customFormat="1" ht="5.0999999999999996" customHeight="1" x14ac:dyDescent="0.2">
      <c r="A1265" s="437"/>
      <c r="B1265" s="414"/>
      <c r="C1265" s="414"/>
      <c r="D1265" s="414"/>
      <c r="E1265" s="526"/>
      <c r="F1265" s="526"/>
      <c r="G1265" s="526"/>
      <c r="H1265" s="526"/>
      <c r="I1265" s="921"/>
      <c r="J1265" s="921"/>
      <c r="K1265" s="921"/>
      <c r="L1265" s="921"/>
      <c r="M1265" s="921"/>
      <c r="N1265" s="526"/>
      <c r="O1265" s="25"/>
      <c r="P1265" s="437"/>
      <c r="Q1265" s="437"/>
      <c r="R1265" s="437"/>
      <c r="S1265" s="437"/>
      <c r="T1265" s="26"/>
    </row>
    <row r="1266" spans="1:20" s="697" customFormat="1" x14ac:dyDescent="0.2">
      <c r="A1266" s="437"/>
      <c r="B1266" s="414"/>
      <c r="C1266" s="414"/>
      <c r="D1266" s="414"/>
      <c r="E1266" s="1667" t="str">
        <f>Translations!$B$731</f>
        <v>Kurināmā ielaide</v>
      </c>
      <c r="F1266" s="1660"/>
      <c r="G1266" s="1660"/>
      <c r="H1266" s="466" t="str">
        <f>EUconst_TJpa</f>
        <v>TJ / gads</v>
      </c>
      <c r="I1266" s="922" t="str">
        <f>IF($M1245&lt;&gt;EUconst_Relevant,"",IF(INDEX('G_Fall-back'!I:I,MATCH($P1266,'G_Fall-back'!$P:$P,0))="","",INDEX('G_Fall-back'!I:I,MATCH($P1266,'G_Fall-back'!$P:$P,0))))</f>
        <v/>
      </c>
      <c r="J1266" s="922" t="str">
        <f>IF($M1245&lt;&gt;EUconst_Relevant,"",IF(INDEX('G_Fall-back'!J:J,MATCH($P1266,'G_Fall-back'!$P:$P,0))="","",INDEX('G_Fall-back'!J:J,MATCH($P1266,'G_Fall-back'!$P:$P,0))))</f>
        <v/>
      </c>
      <c r="K1266" s="922" t="str">
        <f>IF($M1245&lt;&gt;EUconst_Relevant,"",IF(INDEX('G_Fall-back'!K:K,MATCH($P1266,'G_Fall-back'!$P:$P,0))="","",INDEX('G_Fall-back'!K:K,MATCH($P1266,'G_Fall-back'!$P:$P,0))))</f>
        <v/>
      </c>
      <c r="L1266" s="922" t="str">
        <f>IF($M1245&lt;&gt;EUconst_Relevant,"",IF(INDEX('G_Fall-back'!L:L,MATCH($P1266,'G_Fall-back'!$P:$P,0))="","",INDEX('G_Fall-back'!L:L,MATCH($P1266,'G_Fall-back'!$P:$P,0))))</f>
        <v/>
      </c>
      <c r="M1266" s="922" t="str">
        <f>IF($M1245&lt;&gt;EUconst_Relevant,"",IF(INDEX('G_Fall-back'!M:M,MATCH($P1266,'G_Fall-back'!$P:$P,0))="","",INDEX('G_Fall-back'!M:M,MATCH($P1266,'G_Fall-back'!$P:$P,0))))</f>
        <v/>
      </c>
      <c r="N1266" s="823"/>
      <c r="O1266" s="25"/>
      <c r="P1266" s="822" t="str">
        <f>EUconst_CNTR_FuelInput &amp; I1245</f>
        <v>FuelInput_Siltuma līmeņatzīmes apakšiekārta (bez OEP | bez OIM)</v>
      </c>
      <c r="Q1266" s="437"/>
      <c r="R1266" s="437"/>
      <c r="S1266" s="437"/>
      <c r="T1266" s="437"/>
    </row>
    <row r="1267" spans="1:20" s="697" customFormat="1" x14ac:dyDescent="0.2">
      <c r="A1267" s="437"/>
      <c r="B1267" s="414"/>
      <c r="C1267" s="414"/>
      <c r="D1267" s="414"/>
      <c r="E1267" s="1737" t="str">
        <f>Translations!$B$732</f>
        <v>Svērtais emisijas faktors</v>
      </c>
      <c r="F1267" s="1659"/>
      <c r="G1267" s="1659"/>
      <c r="H1267" s="485" t="str">
        <f>EUconst_tCO2pTJ</f>
        <v>t CO2 / TJ</v>
      </c>
      <c r="I1267" s="923" t="str">
        <f>IF($M1245&lt;&gt;EUconst_Relevant,"",IF(INDEX('G_Fall-back'!I:I,MATCH($P1267,'G_Fall-back'!$P:$P,0))="","",INDEX('G_Fall-back'!I:I,MATCH($P1267,'G_Fall-back'!$P:$P,0))))</f>
        <v/>
      </c>
      <c r="J1267" s="923" t="str">
        <f>IF($M1245&lt;&gt;EUconst_Relevant,"",IF(INDEX('G_Fall-back'!J:J,MATCH($P1267,'G_Fall-back'!$P:$P,0))="","",INDEX('G_Fall-back'!J:J,MATCH($P1267,'G_Fall-back'!$P:$P,0))))</f>
        <v/>
      </c>
      <c r="K1267" s="923" t="str">
        <f>IF($M1245&lt;&gt;EUconst_Relevant,"",IF(INDEX('G_Fall-back'!K:K,MATCH($P1267,'G_Fall-back'!$P:$P,0))="","",INDEX('G_Fall-back'!K:K,MATCH($P1267,'G_Fall-back'!$P:$P,0))))</f>
        <v/>
      </c>
      <c r="L1267" s="923" t="str">
        <f>IF($M1245&lt;&gt;EUconst_Relevant,"",IF(INDEX('G_Fall-back'!L:L,MATCH($P1267,'G_Fall-back'!$P:$P,0))="","",INDEX('G_Fall-back'!L:L,MATCH($P1267,'G_Fall-back'!$P:$P,0))))</f>
        <v/>
      </c>
      <c r="M1267" s="923" t="str">
        <f>IF($M1245&lt;&gt;EUconst_Relevant,"",IF(INDEX('G_Fall-back'!M:M,MATCH($P1267,'G_Fall-back'!$P:$P,0))="","",INDEX('G_Fall-back'!M:M,MATCH($P1267,'G_Fall-back'!$P:$P,0))))</f>
        <v/>
      </c>
      <c r="N1267" s="823"/>
      <c r="O1267" s="25"/>
      <c r="P1267" s="367" t="str">
        <f>EUconst_CNTR_FuelEF &amp; I1245</f>
        <v>FuelEF_Siltuma līmeņatzīmes apakšiekārta (bez OEP | bez OIM)</v>
      </c>
      <c r="Q1267" s="437"/>
      <c r="R1267" s="437"/>
      <c r="S1267" s="437"/>
      <c r="T1267" s="437"/>
    </row>
    <row r="1268" spans="1:20" s="697" customFormat="1" x14ac:dyDescent="0.2">
      <c r="A1268" s="437"/>
      <c r="B1268" s="414"/>
      <c r="C1268" s="414"/>
      <c r="D1268" s="414"/>
      <c r="E1268" s="1667" t="str">
        <f>Translations!$B$853</f>
        <v>Atlikumgāzu kurināmā ielaide</v>
      </c>
      <c r="F1268" s="1660"/>
      <c r="G1268" s="1660"/>
      <c r="H1268" s="466" t="str">
        <f>EUconst_TJpa</f>
        <v>TJ / gads</v>
      </c>
      <c r="I1268" s="922" t="str">
        <f>IF($M1245&lt;&gt;EUconst_Relevant,"",IF(INDEX('G_Fall-back'!I:I,MATCH($P1268,'G_Fall-back'!$P:$P,0))="","",INDEX('G_Fall-back'!I:I,MATCH($P1268,'G_Fall-back'!$P:$P,0))))</f>
        <v/>
      </c>
      <c r="J1268" s="922" t="str">
        <f>IF($M1245&lt;&gt;EUconst_Relevant,"",IF(INDEX('G_Fall-back'!J:J,MATCH($P1268,'G_Fall-back'!$P:$P,0))="","",INDEX('G_Fall-back'!J:J,MATCH($P1268,'G_Fall-back'!$P:$P,0))))</f>
        <v/>
      </c>
      <c r="K1268" s="922" t="str">
        <f>IF($M1245&lt;&gt;EUconst_Relevant,"",IF(INDEX('G_Fall-back'!K:K,MATCH($P1268,'G_Fall-back'!$P:$P,0))="","",INDEX('G_Fall-back'!K:K,MATCH($P1268,'G_Fall-back'!$P:$P,0))))</f>
        <v/>
      </c>
      <c r="L1268" s="922" t="str">
        <f>IF($M1245&lt;&gt;EUconst_Relevant,"",IF(INDEX('G_Fall-back'!L:L,MATCH($P1268,'G_Fall-back'!$P:$P,0))="","",INDEX('G_Fall-back'!L:L,MATCH($P1268,'G_Fall-back'!$P:$P,0))))</f>
        <v/>
      </c>
      <c r="M1268" s="922" t="str">
        <f>IF($M1245&lt;&gt;EUconst_Relevant,"",IF(INDEX('G_Fall-back'!M:M,MATCH($P1268,'G_Fall-back'!$P:$P,0))="","",INDEX('G_Fall-back'!M:M,MATCH($P1268,'G_Fall-back'!$P:$P,0))))</f>
        <v/>
      </c>
      <c r="N1268" s="823"/>
      <c r="O1268" s="25"/>
      <c r="P1268" s="453" t="str">
        <f>EUconst_CNTR_WGConsumed &amp; I1245</f>
        <v>WasteGasCons_Siltuma līmeņatzīmes apakšiekārta (bez OEP | bez OIM)</v>
      </c>
      <c r="Q1268" s="437"/>
      <c r="R1268" s="437"/>
      <c r="S1268" s="437"/>
      <c r="T1268" s="437"/>
    </row>
    <row r="1269" spans="1:20" s="697" customFormat="1" ht="12.75" customHeight="1" x14ac:dyDescent="0.2">
      <c r="A1269" s="437"/>
      <c r="B1269" s="414"/>
      <c r="C1269" s="414"/>
      <c r="D1269" s="414"/>
      <c r="E1269" s="1737" t="str">
        <f>Translations!$B$732</f>
        <v>Svērtais emisijas faktors</v>
      </c>
      <c r="F1269" s="1659"/>
      <c r="G1269" s="1659"/>
      <c r="H1269" s="485" t="str">
        <f>EUconst_tCO2pTJ</f>
        <v>t CO2 / TJ</v>
      </c>
      <c r="I1269" s="923" t="str">
        <f>IF($M1245&lt;&gt;EUconst_Relevant,"",IF(INDEX('G_Fall-back'!I:I,MATCH($P1269,'G_Fall-back'!$P:$P,0))="","",INDEX('G_Fall-back'!I:I,MATCH($P1269,'G_Fall-back'!$P:$P,0))))</f>
        <v/>
      </c>
      <c r="J1269" s="923" t="str">
        <f>IF($M1245&lt;&gt;EUconst_Relevant,"",IF(INDEX('G_Fall-back'!J:J,MATCH($P1269,'G_Fall-back'!$P:$P,0))="","",INDEX('G_Fall-back'!J:J,MATCH($P1269,'G_Fall-back'!$P:$P,0))))</f>
        <v/>
      </c>
      <c r="K1269" s="923" t="str">
        <f>IF($M1245&lt;&gt;EUconst_Relevant,"",IF(INDEX('G_Fall-back'!K:K,MATCH($P1269,'G_Fall-back'!$P:$P,0))="","",INDEX('G_Fall-back'!K:K,MATCH($P1269,'G_Fall-back'!$P:$P,0))))</f>
        <v/>
      </c>
      <c r="L1269" s="923" t="str">
        <f>IF($M1245&lt;&gt;EUconst_Relevant,"",IF(INDEX('G_Fall-back'!L:L,MATCH($P1269,'G_Fall-back'!$P:$P,0))="","",INDEX('G_Fall-back'!L:L,MATCH($P1269,'G_Fall-back'!$P:$P,0))))</f>
        <v/>
      </c>
      <c r="M1269" s="923" t="str">
        <f>IF($M1245&lt;&gt;EUconst_Relevant,"",IF(INDEX('G_Fall-back'!M:M,MATCH($P1269,'G_Fall-back'!$P:$P,0))="","",INDEX('G_Fall-back'!M:M,MATCH($P1269,'G_Fall-back'!$P:$P,0))))</f>
        <v/>
      </c>
      <c r="N1269" s="823"/>
      <c r="O1269" s="25"/>
      <c r="P1269" s="367" t="str">
        <f>EUconst_CNTR_WGConsumedEF &amp; I1245</f>
        <v>WasteGasConsEF_Siltuma līmeņatzīmes apakšiekārta (bez OEP | bez OIM)</v>
      </c>
      <c r="Q1269" s="437"/>
      <c r="R1269" s="437"/>
      <c r="S1269" s="437"/>
      <c r="T1269" s="437"/>
    </row>
    <row r="1270" spans="1:20" s="697" customFormat="1" ht="12.75" customHeight="1" x14ac:dyDescent="0.2">
      <c r="A1270" s="437"/>
      <c r="B1270" s="414"/>
      <c r="C1270" s="414"/>
      <c r="D1270" s="414"/>
      <c r="E1270" s="1667" t="str">
        <f>Translations!$B$1631</f>
        <v>Elektroenerģijas ielaide siltuma ražošanai</v>
      </c>
      <c r="F1270" s="1667"/>
      <c r="G1270" s="1667"/>
      <c r="H1270" s="466" t="str">
        <f>EUconst_TJpa</f>
        <v>TJ / gads</v>
      </c>
      <c r="I1270" s="922" t="str">
        <f>IF($M1245&lt;&gt;EUconst_Relevant,"",IF(INDEX('G_Fall-back'!I:I,MATCH($P1270,'G_Fall-back'!$P:$P,0))="","",INDEX('G_Fall-back'!I:I,MATCH($P1270,'G_Fall-back'!$P:$P,0))))</f>
        <v/>
      </c>
      <c r="J1270" s="922" t="str">
        <f>IF($M1245&lt;&gt;EUconst_Relevant,"",IF(INDEX('G_Fall-back'!J:J,MATCH($P1270,'G_Fall-back'!$P:$P,0))="","",INDEX('G_Fall-back'!J:J,MATCH($P1270,'G_Fall-back'!$P:$P,0))))</f>
        <v/>
      </c>
      <c r="K1270" s="922" t="str">
        <f>IF($M1245&lt;&gt;EUconst_Relevant,"",IF(INDEX('G_Fall-back'!K:K,MATCH($P1270,'G_Fall-back'!$P:$P,0))="","",INDEX('G_Fall-back'!K:K,MATCH($P1270,'G_Fall-back'!$P:$P,0))))</f>
        <v/>
      </c>
      <c r="L1270" s="922" t="str">
        <f>IF($M1245&lt;&gt;EUconst_Relevant,"",IF(INDEX('G_Fall-back'!L:L,MATCH($P1270,'G_Fall-back'!$P:$P,0))="","",INDEX('G_Fall-back'!L:L,MATCH($P1270,'G_Fall-back'!$P:$P,0))))</f>
        <v/>
      </c>
      <c r="M1270" s="922" t="str">
        <f>IF($M1245&lt;&gt;EUconst_Relevant,"",IF(INDEX('G_Fall-back'!M:M,MATCH($P1270,'G_Fall-back'!$P:$P,0))="","",INDEX('G_Fall-back'!M:M,MATCH($P1270,'G_Fall-back'!$P:$P,0))))</f>
        <v/>
      </c>
      <c r="N1270" s="823"/>
      <c r="O1270" s="25"/>
      <c r="P1270" s="453" t="str">
        <f>EUconst_CNTR_ElectricityInput &amp; I1245</f>
        <v>ElectricityInput_Siltuma līmeņatzīmes apakšiekārta (bez OEP | bez OIM)</v>
      </c>
      <c r="Q1270" s="437"/>
      <c r="R1270" s="437"/>
      <c r="S1270" s="437"/>
      <c r="T1270" s="437"/>
    </row>
    <row r="1271" spans="1:20" s="697" customFormat="1" ht="12.75" customHeight="1" x14ac:dyDescent="0.2">
      <c r="A1271" s="437"/>
      <c r="B1271" s="414"/>
      <c r="C1271" s="414"/>
      <c r="D1271" s="414"/>
      <c r="E1271" s="1737" t="str">
        <f>Translations!$B$732</f>
        <v>Svērtais emisijas faktors</v>
      </c>
      <c r="F1271" s="1737"/>
      <c r="G1271" s="1737"/>
      <c r="H1271" s="485" t="str">
        <f>EUconst_tCO2pTJ</f>
        <v>t CO2 / TJ</v>
      </c>
      <c r="I1271" s="923" t="str">
        <f>IF($M1245&lt;&gt;EUconst_Relevant,"",IF(INDEX('G_Fall-back'!I:I,MATCH($P1271,'G_Fall-back'!$P:$P,0))="","",INDEX('G_Fall-back'!I:I,MATCH($P1271,'G_Fall-back'!$P:$P,0))))</f>
        <v/>
      </c>
      <c r="J1271" s="923" t="str">
        <f>IF($M1245&lt;&gt;EUconst_Relevant,"",IF(INDEX('G_Fall-back'!J:J,MATCH($P1271,'G_Fall-back'!$P:$P,0))="","",INDEX('G_Fall-back'!J:J,MATCH($P1271,'G_Fall-back'!$P:$P,0))))</f>
        <v/>
      </c>
      <c r="K1271" s="923" t="str">
        <f>IF($M1245&lt;&gt;EUconst_Relevant,"",IF(INDEX('G_Fall-back'!K:K,MATCH($P1271,'G_Fall-back'!$P:$P,0))="","",INDEX('G_Fall-back'!K:K,MATCH($P1271,'G_Fall-back'!$P:$P,0))))</f>
        <v/>
      </c>
      <c r="L1271" s="923" t="str">
        <f>IF($M1245&lt;&gt;EUconst_Relevant,"",IF(INDEX('G_Fall-back'!L:L,MATCH($P1271,'G_Fall-back'!$P:$P,0))="","",INDEX('G_Fall-back'!L:L,MATCH($P1271,'G_Fall-back'!$P:$P,0))))</f>
        <v/>
      </c>
      <c r="M1271" s="923" t="str">
        <f>IF($M1245&lt;&gt;EUconst_Relevant,"",IF(INDEX('G_Fall-back'!M:M,MATCH($P1271,'G_Fall-back'!$P:$P,0))="","",INDEX('G_Fall-back'!M:M,MATCH($P1271,'G_Fall-back'!$P:$P,0))))</f>
        <v/>
      </c>
      <c r="N1271" s="823"/>
      <c r="O1271" s="25"/>
      <c r="P1271" s="367" t="str">
        <f>EUconst_CNTR_ElectricityEF &amp; I1245</f>
        <v>ElectricityEF_Siltuma līmeņatzīmes apakšiekārta (bez OEP | bez OIM)</v>
      </c>
      <c r="Q1271" s="437"/>
      <c r="R1271" s="437"/>
      <c r="S1271" s="437"/>
      <c r="T1271" s="437"/>
    </row>
    <row r="1272" spans="1:20" s="697" customFormat="1" ht="12.75" customHeight="1" x14ac:dyDescent="0.2">
      <c r="A1272" s="437"/>
      <c r="B1272" s="414"/>
      <c r="C1272" s="414"/>
      <c r="D1272" s="414"/>
      <c r="E1272" s="1667" t="str">
        <f>Translations!$B$1632</f>
        <v>Citas enerģijas (piemēram, eksotermiskā siltuma) ielaide</v>
      </c>
      <c r="F1272" s="1667"/>
      <c r="G1272" s="1667"/>
      <c r="H1272" s="466" t="str">
        <f>EUconst_TJpa</f>
        <v>TJ / gads</v>
      </c>
      <c r="I1272" s="922" t="str">
        <f>IF($M1245&lt;&gt;EUconst_Relevant,"",IF(INDEX('G_Fall-back'!I:I,MATCH($P1272,'G_Fall-back'!$P:$P,0))="","",INDEX('G_Fall-back'!I:I,MATCH($P1272,'G_Fall-back'!$P:$P,0))))</f>
        <v/>
      </c>
      <c r="J1272" s="922" t="str">
        <f>IF($M1245&lt;&gt;EUconst_Relevant,"",IF(INDEX('G_Fall-back'!J:J,MATCH($P1272,'G_Fall-back'!$P:$P,0))="","",INDEX('G_Fall-back'!J:J,MATCH($P1272,'G_Fall-back'!$P:$P,0))))</f>
        <v/>
      </c>
      <c r="K1272" s="922" t="str">
        <f>IF($M1245&lt;&gt;EUconst_Relevant,"",IF(INDEX('G_Fall-back'!K:K,MATCH($P1272,'G_Fall-back'!$P:$P,0))="","",INDEX('G_Fall-back'!K:K,MATCH($P1272,'G_Fall-back'!$P:$P,0))))</f>
        <v/>
      </c>
      <c r="L1272" s="922" t="str">
        <f>IF($M1245&lt;&gt;EUconst_Relevant,"",IF(INDEX('G_Fall-back'!L:L,MATCH($P1272,'G_Fall-back'!$P:$P,0))="","",INDEX('G_Fall-back'!L:L,MATCH($P1272,'G_Fall-back'!$P:$P,0))))</f>
        <v/>
      </c>
      <c r="M1272" s="922" t="str">
        <f>IF($M1245&lt;&gt;EUconst_Relevant,"",IF(INDEX('G_Fall-back'!M:M,MATCH($P1272,'G_Fall-back'!$P:$P,0))="","",INDEX('G_Fall-back'!M:M,MATCH($P1272,'G_Fall-back'!$P:$P,0))))</f>
        <v/>
      </c>
      <c r="N1272" s="823"/>
      <c r="O1272" s="25"/>
      <c r="P1272" s="453" t="str">
        <f>EUconst_CNTR_OtherEnergyInput &amp; I1245</f>
        <v>OtherEnergyInput_Siltuma līmeņatzīmes apakšiekārta (bez OEP | bez OIM)</v>
      </c>
      <c r="Q1272" s="437"/>
      <c r="R1272" s="437"/>
      <c r="S1272" s="437"/>
      <c r="T1272" s="437"/>
    </row>
    <row r="1273" spans="1:20" s="697" customFormat="1" ht="12.75" customHeight="1" x14ac:dyDescent="0.2">
      <c r="A1273" s="437"/>
      <c r="B1273" s="414"/>
      <c r="C1273" s="414"/>
      <c r="D1273" s="414"/>
      <c r="E1273" s="1737" t="str">
        <f>Translations!$B$732</f>
        <v>Svērtais emisijas faktors</v>
      </c>
      <c r="F1273" s="1737"/>
      <c r="G1273" s="1737"/>
      <c r="H1273" s="485" t="str">
        <f>EUconst_tCO2pTJ</f>
        <v>t CO2 / TJ</v>
      </c>
      <c r="I1273" s="923" t="str">
        <f>IF($M1245&lt;&gt;EUconst_Relevant,"",IF(INDEX('G_Fall-back'!I:I,MATCH($P1273,'G_Fall-back'!$P:$P,0))="","",INDEX('G_Fall-back'!I:I,MATCH($P1273,'G_Fall-back'!$P:$P,0))))</f>
        <v/>
      </c>
      <c r="J1273" s="923" t="str">
        <f>IF($M1245&lt;&gt;EUconst_Relevant,"",IF(INDEX('G_Fall-back'!J:J,MATCH($P1273,'G_Fall-back'!$P:$P,0))="","",INDEX('G_Fall-back'!J:J,MATCH($P1273,'G_Fall-back'!$P:$P,0))))</f>
        <v/>
      </c>
      <c r="K1273" s="923" t="str">
        <f>IF($M1245&lt;&gt;EUconst_Relevant,"",IF(INDEX('G_Fall-back'!K:K,MATCH($P1273,'G_Fall-back'!$P:$P,0))="","",INDEX('G_Fall-back'!K:K,MATCH($P1273,'G_Fall-back'!$P:$P,0))))</f>
        <v/>
      </c>
      <c r="L1273" s="923" t="str">
        <f>IF($M1245&lt;&gt;EUconst_Relevant,"",IF(INDEX('G_Fall-back'!L:L,MATCH($P1273,'G_Fall-back'!$P:$P,0))="","",INDEX('G_Fall-back'!L:L,MATCH($P1273,'G_Fall-back'!$P:$P,0))))</f>
        <v/>
      </c>
      <c r="M1273" s="923" t="str">
        <f>IF($M1245&lt;&gt;EUconst_Relevant,"",IF(INDEX('G_Fall-back'!M:M,MATCH($P1273,'G_Fall-back'!$P:$P,0))="","",INDEX('G_Fall-back'!M:M,MATCH($P1273,'G_Fall-back'!$P:$P,0))))</f>
        <v/>
      </c>
      <c r="N1273" s="823"/>
      <c r="O1273" s="25"/>
      <c r="P1273" s="367" t="str">
        <f>EUconst_CNTR_OtherEnergyEF &amp; I1245</f>
        <v>OtherEnergyEF_Siltuma līmeņatzīmes apakšiekārta (bez OEP | bez OIM)</v>
      </c>
      <c r="Q1273" s="437"/>
      <c r="R1273" s="437"/>
      <c r="S1273" s="437"/>
      <c r="T1273" s="437"/>
    </row>
    <row r="1274" spans="1:20" s="697" customFormat="1" ht="12.75" customHeight="1" x14ac:dyDescent="0.2">
      <c r="A1274" s="437"/>
      <c r="B1274" s="414"/>
      <c r="C1274" s="414"/>
      <c r="D1274" s="414"/>
      <c r="E1274" s="1651" t="str">
        <f>Translations!$B$1678</f>
        <v>Kopējā enerģijas ielaide (= i. + v. + vii.)</v>
      </c>
      <c r="F1274" s="1651"/>
      <c r="G1274" s="1651"/>
      <c r="H1274" s="465" t="str">
        <f>EUconst_TJpa</f>
        <v>TJ / gads</v>
      </c>
      <c r="I1274" s="925" t="str">
        <f>IF($M1245&lt;&gt;EUconst_Relevant,"",IF(INDEX('G_Fall-back'!I:I,MATCH($P1274,'G_Fall-back'!$P:$P,0))="","",INDEX('G_Fall-back'!I:I,MATCH($P1274,'G_Fall-back'!$P:$P,0))))</f>
        <v/>
      </c>
      <c r="J1274" s="925" t="str">
        <f>IF($M1245&lt;&gt;EUconst_Relevant,"",IF(INDEX('G_Fall-back'!J:J,MATCH($P1274,'G_Fall-back'!$P:$P,0))="","",INDEX('G_Fall-back'!J:J,MATCH($P1274,'G_Fall-back'!$P:$P,0))))</f>
        <v/>
      </c>
      <c r="K1274" s="925" t="str">
        <f>IF($M1245&lt;&gt;EUconst_Relevant,"",IF(INDEX('G_Fall-back'!K:K,MATCH($P1274,'G_Fall-back'!$P:$P,0))="","",INDEX('G_Fall-back'!K:K,MATCH($P1274,'G_Fall-back'!$P:$P,0))))</f>
        <v/>
      </c>
      <c r="L1274" s="925" t="str">
        <f>IF($M1245&lt;&gt;EUconst_Relevant,"",IF(INDEX('G_Fall-back'!L:L,MATCH($P1274,'G_Fall-back'!$P:$P,0))="","",INDEX('G_Fall-back'!L:L,MATCH($P1274,'G_Fall-back'!$P:$P,0))))</f>
        <v/>
      </c>
      <c r="M1274" s="925" t="str">
        <f>IF($M1245&lt;&gt;EUconst_Relevant,"",IF(INDEX('G_Fall-back'!M:M,MATCH($P1274,'G_Fall-back'!$P:$P,0))="","",INDEX('G_Fall-back'!M:M,MATCH($P1274,'G_Fall-back'!$P:$P,0))))</f>
        <v/>
      </c>
      <c r="N1274" s="823"/>
      <c r="O1274" s="25"/>
      <c r="P1274" s="453" t="str">
        <f>EUconst_CNTR_TotalEnergyInput &amp; I1245</f>
        <v>TotalEnergyInput_Siltuma līmeņatzīmes apakšiekārta (bez OEP | bez OIM)</v>
      </c>
      <c r="Q1274" s="437"/>
      <c r="R1274" s="437"/>
      <c r="S1274" s="437"/>
      <c r="T1274" s="437"/>
    </row>
    <row r="1275" spans="1:20" s="697" customFormat="1" ht="5.0999999999999996" customHeight="1" x14ac:dyDescent="0.2">
      <c r="A1275" s="437"/>
      <c r="B1275" s="414"/>
      <c r="C1275" s="414"/>
      <c r="D1275" s="414"/>
      <c r="E1275" s="526"/>
      <c r="F1275" s="823"/>
      <c r="G1275" s="823"/>
      <c r="H1275" s="823"/>
      <c r="I1275" s="924"/>
      <c r="J1275" s="924"/>
      <c r="K1275" s="924"/>
      <c r="L1275" s="924"/>
      <c r="M1275" s="924"/>
      <c r="N1275" s="823"/>
      <c r="O1275" s="25"/>
      <c r="P1275" s="437"/>
      <c r="Q1275" s="437"/>
      <c r="R1275" s="437"/>
      <c r="S1275" s="437"/>
      <c r="T1275" s="437"/>
    </row>
    <row r="1276" spans="1:20" s="697" customFormat="1" x14ac:dyDescent="0.2">
      <c r="A1276" s="437"/>
      <c r="B1276" s="414"/>
      <c r="C1276" s="414"/>
      <c r="D1276" s="414"/>
      <c r="E1276" s="1651" t="str">
        <f>Translations!$B$687</f>
        <v>Tiešās emisijas</v>
      </c>
      <c r="F1276" s="1652"/>
      <c r="G1276" s="1652"/>
      <c r="H1276" s="465" t="str">
        <f>EUconst_tCO2pa</f>
        <v>t CO2 / gads</v>
      </c>
      <c r="I1276" s="925" t="str">
        <f>IF($M1245&lt;&gt;EUconst_Relevant,"",IF(INDEX('G_Fall-back'!I:I,MATCH($P1276,'G_Fall-back'!$P:$P,0))="","",INDEX('G_Fall-back'!I:I,MATCH($P1276,'G_Fall-back'!$P:$P,0))))</f>
        <v/>
      </c>
      <c r="J1276" s="925" t="str">
        <f>IF($M1245&lt;&gt;EUconst_Relevant,"",IF(INDEX('G_Fall-back'!J:J,MATCH($P1276,'G_Fall-back'!$P:$P,0))="","",INDEX('G_Fall-back'!J:J,MATCH($P1276,'G_Fall-back'!$P:$P,0))))</f>
        <v/>
      </c>
      <c r="K1276" s="925" t="str">
        <f>IF($M1245&lt;&gt;EUconst_Relevant,"",IF(INDEX('G_Fall-back'!K:K,MATCH($P1276,'G_Fall-back'!$P:$P,0))="","",INDEX('G_Fall-back'!K:K,MATCH($P1276,'G_Fall-back'!$P:$P,0))))</f>
        <v/>
      </c>
      <c r="L1276" s="925" t="str">
        <f>IF($M1245&lt;&gt;EUconst_Relevant,"",IF(INDEX('G_Fall-back'!L:L,MATCH($P1276,'G_Fall-back'!$P:$P,0))="","",INDEX('G_Fall-back'!L:L,MATCH($P1276,'G_Fall-back'!$P:$P,0))))</f>
        <v/>
      </c>
      <c r="M1276" s="925" t="str">
        <f>IF($M1245&lt;&gt;EUconst_Relevant,"",IF(INDEX('G_Fall-back'!M:M,MATCH($P1276,'G_Fall-back'!$P:$P,0))="","",INDEX('G_Fall-back'!M:M,MATCH($P1276,'G_Fall-back'!$P:$P,0))))</f>
        <v/>
      </c>
      <c r="N1276" s="823"/>
      <c r="O1276" s="25"/>
      <c r="P1276" s="367" t="str">
        <f>EUconst_CNTR_Emissions &amp; I1245</f>
        <v>DirEmissions_Siltuma līmeņatzīmes apakšiekārta (bez OEP | bez OIM)</v>
      </c>
      <c r="Q1276" s="437"/>
      <c r="R1276" s="437"/>
      <c r="S1276" s="437"/>
      <c r="T1276" s="437"/>
    </row>
    <row r="1277" spans="1:20" s="697" customFormat="1" ht="5.0999999999999996" customHeight="1" x14ac:dyDescent="0.2">
      <c r="A1277" s="437"/>
      <c r="B1277" s="414"/>
      <c r="C1277" s="414"/>
      <c r="D1277" s="414"/>
      <c r="E1277" s="526"/>
      <c r="F1277" s="526"/>
      <c r="G1277" s="526"/>
      <c r="H1277" s="526"/>
      <c r="I1277" s="924"/>
      <c r="J1277" s="924"/>
      <c r="K1277" s="924"/>
      <c r="L1277" s="924"/>
      <c r="M1277" s="924"/>
      <c r="N1277" s="823"/>
      <c r="O1277" s="25"/>
      <c r="P1277" s="437"/>
      <c r="Q1277" s="437"/>
      <c r="R1277" s="437"/>
      <c r="S1277" s="437"/>
      <c r="T1277" s="437"/>
    </row>
    <row r="1278" spans="1:20" s="697" customFormat="1" x14ac:dyDescent="0.2">
      <c r="A1278" s="437"/>
      <c r="B1278" s="414"/>
      <c r="C1278" s="414"/>
      <c r="D1278" s="414"/>
      <c r="E1278" s="1667" t="str">
        <f>Translations!$B$1241</f>
        <v>Neto importētais siltums (citi)</v>
      </c>
      <c r="F1278" s="1660"/>
      <c r="G1278" s="1660"/>
      <c r="H1278" s="466" t="str">
        <f>EUconst_TJpa</f>
        <v>TJ / gads</v>
      </c>
      <c r="I1278" s="922" t="str">
        <f>IF($M1245&lt;&gt;EUconst_Relevant,"",IF(INDEX('G_Fall-back'!I:I,MATCH($P1278,'G_Fall-back'!$P:$P,0))="","",INDEX('G_Fall-back'!I:I,MATCH($P1278,'G_Fall-back'!$P:$P,0))))</f>
        <v/>
      </c>
      <c r="J1278" s="922" t="str">
        <f>IF($M1245&lt;&gt;EUconst_Relevant,"",IF(INDEX('G_Fall-back'!J:J,MATCH($P1278,'G_Fall-back'!$P:$P,0))="","",INDEX('G_Fall-back'!J:J,MATCH($P1278,'G_Fall-back'!$P:$P,0))))</f>
        <v/>
      </c>
      <c r="K1278" s="922" t="str">
        <f>IF($M1245&lt;&gt;EUconst_Relevant,"",IF(INDEX('G_Fall-back'!K:K,MATCH($P1278,'G_Fall-back'!$P:$P,0))="","",INDEX('G_Fall-back'!K:K,MATCH($P1278,'G_Fall-back'!$P:$P,0))))</f>
        <v/>
      </c>
      <c r="L1278" s="922" t="str">
        <f>IF($M1245&lt;&gt;EUconst_Relevant,"",IF(INDEX('G_Fall-back'!L:L,MATCH($P1278,'G_Fall-back'!$P:$P,0))="","",INDEX('G_Fall-back'!L:L,MATCH($P1278,'G_Fall-back'!$P:$P,0))))</f>
        <v/>
      </c>
      <c r="M1278" s="922" t="str">
        <f>IF($M1245&lt;&gt;EUconst_Relevant,"",IF(INDEX('G_Fall-back'!M:M,MATCH($P1278,'G_Fall-back'!$P:$P,0))="","",INDEX('G_Fall-back'!M:M,MATCH($P1278,'G_Fall-back'!$P:$P,0))))</f>
        <v/>
      </c>
      <c r="N1278" s="823"/>
      <c r="O1278" s="25"/>
      <c r="P1278" s="367" t="str">
        <f>EUconst_CNTR_HeatImport &amp; I1245</f>
        <v>HeatIm_Siltuma līmeņatzīmes apakšiekārta (bez OEP | bez OIM)</v>
      </c>
      <c r="Q1278" s="437"/>
      <c r="R1278" s="437"/>
      <c r="S1278" s="437"/>
      <c r="T1278" s="437"/>
    </row>
    <row r="1279" spans="1:20" s="697" customFormat="1" x14ac:dyDescent="0.2">
      <c r="A1279" s="437"/>
      <c r="B1279" s="414"/>
      <c r="C1279" s="414"/>
      <c r="D1279" s="414"/>
      <c r="E1279" s="1737" t="str">
        <f>Translations!$B$765</f>
        <v>Īpatnējais EF (importētais siltums)</v>
      </c>
      <c r="F1279" s="1659"/>
      <c r="G1279" s="1659"/>
      <c r="H1279" s="485" t="str">
        <f>EUconst_tCO2pTJ</f>
        <v>t CO2 / TJ</v>
      </c>
      <c r="I1279" s="923" t="str">
        <f>IF($M1245&lt;&gt;EUconst_Relevant,"",IF(INDEX('G_Fall-back'!I:I,MATCH($P1279,'G_Fall-back'!$P:$P,0))="","",INDEX('G_Fall-back'!I:I,MATCH($P1279,'G_Fall-back'!$P:$P,0))))</f>
        <v/>
      </c>
      <c r="J1279" s="923" t="str">
        <f>IF($M1245&lt;&gt;EUconst_Relevant,"",IF(INDEX('G_Fall-back'!J:J,MATCH($P1279,'G_Fall-back'!$P:$P,0))="","",INDEX('G_Fall-back'!J:J,MATCH($P1279,'G_Fall-back'!$P:$P,0))))</f>
        <v/>
      </c>
      <c r="K1279" s="923" t="str">
        <f>IF($M1245&lt;&gt;EUconst_Relevant,"",IF(INDEX('G_Fall-back'!K:K,MATCH($P1279,'G_Fall-back'!$P:$P,0))="","",INDEX('G_Fall-back'!K:K,MATCH($P1279,'G_Fall-back'!$P:$P,0))))</f>
        <v/>
      </c>
      <c r="L1279" s="923" t="str">
        <f>IF($M1245&lt;&gt;EUconst_Relevant,"",IF(INDEX('G_Fall-back'!L:L,MATCH($P1279,'G_Fall-back'!$P:$P,0))="","",INDEX('G_Fall-back'!L:L,MATCH($P1279,'G_Fall-back'!$P:$P,0))))</f>
        <v/>
      </c>
      <c r="M1279" s="923" t="str">
        <f>IF($M1245&lt;&gt;EUconst_Relevant,"",IF(INDEX('G_Fall-back'!M:M,MATCH($P1279,'G_Fall-back'!$P:$P,0))="","",INDEX('G_Fall-back'!M:M,MATCH($P1279,'G_Fall-back'!$P:$P,0))))</f>
        <v/>
      </c>
      <c r="N1279" s="823"/>
      <c r="O1279" s="25"/>
      <c r="P1279" s="367" t="str">
        <f>EUconst_CNTR_HeatImportEF &amp; I1245</f>
        <v>HeatImEF_Siltuma līmeņatzīmes apakšiekārta (bez OEP | bez OIM)</v>
      </c>
      <c r="Q1279" s="437"/>
      <c r="R1279" s="437"/>
      <c r="S1279" s="437"/>
      <c r="T1279" s="437"/>
    </row>
    <row r="1280" spans="1:20" s="697" customFormat="1" x14ac:dyDescent="0.2">
      <c r="A1280" s="437"/>
      <c r="B1280" s="414"/>
      <c r="C1280" s="414"/>
      <c r="D1280" s="414"/>
      <c r="E1280" s="1667" t="str">
        <f>Translations!$B$1242</f>
        <v>Neto importētais siltums (produkta LA)</v>
      </c>
      <c r="F1280" s="1660"/>
      <c r="G1280" s="1660"/>
      <c r="H1280" s="466" t="str">
        <f>EUconst_TJpa</f>
        <v>TJ / gads</v>
      </c>
      <c r="I1280" s="922" t="str">
        <f>IF($M1245&lt;&gt;EUconst_Relevant,"",IF(INDEX('G_Fall-back'!I:I,MATCH($P1280,'G_Fall-back'!$P:$P,0))="","",INDEX('G_Fall-back'!I:I,MATCH($P1280,'G_Fall-back'!$P:$P,0))))</f>
        <v/>
      </c>
      <c r="J1280" s="922" t="str">
        <f>IF($M1245&lt;&gt;EUconst_Relevant,"",IF(INDEX('G_Fall-back'!J:J,MATCH($P1280,'G_Fall-back'!$P:$P,0))="","",INDEX('G_Fall-back'!J:J,MATCH($P1280,'G_Fall-back'!$P:$P,0))))</f>
        <v/>
      </c>
      <c r="K1280" s="922" t="str">
        <f>IF($M1245&lt;&gt;EUconst_Relevant,"",IF(INDEX('G_Fall-back'!K:K,MATCH($P1280,'G_Fall-back'!$P:$P,0))="","",INDEX('G_Fall-back'!K:K,MATCH($P1280,'G_Fall-back'!$P:$P,0))))</f>
        <v/>
      </c>
      <c r="L1280" s="922" t="str">
        <f>IF($M1245&lt;&gt;EUconst_Relevant,"",IF(INDEX('G_Fall-back'!L:L,MATCH($P1280,'G_Fall-back'!$P:$P,0))="","",INDEX('G_Fall-back'!L:L,MATCH($P1280,'G_Fall-back'!$P:$P,0))))</f>
        <v/>
      </c>
      <c r="M1280" s="922" t="str">
        <f>IF($M1245&lt;&gt;EUconst_Relevant,"",IF(INDEX('G_Fall-back'!M:M,MATCH($P1280,'G_Fall-back'!$P:$P,0))="","",INDEX('G_Fall-back'!M:M,MATCH($P1280,'G_Fall-back'!$P:$P,0))))</f>
        <v/>
      </c>
      <c r="N1280" s="823"/>
      <c r="O1280" s="25"/>
      <c r="P1280" s="367" t="str">
        <f>EUconst_CNTR_HeatImportProduct &amp; I1245</f>
        <v>HeatImProd_Siltuma līmeņatzīmes apakšiekārta (bez OEP | bez OIM)</v>
      </c>
      <c r="Q1280" s="437"/>
      <c r="R1280" s="437"/>
      <c r="S1280" s="437"/>
      <c r="T1280" s="437"/>
    </row>
    <row r="1281" spans="1:20" s="697" customFormat="1" x14ac:dyDescent="0.2">
      <c r="A1281" s="437"/>
      <c r="B1281" s="414"/>
      <c r="C1281" s="414"/>
      <c r="D1281" s="414"/>
      <c r="E1281" s="1737" t="str">
        <f>Translations!$B$868</f>
        <v>Īpatnējais EF (siltums no produkta LA)</v>
      </c>
      <c r="F1281" s="1659"/>
      <c r="G1281" s="1659"/>
      <c r="H1281" s="485" t="str">
        <f>EUconst_tCO2pTJ</f>
        <v>t CO2 / TJ</v>
      </c>
      <c r="I1281" s="923" t="str">
        <f>IF($M1245&lt;&gt;EUconst_Relevant,"",IF(INDEX('G_Fall-back'!I:I,MATCH($P1281,'G_Fall-back'!$P:$P,0))="","",INDEX('G_Fall-back'!I:I,MATCH($P1281,'G_Fall-back'!$P:$P,0))))</f>
        <v/>
      </c>
      <c r="J1281" s="923" t="str">
        <f>IF($M1245&lt;&gt;EUconst_Relevant,"",IF(INDEX('G_Fall-back'!J:J,MATCH($P1281,'G_Fall-back'!$P:$P,0))="","",INDEX('G_Fall-back'!J:J,MATCH($P1281,'G_Fall-back'!$P:$P,0))))</f>
        <v/>
      </c>
      <c r="K1281" s="923" t="str">
        <f>IF($M1245&lt;&gt;EUconst_Relevant,"",IF(INDEX('G_Fall-back'!K:K,MATCH($P1281,'G_Fall-back'!$P:$P,0))="","",INDEX('G_Fall-back'!K:K,MATCH($P1281,'G_Fall-back'!$P:$P,0))))</f>
        <v/>
      </c>
      <c r="L1281" s="923" t="str">
        <f>IF($M1245&lt;&gt;EUconst_Relevant,"",IF(INDEX('G_Fall-back'!L:L,MATCH($P1281,'G_Fall-back'!$P:$P,0))="","",INDEX('G_Fall-back'!L:L,MATCH($P1281,'G_Fall-back'!$P:$P,0))))</f>
        <v/>
      </c>
      <c r="M1281" s="923" t="str">
        <f>IF($M1245&lt;&gt;EUconst_Relevant,"",IF(INDEX('G_Fall-back'!M:M,MATCH($P1281,'G_Fall-back'!$P:$P,0))="","",INDEX('G_Fall-back'!M:M,MATCH($P1281,'G_Fall-back'!$P:$P,0))))</f>
        <v/>
      </c>
      <c r="N1281" s="823"/>
      <c r="O1281" s="25"/>
      <c r="P1281" s="367" t="str">
        <f>EUconst_CNTR_HeatImportProductEF &amp; I1245</f>
        <v>HeatImProdEF_Siltuma līmeņatzīmes apakšiekārta (bez OEP | bez OIM)</v>
      </c>
      <c r="Q1281" s="437"/>
      <c r="R1281" s="437"/>
      <c r="S1281" s="437"/>
      <c r="T1281" s="437"/>
    </row>
    <row r="1282" spans="1:20" s="697" customFormat="1" x14ac:dyDescent="0.2">
      <c r="A1282" s="437"/>
      <c r="B1282" s="414"/>
      <c r="C1282" s="414"/>
      <c r="D1282" s="414"/>
      <c r="E1282" s="1667" t="str">
        <f>Translations!$B$1243</f>
        <v>Neto importētais siltums (pulpa)</v>
      </c>
      <c r="F1282" s="1660"/>
      <c r="G1282" s="1660"/>
      <c r="H1282" s="466" t="str">
        <f>EUconst_TJpa</f>
        <v>TJ / gads</v>
      </c>
      <c r="I1282" s="922" t="str">
        <f>IF($M1245&lt;&gt;EUconst_Relevant,"",IF(INDEX('G_Fall-back'!I:I,MATCH($P1282,'G_Fall-back'!$P:$P,0))="","",INDEX('G_Fall-back'!I:I,MATCH($P1282,'G_Fall-back'!$P:$P,0))))</f>
        <v/>
      </c>
      <c r="J1282" s="922" t="str">
        <f>IF($M1245&lt;&gt;EUconst_Relevant,"",IF(INDEX('G_Fall-back'!J:J,MATCH($P1282,'G_Fall-back'!$P:$P,0))="","",INDEX('G_Fall-back'!J:J,MATCH($P1282,'G_Fall-back'!$P:$P,0))))</f>
        <v/>
      </c>
      <c r="K1282" s="922" t="str">
        <f>IF($M1245&lt;&gt;EUconst_Relevant,"",IF(INDEX('G_Fall-back'!K:K,MATCH($P1282,'G_Fall-back'!$P:$P,0))="","",INDEX('G_Fall-back'!K:K,MATCH($P1282,'G_Fall-back'!$P:$P,0))))</f>
        <v/>
      </c>
      <c r="L1282" s="922" t="str">
        <f>IF($M1245&lt;&gt;EUconst_Relevant,"",IF(INDEX('G_Fall-back'!L:L,MATCH($P1282,'G_Fall-back'!$P:$P,0))="","",INDEX('G_Fall-back'!L:L,MATCH($P1282,'G_Fall-back'!$P:$P,0))))</f>
        <v/>
      </c>
      <c r="M1282" s="922" t="str">
        <f>IF($M1245&lt;&gt;EUconst_Relevant,"",IF(INDEX('G_Fall-back'!M:M,MATCH($P1282,'G_Fall-back'!$P:$P,0))="","",INDEX('G_Fall-back'!M:M,MATCH($P1282,'G_Fall-back'!$P:$P,0))))</f>
        <v/>
      </c>
      <c r="N1282" s="823"/>
      <c r="O1282" s="25"/>
      <c r="P1282" s="367" t="str">
        <f>EUconst_CNTR_HeatImportPulp &amp; I1245</f>
        <v>HeatImPulp_Siltuma līmeņatzīmes apakšiekārta (bez OEP | bez OIM)</v>
      </c>
      <c r="Q1282" s="437"/>
      <c r="R1282" s="437"/>
      <c r="S1282" s="437"/>
      <c r="T1282" s="437"/>
    </row>
    <row r="1283" spans="1:20" s="697" customFormat="1" x14ac:dyDescent="0.2">
      <c r="A1283" s="437"/>
      <c r="B1283" s="414"/>
      <c r="C1283" s="414"/>
      <c r="D1283" s="414"/>
      <c r="E1283" s="1737" t="str">
        <f>Translations!$B$870</f>
        <v>Īpatnējais EF (siltums no pulpas)</v>
      </c>
      <c r="F1283" s="1659"/>
      <c r="G1283" s="1659"/>
      <c r="H1283" s="485" t="str">
        <f>EUconst_tCO2pTJ</f>
        <v>t CO2 / TJ</v>
      </c>
      <c r="I1283" s="923" t="str">
        <f>IF($M1245&lt;&gt;EUconst_Relevant,"",IF(INDEX('G_Fall-back'!I:I,MATCH($P1283,'G_Fall-back'!$P:$P,0))="","",INDEX('G_Fall-back'!I:I,MATCH($P1283,'G_Fall-back'!$P:$P,0))))</f>
        <v/>
      </c>
      <c r="J1283" s="923" t="str">
        <f>IF($M1245&lt;&gt;EUconst_Relevant,"",IF(INDEX('G_Fall-back'!J:J,MATCH($P1283,'G_Fall-back'!$P:$P,0))="","",INDEX('G_Fall-back'!J:J,MATCH($P1283,'G_Fall-back'!$P:$P,0))))</f>
        <v/>
      </c>
      <c r="K1283" s="923" t="str">
        <f>IF($M1245&lt;&gt;EUconst_Relevant,"",IF(INDEX('G_Fall-back'!K:K,MATCH($P1283,'G_Fall-back'!$P:$P,0))="","",INDEX('G_Fall-back'!K:K,MATCH($P1283,'G_Fall-back'!$P:$P,0))))</f>
        <v/>
      </c>
      <c r="L1283" s="923" t="str">
        <f>IF($M1245&lt;&gt;EUconst_Relevant,"",IF(INDEX('G_Fall-back'!L:L,MATCH($P1283,'G_Fall-back'!$P:$P,0))="","",INDEX('G_Fall-back'!L:L,MATCH($P1283,'G_Fall-back'!$P:$P,0))))</f>
        <v/>
      </c>
      <c r="M1283" s="923" t="str">
        <f>IF($M1245&lt;&gt;EUconst_Relevant,"",IF(INDEX('G_Fall-back'!M:M,MATCH($P1283,'G_Fall-back'!$P:$P,0))="","",INDEX('G_Fall-back'!M:M,MATCH($P1283,'G_Fall-back'!$P:$P,0))))</f>
        <v/>
      </c>
      <c r="N1283" s="823"/>
      <c r="O1283" s="25"/>
      <c r="P1283" s="367" t="str">
        <f>EUconst_CNTR_HeatImportPulpEF &amp; I1245</f>
        <v>HeatImPulpEF_Siltuma līmeņatzīmes apakšiekārta (bez OEP | bez OIM)</v>
      </c>
      <c r="Q1283" s="437"/>
      <c r="R1283" s="437"/>
      <c r="S1283" s="437"/>
      <c r="T1283" s="437"/>
    </row>
    <row r="1284" spans="1:20" s="697" customFormat="1" x14ac:dyDescent="0.2">
      <c r="A1284" s="437"/>
      <c r="B1284" s="414"/>
      <c r="C1284" s="414"/>
      <c r="D1284" s="414"/>
      <c r="E1284" s="1667" t="str">
        <f>Translations!$B$1244</f>
        <v>Neto importētais siltums (kurināmā LA)</v>
      </c>
      <c r="F1284" s="1660"/>
      <c r="G1284" s="1660"/>
      <c r="H1284" s="466" t="str">
        <f>EUconst_TJpa</f>
        <v>TJ / gads</v>
      </c>
      <c r="I1284" s="922" t="str">
        <f>IF($M1245&lt;&gt;EUconst_Relevant,"",IF(INDEX('G_Fall-back'!I:I,MATCH($P1284,'G_Fall-back'!$P:$P,0))="","",INDEX('G_Fall-back'!I:I,MATCH($P1284,'G_Fall-back'!$P:$P,0))))</f>
        <v/>
      </c>
      <c r="J1284" s="922" t="str">
        <f>IF($M1245&lt;&gt;EUconst_Relevant,"",IF(INDEX('G_Fall-back'!J:J,MATCH($P1284,'G_Fall-back'!$P:$P,0))="","",INDEX('G_Fall-back'!J:J,MATCH($P1284,'G_Fall-back'!$P:$P,0))))</f>
        <v/>
      </c>
      <c r="K1284" s="922" t="str">
        <f>IF($M1245&lt;&gt;EUconst_Relevant,"",IF(INDEX('G_Fall-back'!K:K,MATCH($P1284,'G_Fall-back'!$P:$P,0))="","",INDEX('G_Fall-back'!K:K,MATCH($P1284,'G_Fall-back'!$P:$P,0))))</f>
        <v/>
      </c>
      <c r="L1284" s="922" t="str">
        <f>IF($M1245&lt;&gt;EUconst_Relevant,"",IF(INDEX('G_Fall-back'!L:L,MATCH($P1284,'G_Fall-back'!$P:$P,0))="","",INDEX('G_Fall-back'!L:L,MATCH($P1284,'G_Fall-back'!$P:$P,0))))</f>
        <v/>
      </c>
      <c r="M1284" s="922" t="str">
        <f>IF($M1245&lt;&gt;EUconst_Relevant,"",IF(INDEX('G_Fall-back'!M:M,MATCH($P1284,'G_Fall-back'!$P:$P,0))="","",INDEX('G_Fall-back'!M:M,MATCH($P1284,'G_Fall-back'!$P:$P,0))))</f>
        <v/>
      </c>
      <c r="N1284" s="823"/>
      <c r="O1284" s="25"/>
      <c r="P1284" s="367" t="str">
        <f>EUconst_CNTR_HeatImportFuel &amp; I1245</f>
        <v>HeatImFuel_Siltuma līmeņatzīmes apakšiekārta (bez OEP | bez OIM)</v>
      </c>
      <c r="Q1284" s="437"/>
      <c r="R1284" s="437"/>
      <c r="S1284" s="437"/>
      <c r="T1284" s="437"/>
    </row>
    <row r="1285" spans="1:20" s="697" customFormat="1" x14ac:dyDescent="0.2">
      <c r="A1285" s="437"/>
      <c r="B1285" s="414"/>
      <c r="C1285" s="414"/>
      <c r="D1285" s="414"/>
      <c r="E1285" s="1737" t="str">
        <f>Translations!$B$872</f>
        <v>Īpatnējais EF (no kurināmā LA)</v>
      </c>
      <c r="F1285" s="1737"/>
      <c r="G1285" s="1737"/>
      <c r="H1285" s="824" t="str">
        <f>EUconst_tCO2pTJ</f>
        <v>t CO2 / TJ</v>
      </c>
      <c r="I1285" s="923" t="str">
        <f>IF($M1245&lt;&gt;EUconst_Relevant,"",IF(INDEX('G_Fall-back'!I:I,MATCH($P1285,'G_Fall-back'!$P:$P,0))="","",INDEX('G_Fall-back'!I:I,MATCH($P1285,'G_Fall-back'!$P:$P,0))))</f>
        <v/>
      </c>
      <c r="J1285" s="923" t="str">
        <f>IF($M1245&lt;&gt;EUconst_Relevant,"",IF(INDEX('G_Fall-back'!J:J,MATCH($P1285,'G_Fall-back'!$P:$P,0))="","",INDEX('G_Fall-back'!J:J,MATCH($P1285,'G_Fall-back'!$P:$P,0))))</f>
        <v/>
      </c>
      <c r="K1285" s="923" t="str">
        <f>IF($M1245&lt;&gt;EUconst_Relevant,"",IF(INDEX('G_Fall-back'!K:K,MATCH($P1285,'G_Fall-back'!$P:$P,0))="","",INDEX('G_Fall-back'!K:K,MATCH($P1285,'G_Fall-back'!$P:$P,0))))</f>
        <v/>
      </c>
      <c r="L1285" s="923" t="str">
        <f>IF($M1245&lt;&gt;EUconst_Relevant,"",IF(INDEX('G_Fall-back'!L:L,MATCH($P1285,'G_Fall-back'!$P:$P,0))="","",INDEX('G_Fall-back'!L:L,MATCH($P1285,'G_Fall-back'!$P:$P,0))))</f>
        <v/>
      </c>
      <c r="M1285" s="923" t="str">
        <f>IF($M1245&lt;&gt;EUconst_Relevant,"",IF(INDEX('G_Fall-back'!M:M,MATCH($P1285,'G_Fall-back'!$P:$P,0))="","",INDEX('G_Fall-back'!M:M,MATCH($P1285,'G_Fall-back'!$P:$P,0))))</f>
        <v/>
      </c>
      <c r="N1285" s="823"/>
      <c r="O1285" s="25"/>
      <c r="P1285" s="367" t="str">
        <f>EUconst_CNTR_HeatImportFuelEF &amp; I1245</f>
        <v>HeatImFuelEF_Siltuma līmeņatzīmes apakšiekārta (bez OEP | bez OIM)</v>
      </c>
      <c r="Q1285" s="437"/>
      <c r="R1285" s="437"/>
      <c r="S1285" s="437"/>
      <c r="T1285" s="437"/>
    </row>
    <row r="1286" spans="1:20" s="697" customFormat="1" x14ac:dyDescent="0.2">
      <c r="A1286" s="437"/>
      <c r="B1286" s="414"/>
      <c r="C1286" s="414"/>
      <c r="D1286" s="414"/>
      <c r="E1286" s="1667" t="str">
        <f>Translations!$B$1245</f>
        <v>Neto importētais siltums (atlikumgāze)</v>
      </c>
      <c r="F1286" s="1660"/>
      <c r="G1286" s="1660"/>
      <c r="H1286" s="466" t="str">
        <f>EUconst_TJpa</f>
        <v>TJ / gads</v>
      </c>
      <c r="I1286" s="922" t="str">
        <f>IF($M1245&lt;&gt;EUconst_Relevant,"",IF(INDEX('G_Fall-back'!I:I,MATCH($P1286,'G_Fall-back'!$P:$P,0))="","",INDEX('G_Fall-back'!I:I,MATCH($P1286,'G_Fall-back'!$P:$P,0))))</f>
        <v/>
      </c>
      <c r="J1286" s="922" t="str">
        <f>IF($M1245&lt;&gt;EUconst_Relevant,"",IF(INDEX('G_Fall-back'!J:J,MATCH($P1286,'G_Fall-back'!$P:$P,0))="","",INDEX('G_Fall-back'!J:J,MATCH($P1286,'G_Fall-back'!$P:$P,0))))</f>
        <v/>
      </c>
      <c r="K1286" s="922" t="str">
        <f>IF($M1245&lt;&gt;EUconst_Relevant,"",IF(INDEX('G_Fall-back'!K:K,MATCH($P1286,'G_Fall-back'!$P:$P,0))="","",INDEX('G_Fall-back'!K:K,MATCH($P1286,'G_Fall-back'!$P:$P,0))))</f>
        <v/>
      </c>
      <c r="L1286" s="922" t="str">
        <f>IF($M1245&lt;&gt;EUconst_Relevant,"",IF(INDEX('G_Fall-back'!L:L,MATCH($P1286,'G_Fall-back'!$P:$P,0))="","",INDEX('G_Fall-back'!L:L,MATCH($P1286,'G_Fall-back'!$P:$P,0))))</f>
        <v/>
      </c>
      <c r="M1286" s="922" t="str">
        <f>IF($M1245&lt;&gt;EUconst_Relevant,"",IF(INDEX('G_Fall-back'!M:M,MATCH($P1286,'G_Fall-back'!$P:$P,0))="","",INDEX('G_Fall-back'!M:M,MATCH($P1286,'G_Fall-back'!$P:$P,0))))</f>
        <v/>
      </c>
      <c r="N1286" s="823"/>
      <c r="O1286" s="25"/>
      <c r="P1286" s="367" t="str">
        <f>EUconst_CNTR_WGImport &amp; I1245</f>
        <v>WasteGasIm_Siltuma līmeņatzīmes apakšiekārta (bez OEP | bez OIM)</v>
      </c>
      <c r="Q1286" s="437"/>
      <c r="R1286" s="437"/>
      <c r="S1286" s="437"/>
      <c r="T1286" s="437"/>
    </row>
    <row r="1287" spans="1:20" s="697" customFormat="1" x14ac:dyDescent="0.2">
      <c r="A1287" s="437"/>
      <c r="B1287" s="414"/>
      <c r="C1287" s="414"/>
      <c r="D1287" s="414"/>
      <c r="E1287" s="1737" t="str">
        <f>Translations!$B$874</f>
        <v>Īpatnējais EF (no atlikumgāzēm)</v>
      </c>
      <c r="F1287" s="1737"/>
      <c r="G1287" s="1737"/>
      <c r="H1287" s="824" t="str">
        <f>EUconst_tCO2pTJ</f>
        <v>t CO2 / TJ</v>
      </c>
      <c r="I1287" s="923" t="str">
        <f>IF($M1245&lt;&gt;EUconst_Relevant,"",IF(INDEX('G_Fall-back'!I:I,MATCH($P1287,'G_Fall-back'!$P:$P,0))="","",INDEX('G_Fall-back'!I:I,MATCH($P1287,'G_Fall-back'!$P:$P,0))))</f>
        <v/>
      </c>
      <c r="J1287" s="923" t="str">
        <f>IF($M1245&lt;&gt;EUconst_Relevant,"",IF(INDEX('G_Fall-back'!J:J,MATCH($P1287,'G_Fall-back'!$P:$P,0))="","",INDEX('G_Fall-back'!J:J,MATCH($P1287,'G_Fall-back'!$P:$P,0))))</f>
        <v/>
      </c>
      <c r="K1287" s="923" t="str">
        <f>IF($M1245&lt;&gt;EUconst_Relevant,"",IF(INDEX('G_Fall-back'!K:K,MATCH($P1287,'G_Fall-back'!$P:$P,0))="","",INDEX('G_Fall-back'!K:K,MATCH($P1287,'G_Fall-back'!$P:$P,0))))</f>
        <v/>
      </c>
      <c r="L1287" s="923" t="str">
        <f>IF($M1245&lt;&gt;EUconst_Relevant,"",IF(INDEX('G_Fall-back'!L:L,MATCH($P1287,'G_Fall-back'!$P:$P,0))="","",INDEX('G_Fall-back'!L:L,MATCH($P1287,'G_Fall-back'!$P:$P,0))))</f>
        <v/>
      </c>
      <c r="M1287" s="923" t="str">
        <f>IF($M1245&lt;&gt;EUconst_Relevant,"",IF(INDEX('G_Fall-back'!M:M,MATCH($P1287,'G_Fall-back'!$P:$P,0))="","",INDEX('G_Fall-back'!M:M,MATCH($P1287,'G_Fall-back'!$P:$P,0))))</f>
        <v/>
      </c>
      <c r="N1287" s="823"/>
      <c r="O1287" s="25"/>
      <c r="P1287" s="367" t="str">
        <f>EUconst_CNTR_WGImportEF &amp; I1245</f>
        <v>WasteGasImEF_Siltuma līmeņatzīmes apakšiekārta (bez OEP | bez OIM)</v>
      </c>
      <c r="Q1287" s="437"/>
      <c r="R1287" s="437"/>
      <c r="S1287" s="437"/>
      <c r="T1287" s="437"/>
    </row>
    <row r="1288" spans="1:20" s="697" customFormat="1" ht="12.75" customHeight="1" x14ac:dyDescent="0.2">
      <c r="A1288" s="437"/>
      <c r="B1288" s="414"/>
      <c r="C1288" s="414"/>
      <c r="D1288" s="414"/>
      <c r="E1288" s="823"/>
      <c r="F1288" s="823"/>
      <c r="G1288" s="823"/>
      <c r="H1288" s="823"/>
      <c r="I1288" s="823"/>
      <c r="J1288" s="823"/>
      <c r="K1288" s="823"/>
      <c r="L1288" s="823"/>
      <c r="M1288" s="823"/>
      <c r="N1288" s="823"/>
      <c r="O1288" s="25"/>
      <c r="P1288" s="437"/>
      <c r="Q1288" s="437"/>
      <c r="R1288" s="437"/>
      <c r="S1288" s="437"/>
      <c r="T1288" s="437"/>
    </row>
    <row r="1289" spans="1:20" s="697" customFormat="1" ht="13.5" thickBot="1" x14ac:dyDescent="0.25">
      <c r="A1289" s="437"/>
      <c r="B1289" s="414"/>
      <c r="C1289" s="414"/>
      <c r="D1289" s="414"/>
      <c r="E1289" s="414"/>
      <c r="F1289" s="414"/>
      <c r="G1289" s="414"/>
      <c r="M1289" s="414"/>
      <c r="N1289" s="414"/>
      <c r="O1289" s="25"/>
      <c r="P1289" s="437"/>
      <c r="Q1289" s="437"/>
      <c r="R1289" s="437"/>
      <c r="S1289" s="437"/>
      <c r="T1289" s="437"/>
    </row>
    <row r="1290" spans="1:20" s="697" customFormat="1" ht="12.75" customHeight="1" thickBot="1" x14ac:dyDescent="0.25">
      <c r="A1290" s="437"/>
      <c r="B1290" s="21"/>
      <c r="C1290" s="294"/>
      <c r="D1290" s="294"/>
      <c r="E1290" s="294"/>
      <c r="F1290" s="294"/>
      <c r="G1290" s="294"/>
      <c r="H1290" s="294"/>
      <c r="I1290" s="294"/>
      <c r="J1290" s="294"/>
      <c r="K1290" s="294"/>
      <c r="L1290" s="294"/>
      <c r="M1290" s="294"/>
      <c r="N1290" s="294"/>
      <c r="O1290" s="25"/>
      <c r="P1290" s="437"/>
      <c r="Q1290" s="437"/>
      <c r="R1290" s="437"/>
      <c r="S1290" s="437"/>
      <c r="T1290" s="26" t="s">
        <v>560</v>
      </c>
    </row>
    <row r="1291" spans="1:20" s="697" customFormat="1" ht="15" customHeight="1" thickBot="1" x14ac:dyDescent="0.3">
      <c r="A1291" s="437"/>
      <c r="B1291" s="414"/>
      <c r="C1291" s="36">
        <f>C1245+1</f>
        <v>13</v>
      </c>
      <c r="D1291" s="1318" t="str">
        <f>CONCATENATE(EUconst_FBSubinst," ",C1291-10, ":")</f>
        <v>Alternatīva apakšiekārta 3:</v>
      </c>
      <c r="E1291" s="1251"/>
      <c r="F1291" s="1251"/>
      <c r="G1291" s="1251"/>
      <c r="H1291" s="1328"/>
      <c r="I1291" s="1877" t="str">
        <f>INDEX(EUconst_FallBackListNames,$C1291-10)</f>
        <v>Siltuma līmeņatzīmes apakšiekārta, OEP | OIM)</v>
      </c>
      <c r="J1291" s="1878"/>
      <c r="K1291" s="1878"/>
      <c r="L1291" s="1879"/>
      <c r="M1291" s="1783" t="str">
        <f>IF(ISBLANK(INDEX(CNTR_FallBackSubInstRelevant,C1291-10)),"",IF(INDEX(CNTR_FallBackSubInstRelevant,C1291-10),EUconst_Relevant,EUconst_NotRelevant))</f>
        <v/>
      </c>
      <c r="N1291" s="1784"/>
      <c r="O1291" s="25"/>
      <c r="P1291" s="437"/>
      <c r="Q1291" s="904">
        <f>C1291</f>
        <v>13</v>
      </c>
      <c r="R1291" s="901" t="str">
        <f>I1291</f>
        <v>Siltuma līmeņatzīmes apakšiekārta, OEP | OIM)</v>
      </c>
      <c r="S1291" s="903" t="b">
        <f>H1294</f>
        <v>1</v>
      </c>
      <c r="T1291" s="902" t="str">
        <f>IF(M1303="","",IF(S1294=0,0,SUM(M1303)/S1294))</f>
        <v/>
      </c>
    </row>
    <row r="1292" spans="1:20" s="697" customFormat="1" ht="5.0999999999999996" customHeight="1" thickBot="1" x14ac:dyDescent="0.25">
      <c r="A1292" s="437"/>
      <c r="B1292" s="414"/>
      <c r="C1292" s="414"/>
      <c r="D1292" s="414"/>
      <c r="E1292" s="414"/>
      <c r="F1292" s="414"/>
      <c r="G1292" s="414"/>
      <c r="H1292" s="414"/>
      <c r="I1292" s="414"/>
      <c r="J1292" s="414"/>
      <c r="K1292" s="414"/>
      <c r="L1292" s="414"/>
      <c r="M1292" s="414"/>
      <c r="N1292" s="414"/>
      <c r="O1292" s="25"/>
      <c r="P1292" s="437"/>
      <c r="Q1292" s="437"/>
      <c r="R1292" s="437"/>
      <c r="S1292" s="437"/>
      <c r="T1292" s="26"/>
    </row>
    <row r="1293" spans="1:20" s="697" customFormat="1" ht="13.5" thickBot="1" x14ac:dyDescent="0.25">
      <c r="A1293" s="437"/>
      <c r="B1293" s="414"/>
      <c r="C1293" s="414"/>
      <c r="D1293" s="414"/>
      <c r="E1293" s="414"/>
      <c r="F1293" s="414"/>
      <c r="G1293" s="414"/>
      <c r="H1293" s="647" t="str">
        <f>Translations!$B$1204</f>
        <v>Pakļauta OEP</v>
      </c>
      <c r="I1293" s="647" t="str">
        <f>Translations!$B$1208</f>
        <v>Ekspl. sākta</v>
      </c>
      <c r="J1293" s="647" t="str">
        <f>Translations!$B$1212</f>
        <v>15(7)3?</v>
      </c>
      <c r="L1293" s="1172" t="str">
        <f>Translations!$B$1206</f>
        <v>LA Nr.</v>
      </c>
      <c r="M1293" s="989" t="str">
        <f>Translations!$B$1234</f>
        <v>LA vērtība (min./maks./fakt.)</v>
      </c>
      <c r="N1293" s="990"/>
      <c r="O1293" s="25"/>
      <c r="P1293" s="437"/>
      <c r="Q1293" s="437"/>
      <c r="R1293" s="646" t="s">
        <v>641</v>
      </c>
      <c r="S1293" s="903" t="b">
        <f>H1296</f>
        <v>1</v>
      </c>
      <c r="T1293" s="26"/>
    </row>
    <row r="1294" spans="1:20" s="697" customFormat="1" x14ac:dyDescent="0.2">
      <c r="A1294" s="437"/>
      <c r="B1294" s="414"/>
      <c r="C1294" s="414"/>
      <c r="D1294" s="414"/>
      <c r="E1294" s="649" t="str">
        <f>I1291</f>
        <v>Siltuma līmeņatzīmes apakšiekārta, OEP | OIM)</v>
      </c>
      <c r="F1294" s="650"/>
      <c r="G1294" s="594"/>
      <c r="H1294" s="651" t="b">
        <f>INDEX(EUconst_FallBackListCLstatus,MATCH(I1291,EUconst_FallBackListNames,0))</f>
        <v>1</v>
      </c>
      <c r="I1294" s="1171" t="str">
        <f>IF(M1291&lt;&gt;EUconst_Relevant,"",INDEX(CNTR_SubInstStartDate,MATCH(E1294,CNTR_SubInstListNames,0)))</f>
        <v/>
      </c>
      <c r="J1294" s="651" t="str">
        <f>IF(M1291&lt;&gt;EUconst_Relevant,"",INDEX(CNTR_SubInstLess1Year,MATCH(E1294,CNTR_SubInstListNames,0)))</f>
        <v/>
      </c>
      <c r="L1294" s="1173">
        <f>C1291-10</f>
        <v>3</v>
      </c>
      <c r="M1294" s="995" t="str">
        <f>IF(M1291&lt;&gt;EUconst_Relevant,"",INDEX(EUconst_FallBackListBMvaluesMatrix,L1294,2))</f>
        <v/>
      </c>
      <c r="N1294" s="992" t="str">
        <f>EUconst_EUA &amp; "/" &amp; H1299</f>
        <v>ESK/TJ</v>
      </c>
      <c r="O1294" s="25"/>
      <c r="P1294" s="437"/>
      <c r="Q1294" s="437"/>
      <c r="R1294" s="732" t="s">
        <v>554</v>
      </c>
      <c r="S1294" s="815">
        <f>IF(H1294,1,INDEX(EUconst_CLEFYears,1))</f>
        <v>1</v>
      </c>
      <c r="T1294" s="437"/>
    </row>
    <row r="1295" spans="1:20" s="697" customFormat="1" x14ac:dyDescent="0.2">
      <c r="A1295" s="437"/>
      <c r="B1295" s="414"/>
      <c r="C1295" s="414"/>
      <c r="H1295" s="647" t="s">
        <v>623</v>
      </c>
      <c r="M1295" s="995" t="str">
        <f>IF(M1291&lt;&gt;EUconst_Relevant,"",INDEX(EUconst_FallBackListBMvaluesMatrix,L1294,1))</f>
        <v/>
      </c>
      <c r="N1295" s="992" t="str">
        <f>EUconst_EUA &amp; "/" &amp; H1299</f>
        <v>ESK/TJ</v>
      </c>
      <c r="O1295" s="25"/>
      <c r="P1295" s="437"/>
      <c r="Q1295" s="437"/>
      <c r="R1295" s="732"/>
      <c r="S1295" s="866"/>
      <c r="T1295" s="437"/>
    </row>
    <row r="1296" spans="1:20" s="697" customFormat="1" ht="13.5" thickBot="1" x14ac:dyDescent="0.25">
      <c r="A1296" s="437"/>
      <c r="B1296" s="414"/>
      <c r="C1296" s="414"/>
      <c r="H1296" s="651" t="b">
        <f>INDEX(EUconst_FallBackListCBAMstatus,MATCH(I1291,EUconst_FallBackListNames,0))</f>
        <v>1</v>
      </c>
      <c r="M1296" s="996" t="str">
        <f>IF(M1291&lt;&gt;EUconst_Relevant,"",IF(EUconst_StatusOfDataCollection,INDEX(EUconst_FallBackListBMvaluesMatrix,L1294,3),""))</f>
        <v/>
      </c>
      <c r="N1296" s="994" t="str">
        <f>EUconst_EUA &amp; "/" &amp; H1299</f>
        <v>ESK/TJ</v>
      </c>
      <c r="O1296" s="25"/>
      <c r="P1296" s="437"/>
      <c r="Q1296" s="437"/>
      <c r="R1296" s="732"/>
      <c r="S1296" s="866"/>
      <c r="T1296" s="437"/>
    </row>
    <row r="1297" spans="1:20" s="697" customFormat="1" ht="5.0999999999999996" customHeight="1" x14ac:dyDescent="0.2">
      <c r="A1297" s="437"/>
      <c r="B1297" s="414"/>
      <c r="C1297" s="414"/>
      <c r="D1297" s="414"/>
      <c r="E1297" s="414"/>
      <c r="F1297" s="414"/>
      <c r="G1297" s="414"/>
      <c r="H1297" s="414"/>
      <c r="I1297" s="414"/>
      <c r="J1297" s="414"/>
      <c r="K1297" s="414"/>
      <c r="L1297" s="414"/>
      <c r="M1297" s="414"/>
      <c r="N1297" s="414"/>
      <c r="O1297" s="25"/>
      <c r="P1297" s="437"/>
      <c r="Q1297" s="437"/>
      <c r="R1297" s="437"/>
      <c r="S1297" s="437"/>
      <c r="T1297" s="437"/>
    </row>
    <row r="1298" spans="1:20" s="697" customFormat="1" x14ac:dyDescent="0.2">
      <c r="A1298" s="437"/>
      <c r="B1298" s="414"/>
      <c r="C1298" s="414"/>
      <c r="D1298" s="414"/>
      <c r="E1298" s="652"/>
      <c r="F1298" s="652"/>
      <c r="G1298" s="653"/>
      <c r="H1298" s="647" t="str">
        <f>EUconst_Unit</f>
        <v>Vienība</v>
      </c>
      <c r="I1298" s="447">
        <f>I$1652</f>
        <v>2019</v>
      </c>
      <c r="J1298" s="447">
        <f>J$1652</f>
        <v>2020</v>
      </c>
      <c r="K1298" s="447">
        <f>K$1652</f>
        <v>2021</v>
      </c>
      <c r="L1298" s="447">
        <f>L$1652</f>
        <v>2022</v>
      </c>
      <c r="M1298" s="447">
        <f>M$1652</f>
        <v>2023</v>
      </c>
      <c r="N1298" s="414"/>
      <c r="O1298" s="25"/>
      <c r="P1298" s="202" t="s">
        <v>228</v>
      </c>
      <c r="Q1298" s="437"/>
      <c r="R1298" s="437"/>
      <c r="S1298" s="437"/>
      <c r="T1298" s="437"/>
    </row>
    <row r="1299" spans="1:20" s="697" customFormat="1" x14ac:dyDescent="0.2">
      <c r="A1299" s="437"/>
      <c r="B1299" s="414"/>
      <c r="C1299" s="414"/>
      <c r="D1299" s="414"/>
      <c r="E1299" s="654" t="str">
        <f>Translations!$B$1236</f>
        <v>Ziņotais HAL (vēsturiskais darbības līmenis)</v>
      </c>
      <c r="F1299" s="655"/>
      <c r="G1299" s="656"/>
      <c r="H1299" s="651" t="str">
        <f>INDEX(EUconst_FallBackListUnits,L1294)</f>
        <v>TJ</v>
      </c>
      <c r="I1299" s="546" t="str">
        <f>IF($M1291&lt;&gt;EUconst_Relevant,"",SUMIF('G_Fall-back'!$P:$P,$P1300,'G_Fall-back'!I:I))</f>
        <v/>
      </c>
      <c r="J1299" s="546" t="str">
        <f>IF($M1291&lt;&gt;EUconst_Relevant,"",SUMIF('G_Fall-back'!$P:$P,$P1300,'G_Fall-back'!J:J))</f>
        <v/>
      </c>
      <c r="K1299" s="546" t="str">
        <f>IF($M1291&lt;&gt;EUconst_Relevant,"",SUMIF('G_Fall-back'!$P:$P,$P1300,'G_Fall-back'!K:K))</f>
        <v/>
      </c>
      <c r="L1299" s="546" t="str">
        <f>IF($M1291&lt;&gt;EUconst_Relevant,"",SUMIF('G_Fall-back'!$P:$P,$P1300,'G_Fall-back'!L:L))</f>
        <v/>
      </c>
      <c r="M1299" s="546" t="str">
        <f>IF($M1291&lt;&gt;EUconst_Relevant,"",SUMIF('G_Fall-back'!$P:$P,$P1300,'G_Fall-back'!M:M))</f>
        <v/>
      </c>
      <c r="N1299" s="648" t="s">
        <v>625</v>
      </c>
      <c r="O1299" s="25"/>
      <c r="P1299" s="202" t="str">
        <f>EUconst_CNTR_HAL&amp;I1291</f>
        <v>HAL_Siltuma līmeņatzīmes apakšiekārta, OEP | OIM)</v>
      </c>
      <c r="Q1299" s="437"/>
      <c r="R1299" s="437"/>
      <c r="S1299" s="437"/>
      <c r="T1299" s="26"/>
    </row>
    <row r="1300" spans="1:20" s="697" customFormat="1" x14ac:dyDescent="0.2">
      <c r="A1300" s="437"/>
      <c r="B1300" s="414"/>
      <c r="C1300" s="414"/>
      <c r="D1300" s="414"/>
      <c r="E1300" s="654" t="str">
        <f>Translations!$B$1237</f>
        <v>HAL aprēķinam izmantotās vērtības:</v>
      </c>
      <c r="F1300" s="655"/>
      <c r="G1300" s="656"/>
      <c r="H1300" s="651" t="str">
        <f>H1299</f>
        <v>TJ</v>
      </c>
      <c r="I1300" s="442" t="str">
        <f>IF($M1291&lt;&gt;EUconst_Relevant,"",INDEX('G_Fall-back'!S:S,MATCH($P1300,'G_Fall-back'!$P:$P,0)))</f>
        <v/>
      </c>
      <c r="J1300" s="442" t="str">
        <f>IF($M1291&lt;&gt;EUconst_Relevant,"",INDEX('G_Fall-back'!T:T,MATCH($P1300,'G_Fall-back'!$P:$P,0)))</f>
        <v/>
      </c>
      <c r="K1300" s="442" t="str">
        <f>IF($M1291&lt;&gt;EUconst_Relevant,"",INDEX('G_Fall-back'!U:U,MATCH($P1300,'G_Fall-back'!$P:$P,0)))</f>
        <v/>
      </c>
      <c r="L1300" s="442" t="str">
        <f>IF($M1291&lt;&gt;EUconst_Relevant,"",INDEX('G_Fall-back'!V:V,MATCH($P1300,'G_Fall-back'!$P:$P,0)))</f>
        <v/>
      </c>
      <c r="M1300" s="442" t="str">
        <f>IF($M1291&lt;&gt;EUconst_Relevant,"",INDEX('G_Fall-back'!W:W,MATCH($P1300,'G_Fall-back'!$P:$P,0)))</f>
        <v/>
      </c>
      <c r="N1300" s="546" t="str">
        <f>IF(OR($M1291&lt;&gt;EUconst_Relevant,$J1294=TRUE),"",IF(COUNT($I1300:$M1300)&gt;0,MEDIAN($I1300:$M1300),""))</f>
        <v/>
      </c>
      <c r="O1300" s="25"/>
      <c r="P1300" s="202" t="str">
        <f>EUconst_CNTR_HAL&amp;I1291</f>
        <v>HAL_Siltuma līmeņatzīmes apakšiekārta, OEP | OIM)</v>
      </c>
      <c r="Q1300" s="437"/>
      <c r="R1300" s="931" t="s">
        <v>604</v>
      </c>
      <c r="S1300" s="931" t="s">
        <v>605</v>
      </c>
      <c r="T1300" s="931" t="s">
        <v>606</v>
      </c>
    </row>
    <row r="1301" spans="1:20" s="697" customFormat="1" ht="5.0999999999999996" customHeight="1" thickBot="1" x14ac:dyDescent="0.25">
      <c r="A1301" s="437"/>
      <c r="B1301" s="414"/>
      <c r="C1301" s="414"/>
      <c r="D1301" s="414"/>
      <c r="E1301" s="414"/>
      <c r="F1301" s="414"/>
      <c r="G1301" s="414"/>
      <c r="H1301" s="414"/>
      <c r="I1301" s="414"/>
      <c r="J1301" s="414"/>
      <c r="K1301" s="414"/>
      <c r="L1301" s="414"/>
      <c r="M1301" s="414"/>
      <c r="N1301" s="414"/>
      <c r="O1301" s="25"/>
      <c r="P1301" s="437"/>
      <c r="Q1301" s="437"/>
      <c r="R1301" s="437"/>
      <c r="S1301" s="437"/>
      <c r="T1301" s="26"/>
    </row>
    <row r="1302" spans="1:20" s="697" customFormat="1" ht="13.5" thickBot="1" x14ac:dyDescent="0.25">
      <c r="A1302" s="437"/>
      <c r="B1302" s="414"/>
      <c r="C1302" s="414"/>
      <c r="D1302" s="414"/>
      <c r="E1302" s="414"/>
      <c r="F1302" s="657" t="str">
        <f>Translations!$B$1728</f>
        <v>HAL kopā</v>
      </c>
      <c r="G1302" s="817"/>
      <c r="H1302" s="414"/>
      <c r="I1302" s="816" t="str">
        <f>Translations!$B$1226</f>
        <v>1. gada prov. ied. apj. (min.)</v>
      </c>
      <c r="J1302" s="817"/>
      <c r="K1302" s="816" t="str">
        <f>Translations!$B$1229</f>
        <v>1. gada prov. ied. apj. (maks.)</v>
      </c>
      <c r="L1302" s="817"/>
      <c r="M1302" s="816" t="str">
        <f>Translations!$B$1231</f>
        <v>1. gada prov. ied. apj. (fakt.)</v>
      </c>
      <c r="N1302" s="817"/>
      <c r="O1302" s="25"/>
      <c r="P1302" s="202" t="str">
        <f>EUconst_AllocPrelim&amp;I1291</f>
        <v>AllocPrelim_Siltuma līmeņatzīmes apakšiekārta, OEP | OIM)</v>
      </c>
      <c r="Q1302" s="437"/>
      <c r="R1302" s="900" t="str">
        <f>IF(I1303="","",IF(S1294=0,0,SUM(I1303)/S1294))</f>
        <v/>
      </c>
      <c r="S1302" s="900" t="str">
        <f>IF(K1303="","",IF(S1294=0,0,SUM(K1303)/S1294))</f>
        <v/>
      </c>
      <c r="T1302" s="900" t="str">
        <f>T1291</f>
        <v/>
      </c>
    </row>
    <row r="1303" spans="1:20" s="697" customFormat="1" ht="13.5" thickBot="1" x14ac:dyDescent="0.25">
      <c r="A1303" s="437"/>
      <c r="B1303" s="414"/>
      <c r="C1303" s="414"/>
      <c r="D1303" s="414"/>
      <c r="E1303" s="414"/>
      <c r="F1303" s="658" t="str">
        <f>IF(M1291&lt;&gt;EUconst_Relevant,"",MAX(0, IF(J1294=TRUE, SUM(K1294), SUM(N1300))))</f>
        <v/>
      </c>
      <c r="G1303" s="884" t="str">
        <f>H1300&amp;" / "&amp;EUconst_Year</f>
        <v>TJ / gads</v>
      </c>
      <c r="H1303" s="414"/>
      <c r="I1303" s="814" t="str">
        <f>IF(M1291&lt;&gt;EUconst_Relevant,"",ROUND(SUM(M1294)*SUM(F1303)*SUM(S1294),0))</f>
        <v/>
      </c>
      <c r="J1303" s="884" t="str">
        <f>EUconst_EUApa</f>
        <v>ESK / gads</v>
      </c>
      <c r="K1303" s="814" t="str">
        <f>IF(M1291&lt;&gt;EUconst_Relevant,"",ROUND(SUM(M1295)*SUM(F1303)*SUM(S1294),0))</f>
        <v/>
      </c>
      <c r="L1303" s="884" t="str">
        <f>EUconst_EUApa</f>
        <v>ESK / gads</v>
      </c>
      <c r="M1303" s="814" t="str">
        <f>IF(OR(M1291&lt;&gt;EUconst_Relevant,M1296=""),"",ROUND(SUM(M1296)*SUM(F1303)*SUM(S1294),0))</f>
        <v/>
      </c>
      <c r="N1303" s="884" t="str">
        <f>EUconst_EUApa</f>
        <v>ESK / gads</v>
      </c>
      <c r="O1303" s="25"/>
      <c r="P1303" s="202" t="str">
        <f>EUconst_HALsum &amp; I1291</f>
        <v>HALsum_Siltuma līmeņatzīmes apakšiekārta, OEP | OIM)</v>
      </c>
      <c r="Q1303" s="437"/>
      <c r="R1303" s="437"/>
      <c r="S1303" s="437"/>
      <c r="T1303" s="437"/>
    </row>
    <row r="1304" spans="1:20" s="697" customFormat="1" x14ac:dyDescent="0.2">
      <c r="A1304" s="437"/>
      <c r="B1304" s="414"/>
      <c r="C1304" s="414"/>
      <c r="D1304" s="414"/>
      <c r="E1304" s="414"/>
      <c r="F1304" s="414"/>
      <c r="G1304" s="414"/>
      <c r="H1304" s="414"/>
      <c r="I1304" s="414"/>
      <c r="J1304" s="414"/>
      <c r="K1304" s="414"/>
      <c r="L1304" s="414"/>
      <c r="M1304" s="414"/>
      <c r="N1304" s="414"/>
      <c r="O1304" s="25"/>
      <c r="P1304" s="437"/>
      <c r="Q1304" s="437"/>
      <c r="R1304" s="437"/>
      <c r="S1304" s="437"/>
      <c r="T1304" s="437"/>
    </row>
    <row r="1305" spans="1:20" s="697" customFormat="1" ht="12.75" customHeight="1" x14ac:dyDescent="0.2">
      <c r="A1305" s="437"/>
      <c r="B1305" s="414"/>
      <c r="C1305" s="414"/>
      <c r="D1305" s="414"/>
      <c r="E1305" s="526"/>
      <c r="F1305" s="823"/>
      <c r="G1305" s="823"/>
      <c r="H1305" s="823"/>
      <c r="I1305" s="823"/>
      <c r="J1305" s="823"/>
      <c r="K1305" s="823"/>
      <c r="L1305" s="823"/>
      <c r="M1305" s="823"/>
      <c r="N1305" s="823"/>
      <c r="O1305" s="25"/>
      <c r="P1305" s="437"/>
      <c r="Q1305" s="437"/>
      <c r="R1305" s="437"/>
      <c r="S1305" s="437"/>
      <c r="T1305" s="437"/>
    </row>
    <row r="1306" spans="1:20" s="697" customFormat="1" ht="13.5" thickBot="1" x14ac:dyDescent="0.25">
      <c r="A1306" s="437"/>
      <c r="B1306" s="414"/>
      <c r="C1306" s="414"/>
      <c r="D1306" s="414"/>
      <c r="E1306" s="526"/>
      <c r="F1306" s="823"/>
      <c r="G1306" s="823"/>
      <c r="H1306" s="525" t="str">
        <f>EUconst_Unit</f>
        <v>Vienība</v>
      </c>
      <c r="I1306" s="928">
        <f>I$1652</f>
        <v>2019</v>
      </c>
      <c r="J1306" s="825">
        <f>J$1652</f>
        <v>2020</v>
      </c>
      <c r="K1306" s="825">
        <f>K$1652</f>
        <v>2021</v>
      </c>
      <c r="L1306" s="825">
        <f>L$1652</f>
        <v>2022</v>
      </c>
      <c r="M1306" s="825">
        <f>M$1652</f>
        <v>2023</v>
      </c>
      <c r="N1306" s="823"/>
      <c r="O1306" s="25"/>
      <c r="P1306" s="437"/>
      <c r="Q1306" s="437"/>
      <c r="R1306" s="437"/>
      <c r="S1306" s="437"/>
      <c r="T1306" s="437"/>
    </row>
    <row r="1307" spans="1:20" s="697" customFormat="1" ht="13.5" thickBot="1" x14ac:dyDescent="0.25">
      <c r="A1307" s="437"/>
      <c r="B1307" s="414"/>
      <c r="C1307" s="414"/>
      <c r="D1307" s="414"/>
      <c r="E1307" s="1789" t="str">
        <f>Translations!$B$1734</f>
        <v>Kopā saražotais siltums</v>
      </c>
      <c r="F1307" s="1789"/>
      <c r="G1307" s="1789"/>
      <c r="H1307" s="886" t="str">
        <f>EUconst_TJpa</f>
        <v>TJ / gads</v>
      </c>
      <c r="I1307" s="918" t="str">
        <f>IF($M1291&lt;&gt;EUconst_Relevant,"",IF(INDEX('G_Fall-back'!I:I,MATCH($P1307,'G_Fall-back'!$P:$P,0))="","",INDEX('G_Fall-back'!I:I,MATCH($P1307,'G_Fall-back'!$P:$P,0))))</f>
        <v/>
      </c>
      <c r="J1307" s="919" t="str">
        <f>IF($M1291&lt;&gt;EUconst_Relevant,"",IF(INDEX('G_Fall-back'!J:J,MATCH($P1307,'G_Fall-back'!$P:$P,0))="","",INDEX('G_Fall-back'!J:J,MATCH($P1307,'G_Fall-back'!$P:$P,0))))</f>
        <v/>
      </c>
      <c r="K1307" s="919" t="str">
        <f>IF($M1291&lt;&gt;EUconst_Relevant,"",IF(INDEX('G_Fall-back'!K:K,MATCH($P1307,'G_Fall-back'!$P:$P,0))="","",INDEX('G_Fall-back'!K:K,MATCH($P1307,'G_Fall-back'!$P:$P,0))))</f>
        <v/>
      </c>
      <c r="L1307" s="919" t="str">
        <f>IF($M1291&lt;&gt;EUconst_Relevant,"",IF(INDEX('G_Fall-back'!L:L,MATCH($P1307,'G_Fall-back'!$P:$P,0))="","",INDEX('G_Fall-back'!L:L,MATCH($P1307,'G_Fall-back'!$P:$P,0))))</f>
        <v/>
      </c>
      <c r="M1307" s="920" t="str">
        <f>IF($M1291&lt;&gt;EUconst_Relevant,"",IF(INDEX('G_Fall-back'!M:M,MATCH($P1307,'G_Fall-back'!$P:$P,0))="","",INDEX('G_Fall-back'!M:M,MATCH($P1307,'G_Fall-back'!$P:$P,0))))</f>
        <v/>
      </c>
      <c r="N1307" s="823"/>
      <c r="O1307" s="25"/>
      <c r="P1307" s="367" t="str">
        <f>EUconst_CNTR_HeatProduced &amp; I1291</f>
        <v>HeatProd_Siltuma līmeņatzīmes apakšiekārta, OEP | OIM)</v>
      </c>
      <c r="Q1307" s="437"/>
      <c r="R1307" s="437"/>
      <c r="S1307" s="437"/>
      <c r="T1307" s="437"/>
    </row>
    <row r="1308" spans="1:20" s="697" customFormat="1" x14ac:dyDescent="0.2">
      <c r="A1308" s="437"/>
      <c r="B1308" s="414"/>
      <c r="C1308" s="414"/>
      <c r="D1308" s="414"/>
      <c r="E1308" s="1651" t="str">
        <f>Translations!$B$1681</f>
        <v>No elektroenerģijas saražotais siltums</v>
      </c>
      <c r="F1308" s="1651"/>
      <c r="G1308" s="1651"/>
      <c r="H1308" s="1113" t="str">
        <f>EUconst_TJpa</f>
        <v>TJ / gads</v>
      </c>
      <c r="I1308" s="1114" t="str">
        <f>IF($M1291&lt;&gt;EUconst_Relevant,"",IF(INDEX('G_Fall-back'!I:I,MATCH($P1308,'G_Fall-back'!$P:$P,0))="","",INDEX('G_Fall-back'!I:I,MATCH($P1308,'G_Fall-back'!$P:$P,0))))</f>
        <v/>
      </c>
      <c r="J1308" s="1114" t="str">
        <f>IF($M1291&lt;&gt;EUconst_Relevant,"",IF(INDEX('G_Fall-back'!J:J,MATCH($P1308,'G_Fall-back'!$P:$P,0))="","",INDEX('G_Fall-back'!J:J,MATCH($P1308,'G_Fall-back'!$P:$P,0))))</f>
        <v/>
      </c>
      <c r="K1308" s="1114" t="str">
        <f>IF($M1291&lt;&gt;EUconst_Relevant,"",IF(INDEX('G_Fall-back'!K:K,MATCH($P1308,'G_Fall-back'!$P:$P,0))="","",INDEX('G_Fall-back'!K:K,MATCH($P1308,'G_Fall-back'!$P:$P,0))))</f>
        <v/>
      </c>
      <c r="L1308" s="1114" t="str">
        <f>IF($M1291&lt;&gt;EUconst_Relevant,"",IF(INDEX('G_Fall-back'!L:L,MATCH($P1308,'G_Fall-back'!$P:$P,0))="","",INDEX('G_Fall-back'!L:L,MATCH($P1308,'G_Fall-back'!$P:$P,0))))</f>
        <v/>
      </c>
      <c r="M1308" s="1114" t="str">
        <f>IF($M1291&lt;&gt;EUconst_Relevant,"",IF(INDEX('G_Fall-back'!M:M,MATCH($P1308,'G_Fall-back'!$P:$P,0))="","",INDEX('G_Fall-back'!M:M,MATCH($P1308,'G_Fall-back'!$P:$P,0))))</f>
        <v/>
      </c>
      <c r="N1308" s="823"/>
      <c r="O1308" s="25"/>
      <c r="P1308" s="367" t="str">
        <f>EUconst_CNTR_HeatProducedElectricity &amp; I1291</f>
        <v>HeatProdElec_Siltuma līmeņatzīmes apakšiekārta, OEP | OIM)</v>
      </c>
      <c r="Q1308" s="437"/>
      <c r="R1308" s="437"/>
      <c r="S1308" s="437"/>
      <c r="T1308" s="437"/>
    </row>
    <row r="1309" spans="1:20" s="697" customFormat="1" ht="5.0999999999999996" customHeight="1" thickBot="1" x14ac:dyDescent="0.25">
      <c r="A1309" s="437"/>
      <c r="B1309" s="414"/>
      <c r="C1309" s="414"/>
      <c r="D1309" s="414"/>
      <c r="E1309" s="526"/>
      <c r="F1309" s="526"/>
      <c r="G1309" s="526"/>
      <c r="H1309" s="526"/>
      <c r="I1309" s="924"/>
      <c r="J1309" s="924"/>
      <c r="K1309" s="924"/>
      <c r="L1309" s="924"/>
      <c r="M1309" s="924"/>
      <c r="N1309" s="823"/>
      <c r="O1309" s="25"/>
      <c r="P1309" s="437"/>
      <c r="Q1309" s="437"/>
      <c r="R1309" s="437"/>
      <c r="S1309" s="437"/>
      <c r="T1309" s="437"/>
    </row>
    <row r="1310" spans="1:20" s="697" customFormat="1" ht="13.5" thickBot="1" x14ac:dyDescent="0.25">
      <c r="A1310" s="437"/>
      <c r="B1310" s="414"/>
      <c r="C1310" s="414"/>
      <c r="D1310" s="414"/>
      <c r="E1310" s="1789" t="str">
        <f>Translations!$B$1238</f>
        <v>Kopējās attiecinātās emisijas</v>
      </c>
      <c r="F1310" s="1789"/>
      <c r="G1310" s="1789"/>
      <c r="H1310" s="886" t="str">
        <f>EUconst_tCO2epa</f>
        <v>t CO2e/gads</v>
      </c>
      <c r="I1310" s="918" t="str">
        <f>INDEX(I$115:I$134,MATCH($I1291,$E$115:$E$134,0))</f>
        <v/>
      </c>
      <c r="J1310" s="919" t="str">
        <f>INDEX(J$115:J$134,MATCH($I1291,$E$115:$E$134,0))</f>
        <v/>
      </c>
      <c r="K1310" s="919" t="str">
        <f>INDEX(K$115:K$134,MATCH($I1291,$E$115:$E$134,0))</f>
        <v/>
      </c>
      <c r="L1310" s="919" t="str">
        <f>INDEX(L$115:L$134,MATCH($I1291,$E$115:$E$134,0))</f>
        <v/>
      </c>
      <c r="M1310" s="920" t="str">
        <f>INDEX(M$115:M$134,MATCH($I1291,$E$115:$E$134,0))</f>
        <v/>
      </c>
      <c r="N1310" s="823"/>
      <c r="O1310" s="25"/>
      <c r="P1310" s="437"/>
      <c r="Q1310" s="437"/>
      <c r="R1310" s="437"/>
      <c r="S1310" s="437"/>
      <c r="T1310" s="26"/>
    </row>
    <row r="1311" spans="1:20" s="697" customFormat="1" ht="5.0999999999999996" customHeight="1" x14ac:dyDescent="0.2">
      <c r="A1311" s="437"/>
      <c r="B1311" s="414"/>
      <c r="C1311" s="414"/>
      <c r="D1311" s="414"/>
      <c r="E1311" s="526"/>
      <c r="F1311" s="526"/>
      <c r="G1311" s="526"/>
      <c r="H1311" s="526"/>
      <c r="I1311" s="921"/>
      <c r="J1311" s="921"/>
      <c r="K1311" s="921"/>
      <c r="L1311" s="921"/>
      <c r="M1311" s="921"/>
      <c r="N1311" s="526"/>
      <c r="O1311" s="25"/>
      <c r="P1311" s="437"/>
      <c r="Q1311" s="437"/>
      <c r="R1311" s="437"/>
      <c r="S1311" s="437"/>
      <c r="T1311" s="26"/>
    </row>
    <row r="1312" spans="1:20" s="697" customFormat="1" x14ac:dyDescent="0.2">
      <c r="A1312" s="437"/>
      <c r="B1312" s="414"/>
      <c r="C1312" s="414"/>
      <c r="D1312" s="414"/>
      <c r="E1312" s="1667" t="str">
        <f>Translations!$B$731</f>
        <v>Kurināmā ielaide</v>
      </c>
      <c r="F1312" s="1660"/>
      <c r="G1312" s="1660"/>
      <c r="H1312" s="466" t="str">
        <f>EUconst_TJpa</f>
        <v>TJ / gads</v>
      </c>
      <c r="I1312" s="922" t="str">
        <f>IF($M1291&lt;&gt;EUconst_Relevant,"",IF(INDEX('G_Fall-back'!I:I,MATCH($P1312,'G_Fall-back'!$P:$P,0))="","",INDEX('G_Fall-back'!I:I,MATCH($P1312,'G_Fall-back'!$P:$P,0))))</f>
        <v/>
      </c>
      <c r="J1312" s="922" t="str">
        <f>IF($M1291&lt;&gt;EUconst_Relevant,"",IF(INDEX('G_Fall-back'!J:J,MATCH($P1312,'G_Fall-back'!$P:$P,0))="","",INDEX('G_Fall-back'!J:J,MATCH($P1312,'G_Fall-back'!$P:$P,0))))</f>
        <v/>
      </c>
      <c r="K1312" s="922" t="str">
        <f>IF($M1291&lt;&gt;EUconst_Relevant,"",IF(INDEX('G_Fall-back'!K:K,MATCH($P1312,'G_Fall-back'!$P:$P,0))="","",INDEX('G_Fall-back'!K:K,MATCH($P1312,'G_Fall-back'!$P:$P,0))))</f>
        <v/>
      </c>
      <c r="L1312" s="922" t="str">
        <f>IF($M1291&lt;&gt;EUconst_Relevant,"",IF(INDEX('G_Fall-back'!L:L,MATCH($P1312,'G_Fall-back'!$P:$P,0))="","",INDEX('G_Fall-back'!L:L,MATCH($P1312,'G_Fall-back'!$P:$P,0))))</f>
        <v/>
      </c>
      <c r="M1312" s="922" t="str">
        <f>IF($M1291&lt;&gt;EUconst_Relevant,"",IF(INDEX('G_Fall-back'!M:M,MATCH($P1312,'G_Fall-back'!$P:$P,0))="","",INDEX('G_Fall-back'!M:M,MATCH($P1312,'G_Fall-back'!$P:$P,0))))</f>
        <v/>
      </c>
      <c r="N1312" s="823"/>
      <c r="O1312" s="25"/>
      <c r="P1312" s="822" t="str">
        <f>EUconst_CNTR_FuelInput &amp; I1291</f>
        <v>FuelInput_Siltuma līmeņatzīmes apakšiekārta, OEP | OIM)</v>
      </c>
      <c r="Q1312" s="437"/>
      <c r="R1312" s="437"/>
      <c r="S1312" s="437"/>
      <c r="T1312" s="437"/>
    </row>
    <row r="1313" spans="1:20" s="697" customFormat="1" x14ac:dyDescent="0.2">
      <c r="A1313" s="437"/>
      <c r="B1313" s="414"/>
      <c r="C1313" s="414"/>
      <c r="D1313" s="414"/>
      <c r="E1313" s="1737" t="str">
        <f>Translations!$B$732</f>
        <v>Svērtais emisijas faktors</v>
      </c>
      <c r="F1313" s="1659"/>
      <c r="G1313" s="1659"/>
      <c r="H1313" s="485" t="str">
        <f>EUconst_tCO2pTJ</f>
        <v>t CO2 / TJ</v>
      </c>
      <c r="I1313" s="923" t="str">
        <f>IF($M1291&lt;&gt;EUconst_Relevant,"",IF(INDEX('G_Fall-back'!I:I,MATCH($P1313,'G_Fall-back'!$P:$P,0))="","",INDEX('G_Fall-back'!I:I,MATCH($P1313,'G_Fall-back'!$P:$P,0))))</f>
        <v/>
      </c>
      <c r="J1313" s="923" t="str">
        <f>IF($M1291&lt;&gt;EUconst_Relevant,"",IF(INDEX('G_Fall-back'!J:J,MATCH($P1313,'G_Fall-back'!$P:$P,0))="","",INDEX('G_Fall-back'!J:J,MATCH($P1313,'G_Fall-back'!$P:$P,0))))</f>
        <v/>
      </c>
      <c r="K1313" s="923" t="str">
        <f>IF($M1291&lt;&gt;EUconst_Relevant,"",IF(INDEX('G_Fall-back'!K:K,MATCH($P1313,'G_Fall-back'!$P:$P,0))="","",INDEX('G_Fall-back'!K:K,MATCH($P1313,'G_Fall-back'!$P:$P,0))))</f>
        <v/>
      </c>
      <c r="L1313" s="923" t="str">
        <f>IF($M1291&lt;&gt;EUconst_Relevant,"",IF(INDEX('G_Fall-back'!L:L,MATCH($P1313,'G_Fall-back'!$P:$P,0))="","",INDEX('G_Fall-back'!L:L,MATCH($P1313,'G_Fall-back'!$P:$P,0))))</f>
        <v/>
      </c>
      <c r="M1313" s="923" t="str">
        <f>IF($M1291&lt;&gt;EUconst_Relevant,"",IF(INDEX('G_Fall-back'!M:M,MATCH($P1313,'G_Fall-back'!$P:$P,0))="","",INDEX('G_Fall-back'!M:M,MATCH($P1313,'G_Fall-back'!$P:$P,0))))</f>
        <v/>
      </c>
      <c r="N1313" s="823"/>
      <c r="O1313" s="25"/>
      <c r="P1313" s="367" t="str">
        <f>EUconst_CNTR_FuelEF &amp; I1291</f>
        <v>FuelEF_Siltuma līmeņatzīmes apakšiekārta, OEP | OIM)</v>
      </c>
      <c r="Q1313" s="437"/>
      <c r="R1313" s="437"/>
      <c r="S1313" s="437"/>
      <c r="T1313" s="437"/>
    </row>
    <row r="1314" spans="1:20" s="697" customFormat="1" x14ac:dyDescent="0.2">
      <c r="A1314" s="437"/>
      <c r="B1314" s="414"/>
      <c r="C1314" s="414"/>
      <c r="D1314" s="414"/>
      <c r="E1314" s="1667" t="str">
        <f>Translations!$B$853</f>
        <v>Atlikumgāzu kurināmā ielaide</v>
      </c>
      <c r="F1314" s="1660"/>
      <c r="G1314" s="1660"/>
      <c r="H1314" s="466" t="str">
        <f>EUconst_TJpa</f>
        <v>TJ / gads</v>
      </c>
      <c r="I1314" s="922" t="str">
        <f>IF($M1291&lt;&gt;EUconst_Relevant,"",IF(INDEX('G_Fall-back'!I:I,MATCH($P1314,'G_Fall-back'!$P:$P,0))="","",INDEX('G_Fall-back'!I:I,MATCH($P1314,'G_Fall-back'!$P:$P,0))))</f>
        <v/>
      </c>
      <c r="J1314" s="922" t="str">
        <f>IF($M1291&lt;&gt;EUconst_Relevant,"",IF(INDEX('G_Fall-back'!J:J,MATCH($P1314,'G_Fall-back'!$P:$P,0))="","",INDEX('G_Fall-back'!J:J,MATCH($P1314,'G_Fall-back'!$P:$P,0))))</f>
        <v/>
      </c>
      <c r="K1314" s="922" t="str">
        <f>IF($M1291&lt;&gt;EUconst_Relevant,"",IF(INDEX('G_Fall-back'!K:K,MATCH($P1314,'G_Fall-back'!$P:$P,0))="","",INDEX('G_Fall-back'!K:K,MATCH($P1314,'G_Fall-back'!$P:$P,0))))</f>
        <v/>
      </c>
      <c r="L1314" s="922" t="str">
        <f>IF($M1291&lt;&gt;EUconst_Relevant,"",IF(INDEX('G_Fall-back'!L:L,MATCH($P1314,'G_Fall-back'!$P:$P,0))="","",INDEX('G_Fall-back'!L:L,MATCH($P1314,'G_Fall-back'!$P:$P,0))))</f>
        <v/>
      </c>
      <c r="M1314" s="922" t="str">
        <f>IF($M1291&lt;&gt;EUconst_Relevant,"",IF(INDEX('G_Fall-back'!M:M,MATCH($P1314,'G_Fall-back'!$P:$P,0))="","",INDEX('G_Fall-back'!M:M,MATCH($P1314,'G_Fall-back'!$P:$P,0))))</f>
        <v/>
      </c>
      <c r="N1314" s="823"/>
      <c r="O1314" s="25"/>
      <c r="P1314" s="453" t="str">
        <f>EUconst_CNTR_WGConsumed &amp; I1291</f>
        <v>WasteGasCons_Siltuma līmeņatzīmes apakšiekārta, OEP | OIM)</v>
      </c>
      <c r="Q1314" s="437"/>
      <c r="R1314" s="437"/>
      <c r="S1314" s="437"/>
      <c r="T1314" s="437"/>
    </row>
    <row r="1315" spans="1:20" s="697" customFormat="1" ht="12.75" customHeight="1" x14ac:dyDescent="0.2">
      <c r="A1315" s="437"/>
      <c r="B1315" s="414"/>
      <c r="C1315" s="414"/>
      <c r="D1315" s="414"/>
      <c r="E1315" s="1737" t="str">
        <f>Translations!$B$732</f>
        <v>Svērtais emisijas faktors</v>
      </c>
      <c r="F1315" s="1659"/>
      <c r="G1315" s="1659"/>
      <c r="H1315" s="485" t="str">
        <f>EUconst_tCO2pTJ</f>
        <v>t CO2 / TJ</v>
      </c>
      <c r="I1315" s="923" t="str">
        <f>IF($M1291&lt;&gt;EUconst_Relevant,"",IF(INDEX('G_Fall-back'!I:I,MATCH($P1315,'G_Fall-back'!$P:$P,0))="","",INDEX('G_Fall-back'!I:I,MATCH($P1315,'G_Fall-back'!$P:$P,0))))</f>
        <v/>
      </c>
      <c r="J1315" s="923" t="str">
        <f>IF($M1291&lt;&gt;EUconst_Relevant,"",IF(INDEX('G_Fall-back'!J:J,MATCH($P1315,'G_Fall-back'!$P:$P,0))="","",INDEX('G_Fall-back'!J:J,MATCH($P1315,'G_Fall-back'!$P:$P,0))))</f>
        <v/>
      </c>
      <c r="K1315" s="923" t="str">
        <f>IF($M1291&lt;&gt;EUconst_Relevant,"",IF(INDEX('G_Fall-back'!K:K,MATCH($P1315,'G_Fall-back'!$P:$P,0))="","",INDEX('G_Fall-back'!K:K,MATCH($P1315,'G_Fall-back'!$P:$P,0))))</f>
        <v/>
      </c>
      <c r="L1315" s="923" t="str">
        <f>IF($M1291&lt;&gt;EUconst_Relevant,"",IF(INDEX('G_Fall-back'!L:L,MATCH($P1315,'G_Fall-back'!$P:$P,0))="","",INDEX('G_Fall-back'!L:L,MATCH($P1315,'G_Fall-back'!$P:$P,0))))</f>
        <v/>
      </c>
      <c r="M1315" s="923" t="str">
        <f>IF($M1291&lt;&gt;EUconst_Relevant,"",IF(INDEX('G_Fall-back'!M:M,MATCH($P1315,'G_Fall-back'!$P:$P,0))="","",INDEX('G_Fall-back'!M:M,MATCH($P1315,'G_Fall-back'!$P:$P,0))))</f>
        <v/>
      </c>
      <c r="N1315" s="823"/>
      <c r="O1315" s="25"/>
      <c r="P1315" s="367" t="str">
        <f>EUconst_CNTR_WGConsumedEF &amp; I1291</f>
        <v>WasteGasConsEF_Siltuma līmeņatzīmes apakšiekārta, OEP | OIM)</v>
      </c>
      <c r="Q1315" s="437"/>
      <c r="R1315" s="437"/>
      <c r="S1315" s="437"/>
      <c r="T1315" s="437"/>
    </row>
    <row r="1316" spans="1:20" s="697" customFormat="1" ht="12.75" customHeight="1" x14ac:dyDescent="0.2">
      <c r="A1316" s="437"/>
      <c r="B1316" s="414"/>
      <c r="C1316" s="414"/>
      <c r="D1316" s="414"/>
      <c r="E1316" s="1667" t="str">
        <f>Translations!$B$1631</f>
        <v>Elektroenerģijas ielaide siltuma ražošanai</v>
      </c>
      <c r="F1316" s="1667"/>
      <c r="G1316" s="1667"/>
      <c r="H1316" s="466" t="str">
        <f>EUconst_TJpa</f>
        <v>TJ / gads</v>
      </c>
      <c r="I1316" s="922" t="str">
        <f>IF($M1291&lt;&gt;EUconst_Relevant,"",IF(INDEX('G_Fall-back'!I:I,MATCH($P1316,'G_Fall-back'!$P:$P,0))="","",INDEX('G_Fall-back'!I:I,MATCH($P1316,'G_Fall-back'!$P:$P,0))))</f>
        <v/>
      </c>
      <c r="J1316" s="922" t="str">
        <f>IF($M1291&lt;&gt;EUconst_Relevant,"",IF(INDEX('G_Fall-back'!J:J,MATCH($P1316,'G_Fall-back'!$P:$P,0))="","",INDEX('G_Fall-back'!J:J,MATCH($P1316,'G_Fall-back'!$P:$P,0))))</f>
        <v/>
      </c>
      <c r="K1316" s="922" t="str">
        <f>IF($M1291&lt;&gt;EUconst_Relevant,"",IF(INDEX('G_Fall-back'!K:K,MATCH($P1316,'G_Fall-back'!$P:$P,0))="","",INDEX('G_Fall-back'!K:K,MATCH($P1316,'G_Fall-back'!$P:$P,0))))</f>
        <v/>
      </c>
      <c r="L1316" s="922" t="str">
        <f>IF($M1291&lt;&gt;EUconst_Relevant,"",IF(INDEX('G_Fall-back'!L:L,MATCH($P1316,'G_Fall-back'!$P:$P,0))="","",INDEX('G_Fall-back'!L:L,MATCH($P1316,'G_Fall-back'!$P:$P,0))))</f>
        <v/>
      </c>
      <c r="M1316" s="922" t="str">
        <f>IF($M1291&lt;&gt;EUconst_Relevant,"",IF(INDEX('G_Fall-back'!M:M,MATCH($P1316,'G_Fall-back'!$P:$P,0))="","",INDEX('G_Fall-back'!M:M,MATCH($P1316,'G_Fall-back'!$P:$P,0))))</f>
        <v/>
      </c>
      <c r="N1316" s="823"/>
      <c r="O1316" s="25"/>
      <c r="P1316" s="453" t="str">
        <f>EUconst_CNTR_ElectricityInput &amp; I1291</f>
        <v>ElectricityInput_Siltuma līmeņatzīmes apakšiekārta, OEP | OIM)</v>
      </c>
      <c r="Q1316" s="437"/>
      <c r="R1316" s="437"/>
      <c r="S1316" s="437"/>
      <c r="T1316" s="437"/>
    </row>
    <row r="1317" spans="1:20" s="697" customFormat="1" ht="12.75" customHeight="1" x14ac:dyDescent="0.2">
      <c r="A1317" s="437"/>
      <c r="B1317" s="414"/>
      <c r="C1317" s="414"/>
      <c r="D1317" s="414"/>
      <c r="E1317" s="1737" t="str">
        <f>Translations!$B$732</f>
        <v>Svērtais emisijas faktors</v>
      </c>
      <c r="F1317" s="1737"/>
      <c r="G1317" s="1737"/>
      <c r="H1317" s="485" t="str">
        <f>EUconst_tCO2pTJ</f>
        <v>t CO2 / TJ</v>
      </c>
      <c r="I1317" s="923" t="str">
        <f>IF($M1291&lt;&gt;EUconst_Relevant,"",IF(INDEX('G_Fall-back'!I:I,MATCH($P1317,'G_Fall-back'!$P:$P,0))="","",INDEX('G_Fall-back'!I:I,MATCH($P1317,'G_Fall-back'!$P:$P,0))))</f>
        <v/>
      </c>
      <c r="J1317" s="923" t="str">
        <f>IF($M1291&lt;&gt;EUconst_Relevant,"",IF(INDEX('G_Fall-back'!J:J,MATCH($P1317,'G_Fall-back'!$P:$P,0))="","",INDEX('G_Fall-back'!J:J,MATCH($P1317,'G_Fall-back'!$P:$P,0))))</f>
        <v/>
      </c>
      <c r="K1317" s="923" t="str">
        <f>IF($M1291&lt;&gt;EUconst_Relevant,"",IF(INDEX('G_Fall-back'!K:K,MATCH($P1317,'G_Fall-back'!$P:$P,0))="","",INDEX('G_Fall-back'!K:K,MATCH($P1317,'G_Fall-back'!$P:$P,0))))</f>
        <v/>
      </c>
      <c r="L1317" s="923" t="str">
        <f>IF($M1291&lt;&gt;EUconst_Relevant,"",IF(INDEX('G_Fall-back'!L:L,MATCH($P1317,'G_Fall-back'!$P:$P,0))="","",INDEX('G_Fall-back'!L:L,MATCH($P1317,'G_Fall-back'!$P:$P,0))))</f>
        <v/>
      </c>
      <c r="M1317" s="923" t="str">
        <f>IF($M1291&lt;&gt;EUconst_Relevant,"",IF(INDEX('G_Fall-back'!M:M,MATCH($P1317,'G_Fall-back'!$P:$P,0))="","",INDEX('G_Fall-back'!M:M,MATCH($P1317,'G_Fall-back'!$P:$P,0))))</f>
        <v/>
      </c>
      <c r="N1317" s="823"/>
      <c r="O1317" s="25"/>
      <c r="P1317" s="367" t="str">
        <f>EUconst_CNTR_ElectricityEF &amp; I1291</f>
        <v>ElectricityEF_Siltuma līmeņatzīmes apakšiekārta, OEP | OIM)</v>
      </c>
      <c r="Q1317" s="437"/>
      <c r="R1317" s="437"/>
      <c r="S1317" s="437"/>
      <c r="T1317" s="437"/>
    </row>
    <row r="1318" spans="1:20" s="697" customFormat="1" ht="12.75" customHeight="1" x14ac:dyDescent="0.2">
      <c r="A1318" s="437"/>
      <c r="B1318" s="414"/>
      <c r="C1318" s="414"/>
      <c r="D1318" s="414"/>
      <c r="E1318" s="1667" t="str">
        <f>Translations!$B$1632</f>
        <v>Citas enerģijas (piemēram, eksotermiskā siltuma) ielaide</v>
      </c>
      <c r="F1318" s="1667"/>
      <c r="G1318" s="1667"/>
      <c r="H1318" s="466" t="str">
        <f>EUconst_TJpa</f>
        <v>TJ / gads</v>
      </c>
      <c r="I1318" s="922" t="str">
        <f>IF($M1291&lt;&gt;EUconst_Relevant,"",IF(INDEX('G_Fall-back'!I:I,MATCH($P1318,'G_Fall-back'!$P:$P,0))="","",INDEX('G_Fall-back'!I:I,MATCH($P1318,'G_Fall-back'!$P:$P,0))))</f>
        <v/>
      </c>
      <c r="J1318" s="922" t="str">
        <f>IF($M1291&lt;&gt;EUconst_Relevant,"",IF(INDEX('G_Fall-back'!J:J,MATCH($P1318,'G_Fall-back'!$P:$P,0))="","",INDEX('G_Fall-back'!J:J,MATCH($P1318,'G_Fall-back'!$P:$P,0))))</f>
        <v/>
      </c>
      <c r="K1318" s="922" t="str">
        <f>IF($M1291&lt;&gt;EUconst_Relevant,"",IF(INDEX('G_Fall-back'!K:K,MATCH($P1318,'G_Fall-back'!$P:$P,0))="","",INDEX('G_Fall-back'!K:K,MATCH($P1318,'G_Fall-back'!$P:$P,0))))</f>
        <v/>
      </c>
      <c r="L1318" s="922" t="str">
        <f>IF($M1291&lt;&gt;EUconst_Relevant,"",IF(INDEX('G_Fall-back'!L:L,MATCH($P1318,'G_Fall-back'!$P:$P,0))="","",INDEX('G_Fall-back'!L:L,MATCH($P1318,'G_Fall-back'!$P:$P,0))))</f>
        <v/>
      </c>
      <c r="M1318" s="922" t="str">
        <f>IF($M1291&lt;&gt;EUconst_Relevant,"",IF(INDEX('G_Fall-back'!M:M,MATCH($P1318,'G_Fall-back'!$P:$P,0))="","",INDEX('G_Fall-back'!M:M,MATCH($P1318,'G_Fall-back'!$P:$P,0))))</f>
        <v/>
      </c>
      <c r="N1318" s="823"/>
      <c r="O1318" s="25"/>
      <c r="P1318" s="453" t="str">
        <f>EUconst_CNTR_OtherEnergyInput &amp; I1291</f>
        <v>OtherEnergyInput_Siltuma līmeņatzīmes apakšiekārta, OEP | OIM)</v>
      </c>
      <c r="Q1318" s="437"/>
      <c r="R1318" s="437"/>
      <c r="S1318" s="437"/>
      <c r="T1318" s="437"/>
    </row>
    <row r="1319" spans="1:20" s="697" customFormat="1" ht="12.75" customHeight="1" x14ac:dyDescent="0.2">
      <c r="A1319" s="437"/>
      <c r="B1319" s="414"/>
      <c r="C1319" s="414"/>
      <c r="D1319" s="414"/>
      <c r="E1319" s="1737" t="str">
        <f>Translations!$B$732</f>
        <v>Svērtais emisijas faktors</v>
      </c>
      <c r="F1319" s="1737"/>
      <c r="G1319" s="1737"/>
      <c r="H1319" s="485" t="str">
        <f>EUconst_tCO2pTJ</f>
        <v>t CO2 / TJ</v>
      </c>
      <c r="I1319" s="923" t="str">
        <f>IF($M1291&lt;&gt;EUconst_Relevant,"",IF(INDEX('G_Fall-back'!I:I,MATCH($P1319,'G_Fall-back'!$P:$P,0))="","",INDEX('G_Fall-back'!I:I,MATCH($P1319,'G_Fall-back'!$P:$P,0))))</f>
        <v/>
      </c>
      <c r="J1319" s="923" t="str">
        <f>IF($M1291&lt;&gt;EUconst_Relevant,"",IF(INDEX('G_Fall-back'!J:J,MATCH($P1319,'G_Fall-back'!$P:$P,0))="","",INDEX('G_Fall-back'!J:J,MATCH($P1319,'G_Fall-back'!$P:$P,0))))</f>
        <v/>
      </c>
      <c r="K1319" s="923" t="str">
        <f>IF($M1291&lt;&gt;EUconst_Relevant,"",IF(INDEX('G_Fall-back'!K:K,MATCH($P1319,'G_Fall-back'!$P:$P,0))="","",INDEX('G_Fall-back'!K:K,MATCH($P1319,'G_Fall-back'!$P:$P,0))))</f>
        <v/>
      </c>
      <c r="L1319" s="923" t="str">
        <f>IF($M1291&lt;&gt;EUconst_Relevant,"",IF(INDEX('G_Fall-back'!L:L,MATCH($P1319,'G_Fall-back'!$P:$P,0))="","",INDEX('G_Fall-back'!L:L,MATCH($P1319,'G_Fall-back'!$P:$P,0))))</f>
        <v/>
      </c>
      <c r="M1319" s="923" t="str">
        <f>IF($M1291&lt;&gt;EUconst_Relevant,"",IF(INDEX('G_Fall-back'!M:M,MATCH($P1319,'G_Fall-back'!$P:$P,0))="","",INDEX('G_Fall-back'!M:M,MATCH($P1319,'G_Fall-back'!$P:$P,0))))</f>
        <v/>
      </c>
      <c r="N1319" s="823"/>
      <c r="O1319" s="25"/>
      <c r="P1319" s="367" t="str">
        <f>EUconst_CNTR_OtherEnergyEF &amp; I1291</f>
        <v>OtherEnergyEF_Siltuma līmeņatzīmes apakšiekārta, OEP | OIM)</v>
      </c>
      <c r="Q1319" s="437"/>
      <c r="R1319" s="437"/>
      <c r="S1319" s="437"/>
      <c r="T1319" s="437"/>
    </row>
    <row r="1320" spans="1:20" s="697" customFormat="1" ht="12.75" customHeight="1" x14ac:dyDescent="0.2">
      <c r="A1320" s="437"/>
      <c r="B1320" s="414"/>
      <c r="C1320" s="414"/>
      <c r="D1320" s="414"/>
      <c r="E1320" s="1651" t="str">
        <f>Translations!$B$1678</f>
        <v>Kopējā enerģijas ielaide (= i. + v. + vii.)</v>
      </c>
      <c r="F1320" s="1651"/>
      <c r="G1320" s="1651"/>
      <c r="H1320" s="465" t="str">
        <f>EUconst_TJpa</f>
        <v>TJ / gads</v>
      </c>
      <c r="I1320" s="925" t="str">
        <f>IF($M1291&lt;&gt;EUconst_Relevant,"",IF(INDEX('G_Fall-back'!I:I,MATCH($P1320,'G_Fall-back'!$P:$P,0))="","",INDEX('G_Fall-back'!I:I,MATCH($P1320,'G_Fall-back'!$P:$P,0))))</f>
        <v/>
      </c>
      <c r="J1320" s="925" t="str">
        <f>IF($M1291&lt;&gt;EUconst_Relevant,"",IF(INDEX('G_Fall-back'!J:J,MATCH($P1320,'G_Fall-back'!$P:$P,0))="","",INDEX('G_Fall-back'!J:J,MATCH($P1320,'G_Fall-back'!$P:$P,0))))</f>
        <v/>
      </c>
      <c r="K1320" s="925" t="str">
        <f>IF($M1291&lt;&gt;EUconst_Relevant,"",IF(INDEX('G_Fall-back'!K:K,MATCH($P1320,'G_Fall-back'!$P:$P,0))="","",INDEX('G_Fall-back'!K:K,MATCH($P1320,'G_Fall-back'!$P:$P,0))))</f>
        <v/>
      </c>
      <c r="L1320" s="925" t="str">
        <f>IF($M1291&lt;&gt;EUconst_Relevant,"",IF(INDEX('G_Fall-back'!L:L,MATCH($P1320,'G_Fall-back'!$P:$P,0))="","",INDEX('G_Fall-back'!L:L,MATCH($P1320,'G_Fall-back'!$P:$P,0))))</f>
        <v/>
      </c>
      <c r="M1320" s="925" t="str">
        <f>IF($M1291&lt;&gt;EUconst_Relevant,"",IF(INDEX('G_Fall-back'!M:M,MATCH($P1320,'G_Fall-back'!$P:$P,0))="","",INDEX('G_Fall-back'!M:M,MATCH($P1320,'G_Fall-back'!$P:$P,0))))</f>
        <v/>
      </c>
      <c r="N1320" s="823"/>
      <c r="O1320" s="25"/>
      <c r="P1320" s="453" t="str">
        <f>EUconst_CNTR_TotalEnergyInput &amp; I1291</f>
        <v>TotalEnergyInput_Siltuma līmeņatzīmes apakšiekārta, OEP | OIM)</v>
      </c>
      <c r="Q1320" s="437"/>
      <c r="R1320" s="437"/>
      <c r="S1320" s="437"/>
      <c r="T1320" s="437"/>
    </row>
    <row r="1321" spans="1:20" s="697" customFormat="1" ht="5.0999999999999996" customHeight="1" x14ac:dyDescent="0.2">
      <c r="A1321" s="437"/>
      <c r="B1321" s="414"/>
      <c r="C1321" s="414"/>
      <c r="D1321" s="414"/>
      <c r="E1321" s="526"/>
      <c r="F1321" s="823"/>
      <c r="G1321" s="823"/>
      <c r="H1321" s="823"/>
      <c r="I1321" s="924"/>
      <c r="J1321" s="924"/>
      <c r="K1321" s="924"/>
      <c r="L1321" s="924"/>
      <c r="M1321" s="924"/>
      <c r="N1321" s="823"/>
      <c r="O1321" s="25"/>
      <c r="P1321" s="437"/>
      <c r="Q1321" s="437"/>
      <c r="R1321" s="437"/>
      <c r="S1321" s="437"/>
      <c r="T1321" s="437"/>
    </row>
    <row r="1322" spans="1:20" s="697" customFormat="1" x14ac:dyDescent="0.2">
      <c r="A1322" s="437"/>
      <c r="B1322" s="414"/>
      <c r="C1322" s="414"/>
      <c r="D1322" s="414"/>
      <c r="E1322" s="1651" t="str">
        <f>Translations!$B$687</f>
        <v>Tiešās emisijas</v>
      </c>
      <c r="F1322" s="1652"/>
      <c r="G1322" s="1652"/>
      <c r="H1322" s="465" t="str">
        <f>EUconst_tCO2pa</f>
        <v>t CO2 / gads</v>
      </c>
      <c r="I1322" s="925" t="str">
        <f>IF($M1291&lt;&gt;EUconst_Relevant,"",IF(INDEX('G_Fall-back'!I:I,MATCH($P1322,'G_Fall-back'!$P:$P,0))="","",INDEX('G_Fall-back'!I:I,MATCH($P1322,'G_Fall-back'!$P:$P,0))))</f>
        <v/>
      </c>
      <c r="J1322" s="925" t="str">
        <f>IF($M1291&lt;&gt;EUconst_Relevant,"",IF(INDEX('G_Fall-back'!J:J,MATCH($P1322,'G_Fall-back'!$P:$P,0))="","",INDEX('G_Fall-back'!J:J,MATCH($P1322,'G_Fall-back'!$P:$P,0))))</f>
        <v/>
      </c>
      <c r="K1322" s="925" t="str">
        <f>IF($M1291&lt;&gt;EUconst_Relevant,"",IF(INDEX('G_Fall-back'!K:K,MATCH($P1322,'G_Fall-back'!$P:$P,0))="","",INDEX('G_Fall-back'!K:K,MATCH($P1322,'G_Fall-back'!$P:$P,0))))</f>
        <v/>
      </c>
      <c r="L1322" s="925" t="str">
        <f>IF($M1291&lt;&gt;EUconst_Relevant,"",IF(INDEX('G_Fall-back'!L:L,MATCH($P1322,'G_Fall-back'!$P:$P,0))="","",INDEX('G_Fall-back'!L:L,MATCH($P1322,'G_Fall-back'!$P:$P,0))))</f>
        <v/>
      </c>
      <c r="M1322" s="925" t="str">
        <f>IF($M1291&lt;&gt;EUconst_Relevant,"",IF(INDEX('G_Fall-back'!M:M,MATCH($P1322,'G_Fall-back'!$P:$P,0))="","",INDEX('G_Fall-back'!M:M,MATCH($P1322,'G_Fall-back'!$P:$P,0))))</f>
        <v/>
      </c>
      <c r="N1322" s="823"/>
      <c r="O1322" s="25"/>
      <c r="P1322" s="367" t="str">
        <f>EUconst_CNTR_Emissions &amp; I1291</f>
        <v>DirEmissions_Siltuma līmeņatzīmes apakšiekārta, OEP | OIM)</v>
      </c>
      <c r="Q1322" s="437"/>
      <c r="R1322" s="437"/>
      <c r="S1322" s="437"/>
      <c r="T1322" s="437"/>
    </row>
    <row r="1323" spans="1:20" s="697" customFormat="1" ht="5.0999999999999996" customHeight="1" x14ac:dyDescent="0.2">
      <c r="A1323" s="437"/>
      <c r="B1323" s="414"/>
      <c r="C1323" s="414"/>
      <c r="D1323" s="414"/>
      <c r="E1323" s="526"/>
      <c r="F1323" s="526"/>
      <c r="G1323" s="526"/>
      <c r="H1323" s="526"/>
      <c r="I1323" s="924"/>
      <c r="J1323" s="924"/>
      <c r="K1323" s="924"/>
      <c r="L1323" s="924"/>
      <c r="M1323" s="924"/>
      <c r="N1323" s="823"/>
      <c r="O1323" s="25"/>
      <c r="P1323" s="437"/>
      <c r="Q1323" s="437"/>
      <c r="R1323" s="437"/>
      <c r="S1323" s="437"/>
      <c r="T1323" s="437"/>
    </row>
    <row r="1324" spans="1:20" s="697" customFormat="1" x14ac:dyDescent="0.2">
      <c r="A1324" s="437"/>
      <c r="B1324" s="414"/>
      <c r="C1324" s="414"/>
      <c r="D1324" s="414"/>
      <c r="E1324" s="1667" t="str">
        <f>Translations!$B$1241</f>
        <v>Neto importētais siltums (citi)</v>
      </c>
      <c r="F1324" s="1660"/>
      <c r="G1324" s="1660"/>
      <c r="H1324" s="466" t="str">
        <f>EUconst_TJpa</f>
        <v>TJ / gads</v>
      </c>
      <c r="I1324" s="922" t="str">
        <f>IF($M1291&lt;&gt;EUconst_Relevant,"",IF(INDEX('G_Fall-back'!I:I,MATCH($P1324,'G_Fall-back'!$P:$P,0))="","",INDEX('G_Fall-back'!I:I,MATCH($P1324,'G_Fall-back'!$P:$P,0))))</f>
        <v/>
      </c>
      <c r="J1324" s="922" t="str">
        <f>IF($M1291&lt;&gt;EUconst_Relevant,"",IF(INDEX('G_Fall-back'!J:J,MATCH($P1324,'G_Fall-back'!$P:$P,0))="","",INDEX('G_Fall-back'!J:J,MATCH($P1324,'G_Fall-back'!$P:$P,0))))</f>
        <v/>
      </c>
      <c r="K1324" s="922" t="str">
        <f>IF($M1291&lt;&gt;EUconst_Relevant,"",IF(INDEX('G_Fall-back'!K:K,MATCH($P1324,'G_Fall-back'!$P:$P,0))="","",INDEX('G_Fall-back'!K:K,MATCH($P1324,'G_Fall-back'!$P:$P,0))))</f>
        <v/>
      </c>
      <c r="L1324" s="922" t="str">
        <f>IF($M1291&lt;&gt;EUconst_Relevant,"",IF(INDEX('G_Fall-back'!L:L,MATCH($P1324,'G_Fall-back'!$P:$P,0))="","",INDEX('G_Fall-back'!L:L,MATCH($P1324,'G_Fall-back'!$P:$P,0))))</f>
        <v/>
      </c>
      <c r="M1324" s="922" t="str">
        <f>IF($M1291&lt;&gt;EUconst_Relevant,"",IF(INDEX('G_Fall-back'!M:M,MATCH($P1324,'G_Fall-back'!$P:$P,0))="","",INDEX('G_Fall-back'!M:M,MATCH($P1324,'G_Fall-back'!$P:$P,0))))</f>
        <v/>
      </c>
      <c r="N1324" s="823"/>
      <c r="O1324" s="25"/>
      <c r="P1324" s="367" t="str">
        <f>EUconst_CNTR_HeatImport &amp; I1291</f>
        <v>HeatIm_Siltuma līmeņatzīmes apakšiekārta, OEP | OIM)</v>
      </c>
      <c r="Q1324" s="437"/>
      <c r="R1324" s="437"/>
      <c r="S1324" s="437"/>
      <c r="T1324" s="437"/>
    </row>
    <row r="1325" spans="1:20" s="697" customFormat="1" x14ac:dyDescent="0.2">
      <c r="A1325" s="437"/>
      <c r="B1325" s="414"/>
      <c r="C1325" s="414"/>
      <c r="D1325" s="414"/>
      <c r="E1325" s="1737" t="str">
        <f>Translations!$B$765</f>
        <v>Īpatnējais EF (importētais siltums)</v>
      </c>
      <c r="F1325" s="1659"/>
      <c r="G1325" s="1659"/>
      <c r="H1325" s="485" t="str">
        <f>EUconst_tCO2pTJ</f>
        <v>t CO2 / TJ</v>
      </c>
      <c r="I1325" s="923" t="str">
        <f>IF($M1291&lt;&gt;EUconst_Relevant,"",IF(INDEX('G_Fall-back'!I:I,MATCH($P1325,'G_Fall-back'!$P:$P,0))="","",INDEX('G_Fall-back'!I:I,MATCH($P1325,'G_Fall-back'!$P:$P,0))))</f>
        <v/>
      </c>
      <c r="J1325" s="923" t="str">
        <f>IF($M1291&lt;&gt;EUconst_Relevant,"",IF(INDEX('G_Fall-back'!J:J,MATCH($P1325,'G_Fall-back'!$P:$P,0))="","",INDEX('G_Fall-back'!J:J,MATCH($P1325,'G_Fall-back'!$P:$P,0))))</f>
        <v/>
      </c>
      <c r="K1325" s="923" t="str">
        <f>IF($M1291&lt;&gt;EUconst_Relevant,"",IF(INDEX('G_Fall-back'!K:K,MATCH($P1325,'G_Fall-back'!$P:$P,0))="","",INDEX('G_Fall-back'!K:K,MATCH($P1325,'G_Fall-back'!$P:$P,0))))</f>
        <v/>
      </c>
      <c r="L1325" s="923" t="str">
        <f>IF($M1291&lt;&gt;EUconst_Relevant,"",IF(INDEX('G_Fall-back'!L:L,MATCH($P1325,'G_Fall-back'!$P:$P,0))="","",INDEX('G_Fall-back'!L:L,MATCH($P1325,'G_Fall-back'!$P:$P,0))))</f>
        <v/>
      </c>
      <c r="M1325" s="923" t="str">
        <f>IF($M1291&lt;&gt;EUconst_Relevant,"",IF(INDEX('G_Fall-back'!M:M,MATCH($P1325,'G_Fall-back'!$P:$P,0))="","",INDEX('G_Fall-back'!M:M,MATCH($P1325,'G_Fall-back'!$P:$P,0))))</f>
        <v/>
      </c>
      <c r="N1325" s="823"/>
      <c r="O1325" s="25"/>
      <c r="P1325" s="367" t="str">
        <f>EUconst_CNTR_HeatImportEF &amp; I1291</f>
        <v>HeatImEF_Siltuma līmeņatzīmes apakšiekārta, OEP | OIM)</v>
      </c>
      <c r="Q1325" s="437"/>
      <c r="R1325" s="437"/>
      <c r="S1325" s="437"/>
      <c r="T1325" s="437"/>
    </row>
    <row r="1326" spans="1:20" s="697" customFormat="1" x14ac:dyDescent="0.2">
      <c r="A1326" s="437"/>
      <c r="B1326" s="414"/>
      <c r="C1326" s="414"/>
      <c r="D1326" s="414"/>
      <c r="E1326" s="1667" t="str">
        <f>Translations!$B$1242</f>
        <v>Neto importētais siltums (produkta LA)</v>
      </c>
      <c r="F1326" s="1660"/>
      <c r="G1326" s="1660"/>
      <c r="H1326" s="466" t="str">
        <f>EUconst_TJpa</f>
        <v>TJ / gads</v>
      </c>
      <c r="I1326" s="922" t="str">
        <f>IF($M1291&lt;&gt;EUconst_Relevant,"",IF(INDEX('G_Fall-back'!I:I,MATCH($P1326,'G_Fall-back'!$P:$P,0))="","",INDEX('G_Fall-back'!I:I,MATCH($P1326,'G_Fall-back'!$P:$P,0))))</f>
        <v/>
      </c>
      <c r="J1326" s="922" t="str">
        <f>IF($M1291&lt;&gt;EUconst_Relevant,"",IF(INDEX('G_Fall-back'!J:J,MATCH($P1326,'G_Fall-back'!$P:$P,0))="","",INDEX('G_Fall-back'!J:J,MATCH($P1326,'G_Fall-back'!$P:$P,0))))</f>
        <v/>
      </c>
      <c r="K1326" s="922" t="str">
        <f>IF($M1291&lt;&gt;EUconst_Relevant,"",IF(INDEX('G_Fall-back'!K:K,MATCH($P1326,'G_Fall-back'!$P:$P,0))="","",INDEX('G_Fall-back'!K:K,MATCH($P1326,'G_Fall-back'!$P:$P,0))))</f>
        <v/>
      </c>
      <c r="L1326" s="922" t="str">
        <f>IF($M1291&lt;&gt;EUconst_Relevant,"",IF(INDEX('G_Fall-back'!L:L,MATCH($P1326,'G_Fall-back'!$P:$P,0))="","",INDEX('G_Fall-back'!L:L,MATCH($P1326,'G_Fall-back'!$P:$P,0))))</f>
        <v/>
      </c>
      <c r="M1326" s="922" t="str">
        <f>IF($M1291&lt;&gt;EUconst_Relevant,"",IF(INDEX('G_Fall-back'!M:M,MATCH($P1326,'G_Fall-back'!$P:$P,0))="","",INDEX('G_Fall-back'!M:M,MATCH($P1326,'G_Fall-back'!$P:$P,0))))</f>
        <v/>
      </c>
      <c r="N1326" s="823"/>
      <c r="O1326" s="25"/>
      <c r="P1326" s="367" t="str">
        <f>EUconst_CNTR_HeatImportProduct &amp; I1291</f>
        <v>HeatImProd_Siltuma līmeņatzīmes apakšiekārta, OEP | OIM)</v>
      </c>
      <c r="Q1326" s="437"/>
      <c r="R1326" s="437"/>
      <c r="S1326" s="437"/>
      <c r="T1326" s="437"/>
    </row>
    <row r="1327" spans="1:20" s="697" customFormat="1" x14ac:dyDescent="0.2">
      <c r="A1327" s="437"/>
      <c r="B1327" s="414"/>
      <c r="C1327" s="414"/>
      <c r="D1327" s="414"/>
      <c r="E1327" s="1737" t="str">
        <f>Translations!$B$868</f>
        <v>Īpatnējais EF (siltums no produkta LA)</v>
      </c>
      <c r="F1327" s="1659"/>
      <c r="G1327" s="1659"/>
      <c r="H1327" s="485" t="str">
        <f>EUconst_tCO2pTJ</f>
        <v>t CO2 / TJ</v>
      </c>
      <c r="I1327" s="923" t="str">
        <f>IF($M1291&lt;&gt;EUconst_Relevant,"",IF(INDEX('G_Fall-back'!I:I,MATCH($P1327,'G_Fall-back'!$P:$P,0))="","",INDEX('G_Fall-back'!I:I,MATCH($P1327,'G_Fall-back'!$P:$P,0))))</f>
        <v/>
      </c>
      <c r="J1327" s="923" t="str">
        <f>IF($M1291&lt;&gt;EUconst_Relevant,"",IF(INDEX('G_Fall-back'!J:J,MATCH($P1327,'G_Fall-back'!$P:$P,0))="","",INDEX('G_Fall-back'!J:J,MATCH($P1327,'G_Fall-back'!$P:$P,0))))</f>
        <v/>
      </c>
      <c r="K1327" s="923" t="str">
        <f>IF($M1291&lt;&gt;EUconst_Relevant,"",IF(INDEX('G_Fall-back'!K:K,MATCH($P1327,'G_Fall-back'!$P:$P,0))="","",INDEX('G_Fall-back'!K:K,MATCH($P1327,'G_Fall-back'!$P:$P,0))))</f>
        <v/>
      </c>
      <c r="L1327" s="923" t="str">
        <f>IF($M1291&lt;&gt;EUconst_Relevant,"",IF(INDEX('G_Fall-back'!L:L,MATCH($P1327,'G_Fall-back'!$P:$P,0))="","",INDEX('G_Fall-back'!L:L,MATCH($P1327,'G_Fall-back'!$P:$P,0))))</f>
        <v/>
      </c>
      <c r="M1327" s="923" t="str">
        <f>IF($M1291&lt;&gt;EUconst_Relevant,"",IF(INDEX('G_Fall-back'!M:M,MATCH($P1327,'G_Fall-back'!$P:$P,0))="","",INDEX('G_Fall-back'!M:M,MATCH($P1327,'G_Fall-back'!$P:$P,0))))</f>
        <v/>
      </c>
      <c r="N1327" s="823"/>
      <c r="O1327" s="25"/>
      <c r="P1327" s="367" t="str">
        <f>EUconst_CNTR_HeatImportProductEF &amp; I1291</f>
        <v>HeatImProdEF_Siltuma līmeņatzīmes apakšiekārta, OEP | OIM)</v>
      </c>
      <c r="Q1327" s="437"/>
      <c r="R1327" s="437"/>
      <c r="S1327" s="437"/>
      <c r="T1327" s="437"/>
    </row>
    <row r="1328" spans="1:20" s="697" customFormat="1" x14ac:dyDescent="0.2">
      <c r="A1328" s="437"/>
      <c r="B1328" s="414"/>
      <c r="C1328" s="414"/>
      <c r="D1328" s="414"/>
      <c r="E1328" s="1667" t="str">
        <f>Translations!$B$1243</f>
        <v>Neto importētais siltums (pulpa)</v>
      </c>
      <c r="F1328" s="1660"/>
      <c r="G1328" s="1660"/>
      <c r="H1328" s="466" t="str">
        <f>EUconst_TJpa</f>
        <v>TJ / gads</v>
      </c>
      <c r="I1328" s="922" t="str">
        <f>IF($M1291&lt;&gt;EUconst_Relevant,"",IF(INDEX('G_Fall-back'!I:I,MATCH($P1328,'G_Fall-back'!$P:$P,0))="","",INDEX('G_Fall-back'!I:I,MATCH($P1328,'G_Fall-back'!$P:$P,0))))</f>
        <v/>
      </c>
      <c r="J1328" s="922" t="str">
        <f>IF($M1291&lt;&gt;EUconst_Relevant,"",IF(INDEX('G_Fall-back'!J:J,MATCH($P1328,'G_Fall-back'!$P:$P,0))="","",INDEX('G_Fall-back'!J:J,MATCH($P1328,'G_Fall-back'!$P:$P,0))))</f>
        <v/>
      </c>
      <c r="K1328" s="922" t="str">
        <f>IF($M1291&lt;&gt;EUconst_Relevant,"",IF(INDEX('G_Fall-back'!K:K,MATCH($P1328,'G_Fall-back'!$P:$P,0))="","",INDEX('G_Fall-back'!K:K,MATCH($P1328,'G_Fall-back'!$P:$P,0))))</f>
        <v/>
      </c>
      <c r="L1328" s="922" t="str">
        <f>IF($M1291&lt;&gt;EUconst_Relevant,"",IF(INDEX('G_Fall-back'!L:L,MATCH($P1328,'G_Fall-back'!$P:$P,0))="","",INDEX('G_Fall-back'!L:L,MATCH($P1328,'G_Fall-back'!$P:$P,0))))</f>
        <v/>
      </c>
      <c r="M1328" s="922" t="str">
        <f>IF($M1291&lt;&gt;EUconst_Relevant,"",IF(INDEX('G_Fall-back'!M:M,MATCH($P1328,'G_Fall-back'!$P:$P,0))="","",INDEX('G_Fall-back'!M:M,MATCH($P1328,'G_Fall-back'!$P:$P,0))))</f>
        <v/>
      </c>
      <c r="N1328" s="823"/>
      <c r="O1328" s="25"/>
      <c r="P1328" s="367" t="str">
        <f>EUconst_CNTR_HeatImportPulp &amp; I1291</f>
        <v>HeatImPulp_Siltuma līmeņatzīmes apakšiekārta, OEP | OIM)</v>
      </c>
      <c r="Q1328" s="437"/>
      <c r="R1328" s="437"/>
      <c r="S1328" s="437"/>
      <c r="T1328" s="437"/>
    </row>
    <row r="1329" spans="1:20" s="697" customFormat="1" x14ac:dyDescent="0.2">
      <c r="A1329" s="437"/>
      <c r="B1329" s="414"/>
      <c r="C1329" s="414"/>
      <c r="D1329" s="414"/>
      <c r="E1329" s="1737" t="str">
        <f>Translations!$B$870</f>
        <v>Īpatnējais EF (siltums no pulpas)</v>
      </c>
      <c r="F1329" s="1659"/>
      <c r="G1329" s="1659"/>
      <c r="H1329" s="485" t="str">
        <f>EUconst_tCO2pTJ</f>
        <v>t CO2 / TJ</v>
      </c>
      <c r="I1329" s="923" t="str">
        <f>IF($M1291&lt;&gt;EUconst_Relevant,"",IF(INDEX('G_Fall-back'!I:I,MATCH($P1329,'G_Fall-back'!$P:$P,0))="","",INDEX('G_Fall-back'!I:I,MATCH($P1329,'G_Fall-back'!$P:$P,0))))</f>
        <v/>
      </c>
      <c r="J1329" s="923" t="str">
        <f>IF($M1291&lt;&gt;EUconst_Relevant,"",IF(INDEX('G_Fall-back'!J:J,MATCH($P1329,'G_Fall-back'!$P:$P,0))="","",INDEX('G_Fall-back'!J:J,MATCH($P1329,'G_Fall-back'!$P:$P,0))))</f>
        <v/>
      </c>
      <c r="K1329" s="923" t="str">
        <f>IF($M1291&lt;&gt;EUconst_Relevant,"",IF(INDEX('G_Fall-back'!K:K,MATCH($P1329,'G_Fall-back'!$P:$P,0))="","",INDEX('G_Fall-back'!K:K,MATCH($P1329,'G_Fall-back'!$P:$P,0))))</f>
        <v/>
      </c>
      <c r="L1329" s="923" t="str">
        <f>IF($M1291&lt;&gt;EUconst_Relevant,"",IF(INDEX('G_Fall-back'!L:L,MATCH($P1329,'G_Fall-back'!$P:$P,0))="","",INDEX('G_Fall-back'!L:L,MATCH($P1329,'G_Fall-back'!$P:$P,0))))</f>
        <v/>
      </c>
      <c r="M1329" s="923" t="str">
        <f>IF($M1291&lt;&gt;EUconst_Relevant,"",IF(INDEX('G_Fall-back'!M:M,MATCH($P1329,'G_Fall-back'!$P:$P,0))="","",INDEX('G_Fall-back'!M:M,MATCH($P1329,'G_Fall-back'!$P:$P,0))))</f>
        <v/>
      </c>
      <c r="N1329" s="823"/>
      <c r="O1329" s="25"/>
      <c r="P1329" s="367" t="str">
        <f>EUconst_CNTR_HeatImportPulpEF &amp; I1291</f>
        <v>HeatImPulpEF_Siltuma līmeņatzīmes apakšiekārta, OEP | OIM)</v>
      </c>
      <c r="Q1329" s="437"/>
      <c r="R1329" s="437"/>
      <c r="S1329" s="437"/>
      <c r="T1329" s="437"/>
    </row>
    <row r="1330" spans="1:20" s="697" customFormat="1" x14ac:dyDescent="0.2">
      <c r="A1330" s="437"/>
      <c r="B1330" s="414"/>
      <c r="C1330" s="414"/>
      <c r="D1330" s="414"/>
      <c r="E1330" s="1667" t="str">
        <f>Translations!$B$1244</f>
        <v>Neto importētais siltums (kurināmā LA)</v>
      </c>
      <c r="F1330" s="1660"/>
      <c r="G1330" s="1660"/>
      <c r="H1330" s="466" t="str">
        <f>EUconst_TJpa</f>
        <v>TJ / gads</v>
      </c>
      <c r="I1330" s="922" t="str">
        <f>IF($M1291&lt;&gt;EUconst_Relevant,"",IF(INDEX('G_Fall-back'!I:I,MATCH($P1330,'G_Fall-back'!$P:$P,0))="","",INDEX('G_Fall-back'!I:I,MATCH($P1330,'G_Fall-back'!$P:$P,0))))</f>
        <v/>
      </c>
      <c r="J1330" s="922" t="str">
        <f>IF($M1291&lt;&gt;EUconst_Relevant,"",IF(INDEX('G_Fall-back'!J:J,MATCH($P1330,'G_Fall-back'!$P:$P,0))="","",INDEX('G_Fall-back'!J:J,MATCH($P1330,'G_Fall-back'!$P:$P,0))))</f>
        <v/>
      </c>
      <c r="K1330" s="922" t="str">
        <f>IF($M1291&lt;&gt;EUconst_Relevant,"",IF(INDEX('G_Fall-back'!K:K,MATCH($P1330,'G_Fall-back'!$P:$P,0))="","",INDEX('G_Fall-back'!K:K,MATCH($P1330,'G_Fall-back'!$P:$P,0))))</f>
        <v/>
      </c>
      <c r="L1330" s="922" t="str">
        <f>IF($M1291&lt;&gt;EUconst_Relevant,"",IF(INDEX('G_Fall-back'!L:L,MATCH($P1330,'G_Fall-back'!$P:$P,0))="","",INDEX('G_Fall-back'!L:L,MATCH($P1330,'G_Fall-back'!$P:$P,0))))</f>
        <v/>
      </c>
      <c r="M1330" s="922" t="str">
        <f>IF($M1291&lt;&gt;EUconst_Relevant,"",IF(INDEX('G_Fall-back'!M:M,MATCH($P1330,'G_Fall-back'!$P:$P,0))="","",INDEX('G_Fall-back'!M:M,MATCH($P1330,'G_Fall-back'!$P:$P,0))))</f>
        <v/>
      </c>
      <c r="N1330" s="823"/>
      <c r="O1330" s="25"/>
      <c r="P1330" s="367" t="str">
        <f>EUconst_CNTR_HeatImportFuel &amp; I1291</f>
        <v>HeatImFuel_Siltuma līmeņatzīmes apakšiekārta, OEP | OIM)</v>
      </c>
      <c r="Q1330" s="437"/>
      <c r="R1330" s="437"/>
      <c r="S1330" s="437"/>
      <c r="T1330" s="437"/>
    </row>
    <row r="1331" spans="1:20" s="697" customFormat="1" x14ac:dyDescent="0.2">
      <c r="A1331" s="437"/>
      <c r="B1331" s="414"/>
      <c r="C1331" s="414"/>
      <c r="D1331" s="414"/>
      <c r="E1331" s="1737" t="str">
        <f>Translations!$B$872</f>
        <v>Īpatnējais EF (no kurināmā LA)</v>
      </c>
      <c r="F1331" s="1737"/>
      <c r="G1331" s="1737"/>
      <c r="H1331" s="824" t="str">
        <f>EUconst_tCO2pTJ</f>
        <v>t CO2 / TJ</v>
      </c>
      <c r="I1331" s="923" t="str">
        <f>IF($M1291&lt;&gt;EUconst_Relevant,"",IF(INDEX('G_Fall-back'!I:I,MATCH($P1331,'G_Fall-back'!$P:$P,0))="","",INDEX('G_Fall-back'!I:I,MATCH($P1331,'G_Fall-back'!$P:$P,0))))</f>
        <v/>
      </c>
      <c r="J1331" s="923" t="str">
        <f>IF($M1291&lt;&gt;EUconst_Relevant,"",IF(INDEX('G_Fall-back'!J:J,MATCH($P1331,'G_Fall-back'!$P:$P,0))="","",INDEX('G_Fall-back'!J:J,MATCH($P1331,'G_Fall-back'!$P:$P,0))))</f>
        <v/>
      </c>
      <c r="K1331" s="923" t="str">
        <f>IF($M1291&lt;&gt;EUconst_Relevant,"",IF(INDEX('G_Fall-back'!K:K,MATCH($P1331,'G_Fall-back'!$P:$P,0))="","",INDEX('G_Fall-back'!K:K,MATCH($P1331,'G_Fall-back'!$P:$P,0))))</f>
        <v/>
      </c>
      <c r="L1331" s="923" t="str">
        <f>IF($M1291&lt;&gt;EUconst_Relevant,"",IF(INDEX('G_Fall-back'!L:L,MATCH($P1331,'G_Fall-back'!$P:$P,0))="","",INDEX('G_Fall-back'!L:L,MATCH($P1331,'G_Fall-back'!$P:$P,0))))</f>
        <v/>
      </c>
      <c r="M1331" s="923" t="str">
        <f>IF($M1291&lt;&gt;EUconst_Relevant,"",IF(INDEX('G_Fall-back'!M:M,MATCH($P1331,'G_Fall-back'!$P:$P,0))="","",INDEX('G_Fall-back'!M:M,MATCH($P1331,'G_Fall-back'!$P:$P,0))))</f>
        <v/>
      </c>
      <c r="N1331" s="823"/>
      <c r="O1331" s="25"/>
      <c r="P1331" s="367" t="str">
        <f>EUconst_CNTR_HeatImportFuelEF &amp; I1291</f>
        <v>HeatImFuelEF_Siltuma līmeņatzīmes apakšiekārta, OEP | OIM)</v>
      </c>
      <c r="Q1331" s="437"/>
      <c r="R1331" s="437"/>
      <c r="S1331" s="437"/>
      <c r="T1331" s="437"/>
    </row>
    <row r="1332" spans="1:20" s="697" customFormat="1" x14ac:dyDescent="0.2">
      <c r="A1332" s="437"/>
      <c r="B1332" s="414"/>
      <c r="C1332" s="414"/>
      <c r="D1332" s="414"/>
      <c r="E1332" s="1667" t="str">
        <f>Translations!$B$1245</f>
        <v>Neto importētais siltums (atlikumgāze)</v>
      </c>
      <c r="F1332" s="1660"/>
      <c r="G1332" s="1660"/>
      <c r="H1332" s="466" t="str">
        <f>EUconst_TJpa</f>
        <v>TJ / gads</v>
      </c>
      <c r="I1332" s="922" t="str">
        <f>IF($M1291&lt;&gt;EUconst_Relevant,"",IF(INDEX('G_Fall-back'!I:I,MATCH($P1332,'G_Fall-back'!$P:$P,0))="","",INDEX('G_Fall-back'!I:I,MATCH($P1332,'G_Fall-back'!$P:$P,0))))</f>
        <v/>
      </c>
      <c r="J1332" s="922" t="str">
        <f>IF($M1291&lt;&gt;EUconst_Relevant,"",IF(INDEX('G_Fall-back'!J:J,MATCH($P1332,'G_Fall-back'!$P:$P,0))="","",INDEX('G_Fall-back'!J:J,MATCH($P1332,'G_Fall-back'!$P:$P,0))))</f>
        <v/>
      </c>
      <c r="K1332" s="922" t="str">
        <f>IF($M1291&lt;&gt;EUconst_Relevant,"",IF(INDEX('G_Fall-back'!K:K,MATCH($P1332,'G_Fall-back'!$P:$P,0))="","",INDEX('G_Fall-back'!K:K,MATCH($P1332,'G_Fall-back'!$P:$P,0))))</f>
        <v/>
      </c>
      <c r="L1332" s="922" t="str">
        <f>IF($M1291&lt;&gt;EUconst_Relevant,"",IF(INDEX('G_Fall-back'!L:L,MATCH($P1332,'G_Fall-back'!$P:$P,0))="","",INDEX('G_Fall-back'!L:L,MATCH($P1332,'G_Fall-back'!$P:$P,0))))</f>
        <v/>
      </c>
      <c r="M1332" s="922" t="str">
        <f>IF($M1291&lt;&gt;EUconst_Relevant,"",IF(INDEX('G_Fall-back'!M:M,MATCH($P1332,'G_Fall-back'!$P:$P,0))="","",INDEX('G_Fall-back'!M:M,MATCH($P1332,'G_Fall-back'!$P:$P,0))))</f>
        <v/>
      </c>
      <c r="N1332" s="823"/>
      <c r="O1332" s="25"/>
      <c r="P1332" s="367" t="str">
        <f>EUconst_CNTR_WGImport &amp; I1291</f>
        <v>WasteGasIm_Siltuma līmeņatzīmes apakšiekārta, OEP | OIM)</v>
      </c>
      <c r="Q1332" s="437"/>
      <c r="R1332" s="437"/>
      <c r="S1332" s="437"/>
      <c r="T1332" s="437"/>
    </row>
    <row r="1333" spans="1:20" s="697" customFormat="1" x14ac:dyDescent="0.2">
      <c r="A1333" s="437"/>
      <c r="B1333" s="414"/>
      <c r="C1333" s="414"/>
      <c r="D1333" s="414"/>
      <c r="E1333" s="1737" t="str">
        <f>Translations!$B$874</f>
        <v>Īpatnējais EF (no atlikumgāzēm)</v>
      </c>
      <c r="F1333" s="1737"/>
      <c r="G1333" s="1737"/>
      <c r="H1333" s="824" t="str">
        <f>EUconst_tCO2pTJ</f>
        <v>t CO2 / TJ</v>
      </c>
      <c r="I1333" s="923" t="str">
        <f>IF($M1291&lt;&gt;EUconst_Relevant,"",IF(INDEX('G_Fall-back'!I:I,MATCH($P1333,'G_Fall-back'!$P:$P,0))="","",INDEX('G_Fall-back'!I:I,MATCH($P1333,'G_Fall-back'!$P:$P,0))))</f>
        <v/>
      </c>
      <c r="J1333" s="923" t="str">
        <f>IF($M1291&lt;&gt;EUconst_Relevant,"",IF(INDEX('G_Fall-back'!J:J,MATCH($P1333,'G_Fall-back'!$P:$P,0))="","",INDEX('G_Fall-back'!J:J,MATCH($P1333,'G_Fall-back'!$P:$P,0))))</f>
        <v/>
      </c>
      <c r="K1333" s="923" t="str">
        <f>IF($M1291&lt;&gt;EUconst_Relevant,"",IF(INDEX('G_Fall-back'!K:K,MATCH($P1333,'G_Fall-back'!$P:$P,0))="","",INDEX('G_Fall-back'!K:K,MATCH($P1333,'G_Fall-back'!$P:$P,0))))</f>
        <v/>
      </c>
      <c r="L1333" s="923" t="str">
        <f>IF($M1291&lt;&gt;EUconst_Relevant,"",IF(INDEX('G_Fall-back'!L:L,MATCH($P1333,'G_Fall-back'!$P:$P,0))="","",INDEX('G_Fall-back'!L:L,MATCH($P1333,'G_Fall-back'!$P:$P,0))))</f>
        <v/>
      </c>
      <c r="M1333" s="923" t="str">
        <f>IF($M1291&lt;&gt;EUconst_Relevant,"",IF(INDEX('G_Fall-back'!M:M,MATCH($P1333,'G_Fall-back'!$P:$P,0))="","",INDEX('G_Fall-back'!M:M,MATCH($P1333,'G_Fall-back'!$P:$P,0))))</f>
        <v/>
      </c>
      <c r="N1333" s="823"/>
      <c r="O1333" s="25"/>
      <c r="P1333" s="367" t="str">
        <f>EUconst_CNTR_WGImportEF &amp; I1291</f>
        <v>WasteGasImEF_Siltuma līmeņatzīmes apakšiekārta, OEP | OIM)</v>
      </c>
      <c r="Q1333" s="437"/>
      <c r="R1333" s="437"/>
      <c r="S1333" s="437"/>
      <c r="T1333" s="437"/>
    </row>
    <row r="1334" spans="1:20" s="697" customFormat="1" ht="12.75" customHeight="1" x14ac:dyDescent="0.2">
      <c r="A1334" s="437"/>
      <c r="B1334" s="414"/>
      <c r="C1334" s="414"/>
      <c r="D1334" s="414"/>
      <c r="E1334" s="823"/>
      <c r="F1334" s="823"/>
      <c r="G1334" s="823"/>
      <c r="H1334" s="823"/>
      <c r="I1334" s="823"/>
      <c r="J1334" s="823"/>
      <c r="K1334" s="823"/>
      <c r="L1334" s="823"/>
      <c r="M1334" s="823"/>
      <c r="N1334" s="823"/>
      <c r="O1334" s="25"/>
      <c r="P1334" s="437"/>
      <c r="Q1334" s="437"/>
      <c r="R1334" s="437"/>
      <c r="S1334" s="437"/>
      <c r="T1334" s="437"/>
    </row>
    <row r="1335" spans="1:20" s="697" customFormat="1" ht="13.5" thickBot="1" x14ac:dyDescent="0.25">
      <c r="A1335" s="437"/>
      <c r="B1335" s="414"/>
      <c r="C1335" s="414"/>
      <c r="D1335" s="414"/>
      <c r="E1335" s="414"/>
      <c r="F1335" s="414"/>
      <c r="G1335" s="414"/>
      <c r="M1335" s="414"/>
      <c r="N1335" s="414"/>
      <c r="O1335" s="25"/>
      <c r="P1335" s="437"/>
      <c r="Q1335" s="437"/>
      <c r="R1335" s="437"/>
      <c r="S1335" s="437"/>
      <c r="T1335" s="437"/>
    </row>
    <row r="1336" spans="1:20" s="697" customFormat="1" ht="12.75" customHeight="1" thickBot="1" x14ac:dyDescent="0.25">
      <c r="A1336" s="437"/>
      <c r="B1336" s="21"/>
      <c r="C1336" s="294"/>
      <c r="D1336" s="294"/>
      <c r="E1336" s="294"/>
      <c r="F1336" s="294"/>
      <c r="G1336" s="294"/>
      <c r="H1336" s="294"/>
      <c r="I1336" s="294"/>
      <c r="J1336" s="294"/>
      <c r="K1336" s="294"/>
      <c r="L1336" s="294"/>
      <c r="M1336" s="294"/>
      <c r="N1336" s="294"/>
      <c r="O1336" s="25"/>
      <c r="P1336" s="437"/>
      <c r="Q1336" s="437"/>
      <c r="R1336" s="437"/>
      <c r="S1336" s="437"/>
      <c r="T1336" s="26" t="s">
        <v>560</v>
      </c>
    </row>
    <row r="1337" spans="1:20" s="697" customFormat="1" ht="15" customHeight="1" thickBot="1" x14ac:dyDescent="0.3">
      <c r="A1337" s="437"/>
      <c r="B1337" s="414"/>
      <c r="C1337" s="36">
        <f>C1291+1</f>
        <v>14</v>
      </c>
      <c r="D1337" s="1318" t="str">
        <f>CONCATENATE(EUconst_FBSubinst," ",C1337-10, ":")</f>
        <v>Alternatīva apakšiekārta 4:</v>
      </c>
      <c r="E1337" s="1251"/>
      <c r="F1337" s="1251"/>
      <c r="G1337" s="1251"/>
      <c r="H1337" s="1328"/>
      <c r="I1337" s="1877" t="str">
        <f>INDEX(EUconst_FallBackListNames,$C1337-10)</f>
        <v>Centralizētās siltumapgādes apakšiekārta</v>
      </c>
      <c r="J1337" s="1878"/>
      <c r="K1337" s="1878"/>
      <c r="L1337" s="1879"/>
      <c r="M1337" s="1783" t="str">
        <f>IF(ISBLANK(INDEX(CNTR_FallBackSubInstRelevant,C1337-10)),"",IF(INDEX(CNTR_FallBackSubInstRelevant,C1337-10),EUconst_Relevant,EUconst_NotRelevant))</f>
        <v/>
      </c>
      <c r="N1337" s="1784"/>
      <c r="O1337" s="25"/>
      <c r="P1337" s="437"/>
      <c r="Q1337" s="904">
        <f>C1337</f>
        <v>14</v>
      </c>
      <c r="R1337" s="901" t="str">
        <f>I1337</f>
        <v>Centralizētās siltumapgādes apakšiekārta</v>
      </c>
      <c r="S1337" s="903" t="b">
        <f>H1340</f>
        <v>0</v>
      </c>
      <c r="T1337" s="902" t="str">
        <f>IF(M1349="","",IF(S1340=0,0,SUM(M1349)/S1340))</f>
        <v/>
      </c>
    </row>
    <row r="1338" spans="1:20" s="697" customFormat="1" ht="5.0999999999999996" customHeight="1" thickBot="1" x14ac:dyDescent="0.25">
      <c r="A1338" s="437"/>
      <c r="B1338" s="414"/>
      <c r="C1338" s="414"/>
      <c r="D1338" s="414"/>
      <c r="E1338" s="414"/>
      <c r="F1338" s="414"/>
      <c r="G1338" s="414"/>
      <c r="H1338" s="414"/>
      <c r="I1338" s="414"/>
      <c r="J1338" s="414"/>
      <c r="K1338" s="414"/>
      <c r="L1338" s="414"/>
      <c r="M1338" s="414"/>
      <c r="N1338" s="414"/>
      <c r="O1338" s="25"/>
      <c r="P1338" s="437"/>
      <c r="Q1338" s="437"/>
      <c r="R1338" s="437"/>
      <c r="S1338" s="437"/>
      <c r="T1338" s="26"/>
    </row>
    <row r="1339" spans="1:20" s="697" customFormat="1" ht="13.5" thickBot="1" x14ac:dyDescent="0.25">
      <c r="A1339" s="437"/>
      <c r="B1339" s="414"/>
      <c r="C1339" s="414"/>
      <c r="D1339" s="414"/>
      <c r="E1339" s="414"/>
      <c r="F1339" s="414"/>
      <c r="G1339" s="414"/>
      <c r="H1339" s="647" t="str">
        <f>Translations!$B$1204</f>
        <v>Pakļauta OEP</v>
      </c>
      <c r="I1339" s="647" t="str">
        <f>Translations!$B$1208</f>
        <v>Ekspl. sākta</v>
      </c>
      <c r="J1339" s="647" t="str">
        <f>Translations!$B$1212</f>
        <v>15(7)3?</v>
      </c>
      <c r="L1339" s="1172" t="str">
        <f>Translations!$B$1206</f>
        <v>LA Nr.</v>
      </c>
      <c r="M1339" s="989" t="str">
        <f>Translations!$B$1234</f>
        <v>LA vērtība (min./maks./fakt.)</v>
      </c>
      <c r="N1339" s="990"/>
      <c r="O1339" s="25"/>
      <c r="P1339" s="437"/>
      <c r="Q1339" s="437"/>
      <c r="R1339" s="646" t="s">
        <v>641</v>
      </c>
      <c r="S1339" s="903" t="b">
        <f>H1342</f>
        <v>0</v>
      </c>
      <c r="T1339" s="26"/>
    </row>
    <row r="1340" spans="1:20" s="697" customFormat="1" x14ac:dyDescent="0.2">
      <c r="A1340" s="437"/>
      <c r="B1340" s="414"/>
      <c r="C1340" s="414"/>
      <c r="D1340" s="414"/>
      <c r="E1340" s="649" t="str">
        <f>I1337</f>
        <v>Centralizētās siltumapgādes apakšiekārta</v>
      </c>
      <c r="F1340" s="650"/>
      <c r="G1340" s="594"/>
      <c r="H1340" s="651" t="b">
        <f>INDEX(EUconst_FallBackListCLstatus,MATCH(I1337,EUconst_FallBackListNames,0))</f>
        <v>0</v>
      </c>
      <c r="I1340" s="1171" t="str">
        <f>IF(M1337&lt;&gt;EUconst_Relevant,"",INDEX(CNTR_SubInstStartDate,MATCH(E1340,CNTR_SubInstListNames,0)))</f>
        <v/>
      </c>
      <c r="J1340" s="651" t="str">
        <f>IF(M1337&lt;&gt;EUconst_Relevant,"",INDEX(CNTR_SubInstLess1Year,MATCH(E1340,CNTR_SubInstListNames,0)))</f>
        <v/>
      </c>
      <c r="L1340" s="1173">
        <f>C1337-10</f>
        <v>4</v>
      </c>
      <c r="M1340" s="995" t="str">
        <f>IF(M1337&lt;&gt;EUconst_Relevant,"",INDEX(EUconst_FallBackListBMvaluesMatrix,L1340,2))</f>
        <v/>
      </c>
      <c r="N1340" s="992" t="str">
        <f>EUconst_EUA &amp; "/" &amp; H1345</f>
        <v>ESK/TJ</v>
      </c>
      <c r="O1340" s="25"/>
      <c r="P1340" s="437"/>
      <c r="Q1340" s="437"/>
      <c r="R1340" s="732" t="s">
        <v>554</v>
      </c>
      <c r="S1340" s="815">
        <f>IF(H1340,1,INDEX(EUconst_CLEFYears,1))</f>
        <v>0.3</v>
      </c>
      <c r="T1340" s="437"/>
    </row>
    <row r="1341" spans="1:20" s="697" customFormat="1" x14ac:dyDescent="0.2">
      <c r="A1341" s="437"/>
      <c r="B1341" s="414"/>
      <c r="C1341" s="414"/>
      <c r="H1341" s="647" t="s">
        <v>623</v>
      </c>
      <c r="M1341" s="995" t="str">
        <f>IF(M1337&lt;&gt;EUconst_Relevant,"",INDEX(EUconst_FallBackListBMvaluesMatrix,L1340,1))</f>
        <v/>
      </c>
      <c r="N1341" s="992" t="str">
        <f>EUconst_EUA &amp; "/" &amp; H1345</f>
        <v>ESK/TJ</v>
      </c>
      <c r="O1341" s="25"/>
      <c r="P1341" s="437"/>
      <c r="Q1341" s="437"/>
      <c r="R1341" s="732"/>
      <c r="S1341" s="866"/>
      <c r="T1341" s="437"/>
    </row>
    <row r="1342" spans="1:20" s="697" customFormat="1" ht="13.5" thickBot="1" x14ac:dyDescent="0.25">
      <c r="A1342" s="437"/>
      <c r="B1342" s="414"/>
      <c r="C1342" s="414"/>
      <c r="H1342" s="651" t="b">
        <f>INDEX(EUconst_FallBackListCBAMstatus,MATCH(I1337,EUconst_FallBackListNames,0))</f>
        <v>0</v>
      </c>
      <c r="M1342" s="996" t="str">
        <f>IF(M1337&lt;&gt;EUconst_Relevant,"",IF(EUconst_StatusOfDataCollection,INDEX(EUconst_FallBackListBMvaluesMatrix,L1340,3),""))</f>
        <v/>
      </c>
      <c r="N1342" s="994" t="str">
        <f>EUconst_EUA &amp; "/" &amp; H1345</f>
        <v>ESK/TJ</v>
      </c>
      <c r="O1342" s="25"/>
      <c r="P1342" s="437"/>
      <c r="Q1342" s="437"/>
      <c r="R1342" s="732"/>
      <c r="S1342" s="866"/>
      <c r="T1342" s="437"/>
    </row>
    <row r="1343" spans="1:20" s="697" customFormat="1" ht="5.0999999999999996" customHeight="1" x14ac:dyDescent="0.2">
      <c r="A1343" s="437"/>
      <c r="B1343" s="414"/>
      <c r="C1343" s="414"/>
      <c r="D1343" s="414"/>
      <c r="E1343" s="414"/>
      <c r="F1343" s="414"/>
      <c r="G1343" s="414"/>
      <c r="H1343" s="414"/>
      <c r="I1343" s="414"/>
      <c r="J1343" s="414"/>
      <c r="K1343" s="414"/>
      <c r="L1343" s="414"/>
      <c r="M1343" s="414"/>
      <c r="N1343" s="414"/>
      <c r="O1343" s="25"/>
      <c r="P1343" s="437"/>
      <c r="Q1343" s="437"/>
      <c r="R1343" s="437"/>
      <c r="S1343" s="437"/>
      <c r="T1343" s="437"/>
    </row>
    <row r="1344" spans="1:20" s="697" customFormat="1" x14ac:dyDescent="0.2">
      <c r="A1344" s="437"/>
      <c r="B1344" s="414"/>
      <c r="C1344" s="414"/>
      <c r="D1344" s="414"/>
      <c r="E1344" s="652"/>
      <c r="F1344" s="652"/>
      <c r="G1344" s="653"/>
      <c r="H1344" s="647" t="str">
        <f>EUconst_Unit</f>
        <v>Vienība</v>
      </c>
      <c r="I1344" s="447">
        <f>I$1652</f>
        <v>2019</v>
      </c>
      <c r="J1344" s="447">
        <f>J$1652</f>
        <v>2020</v>
      </c>
      <c r="K1344" s="447">
        <f>K$1652</f>
        <v>2021</v>
      </c>
      <c r="L1344" s="447">
        <f>L$1652</f>
        <v>2022</v>
      </c>
      <c r="M1344" s="447">
        <f>M$1652</f>
        <v>2023</v>
      </c>
      <c r="N1344" s="414"/>
      <c r="O1344" s="25"/>
      <c r="P1344" s="202" t="s">
        <v>228</v>
      </c>
      <c r="Q1344" s="437"/>
      <c r="R1344" s="437"/>
      <c r="S1344" s="437"/>
      <c r="T1344" s="437"/>
    </row>
    <row r="1345" spans="1:20" s="697" customFormat="1" x14ac:dyDescent="0.2">
      <c r="A1345" s="437"/>
      <c r="B1345" s="414"/>
      <c r="C1345" s="414"/>
      <c r="D1345" s="414"/>
      <c r="E1345" s="654" t="str">
        <f>Translations!$B$1236</f>
        <v>Ziņotais HAL (vēsturiskais darbības līmenis)</v>
      </c>
      <c r="F1345" s="655"/>
      <c r="G1345" s="656"/>
      <c r="H1345" s="651" t="str">
        <f>INDEX(EUconst_FallBackListUnits,L1340)</f>
        <v>TJ</v>
      </c>
      <c r="I1345" s="546" t="str">
        <f>IF($M1337&lt;&gt;EUconst_Relevant,"",SUMIF('G_Fall-back'!$P:$P,$P1346,'G_Fall-back'!I:I))</f>
        <v/>
      </c>
      <c r="J1345" s="546" t="str">
        <f>IF($M1337&lt;&gt;EUconst_Relevant,"",SUMIF('G_Fall-back'!$P:$P,$P1346,'G_Fall-back'!J:J))</f>
        <v/>
      </c>
      <c r="K1345" s="546" t="str">
        <f>IF($M1337&lt;&gt;EUconst_Relevant,"",SUMIF('G_Fall-back'!$P:$P,$P1346,'G_Fall-back'!K:K))</f>
        <v/>
      </c>
      <c r="L1345" s="546" t="str">
        <f>IF($M1337&lt;&gt;EUconst_Relevant,"",SUMIF('G_Fall-back'!$P:$P,$P1346,'G_Fall-back'!L:L))</f>
        <v/>
      </c>
      <c r="M1345" s="546" t="str">
        <f>IF($M1337&lt;&gt;EUconst_Relevant,"",SUMIF('G_Fall-back'!$P:$P,$P1346,'G_Fall-back'!M:M))</f>
        <v/>
      </c>
      <c r="N1345" s="648" t="s">
        <v>625</v>
      </c>
      <c r="O1345" s="25"/>
      <c r="P1345" s="202" t="str">
        <f>EUconst_CNTR_HAL&amp;I1337</f>
        <v>HAL_Centralizētās siltumapgādes apakšiekārta</v>
      </c>
      <c r="Q1345" s="437"/>
      <c r="R1345" s="437"/>
      <c r="S1345" s="437"/>
      <c r="T1345" s="26"/>
    </row>
    <row r="1346" spans="1:20" s="697" customFormat="1" x14ac:dyDescent="0.2">
      <c r="A1346" s="437"/>
      <c r="B1346" s="414"/>
      <c r="C1346" s="414"/>
      <c r="D1346" s="414"/>
      <c r="E1346" s="654" t="str">
        <f>Translations!$B$1237</f>
        <v>HAL aprēķinam izmantotās vērtības:</v>
      </c>
      <c r="F1346" s="655"/>
      <c r="G1346" s="656"/>
      <c r="H1346" s="651" t="str">
        <f>H1345</f>
        <v>TJ</v>
      </c>
      <c r="I1346" s="442" t="str">
        <f>IF($M1337&lt;&gt;EUconst_Relevant,"",INDEX('G_Fall-back'!S:S,MATCH($P1346,'G_Fall-back'!$P:$P,0)))</f>
        <v/>
      </c>
      <c r="J1346" s="442" t="str">
        <f>IF($M1337&lt;&gt;EUconst_Relevant,"",INDEX('G_Fall-back'!T:T,MATCH($P1346,'G_Fall-back'!$P:$P,0)))</f>
        <v/>
      </c>
      <c r="K1346" s="442" t="str">
        <f>IF($M1337&lt;&gt;EUconst_Relevant,"",INDEX('G_Fall-back'!U:U,MATCH($P1346,'G_Fall-back'!$P:$P,0)))</f>
        <v/>
      </c>
      <c r="L1346" s="442" t="str">
        <f>IF($M1337&lt;&gt;EUconst_Relevant,"",INDEX('G_Fall-back'!V:V,MATCH($P1346,'G_Fall-back'!$P:$P,0)))</f>
        <v/>
      </c>
      <c r="M1346" s="442" t="str">
        <f>IF($M1337&lt;&gt;EUconst_Relevant,"",INDEX('G_Fall-back'!W:W,MATCH($P1346,'G_Fall-back'!$P:$P,0)))</f>
        <v/>
      </c>
      <c r="N1346" s="546" t="str">
        <f>IF(OR($M1337&lt;&gt;EUconst_Relevant,$J1340=TRUE),"",IF(COUNT($I1346:$M1346)&gt;0,MEDIAN($I1346:$M1346),""))</f>
        <v/>
      </c>
      <c r="O1346" s="25"/>
      <c r="P1346" s="202" t="str">
        <f>EUconst_CNTR_HAL&amp;I1337</f>
        <v>HAL_Centralizētās siltumapgādes apakšiekārta</v>
      </c>
      <c r="Q1346" s="437"/>
      <c r="R1346" s="931" t="s">
        <v>604</v>
      </c>
      <c r="S1346" s="931" t="s">
        <v>605</v>
      </c>
      <c r="T1346" s="931" t="s">
        <v>606</v>
      </c>
    </row>
    <row r="1347" spans="1:20" s="697" customFormat="1" ht="5.0999999999999996" customHeight="1" thickBot="1" x14ac:dyDescent="0.25">
      <c r="A1347" s="437"/>
      <c r="B1347" s="414"/>
      <c r="C1347" s="414"/>
      <c r="D1347" s="414"/>
      <c r="E1347" s="414"/>
      <c r="F1347" s="414"/>
      <c r="G1347" s="414"/>
      <c r="H1347" s="414"/>
      <c r="I1347" s="414"/>
      <c r="J1347" s="414"/>
      <c r="K1347" s="414"/>
      <c r="L1347" s="414"/>
      <c r="M1347" s="414"/>
      <c r="N1347" s="414"/>
      <c r="O1347" s="25"/>
      <c r="P1347" s="437"/>
      <c r="Q1347" s="437"/>
      <c r="R1347" s="437"/>
      <c r="S1347" s="437"/>
      <c r="T1347" s="26"/>
    </row>
    <row r="1348" spans="1:20" s="697" customFormat="1" ht="13.5" thickBot="1" x14ac:dyDescent="0.25">
      <c r="A1348" s="437"/>
      <c r="B1348" s="414"/>
      <c r="C1348" s="414"/>
      <c r="D1348" s="414"/>
      <c r="E1348" s="414"/>
      <c r="F1348" s="657" t="str">
        <f>Translations!$B$1728</f>
        <v>HAL kopā</v>
      </c>
      <c r="G1348" s="817"/>
      <c r="H1348" s="414"/>
      <c r="I1348" s="816" t="str">
        <f>Translations!$B$1226</f>
        <v>1. gada prov. ied. apj. (min.)</v>
      </c>
      <c r="J1348" s="817"/>
      <c r="K1348" s="816" t="str">
        <f>Translations!$B$1229</f>
        <v>1. gada prov. ied. apj. (maks.)</v>
      </c>
      <c r="L1348" s="817"/>
      <c r="M1348" s="816" t="str">
        <f>Translations!$B$1231</f>
        <v>1. gada prov. ied. apj. (fakt.)</v>
      </c>
      <c r="N1348" s="817"/>
      <c r="O1348" s="25"/>
      <c r="P1348" s="202" t="str">
        <f>EUconst_AllocPrelim&amp;I1337</f>
        <v>AllocPrelim_Centralizētās siltumapgādes apakšiekārta</v>
      </c>
      <c r="Q1348" s="437"/>
      <c r="R1348" s="900" t="str">
        <f>IF(I1349="","",IF(S1340=0,0,SUM(I1349)/S1340))</f>
        <v/>
      </c>
      <c r="S1348" s="900" t="str">
        <f>IF(K1349="","",IF(S1340=0,0,SUM(K1349)/S1340))</f>
        <v/>
      </c>
      <c r="T1348" s="900" t="str">
        <f>T1337</f>
        <v/>
      </c>
    </row>
    <row r="1349" spans="1:20" s="697" customFormat="1" ht="13.5" thickBot="1" x14ac:dyDescent="0.25">
      <c r="A1349" s="437"/>
      <c r="B1349" s="414"/>
      <c r="C1349" s="414"/>
      <c r="D1349" s="414"/>
      <c r="E1349" s="414"/>
      <c r="F1349" s="658" t="str">
        <f>IF(M1337&lt;&gt;EUconst_Relevant,"",MAX(0, IF(J1340=TRUE, SUM(K1340), SUM(N1346))))</f>
        <v/>
      </c>
      <c r="G1349" s="884" t="str">
        <f>H1346&amp;" / "&amp;EUconst_Year</f>
        <v>TJ / gads</v>
      </c>
      <c r="H1349" s="414"/>
      <c r="I1349" s="814" t="str">
        <f>IF(M1337&lt;&gt;EUconst_Relevant,"",ROUND(SUM(M1340)*SUM(F1349)*SUM(S1340),0))</f>
        <v/>
      </c>
      <c r="J1349" s="884" t="str">
        <f>EUconst_EUApa</f>
        <v>ESK / gads</v>
      </c>
      <c r="K1349" s="814" t="str">
        <f>IF(M1337&lt;&gt;EUconst_Relevant,"",ROUND(SUM(M1341)*SUM(F1349)*SUM(S1340),0))</f>
        <v/>
      </c>
      <c r="L1349" s="884" t="str">
        <f>EUconst_EUApa</f>
        <v>ESK / gads</v>
      </c>
      <c r="M1349" s="814" t="str">
        <f>IF(OR(M1337&lt;&gt;EUconst_Relevant,M1342=""),"",ROUND(SUM(M1342)*SUM(F1349)*SUM(S1340),0))</f>
        <v/>
      </c>
      <c r="N1349" s="884" t="str">
        <f>EUconst_EUApa</f>
        <v>ESK / gads</v>
      </c>
      <c r="O1349" s="25"/>
      <c r="P1349" s="202" t="str">
        <f>EUconst_HALsum &amp; I1337</f>
        <v>HALsum_Centralizētās siltumapgādes apakšiekārta</v>
      </c>
      <c r="Q1349" s="437"/>
      <c r="R1349" s="437"/>
      <c r="S1349" s="437"/>
      <c r="T1349" s="437"/>
    </row>
    <row r="1350" spans="1:20" s="697" customFormat="1" x14ac:dyDescent="0.2">
      <c r="A1350" s="437"/>
      <c r="B1350" s="414"/>
      <c r="C1350" s="414"/>
      <c r="D1350" s="414"/>
      <c r="E1350" s="414"/>
      <c r="F1350" s="414"/>
      <c r="G1350" s="414"/>
      <c r="H1350" s="414"/>
      <c r="I1350" s="414"/>
      <c r="J1350" s="414"/>
      <c r="K1350" s="414"/>
      <c r="L1350" s="414"/>
      <c r="M1350" s="414"/>
      <c r="N1350" s="414"/>
      <c r="O1350" s="25"/>
      <c r="P1350" s="437"/>
      <c r="Q1350" s="437"/>
      <c r="R1350" s="437"/>
      <c r="S1350" s="437"/>
      <c r="T1350" s="437"/>
    </row>
    <row r="1351" spans="1:20" s="697" customFormat="1" ht="12.75" customHeight="1" x14ac:dyDescent="0.2">
      <c r="A1351" s="437"/>
      <c r="B1351" s="414"/>
      <c r="C1351" s="414"/>
      <c r="D1351" s="414"/>
      <c r="E1351" s="526"/>
      <c r="F1351" s="823"/>
      <c r="G1351" s="823"/>
      <c r="H1351" s="823"/>
      <c r="I1351" s="823"/>
      <c r="J1351" s="823"/>
      <c r="K1351" s="823"/>
      <c r="L1351" s="823"/>
      <c r="M1351" s="823"/>
      <c r="N1351" s="823"/>
      <c r="O1351" s="25"/>
      <c r="P1351" s="437"/>
      <c r="Q1351" s="437"/>
      <c r="R1351" s="437"/>
      <c r="S1351" s="437"/>
      <c r="T1351" s="437"/>
    </row>
    <row r="1352" spans="1:20" s="697" customFormat="1" ht="13.5" thickBot="1" x14ac:dyDescent="0.25">
      <c r="A1352" s="437"/>
      <c r="B1352" s="414"/>
      <c r="C1352" s="414"/>
      <c r="D1352" s="414"/>
      <c r="E1352" s="526"/>
      <c r="F1352" s="823"/>
      <c r="G1352" s="823"/>
      <c r="H1352" s="525" t="str">
        <f>EUconst_Unit</f>
        <v>Vienība</v>
      </c>
      <c r="I1352" s="928">
        <f>I$1652</f>
        <v>2019</v>
      </c>
      <c r="J1352" s="825">
        <f>J$1652</f>
        <v>2020</v>
      </c>
      <c r="K1352" s="825">
        <f>K$1652</f>
        <v>2021</v>
      </c>
      <c r="L1352" s="825">
        <f>L$1652</f>
        <v>2022</v>
      </c>
      <c r="M1352" s="825">
        <f>M$1652</f>
        <v>2023</v>
      </c>
      <c r="N1352" s="823"/>
      <c r="O1352" s="25"/>
      <c r="P1352" s="437"/>
      <c r="Q1352" s="437"/>
      <c r="R1352" s="437"/>
      <c r="S1352" s="437"/>
      <c r="T1352" s="437"/>
    </row>
    <row r="1353" spans="1:20" s="697" customFormat="1" ht="13.5" thickBot="1" x14ac:dyDescent="0.25">
      <c r="A1353" s="437"/>
      <c r="B1353" s="414"/>
      <c r="C1353" s="414"/>
      <c r="D1353" s="414"/>
      <c r="E1353" s="1789" t="str">
        <f>Translations!$B$1734</f>
        <v>Kopā saražotais siltums</v>
      </c>
      <c r="F1353" s="1789"/>
      <c r="G1353" s="1789"/>
      <c r="H1353" s="886" t="str">
        <f>EUconst_TJpa</f>
        <v>TJ / gads</v>
      </c>
      <c r="I1353" s="918" t="str">
        <f>IF($M1337&lt;&gt;EUconst_Relevant,"",IF(INDEX('G_Fall-back'!I:I,MATCH($P1353,'G_Fall-back'!$P:$P,0))="","",INDEX('G_Fall-back'!I:I,MATCH($P1353,'G_Fall-back'!$P:$P,0))))</f>
        <v/>
      </c>
      <c r="J1353" s="919" t="str">
        <f>IF($M1337&lt;&gt;EUconst_Relevant,"",IF(INDEX('G_Fall-back'!J:J,MATCH($P1353,'G_Fall-back'!$P:$P,0))="","",INDEX('G_Fall-back'!J:J,MATCH($P1353,'G_Fall-back'!$P:$P,0))))</f>
        <v/>
      </c>
      <c r="K1353" s="919" t="str">
        <f>IF($M1337&lt;&gt;EUconst_Relevant,"",IF(INDEX('G_Fall-back'!K:K,MATCH($P1353,'G_Fall-back'!$P:$P,0))="","",INDEX('G_Fall-back'!K:K,MATCH($P1353,'G_Fall-back'!$P:$P,0))))</f>
        <v/>
      </c>
      <c r="L1353" s="919" t="str">
        <f>IF($M1337&lt;&gt;EUconst_Relevant,"",IF(INDEX('G_Fall-back'!L:L,MATCH($P1353,'G_Fall-back'!$P:$P,0))="","",INDEX('G_Fall-back'!L:L,MATCH($P1353,'G_Fall-back'!$P:$P,0))))</f>
        <v/>
      </c>
      <c r="M1353" s="920" t="str">
        <f>IF($M1337&lt;&gt;EUconst_Relevant,"",IF(INDEX('G_Fall-back'!M:M,MATCH($P1353,'G_Fall-back'!$P:$P,0))="","",INDEX('G_Fall-back'!M:M,MATCH($P1353,'G_Fall-back'!$P:$P,0))))</f>
        <v/>
      </c>
      <c r="N1353" s="823"/>
      <c r="O1353" s="25"/>
      <c r="P1353" s="367" t="str">
        <f>EUconst_CNTR_HeatProduced &amp; I1337</f>
        <v>HeatProd_Centralizētās siltumapgādes apakšiekārta</v>
      </c>
      <c r="Q1353" s="437"/>
      <c r="R1353" s="437"/>
      <c r="S1353" s="437"/>
      <c r="T1353" s="437"/>
    </row>
    <row r="1354" spans="1:20" s="697" customFormat="1" x14ac:dyDescent="0.2">
      <c r="A1354" s="437"/>
      <c r="B1354" s="414"/>
      <c r="C1354" s="414"/>
      <c r="D1354" s="414"/>
      <c r="E1354" s="1651" t="str">
        <f>Translations!$B$1681</f>
        <v>No elektroenerģijas saražotais siltums</v>
      </c>
      <c r="F1354" s="1651"/>
      <c r="G1354" s="1651"/>
      <c r="H1354" s="1113" t="str">
        <f>EUconst_TJpa</f>
        <v>TJ / gads</v>
      </c>
      <c r="I1354" s="1114" t="str">
        <f>IF($M1337&lt;&gt;EUconst_Relevant,"",IF(INDEX('G_Fall-back'!I:I,MATCH($P1354,'G_Fall-back'!$P:$P,0))="","",INDEX('G_Fall-back'!I:I,MATCH($P1354,'G_Fall-back'!$P:$P,0))))</f>
        <v/>
      </c>
      <c r="J1354" s="1114" t="str">
        <f>IF($M1337&lt;&gt;EUconst_Relevant,"",IF(INDEX('G_Fall-back'!J:J,MATCH($P1354,'G_Fall-back'!$P:$P,0))="","",INDEX('G_Fall-back'!J:J,MATCH($P1354,'G_Fall-back'!$P:$P,0))))</f>
        <v/>
      </c>
      <c r="K1354" s="1114" t="str">
        <f>IF($M1337&lt;&gt;EUconst_Relevant,"",IF(INDEX('G_Fall-back'!K:K,MATCH($P1354,'G_Fall-back'!$P:$P,0))="","",INDEX('G_Fall-back'!K:K,MATCH($P1354,'G_Fall-back'!$P:$P,0))))</f>
        <v/>
      </c>
      <c r="L1354" s="1114" t="str">
        <f>IF($M1337&lt;&gt;EUconst_Relevant,"",IF(INDEX('G_Fall-back'!L:L,MATCH($P1354,'G_Fall-back'!$P:$P,0))="","",INDEX('G_Fall-back'!L:L,MATCH($P1354,'G_Fall-back'!$P:$P,0))))</f>
        <v/>
      </c>
      <c r="M1354" s="1114" t="str">
        <f>IF($M1337&lt;&gt;EUconst_Relevant,"",IF(INDEX('G_Fall-back'!M:M,MATCH($P1354,'G_Fall-back'!$P:$P,0))="","",INDEX('G_Fall-back'!M:M,MATCH($P1354,'G_Fall-back'!$P:$P,0))))</f>
        <v/>
      </c>
      <c r="N1354" s="823"/>
      <c r="O1354" s="25"/>
      <c r="P1354" s="367" t="str">
        <f>EUconst_CNTR_HeatProducedElectricity &amp; I1337</f>
        <v>HeatProdElec_Centralizētās siltumapgādes apakšiekārta</v>
      </c>
      <c r="Q1354" s="437"/>
      <c r="R1354" s="437"/>
      <c r="S1354" s="437"/>
      <c r="T1354" s="437"/>
    </row>
    <row r="1355" spans="1:20" s="697" customFormat="1" ht="5.0999999999999996" customHeight="1" thickBot="1" x14ac:dyDescent="0.25">
      <c r="A1355" s="437"/>
      <c r="B1355" s="414"/>
      <c r="C1355" s="414"/>
      <c r="D1355" s="414"/>
      <c r="E1355" s="526"/>
      <c r="F1355" s="526"/>
      <c r="G1355" s="526"/>
      <c r="H1355" s="526"/>
      <c r="I1355" s="924"/>
      <c r="J1355" s="924"/>
      <c r="K1355" s="924"/>
      <c r="L1355" s="924"/>
      <c r="M1355" s="924"/>
      <c r="N1355" s="823"/>
      <c r="O1355" s="25"/>
      <c r="P1355" s="437"/>
      <c r="Q1355" s="437"/>
      <c r="R1355" s="437"/>
      <c r="S1355" s="437"/>
      <c r="T1355" s="437"/>
    </row>
    <row r="1356" spans="1:20" s="697" customFormat="1" ht="13.5" thickBot="1" x14ac:dyDescent="0.25">
      <c r="A1356" s="437"/>
      <c r="B1356" s="414"/>
      <c r="C1356" s="414"/>
      <c r="D1356" s="414"/>
      <c r="E1356" s="1789" t="str">
        <f>Translations!$B$1238</f>
        <v>Kopējās attiecinātās emisijas</v>
      </c>
      <c r="F1356" s="1789"/>
      <c r="G1356" s="1789"/>
      <c r="H1356" s="886" t="str">
        <f>EUconst_tCO2epa</f>
        <v>t CO2e/gads</v>
      </c>
      <c r="I1356" s="918" t="str">
        <f>INDEX(I$115:I$134,MATCH($I1337,$E$115:$E$134,0))</f>
        <v/>
      </c>
      <c r="J1356" s="919" t="str">
        <f>INDEX(J$115:J$134,MATCH($I1337,$E$115:$E$134,0))</f>
        <v/>
      </c>
      <c r="K1356" s="919" t="str">
        <f>INDEX(K$115:K$134,MATCH($I1337,$E$115:$E$134,0))</f>
        <v/>
      </c>
      <c r="L1356" s="919" t="str">
        <f>INDEX(L$115:L$134,MATCH($I1337,$E$115:$E$134,0))</f>
        <v/>
      </c>
      <c r="M1356" s="920" t="str">
        <f>INDEX(M$115:M$134,MATCH($I1337,$E$115:$E$134,0))</f>
        <v/>
      </c>
      <c r="N1356" s="823"/>
      <c r="O1356" s="25"/>
      <c r="P1356" s="437"/>
      <c r="Q1356" s="437"/>
      <c r="R1356" s="437"/>
      <c r="S1356" s="437"/>
      <c r="T1356" s="26"/>
    </row>
    <row r="1357" spans="1:20" s="697" customFormat="1" ht="5.0999999999999996" customHeight="1" x14ac:dyDescent="0.2">
      <c r="A1357" s="437"/>
      <c r="B1357" s="414"/>
      <c r="C1357" s="414"/>
      <c r="D1357" s="414"/>
      <c r="E1357" s="526"/>
      <c r="F1357" s="526"/>
      <c r="G1357" s="526"/>
      <c r="H1357" s="526"/>
      <c r="I1357" s="921"/>
      <c r="J1357" s="921"/>
      <c r="K1357" s="921"/>
      <c r="L1357" s="921"/>
      <c r="M1357" s="921"/>
      <c r="N1357" s="526"/>
      <c r="O1357" s="25"/>
      <c r="P1357" s="437"/>
      <c r="Q1357" s="437"/>
      <c r="R1357" s="437"/>
      <c r="S1357" s="437"/>
      <c r="T1357" s="26"/>
    </row>
    <row r="1358" spans="1:20" s="697" customFormat="1" x14ac:dyDescent="0.2">
      <c r="A1358" s="437"/>
      <c r="B1358" s="414"/>
      <c r="C1358" s="414"/>
      <c r="D1358" s="414"/>
      <c r="E1358" s="1667" t="str">
        <f>Translations!$B$731</f>
        <v>Kurināmā ielaide</v>
      </c>
      <c r="F1358" s="1660"/>
      <c r="G1358" s="1660"/>
      <c r="H1358" s="466" t="str">
        <f>EUconst_TJpa</f>
        <v>TJ / gads</v>
      </c>
      <c r="I1358" s="922" t="str">
        <f>IF($M1337&lt;&gt;EUconst_Relevant,"",IF(INDEX('G_Fall-back'!I:I,MATCH($P1358,'G_Fall-back'!$P:$P,0))="","",INDEX('G_Fall-back'!I:I,MATCH($P1358,'G_Fall-back'!$P:$P,0))))</f>
        <v/>
      </c>
      <c r="J1358" s="922" t="str">
        <f>IF($M1337&lt;&gt;EUconst_Relevant,"",IF(INDEX('G_Fall-back'!J:J,MATCH($P1358,'G_Fall-back'!$P:$P,0))="","",INDEX('G_Fall-back'!J:J,MATCH($P1358,'G_Fall-back'!$P:$P,0))))</f>
        <v/>
      </c>
      <c r="K1358" s="922" t="str">
        <f>IF($M1337&lt;&gt;EUconst_Relevant,"",IF(INDEX('G_Fall-back'!K:K,MATCH($P1358,'G_Fall-back'!$P:$P,0))="","",INDEX('G_Fall-back'!K:K,MATCH($P1358,'G_Fall-back'!$P:$P,0))))</f>
        <v/>
      </c>
      <c r="L1358" s="922" t="str">
        <f>IF($M1337&lt;&gt;EUconst_Relevant,"",IF(INDEX('G_Fall-back'!L:L,MATCH($P1358,'G_Fall-back'!$P:$P,0))="","",INDEX('G_Fall-back'!L:L,MATCH($P1358,'G_Fall-back'!$P:$P,0))))</f>
        <v/>
      </c>
      <c r="M1358" s="922" t="str">
        <f>IF($M1337&lt;&gt;EUconst_Relevant,"",IF(INDEX('G_Fall-back'!M:M,MATCH($P1358,'G_Fall-back'!$P:$P,0))="","",INDEX('G_Fall-back'!M:M,MATCH($P1358,'G_Fall-back'!$P:$P,0))))</f>
        <v/>
      </c>
      <c r="N1358" s="823"/>
      <c r="O1358" s="25"/>
      <c r="P1358" s="822" t="str">
        <f>EUconst_CNTR_FuelInput &amp; I1337</f>
        <v>FuelInput_Centralizētās siltumapgādes apakšiekārta</v>
      </c>
      <c r="Q1358" s="437"/>
      <c r="R1358" s="437"/>
      <c r="S1358" s="437"/>
      <c r="T1358" s="437"/>
    </row>
    <row r="1359" spans="1:20" s="697" customFormat="1" x14ac:dyDescent="0.2">
      <c r="A1359" s="437"/>
      <c r="B1359" s="414"/>
      <c r="C1359" s="414"/>
      <c r="D1359" s="414"/>
      <c r="E1359" s="1737" t="str">
        <f>Translations!$B$732</f>
        <v>Svērtais emisijas faktors</v>
      </c>
      <c r="F1359" s="1659"/>
      <c r="G1359" s="1659"/>
      <c r="H1359" s="485" t="str">
        <f>EUconst_tCO2pTJ</f>
        <v>t CO2 / TJ</v>
      </c>
      <c r="I1359" s="923" t="str">
        <f>IF($M1337&lt;&gt;EUconst_Relevant,"",IF(INDEX('G_Fall-back'!I:I,MATCH($P1359,'G_Fall-back'!$P:$P,0))="","",INDEX('G_Fall-back'!I:I,MATCH($P1359,'G_Fall-back'!$P:$P,0))))</f>
        <v/>
      </c>
      <c r="J1359" s="923" t="str">
        <f>IF($M1337&lt;&gt;EUconst_Relevant,"",IF(INDEX('G_Fall-back'!J:J,MATCH($P1359,'G_Fall-back'!$P:$P,0))="","",INDEX('G_Fall-back'!J:J,MATCH($P1359,'G_Fall-back'!$P:$P,0))))</f>
        <v/>
      </c>
      <c r="K1359" s="923" t="str">
        <f>IF($M1337&lt;&gt;EUconst_Relevant,"",IF(INDEX('G_Fall-back'!K:K,MATCH($P1359,'G_Fall-back'!$P:$P,0))="","",INDEX('G_Fall-back'!K:K,MATCH($P1359,'G_Fall-back'!$P:$P,0))))</f>
        <v/>
      </c>
      <c r="L1359" s="923" t="str">
        <f>IF($M1337&lt;&gt;EUconst_Relevant,"",IF(INDEX('G_Fall-back'!L:L,MATCH($P1359,'G_Fall-back'!$P:$P,0))="","",INDEX('G_Fall-back'!L:L,MATCH($P1359,'G_Fall-back'!$P:$P,0))))</f>
        <v/>
      </c>
      <c r="M1359" s="923" t="str">
        <f>IF($M1337&lt;&gt;EUconst_Relevant,"",IF(INDEX('G_Fall-back'!M:M,MATCH($P1359,'G_Fall-back'!$P:$P,0))="","",INDEX('G_Fall-back'!M:M,MATCH($P1359,'G_Fall-back'!$P:$P,0))))</f>
        <v/>
      </c>
      <c r="N1359" s="823"/>
      <c r="O1359" s="25"/>
      <c r="P1359" s="367" t="str">
        <f>EUconst_CNTR_FuelEF &amp; I1337</f>
        <v>FuelEF_Centralizētās siltumapgādes apakšiekārta</v>
      </c>
      <c r="Q1359" s="437"/>
      <c r="R1359" s="437"/>
      <c r="S1359" s="437"/>
      <c r="T1359" s="437"/>
    </row>
    <row r="1360" spans="1:20" s="697" customFormat="1" x14ac:dyDescent="0.2">
      <c r="A1360" s="437"/>
      <c r="B1360" s="414"/>
      <c r="C1360" s="414"/>
      <c r="D1360" s="414"/>
      <c r="E1360" s="1667" t="str">
        <f>Translations!$B$853</f>
        <v>Atlikumgāzu kurināmā ielaide</v>
      </c>
      <c r="F1360" s="1660"/>
      <c r="G1360" s="1660"/>
      <c r="H1360" s="466" t="str">
        <f>EUconst_TJpa</f>
        <v>TJ / gads</v>
      </c>
      <c r="I1360" s="922" t="str">
        <f>IF($M1337&lt;&gt;EUconst_Relevant,"",IF(INDEX('G_Fall-back'!I:I,MATCH($P1360,'G_Fall-back'!$P:$P,0))="","",INDEX('G_Fall-back'!I:I,MATCH($P1360,'G_Fall-back'!$P:$P,0))))</f>
        <v/>
      </c>
      <c r="J1360" s="922" t="str">
        <f>IF($M1337&lt;&gt;EUconst_Relevant,"",IF(INDEX('G_Fall-back'!J:J,MATCH($P1360,'G_Fall-back'!$P:$P,0))="","",INDEX('G_Fall-back'!J:J,MATCH($P1360,'G_Fall-back'!$P:$P,0))))</f>
        <v/>
      </c>
      <c r="K1360" s="922" t="str">
        <f>IF($M1337&lt;&gt;EUconst_Relevant,"",IF(INDEX('G_Fall-back'!K:K,MATCH($P1360,'G_Fall-back'!$P:$P,0))="","",INDEX('G_Fall-back'!K:K,MATCH($P1360,'G_Fall-back'!$P:$P,0))))</f>
        <v/>
      </c>
      <c r="L1360" s="922" t="str">
        <f>IF($M1337&lt;&gt;EUconst_Relevant,"",IF(INDEX('G_Fall-back'!L:L,MATCH($P1360,'G_Fall-back'!$P:$P,0))="","",INDEX('G_Fall-back'!L:L,MATCH($P1360,'G_Fall-back'!$P:$P,0))))</f>
        <v/>
      </c>
      <c r="M1360" s="922" t="str">
        <f>IF($M1337&lt;&gt;EUconst_Relevant,"",IF(INDEX('G_Fall-back'!M:M,MATCH($P1360,'G_Fall-back'!$P:$P,0))="","",INDEX('G_Fall-back'!M:M,MATCH($P1360,'G_Fall-back'!$P:$P,0))))</f>
        <v/>
      </c>
      <c r="N1360" s="823"/>
      <c r="O1360" s="25"/>
      <c r="P1360" s="453" t="str">
        <f>EUconst_CNTR_WGConsumed &amp; I1337</f>
        <v>WasteGasCons_Centralizētās siltumapgādes apakšiekārta</v>
      </c>
      <c r="Q1360" s="437"/>
      <c r="R1360" s="437"/>
      <c r="S1360" s="437"/>
      <c r="T1360" s="437"/>
    </row>
    <row r="1361" spans="1:20" s="697" customFormat="1" ht="12.75" customHeight="1" x14ac:dyDescent="0.2">
      <c r="A1361" s="437"/>
      <c r="B1361" s="414"/>
      <c r="C1361" s="414"/>
      <c r="D1361" s="414"/>
      <c r="E1361" s="1737" t="str">
        <f>Translations!$B$732</f>
        <v>Svērtais emisijas faktors</v>
      </c>
      <c r="F1361" s="1659"/>
      <c r="G1361" s="1659"/>
      <c r="H1361" s="485" t="str">
        <f>EUconst_tCO2pTJ</f>
        <v>t CO2 / TJ</v>
      </c>
      <c r="I1361" s="923" t="str">
        <f>IF($M1337&lt;&gt;EUconst_Relevant,"",IF(INDEX('G_Fall-back'!I:I,MATCH($P1361,'G_Fall-back'!$P:$P,0))="","",INDEX('G_Fall-back'!I:I,MATCH($P1361,'G_Fall-back'!$P:$P,0))))</f>
        <v/>
      </c>
      <c r="J1361" s="923" t="str">
        <f>IF($M1337&lt;&gt;EUconst_Relevant,"",IF(INDEX('G_Fall-back'!J:J,MATCH($P1361,'G_Fall-back'!$P:$P,0))="","",INDEX('G_Fall-back'!J:J,MATCH($P1361,'G_Fall-back'!$P:$P,0))))</f>
        <v/>
      </c>
      <c r="K1361" s="923" t="str">
        <f>IF($M1337&lt;&gt;EUconst_Relevant,"",IF(INDEX('G_Fall-back'!K:K,MATCH($P1361,'G_Fall-back'!$P:$P,0))="","",INDEX('G_Fall-back'!K:K,MATCH($P1361,'G_Fall-back'!$P:$P,0))))</f>
        <v/>
      </c>
      <c r="L1361" s="923" t="str">
        <f>IF($M1337&lt;&gt;EUconst_Relevant,"",IF(INDEX('G_Fall-back'!L:L,MATCH($P1361,'G_Fall-back'!$P:$P,0))="","",INDEX('G_Fall-back'!L:L,MATCH($P1361,'G_Fall-back'!$P:$P,0))))</f>
        <v/>
      </c>
      <c r="M1361" s="923" t="str">
        <f>IF($M1337&lt;&gt;EUconst_Relevant,"",IF(INDEX('G_Fall-back'!M:M,MATCH($P1361,'G_Fall-back'!$P:$P,0))="","",INDEX('G_Fall-back'!M:M,MATCH($P1361,'G_Fall-back'!$P:$P,0))))</f>
        <v/>
      </c>
      <c r="N1361" s="823"/>
      <c r="O1361" s="25"/>
      <c r="P1361" s="367" t="str">
        <f>EUconst_CNTR_WGConsumedEF &amp; I1337</f>
        <v>WasteGasConsEF_Centralizētās siltumapgādes apakšiekārta</v>
      </c>
      <c r="Q1361" s="437"/>
      <c r="R1361" s="437"/>
      <c r="S1361" s="437"/>
      <c r="T1361" s="437"/>
    </row>
    <row r="1362" spans="1:20" s="697" customFormat="1" ht="12.75" customHeight="1" x14ac:dyDescent="0.2">
      <c r="A1362" s="437"/>
      <c r="B1362" s="414"/>
      <c r="C1362" s="414"/>
      <c r="D1362" s="414"/>
      <c r="E1362" s="1667" t="str">
        <f>Translations!$B$1631</f>
        <v>Elektroenerģijas ielaide siltuma ražošanai</v>
      </c>
      <c r="F1362" s="1667"/>
      <c r="G1362" s="1667"/>
      <c r="H1362" s="466" t="str">
        <f>EUconst_TJpa</f>
        <v>TJ / gads</v>
      </c>
      <c r="I1362" s="922" t="str">
        <f>IF($M1337&lt;&gt;EUconst_Relevant,"",IF(INDEX('G_Fall-back'!I:I,MATCH($P1362,'G_Fall-back'!$P:$P,0))="","",INDEX('G_Fall-back'!I:I,MATCH($P1362,'G_Fall-back'!$P:$P,0))))</f>
        <v/>
      </c>
      <c r="J1362" s="922" t="str">
        <f>IF($M1337&lt;&gt;EUconst_Relevant,"",IF(INDEX('G_Fall-back'!J:J,MATCH($P1362,'G_Fall-back'!$P:$P,0))="","",INDEX('G_Fall-back'!J:J,MATCH($P1362,'G_Fall-back'!$P:$P,0))))</f>
        <v/>
      </c>
      <c r="K1362" s="922" t="str">
        <f>IF($M1337&lt;&gt;EUconst_Relevant,"",IF(INDEX('G_Fall-back'!K:K,MATCH($P1362,'G_Fall-back'!$P:$P,0))="","",INDEX('G_Fall-back'!K:K,MATCH($P1362,'G_Fall-back'!$P:$P,0))))</f>
        <v/>
      </c>
      <c r="L1362" s="922" t="str">
        <f>IF($M1337&lt;&gt;EUconst_Relevant,"",IF(INDEX('G_Fall-back'!L:L,MATCH($P1362,'G_Fall-back'!$P:$P,0))="","",INDEX('G_Fall-back'!L:L,MATCH($P1362,'G_Fall-back'!$P:$P,0))))</f>
        <v/>
      </c>
      <c r="M1362" s="922" t="str">
        <f>IF($M1337&lt;&gt;EUconst_Relevant,"",IF(INDEX('G_Fall-back'!M:M,MATCH($P1362,'G_Fall-back'!$P:$P,0))="","",INDEX('G_Fall-back'!M:M,MATCH($P1362,'G_Fall-back'!$P:$P,0))))</f>
        <v/>
      </c>
      <c r="N1362" s="823"/>
      <c r="O1362" s="25"/>
      <c r="P1362" s="453" t="str">
        <f>EUconst_CNTR_ElectricityInput &amp; I1337</f>
        <v>ElectricityInput_Centralizētās siltumapgādes apakšiekārta</v>
      </c>
      <c r="Q1362" s="437"/>
      <c r="R1362" s="437"/>
      <c r="S1362" s="437"/>
      <c r="T1362" s="437"/>
    </row>
    <row r="1363" spans="1:20" s="697" customFormat="1" ht="12.75" customHeight="1" x14ac:dyDescent="0.2">
      <c r="A1363" s="437"/>
      <c r="B1363" s="414"/>
      <c r="C1363" s="414"/>
      <c r="D1363" s="414"/>
      <c r="E1363" s="1737" t="str">
        <f>Translations!$B$732</f>
        <v>Svērtais emisijas faktors</v>
      </c>
      <c r="F1363" s="1737"/>
      <c r="G1363" s="1737"/>
      <c r="H1363" s="485" t="str">
        <f>EUconst_tCO2pTJ</f>
        <v>t CO2 / TJ</v>
      </c>
      <c r="I1363" s="923" t="str">
        <f>IF($M1337&lt;&gt;EUconst_Relevant,"",IF(INDEX('G_Fall-back'!I:I,MATCH($P1363,'G_Fall-back'!$P:$P,0))="","",INDEX('G_Fall-back'!I:I,MATCH($P1363,'G_Fall-back'!$P:$P,0))))</f>
        <v/>
      </c>
      <c r="J1363" s="923" t="str">
        <f>IF($M1337&lt;&gt;EUconst_Relevant,"",IF(INDEX('G_Fall-back'!J:J,MATCH($P1363,'G_Fall-back'!$P:$P,0))="","",INDEX('G_Fall-back'!J:J,MATCH($P1363,'G_Fall-back'!$P:$P,0))))</f>
        <v/>
      </c>
      <c r="K1363" s="923" t="str">
        <f>IF($M1337&lt;&gt;EUconst_Relevant,"",IF(INDEX('G_Fall-back'!K:K,MATCH($P1363,'G_Fall-back'!$P:$P,0))="","",INDEX('G_Fall-back'!K:K,MATCH($P1363,'G_Fall-back'!$P:$P,0))))</f>
        <v/>
      </c>
      <c r="L1363" s="923" t="str">
        <f>IF($M1337&lt;&gt;EUconst_Relevant,"",IF(INDEX('G_Fall-back'!L:L,MATCH($P1363,'G_Fall-back'!$P:$P,0))="","",INDEX('G_Fall-back'!L:L,MATCH($P1363,'G_Fall-back'!$P:$P,0))))</f>
        <v/>
      </c>
      <c r="M1363" s="923" t="str">
        <f>IF($M1337&lt;&gt;EUconst_Relevant,"",IF(INDEX('G_Fall-back'!M:M,MATCH($P1363,'G_Fall-back'!$P:$P,0))="","",INDEX('G_Fall-back'!M:M,MATCH($P1363,'G_Fall-back'!$P:$P,0))))</f>
        <v/>
      </c>
      <c r="N1363" s="823"/>
      <c r="O1363" s="25"/>
      <c r="P1363" s="367" t="str">
        <f>EUconst_CNTR_ElectricityEF &amp; I1337</f>
        <v>ElectricityEF_Centralizētās siltumapgādes apakšiekārta</v>
      </c>
      <c r="Q1363" s="437"/>
      <c r="R1363" s="437"/>
      <c r="S1363" s="437"/>
      <c r="T1363" s="437"/>
    </row>
    <row r="1364" spans="1:20" s="697" customFormat="1" ht="12.75" customHeight="1" x14ac:dyDescent="0.2">
      <c r="A1364" s="437"/>
      <c r="B1364" s="414"/>
      <c r="C1364" s="414"/>
      <c r="D1364" s="414"/>
      <c r="E1364" s="1667" t="str">
        <f>Translations!$B$1632</f>
        <v>Citas enerģijas (piemēram, eksotermiskā siltuma) ielaide</v>
      </c>
      <c r="F1364" s="1667"/>
      <c r="G1364" s="1667"/>
      <c r="H1364" s="466" t="str">
        <f>EUconst_TJpa</f>
        <v>TJ / gads</v>
      </c>
      <c r="I1364" s="922" t="str">
        <f>IF($M1337&lt;&gt;EUconst_Relevant,"",IF(INDEX('G_Fall-back'!I:I,MATCH($P1364,'G_Fall-back'!$P:$P,0))="","",INDEX('G_Fall-back'!I:I,MATCH($P1364,'G_Fall-back'!$P:$P,0))))</f>
        <v/>
      </c>
      <c r="J1364" s="922" t="str">
        <f>IF($M1337&lt;&gt;EUconst_Relevant,"",IF(INDEX('G_Fall-back'!J:J,MATCH($P1364,'G_Fall-back'!$P:$P,0))="","",INDEX('G_Fall-back'!J:J,MATCH($P1364,'G_Fall-back'!$P:$P,0))))</f>
        <v/>
      </c>
      <c r="K1364" s="922" t="str">
        <f>IF($M1337&lt;&gt;EUconst_Relevant,"",IF(INDEX('G_Fall-back'!K:K,MATCH($P1364,'G_Fall-back'!$P:$P,0))="","",INDEX('G_Fall-back'!K:K,MATCH($P1364,'G_Fall-back'!$P:$P,0))))</f>
        <v/>
      </c>
      <c r="L1364" s="922" t="str">
        <f>IF($M1337&lt;&gt;EUconst_Relevant,"",IF(INDEX('G_Fall-back'!L:L,MATCH($P1364,'G_Fall-back'!$P:$P,0))="","",INDEX('G_Fall-back'!L:L,MATCH($P1364,'G_Fall-back'!$P:$P,0))))</f>
        <v/>
      </c>
      <c r="M1364" s="922" t="str">
        <f>IF($M1337&lt;&gt;EUconst_Relevant,"",IF(INDEX('G_Fall-back'!M:M,MATCH($P1364,'G_Fall-back'!$P:$P,0))="","",INDEX('G_Fall-back'!M:M,MATCH($P1364,'G_Fall-back'!$P:$P,0))))</f>
        <v/>
      </c>
      <c r="N1364" s="823"/>
      <c r="O1364" s="25"/>
      <c r="P1364" s="453" t="str">
        <f>EUconst_CNTR_OtherEnergyInput &amp; I1337</f>
        <v>OtherEnergyInput_Centralizētās siltumapgādes apakšiekārta</v>
      </c>
      <c r="Q1364" s="437"/>
      <c r="R1364" s="437"/>
      <c r="S1364" s="437"/>
      <c r="T1364" s="437"/>
    </row>
    <row r="1365" spans="1:20" s="697" customFormat="1" ht="12.75" customHeight="1" x14ac:dyDescent="0.2">
      <c r="A1365" s="437"/>
      <c r="B1365" s="414"/>
      <c r="C1365" s="414"/>
      <c r="D1365" s="414"/>
      <c r="E1365" s="1737" t="str">
        <f>Translations!$B$732</f>
        <v>Svērtais emisijas faktors</v>
      </c>
      <c r="F1365" s="1737"/>
      <c r="G1365" s="1737"/>
      <c r="H1365" s="485" t="str">
        <f>EUconst_tCO2pTJ</f>
        <v>t CO2 / TJ</v>
      </c>
      <c r="I1365" s="923" t="str">
        <f>IF($M1337&lt;&gt;EUconst_Relevant,"",IF(INDEX('G_Fall-back'!I:I,MATCH($P1365,'G_Fall-back'!$P:$P,0))="","",INDEX('G_Fall-back'!I:I,MATCH($P1365,'G_Fall-back'!$P:$P,0))))</f>
        <v/>
      </c>
      <c r="J1365" s="923" t="str">
        <f>IF($M1337&lt;&gt;EUconst_Relevant,"",IF(INDEX('G_Fall-back'!J:J,MATCH($P1365,'G_Fall-back'!$P:$P,0))="","",INDEX('G_Fall-back'!J:J,MATCH($P1365,'G_Fall-back'!$P:$P,0))))</f>
        <v/>
      </c>
      <c r="K1365" s="923" t="str">
        <f>IF($M1337&lt;&gt;EUconst_Relevant,"",IF(INDEX('G_Fall-back'!K:K,MATCH($P1365,'G_Fall-back'!$P:$P,0))="","",INDEX('G_Fall-back'!K:K,MATCH($P1365,'G_Fall-back'!$P:$P,0))))</f>
        <v/>
      </c>
      <c r="L1365" s="923" t="str">
        <f>IF($M1337&lt;&gt;EUconst_Relevant,"",IF(INDEX('G_Fall-back'!L:L,MATCH($P1365,'G_Fall-back'!$P:$P,0))="","",INDEX('G_Fall-back'!L:L,MATCH($P1365,'G_Fall-back'!$P:$P,0))))</f>
        <v/>
      </c>
      <c r="M1365" s="923" t="str">
        <f>IF($M1337&lt;&gt;EUconst_Relevant,"",IF(INDEX('G_Fall-back'!M:M,MATCH($P1365,'G_Fall-back'!$P:$P,0))="","",INDEX('G_Fall-back'!M:M,MATCH($P1365,'G_Fall-back'!$P:$P,0))))</f>
        <v/>
      </c>
      <c r="N1365" s="823"/>
      <c r="O1365" s="25"/>
      <c r="P1365" s="367" t="str">
        <f>EUconst_CNTR_OtherEnergyEF &amp; I1337</f>
        <v>OtherEnergyEF_Centralizētās siltumapgādes apakšiekārta</v>
      </c>
      <c r="Q1365" s="437"/>
      <c r="R1365" s="437"/>
      <c r="S1365" s="437"/>
      <c r="T1365" s="437"/>
    </row>
    <row r="1366" spans="1:20" s="697" customFormat="1" ht="12.75" customHeight="1" x14ac:dyDescent="0.2">
      <c r="A1366" s="437"/>
      <c r="B1366" s="414"/>
      <c r="C1366" s="414"/>
      <c r="D1366" s="414"/>
      <c r="E1366" s="1651" t="str">
        <f>Translations!$B$1678</f>
        <v>Kopējā enerģijas ielaide (= i. + v. + vii.)</v>
      </c>
      <c r="F1366" s="1651"/>
      <c r="G1366" s="1651"/>
      <c r="H1366" s="465" t="str">
        <f>EUconst_TJpa</f>
        <v>TJ / gads</v>
      </c>
      <c r="I1366" s="925" t="str">
        <f>IF($M1337&lt;&gt;EUconst_Relevant,"",IF(INDEX('G_Fall-back'!I:I,MATCH($P1366,'G_Fall-back'!$P:$P,0))="","",INDEX('G_Fall-back'!I:I,MATCH($P1366,'G_Fall-back'!$P:$P,0))))</f>
        <v/>
      </c>
      <c r="J1366" s="925" t="str">
        <f>IF($M1337&lt;&gt;EUconst_Relevant,"",IF(INDEX('G_Fall-back'!J:J,MATCH($P1366,'G_Fall-back'!$P:$P,0))="","",INDEX('G_Fall-back'!J:J,MATCH($P1366,'G_Fall-back'!$P:$P,0))))</f>
        <v/>
      </c>
      <c r="K1366" s="925" t="str">
        <f>IF($M1337&lt;&gt;EUconst_Relevant,"",IF(INDEX('G_Fall-back'!K:K,MATCH($P1366,'G_Fall-back'!$P:$P,0))="","",INDEX('G_Fall-back'!K:K,MATCH($P1366,'G_Fall-back'!$P:$P,0))))</f>
        <v/>
      </c>
      <c r="L1366" s="925" t="str">
        <f>IF($M1337&lt;&gt;EUconst_Relevant,"",IF(INDEX('G_Fall-back'!L:L,MATCH($P1366,'G_Fall-back'!$P:$P,0))="","",INDEX('G_Fall-back'!L:L,MATCH($P1366,'G_Fall-back'!$P:$P,0))))</f>
        <v/>
      </c>
      <c r="M1366" s="925" t="str">
        <f>IF($M1337&lt;&gt;EUconst_Relevant,"",IF(INDEX('G_Fall-back'!M:M,MATCH($P1366,'G_Fall-back'!$P:$P,0))="","",INDEX('G_Fall-back'!M:M,MATCH($P1366,'G_Fall-back'!$P:$P,0))))</f>
        <v/>
      </c>
      <c r="N1366" s="823"/>
      <c r="O1366" s="25"/>
      <c r="P1366" s="453" t="str">
        <f>EUconst_CNTR_TotalEnergyInput &amp; I1337</f>
        <v>TotalEnergyInput_Centralizētās siltumapgādes apakšiekārta</v>
      </c>
      <c r="Q1366" s="437"/>
      <c r="R1366" s="437"/>
      <c r="S1366" s="437"/>
      <c r="T1366" s="437"/>
    </row>
    <row r="1367" spans="1:20" s="697" customFormat="1" ht="5.0999999999999996" customHeight="1" x14ac:dyDescent="0.2">
      <c r="A1367" s="437"/>
      <c r="B1367" s="414"/>
      <c r="C1367" s="414"/>
      <c r="D1367" s="414"/>
      <c r="E1367" s="526"/>
      <c r="F1367" s="823"/>
      <c r="G1367" s="823"/>
      <c r="H1367" s="823"/>
      <c r="I1367" s="924"/>
      <c r="J1367" s="924"/>
      <c r="K1367" s="924"/>
      <c r="L1367" s="924"/>
      <c r="M1367" s="924"/>
      <c r="N1367" s="823"/>
      <c r="O1367" s="25"/>
      <c r="P1367" s="437"/>
      <c r="Q1367" s="437"/>
      <c r="R1367" s="437"/>
      <c r="S1367" s="437"/>
      <c r="T1367" s="437"/>
    </row>
    <row r="1368" spans="1:20" s="697" customFormat="1" x14ac:dyDescent="0.2">
      <c r="A1368" s="437"/>
      <c r="B1368" s="414"/>
      <c r="C1368" s="414"/>
      <c r="D1368" s="414"/>
      <c r="E1368" s="1651" t="str">
        <f>Translations!$B$687</f>
        <v>Tiešās emisijas</v>
      </c>
      <c r="F1368" s="1652"/>
      <c r="G1368" s="1652"/>
      <c r="H1368" s="465" t="str">
        <f>EUconst_tCO2pa</f>
        <v>t CO2 / gads</v>
      </c>
      <c r="I1368" s="925" t="str">
        <f>IF($M1337&lt;&gt;EUconst_Relevant,"",IF(INDEX('G_Fall-back'!I:I,MATCH($P1368,'G_Fall-back'!$P:$P,0))="","",INDEX('G_Fall-back'!I:I,MATCH($P1368,'G_Fall-back'!$P:$P,0))))</f>
        <v/>
      </c>
      <c r="J1368" s="925" t="str">
        <f>IF($M1337&lt;&gt;EUconst_Relevant,"",IF(INDEX('G_Fall-back'!J:J,MATCH($P1368,'G_Fall-back'!$P:$P,0))="","",INDEX('G_Fall-back'!J:J,MATCH($P1368,'G_Fall-back'!$P:$P,0))))</f>
        <v/>
      </c>
      <c r="K1368" s="925" t="str">
        <f>IF($M1337&lt;&gt;EUconst_Relevant,"",IF(INDEX('G_Fall-back'!K:K,MATCH($P1368,'G_Fall-back'!$P:$P,0))="","",INDEX('G_Fall-back'!K:K,MATCH($P1368,'G_Fall-back'!$P:$P,0))))</f>
        <v/>
      </c>
      <c r="L1368" s="925" t="str">
        <f>IF($M1337&lt;&gt;EUconst_Relevant,"",IF(INDEX('G_Fall-back'!L:L,MATCH($P1368,'G_Fall-back'!$P:$P,0))="","",INDEX('G_Fall-back'!L:L,MATCH($P1368,'G_Fall-back'!$P:$P,0))))</f>
        <v/>
      </c>
      <c r="M1368" s="925" t="str">
        <f>IF($M1337&lt;&gt;EUconst_Relevant,"",IF(INDEX('G_Fall-back'!M:M,MATCH($P1368,'G_Fall-back'!$P:$P,0))="","",INDEX('G_Fall-back'!M:M,MATCH($P1368,'G_Fall-back'!$P:$P,0))))</f>
        <v/>
      </c>
      <c r="N1368" s="823"/>
      <c r="O1368" s="25"/>
      <c r="P1368" s="367" t="str">
        <f>EUconst_CNTR_Emissions &amp; I1337</f>
        <v>DirEmissions_Centralizētās siltumapgādes apakšiekārta</v>
      </c>
      <c r="Q1368" s="437"/>
      <c r="R1368" s="437"/>
      <c r="S1368" s="437"/>
      <c r="T1368" s="437"/>
    </row>
    <row r="1369" spans="1:20" s="697" customFormat="1" ht="5.0999999999999996" customHeight="1" x14ac:dyDescent="0.2">
      <c r="A1369" s="437"/>
      <c r="B1369" s="414"/>
      <c r="C1369" s="414"/>
      <c r="D1369" s="414"/>
      <c r="E1369" s="526"/>
      <c r="F1369" s="526"/>
      <c r="G1369" s="526"/>
      <c r="H1369" s="526"/>
      <c r="I1369" s="924"/>
      <c r="J1369" s="924"/>
      <c r="K1369" s="924"/>
      <c r="L1369" s="924"/>
      <c r="M1369" s="924"/>
      <c r="N1369" s="823"/>
      <c r="O1369" s="25"/>
      <c r="P1369" s="437"/>
      <c r="Q1369" s="437"/>
      <c r="R1369" s="437"/>
      <c r="S1369" s="437"/>
      <c r="T1369" s="437"/>
    </row>
    <row r="1370" spans="1:20" s="697" customFormat="1" x14ac:dyDescent="0.2">
      <c r="A1370" s="437"/>
      <c r="B1370" s="414"/>
      <c r="C1370" s="414"/>
      <c r="D1370" s="414"/>
      <c r="E1370" s="1667" t="str">
        <f>Translations!$B$1241</f>
        <v>Neto importētais siltums (citi)</v>
      </c>
      <c r="F1370" s="1660"/>
      <c r="G1370" s="1660"/>
      <c r="H1370" s="466" t="str">
        <f>EUconst_TJpa</f>
        <v>TJ / gads</v>
      </c>
      <c r="I1370" s="922" t="str">
        <f>IF($M1337&lt;&gt;EUconst_Relevant,"",IF(INDEX('G_Fall-back'!I:I,MATCH($P1370,'G_Fall-back'!$P:$P,0))="","",INDEX('G_Fall-back'!I:I,MATCH($P1370,'G_Fall-back'!$P:$P,0))))</f>
        <v/>
      </c>
      <c r="J1370" s="922" t="str">
        <f>IF($M1337&lt;&gt;EUconst_Relevant,"",IF(INDEX('G_Fall-back'!J:J,MATCH($P1370,'G_Fall-back'!$P:$P,0))="","",INDEX('G_Fall-back'!J:J,MATCH($P1370,'G_Fall-back'!$P:$P,0))))</f>
        <v/>
      </c>
      <c r="K1370" s="922" t="str">
        <f>IF($M1337&lt;&gt;EUconst_Relevant,"",IF(INDEX('G_Fall-back'!K:K,MATCH($P1370,'G_Fall-back'!$P:$P,0))="","",INDEX('G_Fall-back'!K:K,MATCH($P1370,'G_Fall-back'!$P:$P,0))))</f>
        <v/>
      </c>
      <c r="L1370" s="922" t="str">
        <f>IF($M1337&lt;&gt;EUconst_Relevant,"",IF(INDEX('G_Fall-back'!L:L,MATCH($P1370,'G_Fall-back'!$P:$P,0))="","",INDEX('G_Fall-back'!L:L,MATCH($P1370,'G_Fall-back'!$P:$P,0))))</f>
        <v/>
      </c>
      <c r="M1370" s="922" t="str">
        <f>IF($M1337&lt;&gt;EUconst_Relevant,"",IF(INDEX('G_Fall-back'!M:M,MATCH($P1370,'G_Fall-back'!$P:$P,0))="","",INDEX('G_Fall-back'!M:M,MATCH($P1370,'G_Fall-back'!$P:$P,0))))</f>
        <v/>
      </c>
      <c r="N1370" s="823"/>
      <c r="O1370" s="25"/>
      <c r="P1370" s="367" t="str">
        <f>EUconst_CNTR_HeatImport &amp; I1337</f>
        <v>HeatIm_Centralizētās siltumapgādes apakšiekārta</v>
      </c>
      <c r="Q1370" s="437"/>
      <c r="R1370" s="437"/>
      <c r="S1370" s="437"/>
      <c r="T1370" s="437"/>
    </row>
    <row r="1371" spans="1:20" s="697" customFormat="1" x14ac:dyDescent="0.2">
      <c r="A1371" s="437"/>
      <c r="B1371" s="414"/>
      <c r="C1371" s="414"/>
      <c r="D1371" s="414"/>
      <c r="E1371" s="1737" t="str">
        <f>Translations!$B$765</f>
        <v>Īpatnējais EF (importētais siltums)</v>
      </c>
      <c r="F1371" s="1659"/>
      <c r="G1371" s="1659"/>
      <c r="H1371" s="485" t="str">
        <f>EUconst_tCO2pTJ</f>
        <v>t CO2 / TJ</v>
      </c>
      <c r="I1371" s="923" t="str">
        <f>IF($M1337&lt;&gt;EUconst_Relevant,"",IF(INDEX('G_Fall-back'!I:I,MATCH($P1371,'G_Fall-back'!$P:$P,0))="","",INDEX('G_Fall-back'!I:I,MATCH($P1371,'G_Fall-back'!$P:$P,0))))</f>
        <v/>
      </c>
      <c r="J1371" s="923" t="str">
        <f>IF($M1337&lt;&gt;EUconst_Relevant,"",IF(INDEX('G_Fall-back'!J:J,MATCH($P1371,'G_Fall-back'!$P:$P,0))="","",INDEX('G_Fall-back'!J:J,MATCH($P1371,'G_Fall-back'!$P:$P,0))))</f>
        <v/>
      </c>
      <c r="K1371" s="923" t="str">
        <f>IF($M1337&lt;&gt;EUconst_Relevant,"",IF(INDEX('G_Fall-back'!K:K,MATCH($P1371,'G_Fall-back'!$P:$P,0))="","",INDEX('G_Fall-back'!K:K,MATCH($P1371,'G_Fall-back'!$P:$P,0))))</f>
        <v/>
      </c>
      <c r="L1371" s="923" t="str">
        <f>IF($M1337&lt;&gt;EUconst_Relevant,"",IF(INDEX('G_Fall-back'!L:L,MATCH($P1371,'G_Fall-back'!$P:$P,0))="","",INDEX('G_Fall-back'!L:L,MATCH($P1371,'G_Fall-back'!$P:$P,0))))</f>
        <v/>
      </c>
      <c r="M1371" s="923" t="str">
        <f>IF($M1337&lt;&gt;EUconst_Relevant,"",IF(INDEX('G_Fall-back'!M:M,MATCH($P1371,'G_Fall-back'!$P:$P,0))="","",INDEX('G_Fall-back'!M:M,MATCH($P1371,'G_Fall-back'!$P:$P,0))))</f>
        <v/>
      </c>
      <c r="N1371" s="823"/>
      <c r="O1371" s="25"/>
      <c r="P1371" s="367" t="str">
        <f>EUconst_CNTR_HeatImportEF &amp; I1337</f>
        <v>HeatImEF_Centralizētās siltumapgādes apakšiekārta</v>
      </c>
      <c r="Q1371" s="437"/>
      <c r="R1371" s="437"/>
      <c r="S1371" s="437"/>
      <c r="T1371" s="437"/>
    </row>
    <row r="1372" spans="1:20" s="697" customFormat="1" x14ac:dyDescent="0.2">
      <c r="A1372" s="437"/>
      <c r="B1372" s="414"/>
      <c r="C1372" s="414"/>
      <c r="D1372" s="414"/>
      <c r="E1372" s="1667" t="str">
        <f>Translations!$B$1242</f>
        <v>Neto importētais siltums (produkta LA)</v>
      </c>
      <c r="F1372" s="1660"/>
      <c r="G1372" s="1660"/>
      <c r="H1372" s="466" t="str">
        <f>EUconst_TJpa</f>
        <v>TJ / gads</v>
      </c>
      <c r="I1372" s="922" t="str">
        <f>IF($M1337&lt;&gt;EUconst_Relevant,"",IF(INDEX('G_Fall-back'!I:I,MATCH($P1372,'G_Fall-back'!$P:$P,0))="","",INDEX('G_Fall-back'!I:I,MATCH($P1372,'G_Fall-back'!$P:$P,0))))</f>
        <v/>
      </c>
      <c r="J1372" s="922" t="str">
        <f>IF($M1337&lt;&gt;EUconst_Relevant,"",IF(INDEX('G_Fall-back'!J:J,MATCH($P1372,'G_Fall-back'!$P:$P,0))="","",INDEX('G_Fall-back'!J:J,MATCH($P1372,'G_Fall-back'!$P:$P,0))))</f>
        <v/>
      </c>
      <c r="K1372" s="922" t="str">
        <f>IF($M1337&lt;&gt;EUconst_Relevant,"",IF(INDEX('G_Fall-back'!K:K,MATCH($P1372,'G_Fall-back'!$P:$P,0))="","",INDEX('G_Fall-back'!K:K,MATCH($P1372,'G_Fall-back'!$P:$P,0))))</f>
        <v/>
      </c>
      <c r="L1372" s="922" t="str">
        <f>IF($M1337&lt;&gt;EUconst_Relevant,"",IF(INDEX('G_Fall-back'!L:L,MATCH($P1372,'G_Fall-back'!$P:$P,0))="","",INDEX('G_Fall-back'!L:L,MATCH($P1372,'G_Fall-back'!$P:$P,0))))</f>
        <v/>
      </c>
      <c r="M1372" s="922" t="str">
        <f>IF($M1337&lt;&gt;EUconst_Relevant,"",IF(INDEX('G_Fall-back'!M:M,MATCH($P1372,'G_Fall-back'!$P:$P,0))="","",INDEX('G_Fall-back'!M:M,MATCH($P1372,'G_Fall-back'!$P:$P,0))))</f>
        <v/>
      </c>
      <c r="N1372" s="823"/>
      <c r="O1372" s="25"/>
      <c r="P1372" s="367" t="str">
        <f>EUconst_CNTR_HeatImportProduct &amp; I1337</f>
        <v>HeatImProd_Centralizētās siltumapgādes apakšiekārta</v>
      </c>
      <c r="Q1372" s="437"/>
      <c r="R1372" s="437"/>
      <c r="S1372" s="437"/>
      <c r="T1372" s="437"/>
    </row>
    <row r="1373" spans="1:20" s="697" customFormat="1" x14ac:dyDescent="0.2">
      <c r="A1373" s="437"/>
      <c r="B1373" s="414"/>
      <c r="C1373" s="414"/>
      <c r="D1373" s="414"/>
      <c r="E1373" s="1737" t="str">
        <f>Translations!$B$868</f>
        <v>Īpatnējais EF (siltums no produkta LA)</v>
      </c>
      <c r="F1373" s="1659"/>
      <c r="G1373" s="1659"/>
      <c r="H1373" s="485" t="str">
        <f>EUconst_tCO2pTJ</f>
        <v>t CO2 / TJ</v>
      </c>
      <c r="I1373" s="923" t="str">
        <f>IF($M1337&lt;&gt;EUconst_Relevant,"",IF(INDEX('G_Fall-back'!I:I,MATCH($P1373,'G_Fall-back'!$P:$P,0))="","",INDEX('G_Fall-back'!I:I,MATCH($P1373,'G_Fall-back'!$P:$P,0))))</f>
        <v/>
      </c>
      <c r="J1373" s="923" t="str">
        <f>IF($M1337&lt;&gt;EUconst_Relevant,"",IF(INDEX('G_Fall-back'!J:J,MATCH($P1373,'G_Fall-back'!$P:$P,0))="","",INDEX('G_Fall-back'!J:J,MATCH($P1373,'G_Fall-back'!$P:$P,0))))</f>
        <v/>
      </c>
      <c r="K1373" s="923" t="str">
        <f>IF($M1337&lt;&gt;EUconst_Relevant,"",IF(INDEX('G_Fall-back'!K:K,MATCH($P1373,'G_Fall-back'!$P:$P,0))="","",INDEX('G_Fall-back'!K:K,MATCH($P1373,'G_Fall-back'!$P:$P,0))))</f>
        <v/>
      </c>
      <c r="L1373" s="923" t="str">
        <f>IF($M1337&lt;&gt;EUconst_Relevant,"",IF(INDEX('G_Fall-back'!L:L,MATCH($P1373,'G_Fall-back'!$P:$P,0))="","",INDEX('G_Fall-back'!L:L,MATCH($P1373,'G_Fall-back'!$P:$P,0))))</f>
        <v/>
      </c>
      <c r="M1373" s="923" t="str">
        <f>IF($M1337&lt;&gt;EUconst_Relevant,"",IF(INDEX('G_Fall-back'!M:M,MATCH($P1373,'G_Fall-back'!$P:$P,0))="","",INDEX('G_Fall-back'!M:M,MATCH($P1373,'G_Fall-back'!$P:$P,0))))</f>
        <v/>
      </c>
      <c r="N1373" s="823"/>
      <c r="O1373" s="25"/>
      <c r="P1373" s="367" t="str">
        <f>EUconst_CNTR_HeatImportProductEF &amp; I1337</f>
        <v>HeatImProdEF_Centralizētās siltumapgādes apakšiekārta</v>
      </c>
      <c r="Q1373" s="437"/>
      <c r="R1373" s="437"/>
      <c r="S1373" s="437"/>
      <c r="T1373" s="437"/>
    </row>
    <row r="1374" spans="1:20" s="697" customFormat="1" x14ac:dyDescent="0.2">
      <c r="A1374" s="437"/>
      <c r="B1374" s="414"/>
      <c r="C1374" s="414"/>
      <c r="D1374" s="414"/>
      <c r="E1374" s="1667" t="str">
        <f>Translations!$B$1243</f>
        <v>Neto importētais siltums (pulpa)</v>
      </c>
      <c r="F1374" s="1660"/>
      <c r="G1374" s="1660"/>
      <c r="H1374" s="466" t="str">
        <f>EUconst_TJpa</f>
        <v>TJ / gads</v>
      </c>
      <c r="I1374" s="922" t="str">
        <f>IF($M1337&lt;&gt;EUconst_Relevant,"",IF(INDEX('G_Fall-back'!I:I,MATCH($P1374,'G_Fall-back'!$P:$P,0))="","",INDEX('G_Fall-back'!I:I,MATCH($P1374,'G_Fall-back'!$P:$P,0))))</f>
        <v/>
      </c>
      <c r="J1374" s="922" t="str">
        <f>IF($M1337&lt;&gt;EUconst_Relevant,"",IF(INDEX('G_Fall-back'!J:J,MATCH($P1374,'G_Fall-back'!$P:$P,0))="","",INDEX('G_Fall-back'!J:J,MATCH($P1374,'G_Fall-back'!$P:$P,0))))</f>
        <v/>
      </c>
      <c r="K1374" s="922" t="str">
        <f>IF($M1337&lt;&gt;EUconst_Relevant,"",IF(INDEX('G_Fall-back'!K:K,MATCH($P1374,'G_Fall-back'!$P:$P,0))="","",INDEX('G_Fall-back'!K:K,MATCH($P1374,'G_Fall-back'!$P:$P,0))))</f>
        <v/>
      </c>
      <c r="L1374" s="922" t="str">
        <f>IF($M1337&lt;&gt;EUconst_Relevant,"",IF(INDEX('G_Fall-back'!L:L,MATCH($P1374,'G_Fall-back'!$P:$P,0))="","",INDEX('G_Fall-back'!L:L,MATCH($P1374,'G_Fall-back'!$P:$P,0))))</f>
        <v/>
      </c>
      <c r="M1374" s="922" t="str">
        <f>IF($M1337&lt;&gt;EUconst_Relevant,"",IF(INDEX('G_Fall-back'!M:M,MATCH($P1374,'G_Fall-back'!$P:$P,0))="","",INDEX('G_Fall-back'!M:M,MATCH($P1374,'G_Fall-back'!$P:$P,0))))</f>
        <v/>
      </c>
      <c r="N1374" s="823"/>
      <c r="O1374" s="25"/>
      <c r="P1374" s="367" t="str">
        <f>EUconst_CNTR_HeatImportPulp &amp; I1337</f>
        <v>HeatImPulp_Centralizētās siltumapgādes apakšiekārta</v>
      </c>
      <c r="Q1374" s="437"/>
      <c r="R1374" s="437"/>
      <c r="S1374" s="437"/>
      <c r="T1374" s="437"/>
    </row>
    <row r="1375" spans="1:20" s="697" customFormat="1" x14ac:dyDescent="0.2">
      <c r="A1375" s="437"/>
      <c r="B1375" s="414"/>
      <c r="C1375" s="414"/>
      <c r="D1375" s="414"/>
      <c r="E1375" s="1737" t="str">
        <f>Translations!$B$870</f>
        <v>Īpatnējais EF (siltums no pulpas)</v>
      </c>
      <c r="F1375" s="1659"/>
      <c r="G1375" s="1659"/>
      <c r="H1375" s="485" t="str">
        <f>EUconst_tCO2pTJ</f>
        <v>t CO2 / TJ</v>
      </c>
      <c r="I1375" s="923" t="str">
        <f>IF($M1337&lt;&gt;EUconst_Relevant,"",IF(INDEX('G_Fall-back'!I:I,MATCH($P1375,'G_Fall-back'!$P:$P,0))="","",INDEX('G_Fall-back'!I:I,MATCH($P1375,'G_Fall-back'!$P:$P,0))))</f>
        <v/>
      </c>
      <c r="J1375" s="923" t="str">
        <f>IF($M1337&lt;&gt;EUconst_Relevant,"",IF(INDEX('G_Fall-back'!J:J,MATCH($P1375,'G_Fall-back'!$P:$P,0))="","",INDEX('G_Fall-back'!J:J,MATCH($P1375,'G_Fall-back'!$P:$P,0))))</f>
        <v/>
      </c>
      <c r="K1375" s="923" t="str">
        <f>IF($M1337&lt;&gt;EUconst_Relevant,"",IF(INDEX('G_Fall-back'!K:K,MATCH($P1375,'G_Fall-back'!$P:$P,0))="","",INDEX('G_Fall-back'!K:K,MATCH($P1375,'G_Fall-back'!$P:$P,0))))</f>
        <v/>
      </c>
      <c r="L1375" s="923" t="str">
        <f>IF($M1337&lt;&gt;EUconst_Relevant,"",IF(INDEX('G_Fall-back'!L:L,MATCH($P1375,'G_Fall-back'!$P:$P,0))="","",INDEX('G_Fall-back'!L:L,MATCH($P1375,'G_Fall-back'!$P:$P,0))))</f>
        <v/>
      </c>
      <c r="M1375" s="923" t="str">
        <f>IF($M1337&lt;&gt;EUconst_Relevant,"",IF(INDEX('G_Fall-back'!M:M,MATCH($P1375,'G_Fall-back'!$P:$P,0))="","",INDEX('G_Fall-back'!M:M,MATCH($P1375,'G_Fall-back'!$P:$P,0))))</f>
        <v/>
      </c>
      <c r="N1375" s="823"/>
      <c r="O1375" s="25"/>
      <c r="P1375" s="367" t="str">
        <f>EUconst_CNTR_HeatImportPulpEF &amp; I1337</f>
        <v>HeatImPulpEF_Centralizētās siltumapgādes apakšiekārta</v>
      </c>
      <c r="Q1375" s="437"/>
      <c r="R1375" s="437"/>
      <c r="S1375" s="437"/>
      <c r="T1375" s="437"/>
    </row>
    <row r="1376" spans="1:20" s="697" customFormat="1" x14ac:dyDescent="0.2">
      <c r="A1376" s="437"/>
      <c r="B1376" s="414"/>
      <c r="C1376" s="414"/>
      <c r="D1376" s="414"/>
      <c r="E1376" s="1667" t="str">
        <f>Translations!$B$1244</f>
        <v>Neto importētais siltums (kurināmā LA)</v>
      </c>
      <c r="F1376" s="1660"/>
      <c r="G1376" s="1660"/>
      <c r="H1376" s="466" t="str">
        <f>EUconst_TJpa</f>
        <v>TJ / gads</v>
      </c>
      <c r="I1376" s="922" t="str">
        <f>IF($M1337&lt;&gt;EUconst_Relevant,"",IF(INDEX('G_Fall-back'!I:I,MATCH($P1376,'G_Fall-back'!$P:$P,0))="","",INDEX('G_Fall-back'!I:I,MATCH($P1376,'G_Fall-back'!$P:$P,0))))</f>
        <v/>
      </c>
      <c r="J1376" s="922" t="str">
        <f>IF($M1337&lt;&gt;EUconst_Relevant,"",IF(INDEX('G_Fall-back'!J:J,MATCH($P1376,'G_Fall-back'!$P:$P,0))="","",INDEX('G_Fall-back'!J:J,MATCH($P1376,'G_Fall-back'!$P:$P,0))))</f>
        <v/>
      </c>
      <c r="K1376" s="922" t="str">
        <f>IF($M1337&lt;&gt;EUconst_Relevant,"",IF(INDEX('G_Fall-back'!K:K,MATCH($P1376,'G_Fall-back'!$P:$P,0))="","",INDEX('G_Fall-back'!K:K,MATCH($P1376,'G_Fall-back'!$P:$P,0))))</f>
        <v/>
      </c>
      <c r="L1376" s="922" t="str">
        <f>IF($M1337&lt;&gt;EUconst_Relevant,"",IF(INDEX('G_Fall-back'!L:L,MATCH($P1376,'G_Fall-back'!$P:$P,0))="","",INDEX('G_Fall-back'!L:L,MATCH($P1376,'G_Fall-back'!$P:$P,0))))</f>
        <v/>
      </c>
      <c r="M1376" s="922" t="str">
        <f>IF($M1337&lt;&gt;EUconst_Relevant,"",IF(INDEX('G_Fall-back'!M:M,MATCH($P1376,'G_Fall-back'!$P:$P,0))="","",INDEX('G_Fall-back'!M:M,MATCH($P1376,'G_Fall-back'!$P:$P,0))))</f>
        <v/>
      </c>
      <c r="N1376" s="823"/>
      <c r="O1376" s="25"/>
      <c r="P1376" s="367" t="str">
        <f>EUconst_CNTR_HeatImportFuel &amp; I1337</f>
        <v>HeatImFuel_Centralizētās siltumapgādes apakšiekārta</v>
      </c>
      <c r="Q1376" s="437"/>
      <c r="R1376" s="437"/>
      <c r="S1376" s="437"/>
      <c r="T1376" s="437"/>
    </row>
    <row r="1377" spans="1:20" s="697" customFormat="1" x14ac:dyDescent="0.2">
      <c r="A1377" s="437"/>
      <c r="B1377" s="414"/>
      <c r="C1377" s="414"/>
      <c r="D1377" s="414"/>
      <c r="E1377" s="1737" t="str">
        <f>Translations!$B$872</f>
        <v>Īpatnējais EF (no kurināmā LA)</v>
      </c>
      <c r="F1377" s="1737"/>
      <c r="G1377" s="1737"/>
      <c r="H1377" s="824" t="str">
        <f>EUconst_tCO2pTJ</f>
        <v>t CO2 / TJ</v>
      </c>
      <c r="I1377" s="923" t="str">
        <f>IF($M1337&lt;&gt;EUconst_Relevant,"",IF(INDEX('G_Fall-back'!I:I,MATCH($P1377,'G_Fall-back'!$P:$P,0))="","",INDEX('G_Fall-back'!I:I,MATCH($P1377,'G_Fall-back'!$P:$P,0))))</f>
        <v/>
      </c>
      <c r="J1377" s="923" t="str">
        <f>IF($M1337&lt;&gt;EUconst_Relevant,"",IF(INDEX('G_Fall-back'!J:J,MATCH($P1377,'G_Fall-back'!$P:$P,0))="","",INDEX('G_Fall-back'!J:J,MATCH($P1377,'G_Fall-back'!$P:$P,0))))</f>
        <v/>
      </c>
      <c r="K1377" s="923" t="str">
        <f>IF($M1337&lt;&gt;EUconst_Relevant,"",IF(INDEX('G_Fall-back'!K:K,MATCH($P1377,'G_Fall-back'!$P:$P,0))="","",INDEX('G_Fall-back'!K:K,MATCH($P1377,'G_Fall-back'!$P:$P,0))))</f>
        <v/>
      </c>
      <c r="L1377" s="923" t="str">
        <f>IF($M1337&lt;&gt;EUconst_Relevant,"",IF(INDEX('G_Fall-back'!L:L,MATCH($P1377,'G_Fall-back'!$P:$P,0))="","",INDEX('G_Fall-back'!L:L,MATCH($P1377,'G_Fall-back'!$P:$P,0))))</f>
        <v/>
      </c>
      <c r="M1377" s="923" t="str">
        <f>IF($M1337&lt;&gt;EUconst_Relevant,"",IF(INDEX('G_Fall-back'!M:M,MATCH($P1377,'G_Fall-back'!$P:$P,0))="","",INDEX('G_Fall-back'!M:M,MATCH($P1377,'G_Fall-back'!$P:$P,0))))</f>
        <v/>
      </c>
      <c r="N1377" s="823"/>
      <c r="O1377" s="25"/>
      <c r="P1377" s="367" t="str">
        <f>EUconst_CNTR_HeatImportFuelEF &amp; I1337</f>
        <v>HeatImFuelEF_Centralizētās siltumapgādes apakšiekārta</v>
      </c>
      <c r="Q1377" s="437"/>
      <c r="R1377" s="437"/>
      <c r="S1377" s="437"/>
      <c r="T1377" s="437"/>
    </row>
    <row r="1378" spans="1:20" s="697" customFormat="1" x14ac:dyDescent="0.2">
      <c r="A1378" s="437"/>
      <c r="B1378" s="414"/>
      <c r="C1378" s="414"/>
      <c r="D1378" s="414"/>
      <c r="E1378" s="1667" t="str">
        <f>Translations!$B$1245</f>
        <v>Neto importētais siltums (atlikumgāze)</v>
      </c>
      <c r="F1378" s="1660"/>
      <c r="G1378" s="1660"/>
      <c r="H1378" s="466" t="str">
        <f>EUconst_TJpa</f>
        <v>TJ / gads</v>
      </c>
      <c r="I1378" s="922" t="str">
        <f>IF($M1337&lt;&gt;EUconst_Relevant,"",IF(INDEX('G_Fall-back'!I:I,MATCH($P1378,'G_Fall-back'!$P:$P,0))="","",INDEX('G_Fall-back'!I:I,MATCH($P1378,'G_Fall-back'!$P:$P,0))))</f>
        <v/>
      </c>
      <c r="J1378" s="922" t="str">
        <f>IF($M1337&lt;&gt;EUconst_Relevant,"",IF(INDEX('G_Fall-back'!J:J,MATCH($P1378,'G_Fall-back'!$P:$P,0))="","",INDEX('G_Fall-back'!J:J,MATCH($P1378,'G_Fall-back'!$P:$P,0))))</f>
        <v/>
      </c>
      <c r="K1378" s="922" t="str">
        <f>IF($M1337&lt;&gt;EUconst_Relevant,"",IF(INDEX('G_Fall-back'!K:K,MATCH($P1378,'G_Fall-back'!$P:$P,0))="","",INDEX('G_Fall-back'!K:K,MATCH($P1378,'G_Fall-back'!$P:$P,0))))</f>
        <v/>
      </c>
      <c r="L1378" s="922" t="str">
        <f>IF($M1337&lt;&gt;EUconst_Relevant,"",IF(INDEX('G_Fall-back'!L:L,MATCH($P1378,'G_Fall-back'!$P:$P,0))="","",INDEX('G_Fall-back'!L:L,MATCH($P1378,'G_Fall-back'!$P:$P,0))))</f>
        <v/>
      </c>
      <c r="M1378" s="922" t="str">
        <f>IF($M1337&lt;&gt;EUconst_Relevant,"",IF(INDEX('G_Fall-back'!M:M,MATCH($P1378,'G_Fall-back'!$P:$P,0))="","",INDEX('G_Fall-back'!M:M,MATCH($P1378,'G_Fall-back'!$P:$P,0))))</f>
        <v/>
      </c>
      <c r="N1378" s="823"/>
      <c r="O1378" s="25"/>
      <c r="P1378" s="367" t="str">
        <f>EUconst_CNTR_WGImport &amp; I1337</f>
        <v>WasteGasIm_Centralizētās siltumapgādes apakšiekārta</v>
      </c>
      <c r="Q1378" s="437"/>
      <c r="R1378" s="437"/>
      <c r="S1378" s="437"/>
      <c r="T1378" s="437"/>
    </row>
    <row r="1379" spans="1:20" s="697" customFormat="1" x14ac:dyDescent="0.2">
      <c r="A1379" s="437"/>
      <c r="B1379" s="414"/>
      <c r="C1379" s="414"/>
      <c r="D1379" s="414"/>
      <c r="E1379" s="1737" t="str">
        <f>Translations!$B$874</f>
        <v>Īpatnējais EF (no atlikumgāzēm)</v>
      </c>
      <c r="F1379" s="1737"/>
      <c r="G1379" s="1737"/>
      <c r="H1379" s="824" t="str">
        <f>EUconst_tCO2pTJ</f>
        <v>t CO2 / TJ</v>
      </c>
      <c r="I1379" s="923" t="str">
        <f>IF($M1337&lt;&gt;EUconst_Relevant,"",IF(INDEX('G_Fall-back'!I:I,MATCH($P1379,'G_Fall-back'!$P:$P,0))="","",INDEX('G_Fall-back'!I:I,MATCH($P1379,'G_Fall-back'!$P:$P,0))))</f>
        <v/>
      </c>
      <c r="J1379" s="923" t="str">
        <f>IF($M1337&lt;&gt;EUconst_Relevant,"",IF(INDEX('G_Fall-back'!J:J,MATCH($P1379,'G_Fall-back'!$P:$P,0))="","",INDEX('G_Fall-back'!J:J,MATCH($P1379,'G_Fall-back'!$P:$P,0))))</f>
        <v/>
      </c>
      <c r="K1379" s="923" t="str">
        <f>IF($M1337&lt;&gt;EUconst_Relevant,"",IF(INDEX('G_Fall-back'!K:K,MATCH($P1379,'G_Fall-back'!$P:$P,0))="","",INDEX('G_Fall-back'!K:K,MATCH($P1379,'G_Fall-back'!$P:$P,0))))</f>
        <v/>
      </c>
      <c r="L1379" s="923" t="str">
        <f>IF($M1337&lt;&gt;EUconst_Relevant,"",IF(INDEX('G_Fall-back'!L:L,MATCH($P1379,'G_Fall-back'!$P:$P,0))="","",INDEX('G_Fall-back'!L:L,MATCH($P1379,'G_Fall-back'!$P:$P,0))))</f>
        <v/>
      </c>
      <c r="M1379" s="923" t="str">
        <f>IF($M1337&lt;&gt;EUconst_Relevant,"",IF(INDEX('G_Fall-back'!M:M,MATCH($P1379,'G_Fall-back'!$P:$P,0))="","",INDEX('G_Fall-back'!M:M,MATCH($P1379,'G_Fall-back'!$P:$P,0))))</f>
        <v/>
      </c>
      <c r="N1379" s="823"/>
      <c r="O1379" s="25"/>
      <c r="P1379" s="367" t="str">
        <f>EUconst_CNTR_WGImportEF &amp; I1337</f>
        <v>WasteGasImEF_Centralizētās siltumapgādes apakšiekārta</v>
      </c>
      <c r="Q1379" s="437"/>
      <c r="R1379" s="437"/>
      <c r="S1379" s="437"/>
      <c r="T1379" s="437"/>
    </row>
    <row r="1380" spans="1:20" s="697" customFormat="1" ht="12.75" customHeight="1" x14ac:dyDescent="0.2">
      <c r="A1380" s="437"/>
      <c r="B1380" s="414"/>
      <c r="C1380" s="414"/>
      <c r="D1380" s="414"/>
      <c r="E1380" s="823"/>
      <c r="F1380" s="823"/>
      <c r="G1380" s="823"/>
      <c r="H1380" s="823"/>
      <c r="I1380" s="823"/>
      <c r="J1380" s="823"/>
      <c r="K1380" s="823"/>
      <c r="L1380" s="823"/>
      <c r="M1380" s="823"/>
      <c r="N1380" s="823"/>
      <c r="O1380" s="25"/>
      <c r="P1380" s="437"/>
      <c r="Q1380" s="437"/>
      <c r="R1380" s="437"/>
      <c r="S1380" s="437"/>
      <c r="T1380" s="437"/>
    </row>
    <row r="1381" spans="1:20" s="697" customFormat="1" ht="13.5" thickBot="1" x14ac:dyDescent="0.25">
      <c r="A1381" s="437"/>
      <c r="B1381" s="414"/>
      <c r="C1381" s="414"/>
      <c r="D1381" s="414"/>
      <c r="E1381" s="414"/>
      <c r="F1381" s="414"/>
      <c r="G1381" s="414"/>
      <c r="M1381" s="414"/>
      <c r="N1381" s="414"/>
      <c r="O1381" s="25"/>
      <c r="P1381" s="437"/>
      <c r="Q1381" s="437"/>
      <c r="R1381" s="437"/>
      <c r="S1381" s="437"/>
      <c r="T1381" s="437"/>
    </row>
    <row r="1382" spans="1:20" s="697" customFormat="1" ht="12.75" customHeight="1" thickBot="1" x14ac:dyDescent="0.25">
      <c r="A1382" s="437"/>
      <c r="B1382" s="21"/>
      <c r="C1382" s="294"/>
      <c r="D1382" s="294"/>
      <c r="E1382" s="294"/>
      <c r="F1382" s="294"/>
      <c r="G1382" s="294"/>
      <c r="H1382" s="294"/>
      <c r="I1382" s="294"/>
      <c r="J1382" s="294"/>
      <c r="K1382" s="294"/>
      <c r="L1382" s="294"/>
      <c r="M1382" s="294"/>
      <c r="N1382" s="294"/>
      <c r="O1382" s="25"/>
      <c r="P1382" s="437"/>
      <c r="Q1382" s="437"/>
      <c r="R1382" s="437"/>
      <c r="S1382" s="437"/>
      <c r="T1382" s="26" t="s">
        <v>560</v>
      </c>
    </row>
    <row r="1383" spans="1:20" s="697" customFormat="1" ht="15" customHeight="1" thickBot="1" x14ac:dyDescent="0.3">
      <c r="A1383" s="437"/>
      <c r="B1383" s="414"/>
      <c r="C1383" s="36">
        <f>C1337+1</f>
        <v>15</v>
      </c>
      <c r="D1383" s="1318" t="str">
        <f>CONCATENATE(EUconst_FBSubinst," ",C1383-10, ":")</f>
        <v>Alternatīva apakšiekārta 5:</v>
      </c>
      <c r="E1383" s="1251"/>
      <c r="F1383" s="1251"/>
      <c r="G1383" s="1251"/>
      <c r="H1383" s="1328"/>
      <c r="I1383" s="1877" t="str">
        <f>INDEX(EUconst_FallBackListNames,$C1383-10)</f>
        <v>Kurināmā līmeņatzīmes apakšiekārta (OEP | bez OIM)</v>
      </c>
      <c r="J1383" s="1878"/>
      <c r="K1383" s="1878"/>
      <c r="L1383" s="1879"/>
      <c r="M1383" s="1783" t="str">
        <f>IF(ISBLANK(INDEX(CNTR_FallBackSubInstRelevant,C1383-10)),"",IF(INDEX(CNTR_FallBackSubInstRelevant,C1383-10),EUconst_Relevant,EUconst_NotRelevant))</f>
        <v/>
      </c>
      <c r="N1383" s="1784"/>
      <c r="O1383" s="25"/>
      <c r="P1383" s="437"/>
      <c r="Q1383" s="904">
        <f>C1383</f>
        <v>15</v>
      </c>
      <c r="R1383" s="901" t="str">
        <f>I1383</f>
        <v>Kurināmā līmeņatzīmes apakšiekārta (OEP | bez OIM)</v>
      </c>
      <c r="S1383" s="903" t="b">
        <f>H1386</f>
        <v>1</v>
      </c>
      <c r="T1383" s="902" t="str">
        <f>IF(M1395="","",IF(S1386=0,0,SUM(M1395)/S1386))</f>
        <v/>
      </c>
    </row>
    <row r="1384" spans="1:20" s="697" customFormat="1" ht="5.0999999999999996" customHeight="1" thickBot="1" x14ac:dyDescent="0.25">
      <c r="A1384" s="437"/>
      <c r="B1384" s="414"/>
      <c r="C1384" s="414"/>
      <c r="D1384" s="414"/>
      <c r="E1384" s="414"/>
      <c r="F1384" s="414"/>
      <c r="G1384" s="414"/>
      <c r="H1384" s="414"/>
      <c r="I1384" s="414"/>
      <c r="J1384" s="414"/>
      <c r="K1384" s="414"/>
      <c r="L1384" s="414"/>
      <c r="M1384" s="414"/>
      <c r="N1384" s="414"/>
      <c r="O1384" s="25"/>
      <c r="P1384" s="437"/>
      <c r="Q1384" s="437"/>
      <c r="R1384" s="437"/>
      <c r="S1384" s="437"/>
      <c r="T1384" s="26"/>
    </row>
    <row r="1385" spans="1:20" s="697" customFormat="1" ht="13.5" thickBot="1" x14ac:dyDescent="0.25">
      <c r="A1385" s="437"/>
      <c r="B1385" s="414"/>
      <c r="C1385" s="414"/>
      <c r="D1385" s="414"/>
      <c r="E1385" s="414"/>
      <c r="F1385" s="414"/>
      <c r="G1385" s="414"/>
      <c r="H1385" s="647" t="str">
        <f>Translations!$B$1204</f>
        <v>Pakļauta OEP</v>
      </c>
      <c r="I1385" s="647" t="str">
        <f>Translations!$B$1208</f>
        <v>Ekspl. sākta</v>
      </c>
      <c r="J1385" s="647" t="str">
        <f>Translations!$B$1212</f>
        <v>15(7)3?</v>
      </c>
      <c r="L1385" s="1172" t="str">
        <f>Translations!$B$1206</f>
        <v>LA Nr.</v>
      </c>
      <c r="M1385" s="989" t="str">
        <f>Translations!$B$1234</f>
        <v>LA vērtība (min./maks./fakt.)</v>
      </c>
      <c r="N1385" s="990"/>
      <c r="O1385" s="25"/>
      <c r="P1385" s="437"/>
      <c r="Q1385" s="437"/>
      <c r="R1385" s="646" t="s">
        <v>641</v>
      </c>
      <c r="S1385" s="903" t="b">
        <f>H1388</f>
        <v>0</v>
      </c>
      <c r="T1385" s="26"/>
    </row>
    <row r="1386" spans="1:20" s="697" customFormat="1" x14ac:dyDescent="0.2">
      <c r="A1386" s="437"/>
      <c r="B1386" s="414"/>
      <c r="C1386" s="414"/>
      <c r="D1386" s="414"/>
      <c r="E1386" s="649" t="str">
        <f>I1383</f>
        <v>Kurināmā līmeņatzīmes apakšiekārta (OEP | bez OIM)</v>
      </c>
      <c r="F1386" s="650"/>
      <c r="G1386" s="594"/>
      <c r="H1386" s="651" t="b">
        <f>INDEX(EUconst_FallBackListCLstatus,MATCH(I1383,EUconst_FallBackListNames,0))</f>
        <v>1</v>
      </c>
      <c r="I1386" s="1171" t="str">
        <f>IF(M1383&lt;&gt;EUconst_Relevant,"",INDEX(CNTR_SubInstStartDate,MATCH(E1386,CNTR_SubInstListNames,0)))</f>
        <v/>
      </c>
      <c r="J1386" s="651" t="str">
        <f>IF(M1383&lt;&gt;EUconst_Relevant,"",INDEX(CNTR_SubInstLess1Year,MATCH(E1386,CNTR_SubInstListNames,0)))</f>
        <v/>
      </c>
      <c r="L1386" s="1173">
        <f>C1383-10</f>
        <v>5</v>
      </c>
      <c r="M1386" s="995" t="str">
        <f>IF(M1383&lt;&gt;EUconst_Relevant,"",INDEX(EUconst_FallBackListBMvaluesMatrix,L1386,2))</f>
        <v/>
      </c>
      <c r="N1386" s="992" t="str">
        <f>EUconst_EUA &amp; "/" &amp; H1391</f>
        <v>ESK/TJ</v>
      </c>
      <c r="O1386" s="25"/>
      <c r="P1386" s="437"/>
      <c r="Q1386" s="437"/>
      <c r="R1386" s="732" t="s">
        <v>554</v>
      </c>
      <c r="S1386" s="815">
        <f>IF(H1386,1,INDEX(EUconst_CLEFYears,1))</f>
        <v>1</v>
      </c>
      <c r="T1386" s="437"/>
    </row>
    <row r="1387" spans="1:20" s="697" customFormat="1" x14ac:dyDescent="0.2">
      <c r="A1387" s="437"/>
      <c r="B1387" s="414"/>
      <c r="C1387" s="414"/>
      <c r="H1387" s="647" t="s">
        <v>623</v>
      </c>
      <c r="M1387" s="995" t="str">
        <f>IF(M1383&lt;&gt;EUconst_Relevant,"",INDEX(EUconst_FallBackListBMvaluesMatrix,L1386,1))</f>
        <v/>
      </c>
      <c r="N1387" s="992" t="str">
        <f>EUconst_EUA &amp; "/" &amp; H1391</f>
        <v>ESK/TJ</v>
      </c>
      <c r="O1387" s="25"/>
      <c r="P1387" s="437"/>
      <c r="Q1387" s="437"/>
      <c r="R1387" s="732"/>
      <c r="S1387" s="866"/>
      <c r="T1387" s="437"/>
    </row>
    <row r="1388" spans="1:20" s="697" customFormat="1" ht="13.5" thickBot="1" x14ac:dyDescent="0.25">
      <c r="A1388" s="437"/>
      <c r="B1388" s="414"/>
      <c r="C1388" s="414"/>
      <c r="H1388" s="651" t="b">
        <f>INDEX(EUconst_FallBackListCBAMstatus,MATCH(I1383,EUconst_FallBackListNames,0))</f>
        <v>0</v>
      </c>
      <c r="M1388" s="996" t="str">
        <f>IF(M1383&lt;&gt;EUconst_Relevant,"",IF(EUconst_StatusOfDataCollection,INDEX(EUconst_FallBackListBMvaluesMatrix,L1386,3),""))</f>
        <v/>
      </c>
      <c r="N1388" s="994" t="str">
        <f>EUconst_EUA &amp; "/" &amp; H1391</f>
        <v>ESK/TJ</v>
      </c>
      <c r="O1388" s="25"/>
      <c r="P1388" s="437"/>
      <c r="Q1388" s="437"/>
      <c r="R1388" s="732"/>
      <c r="S1388" s="866"/>
      <c r="T1388" s="437"/>
    </row>
    <row r="1389" spans="1:20" s="697" customFormat="1" ht="5.0999999999999996" customHeight="1" x14ac:dyDescent="0.2">
      <c r="A1389" s="437"/>
      <c r="B1389" s="414"/>
      <c r="C1389" s="414"/>
      <c r="D1389" s="414"/>
      <c r="E1389" s="414"/>
      <c r="F1389" s="414"/>
      <c r="G1389" s="414"/>
      <c r="H1389" s="414"/>
      <c r="I1389" s="414"/>
      <c r="J1389" s="414"/>
      <c r="K1389" s="414"/>
      <c r="L1389" s="414"/>
      <c r="M1389" s="414"/>
      <c r="N1389" s="414"/>
      <c r="O1389" s="25"/>
      <c r="P1389" s="437"/>
      <c r="Q1389" s="437"/>
      <c r="R1389" s="437"/>
      <c r="S1389" s="437"/>
      <c r="T1389" s="437"/>
    </row>
    <row r="1390" spans="1:20" s="697" customFormat="1" x14ac:dyDescent="0.2">
      <c r="A1390" s="437"/>
      <c r="B1390" s="414"/>
      <c r="C1390" s="414"/>
      <c r="D1390" s="414"/>
      <c r="E1390" s="652"/>
      <c r="F1390" s="652"/>
      <c r="G1390" s="653"/>
      <c r="H1390" s="647" t="str">
        <f>EUconst_Unit</f>
        <v>Vienība</v>
      </c>
      <c r="I1390" s="447">
        <f>I$1652</f>
        <v>2019</v>
      </c>
      <c r="J1390" s="447">
        <f>J$1652</f>
        <v>2020</v>
      </c>
      <c r="K1390" s="447">
        <f>K$1652</f>
        <v>2021</v>
      </c>
      <c r="L1390" s="447">
        <f>L$1652</f>
        <v>2022</v>
      </c>
      <c r="M1390" s="447">
        <f>M$1652</f>
        <v>2023</v>
      </c>
      <c r="N1390" s="414"/>
      <c r="O1390" s="25"/>
      <c r="P1390" s="202" t="s">
        <v>228</v>
      </c>
      <c r="Q1390" s="437"/>
      <c r="R1390" s="437"/>
      <c r="S1390" s="437"/>
      <c r="T1390" s="437"/>
    </row>
    <row r="1391" spans="1:20" s="697" customFormat="1" x14ac:dyDescent="0.2">
      <c r="A1391" s="437"/>
      <c r="B1391" s="414"/>
      <c r="C1391" s="414"/>
      <c r="D1391" s="414"/>
      <c r="E1391" s="654" t="str">
        <f>Translations!$B$1236</f>
        <v>Ziņotais HAL (vēsturiskais darbības līmenis)</v>
      </c>
      <c r="F1391" s="655"/>
      <c r="G1391" s="656"/>
      <c r="H1391" s="651" t="str">
        <f>INDEX(EUconst_FallBackListUnits,L1386)</f>
        <v>TJ</v>
      </c>
      <c r="I1391" s="546" t="str">
        <f>IF($M1383&lt;&gt;EUconst_Relevant,"",SUMIF('G_Fall-back'!$P:$P,$P1392,'G_Fall-back'!I:I))</f>
        <v/>
      </c>
      <c r="J1391" s="546" t="str">
        <f>IF($M1383&lt;&gt;EUconst_Relevant,"",SUMIF('G_Fall-back'!$P:$P,$P1392,'G_Fall-back'!J:J))</f>
        <v/>
      </c>
      <c r="K1391" s="546" t="str">
        <f>IF($M1383&lt;&gt;EUconst_Relevant,"",SUMIF('G_Fall-back'!$P:$P,$P1392,'G_Fall-back'!K:K))</f>
        <v/>
      </c>
      <c r="L1391" s="546" t="str">
        <f>IF($M1383&lt;&gt;EUconst_Relevant,"",SUMIF('G_Fall-back'!$P:$P,$P1392,'G_Fall-back'!L:L))</f>
        <v/>
      </c>
      <c r="M1391" s="546" t="str">
        <f>IF($M1383&lt;&gt;EUconst_Relevant,"",SUMIF('G_Fall-back'!$P:$P,$P1392,'G_Fall-back'!M:M))</f>
        <v/>
      </c>
      <c r="N1391" s="648" t="s">
        <v>625</v>
      </c>
      <c r="O1391" s="25"/>
      <c r="P1391" s="202" t="str">
        <f>EUconst_CNTR_HAL&amp;I1383</f>
        <v>HAL_Kurināmā līmeņatzīmes apakšiekārta (OEP | bez OIM)</v>
      </c>
      <c r="Q1391" s="437"/>
      <c r="R1391" s="437"/>
      <c r="S1391" s="437"/>
      <c r="T1391" s="26"/>
    </row>
    <row r="1392" spans="1:20" s="697" customFormat="1" x14ac:dyDescent="0.2">
      <c r="A1392" s="437"/>
      <c r="B1392" s="414"/>
      <c r="C1392" s="414"/>
      <c r="D1392" s="414"/>
      <c r="E1392" s="654" t="str">
        <f>Translations!$B$1237</f>
        <v>HAL aprēķinam izmantotās vērtības:</v>
      </c>
      <c r="F1392" s="655"/>
      <c r="G1392" s="656"/>
      <c r="H1392" s="651" t="str">
        <f>H1391</f>
        <v>TJ</v>
      </c>
      <c r="I1392" s="442" t="str">
        <f>IF($M1383&lt;&gt;EUconst_Relevant,"",INDEX('G_Fall-back'!S:S,MATCH($P1392,'G_Fall-back'!$P:$P,0)))</f>
        <v/>
      </c>
      <c r="J1392" s="442" t="str">
        <f>IF($M1383&lt;&gt;EUconst_Relevant,"",INDEX('G_Fall-back'!T:T,MATCH($P1392,'G_Fall-back'!$P:$P,0)))</f>
        <v/>
      </c>
      <c r="K1392" s="442" t="str">
        <f>IF($M1383&lt;&gt;EUconst_Relevant,"",INDEX('G_Fall-back'!U:U,MATCH($P1392,'G_Fall-back'!$P:$P,0)))</f>
        <v/>
      </c>
      <c r="L1392" s="442" t="str">
        <f>IF($M1383&lt;&gt;EUconst_Relevant,"",INDEX('G_Fall-back'!V:V,MATCH($P1392,'G_Fall-back'!$P:$P,0)))</f>
        <v/>
      </c>
      <c r="M1392" s="442" t="str">
        <f>IF($M1383&lt;&gt;EUconst_Relevant,"",INDEX('G_Fall-back'!W:W,MATCH($P1392,'G_Fall-back'!$P:$P,0)))</f>
        <v/>
      </c>
      <c r="N1392" s="546" t="str">
        <f>IF(OR($M1383&lt;&gt;EUconst_Relevant,$J1386=TRUE),"",IF(COUNT($I1392:$M1392)&gt;0,MEDIAN($I1392:$M1392),""))</f>
        <v/>
      </c>
      <c r="O1392" s="25"/>
      <c r="P1392" s="202" t="str">
        <f>EUconst_CNTR_HAL&amp;I1383</f>
        <v>HAL_Kurināmā līmeņatzīmes apakšiekārta (OEP | bez OIM)</v>
      </c>
      <c r="Q1392" s="437"/>
      <c r="R1392" s="931" t="s">
        <v>604</v>
      </c>
      <c r="S1392" s="931" t="s">
        <v>605</v>
      </c>
      <c r="T1392" s="931" t="s">
        <v>606</v>
      </c>
    </row>
    <row r="1393" spans="1:20" s="697" customFormat="1" ht="5.0999999999999996" customHeight="1" thickBot="1" x14ac:dyDescent="0.25">
      <c r="A1393" s="437"/>
      <c r="B1393" s="414"/>
      <c r="C1393" s="414"/>
      <c r="D1393" s="414"/>
      <c r="E1393" s="414"/>
      <c r="F1393" s="414"/>
      <c r="G1393" s="414"/>
      <c r="H1393" s="414"/>
      <c r="I1393" s="414"/>
      <c r="J1393" s="414"/>
      <c r="K1393" s="414"/>
      <c r="L1393" s="414"/>
      <c r="M1393" s="414"/>
      <c r="N1393" s="414"/>
      <c r="O1393" s="25"/>
      <c r="P1393" s="437"/>
      <c r="Q1393" s="437"/>
      <c r="R1393" s="437"/>
      <c r="S1393" s="437"/>
      <c r="T1393" s="26"/>
    </row>
    <row r="1394" spans="1:20" s="697" customFormat="1" ht="13.5" thickBot="1" x14ac:dyDescent="0.25">
      <c r="A1394" s="437"/>
      <c r="B1394" s="414"/>
      <c r="C1394" s="414"/>
      <c r="D1394" s="414"/>
      <c r="E1394" s="414"/>
      <c r="F1394" s="657" t="str">
        <f>Translations!$B$1728</f>
        <v>HAL kopā</v>
      </c>
      <c r="G1394" s="817"/>
      <c r="H1394" s="414"/>
      <c r="I1394" s="816" t="str">
        <f>Translations!$B$1226</f>
        <v>1. gada prov. ied. apj. (min.)</v>
      </c>
      <c r="J1394" s="817"/>
      <c r="K1394" s="816" t="str">
        <f>Translations!$B$1229</f>
        <v>1. gada prov. ied. apj. (maks.)</v>
      </c>
      <c r="L1394" s="817"/>
      <c r="M1394" s="816" t="str">
        <f>Translations!$B$1231</f>
        <v>1. gada prov. ied. apj. (fakt.)</v>
      </c>
      <c r="N1394" s="817"/>
      <c r="O1394" s="25"/>
      <c r="P1394" s="202" t="str">
        <f>EUconst_AllocPrelim&amp;I1383</f>
        <v>AllocPrelim_Kurināmā līmeņatzīmes apakšiekārta (OEP | bez OIM)</v>
      </c>
      <c r="Q1394" s="437"/>
      <c r="R1394" s="900" t="str">
        <f>IF(I1395="","",IF(S1386=0,0,SUM(I1395)/S1386))</f>
        <v/>
      </c>
      <c r="S1394" s="900" t="str">
        <f>IF(K1395="","",IF(S1386=0,0,SUM(K1395)/S1386))</f>
        <v/>
      </c>
      <c r="T1394" s="900" t="str">
        <f>T1383</f>
        <v/>
      </c>
    </row>
    <row r="1395" spans="1:20" s="697" customFormat="1" ht="13.5" thickBot="1" x14ac:dyDescent="0.25">
      <c r="A1395" s="437"/>
      <c r="B1395" s="414"/>
      <c r="C1395" s="414"/>
      <c r="D1395" s="414"/>
      <c r="E1395" s="414"/>
      <c r="F1395" s="658" t="str">
        <f>IF(M1383&lt;&gt;EUconst_Relevant,"",MAX(0, IF(J1386=TRUE, SUM(K1386), SUM(N1392))))</f>
        <v/>
      </c>
      <c r="G1395" s="884" t="str">
        <f>H1392&amp;" / "&amp;EUconst_Year</f>
        <v>TJ / gads</v>
      </c>
      <c r="H1395" s="414"/>
      <c r="I1395" s="814" t="str">
        <f>IF(M1383&lt;&gt;EUconst_Relevant,"",ROUND(SUM(M1386)*SUM(F1395)*SUM(S1386),0))</f>
        <v/>
      </c>
      <c r="J1395" s="884" t="str">
        <f>EUconst_EUApa</f>
        <v>ESK / gads</v>
      </c>
      <c r="K1395" s="814" t="str">
        <f>IF(M1383&lt;&gt;EUconst_Relevant,"",ROUND(SUM(M1387)*SUM(F1395)*SUM(S1386),0))</f>
        <v/>
      </c>
      <c r="L1395" s="884" t="str">
        <f>EUconst_EUApa</f>
        <v>ESK / gads</v>
      </c>
      <c r="M1395" s="814" t="str">
        <f>IF(OR(M1383&lt;&gt;EUconst_Relevant,M1388=""),"",ROUND(SUM(M1388)*SUM(F1395)*SUM(S1386),0))</f>
        <v/>
      </c>
      <c r="N1395" s="884" t="str">
        <f>EUconst_EUApa</f>
        <v>ESK / gads</v>
      </c>
      <c r="O1395" s="25"/>
      <c r="P1395" s="202" t="str">
        <f>EUconst_HALsum &amp; I1383</f>
        <v>HALsum_Kurināmā līmeņatzīmes apakšiekārta (OEP | bez OIM)</v>
      </c>
      <c r="Q1395" s="437"/>
      <c r="R1395" s="437"/>
      <c r="S1395" s="437"/>
      <c r="T1395" s="437"/>
    </row>
    <row r="1396" spans="1:20" s="697" customFormat="1" x14ac:dyDescent="0.2">
      <c r="A1396" s="437"/>
      <c r="B1396" s="414"/>
      <c r="C1396" s="414"/>
      <c r="D1396" s="414"/>
      <c r="E1396" s="414"/>
      <c r="F1396" s="414"/>
      <c r="G1396" s="414"/>
      <c r="H1396" s="414"/>
      <c r="I1396" s="414"/>
      <c r="J1396" s="414"/>
      <c r="K1396" s="414"/>
      <c r="L1396" s="414"/>
      <c r="M1396" s="414"/>
      <c r="N1396" s="414"/>
      <c r="O1396" s="25"/>
      <c r="P1396" s="437"/>
      <c r="Q1396" s="437"/>
      <c r="R1396" s="437"/>
      <c r="S1396" s="437"/>
      <c r="T1396" s="437"/>
    </row>
    <row r="1397" spans="1:20" s="697" customFormat="1" ht="12.75" customHeight="1" x14ac:dyDescent="0.2">
      <c r="A1397" s="437"/>
      <c r="B1397" s="414"/>
      <c r="C1397" s="414"/>
      <c r="D1397" s="414"/>
      <c r="E1397" s="526"/>
      <c r="F1397" s="823"/>
      <c r="G1397" s="823"/>
      <c r="H1397" s="823"/>
      <c r="I1397" s="823"/>
      <c r="J1397" s="823"/>
      <c r="K1397" s="823"/>
      <c r="L1397" s="823"/>
      <c r="M1397" s="823"/>
      <c r="N1397" s="823"/>
      <c r="O1397" s="25"/>
      <c r="P1397" s="437"/>
      <c r="Q1397" s="437"/>
      <c r="R1397" s="437"/>
      <c r="S1397" s="437"/>
      <c r="T1397" s="437"/>
    </row>
    <row r="1398" spans="1:20" s="697" customFormat="1" ht="13.5" thickBot="1" x14ac:dyDescent="0.25">
      <c r="A1398" s="437"/>
      <c r="B1398" s="414"/>
      <c r="C1398" s="414"/>
      <c r="D1398" s="414"/>
      <c r="E1398" s="526"/>
      <c r="F1398" s="823"/>
      <c r="G1398" s="823"/>
      <c r="H1398" s="525" t="str">
        <f>EUconst_Unit</f>
        <v>Vienība</v>
      </c>
      <c r="I1398" s="928">
        <f>I$1652</f>
        <v>2019</v>
      </c>
      <c r="J1398" s="825">
        <f>J$1652</f>
        <v>2020</v>
      </c>
      <c r="K1398" s="825">
        <f>K$1652</f>
        <v>2021</v>
      </c>
      <c r="L1398" s="825">
        <f>L$1652</f>
        <v>2022</v>
      </c>
      <c r="M1398" s="825">
        <f>M$1652</f>
        <v>2023</v>
      </c>
      <c r="N1398" s="823"/>
      <c r="O1398" s="25"/>
      <c r="P1398" s="437"/>
      <c r="Q1398" s="437"/>
      <c r="R1398" s="437"/>
      <c r="S1398" s="437"/>
      <c r="T1398" s="437"/>
    </row>
    <row r="1399" spans="1:20" s="697" customFormat="1" ht="13.5" thickBot="1" x14ac:dyDescent="0.25">
      <c r="A1399" s="437"/>
      <c r="B1399" s="414"/>
      <c r="C1399" s="414"/>
      <c r="D1399" s="414"/>
      <c r="E1399" s="1789" t="str">
        <f>Translations!$B$1238</f>
        <v>Kopējās attiecinātās emisijas</v>
      </c>
      <c r="F1399" s="1789"/>
      <c r="G1399" s="1789"/>
      <c r="H1399" s="886" t="str">
        <f>EUconst_tCO2epa</f>
        <v>t CO2e/gads</v>
      </c>
      <c r="I1399" s="918" t="str">
        <f>INDEX(I$115:I$134,MATCH($I1383,$E$115:$E$134,0))</f>
        <v/>
      </c>
      <c r="J1399" s="919" t="str">
        <f>INDEX(J$115:J$134,MATCH($I1383,$E$115:$E$134,0))</f>
        <v/>
      </c>
      <c r="K1399" s="919" t="str">
        <f>INDEX(K$115:K$134,MATCH($I1383,$E$115:$E$134,0))</f>
        <v/>
      </c>
      <c r="L1399" s="919" t="str">
        <f>INDEX(L$115:L$134,MATCH($I1383,$E$115:$E$134,0))</f>
        <v/>
      </c>
      <c r="M1399" s="920" t="str">
        <f>INDEX(M$115:M$134,MATCH($I1383,$E$115:$E$134,0))</f>
        <v/>
      </c>
      <c r="N1399" s="823"/>
      <c r="O1399" s="25"/>
      <c r="P1399" s="437"/>
      <c r="Q1399" s="437"/>
      <c r="R1399" s="437"/>
      <c r="S1399" s="437"/>
      <c r="T1399" s="26"/>
    </row>
    <row r="1400" spans="1:20" s="697" customFormat="1" ht="5.0999999999999996" customHeight="1" x14ac:dyDescent="0.2">
      <c r="A1400" s="437"/>
      <c r="B1400" s="414"/>
      <c r="C1400" s="414"/>
      <c r="D1400" s="414"/>
      <c r="E1400" s="526"/>
      <c r="F1400" s="526"/>
      <c r="G1400" s="526"/>
      <c r="H1400" s="526"/>
      <c r="I1400" s="921"/>
      <c r="J1400" s="921"/>
      <c r="K1400" s="921"/>
      <c r="L1400" s="921"/>
      <c r="M1400" s="921"/>
      <c r="N1400" s="526"/>
      <c r="O1400" s="25"/>
      <c r="P1400" s="437"/>
      <c r="Q1400" s="437"/>
      <c r="R1400" s="437"/>
      <c r="S1400" s="437"/>
      <c r="T1400" s="26"/>
    </row>
    <row r="1401" spans="1:20" s="697" customFormat="1" x14ac:dyDescent="0.2">
      <c r="A1401" s="437"/>
      <c r="B1401" s="414"/>
      <c r="C1401" s="414"/>
      <c r="D1401" s="414"/>
      <c r="E1401" s="1667" t="str">
        <f>Translations!$B$1623</f>
        <v>Kopējā enerģijas ielaide</v>
      </c>
      <c r="F1401" s="1660"/>
      <c r="G1401" s="1660"/>
      <c r="H1401" s="466" t="str">
        <f>EUconst_TJpa</f>
        <v>TJ / gads</v>
      </c>
      <c r="I1401" s="922" t="str">
        <f>IF($M1383&lt;&gt;EUconst_Relevant,"",IF(INDEX('G_Fall-back'!I:I,MATCH($P1401,'G_Fall-back'!$P:$P,0))="","",INDEX('G_Fall-back'!I:I,MATCH($P1401,'G_Fall-back'!$P:$P,0))))</f>
        <v/>
      </c>
      <c r="J1401" s="922" t="str">
        <f>IF($M1383&lt;&gt;EUconst_Relevant,"",IF(INDEX('G_Fall-back'!J:J,MATCH($P1401,'G_Fall-back'!$P:$P,0))="","",INDEX('G_Fall-back'!J:J,MATCH($P1401,'G_Fall-back'!$P:$P,0))))</f>
        <v/>
      </c>
      <c r="K1401" s="922" t="str">
        <f>IF($M1383&lt;&gt;EUconst_Relevant,"",IF(INDEX('G_Fall-back'!K:K,MATCH($P1401,'G_Fall-back'!$P:$P,0))="","",INDEX('G_Fall-back'!K:K,MATCH($P1401,'G_Fall-back'!$P:$P,0))))</f>
        <v/>
      </c>
      <c r="L1401" s="922" t="str">
        <f>IF($M1383&lt;&gt;EUconst_Relevant,"",IF(INDEX('G_Fall-back'!L:L,MATCH($P1401,'G_Fall-back'!$P:$P,0))="","",INDEX('G_Fall-back'!L:L,MATCH($P1401,'G_Fall-back'!$P:$P,0))))</f>
        <v/>
      </c>
      <c r="M1401" s="922" t="str">
        <f>IF($M1383&lt;&gt;EUconst_Relevant,"",IF(INDEX('G_Fall-back'!M:M,MATCH($P1401,'G_Fall-back'!$P:$P,0))="","",INDEX('G_Fall-back'!M:M,MATCH($P1401,'G_Fall-back'!$P:$P,0))))</f>
        <v/>
      </c>
      <c r="N1401" s="823"/>
      <c r="O1401" s="25"/>
      <c r="P1401" s="822" t="str">
        <f>EUconst_CNTR_FuelInput &amp; I1383</f>
        <v>FuelInput_Kurināmā līmeņatzīmes apakšiekārta (OEP | bez OIM)</v>
      </c>
      <c r="Q1401" s="437"/>
      <c r="R1401" s="437"/>
      <c r="S1401" s="437"/>
      <c r="T1401" s="437"/>
    </row>
    <row r="1402" spans="1:20" s="697" customFormat="1" x14ac:dyDescent="0.2">
      <c r="A1402" s="437"/>
      <c r="B1402" s="414"/>
      <c r="C1402" s="414"/>
      <c r="D1402" s="414"/>
      <c r="E1402" s="1737" t="str">
        <f>Translations!$B$732</f>
        <v>Svērtais emisijas faktors</v>
      </c>
      <c r="F1402" s="1659"/>
      <c r="G1402" s="1659"/>
      <c r="H1402" s="485" t="str">
        <f>EUconst_tCO2pTJ</f>
        <v>t CO2 / TJ</v>
      </c>
      <c r="I1402" s="923" t="str">
        <f>IF($M1383&lt;&gt;EUconst_Relevant,"",IF(INDEX('G_Fall-back'!I:I,MATCH($P1402,'G_Fall-back'!$P:$P,0))="","",INDEX('G_Fall-back'!I:I,MATCH($P1402,'G_Fall-back'!$P:$P,0))))</f>
        <v/>
      </c>
      <c r="J1402" s="923" t="str">
        <f>IF($M1383&lt;&gt;EUconst_Relevant,"",IF(INDEX('G_Fall-back'!J:J,MATCH($P1402,'G_Fall-back'!$P:$P,0))="","",INDEX('G_Fall-back'!J:J,MATCH($P1402,'G_Fall-back'!$P:$P,0))))</f>
        <v/>
      </c>
      <c r="K1402" s="923" t="str">
        <f>IF($M1383&lt;&gt;EUconst_Relevant,"",IF(INDEX('G_Fall-back'!K:K,MATCH($P1402,'G_Fall-back'!$P:$P,0))="","",INDEX('G_Fall-back'!K:K,MATCH($P1402,'G_Fall-back'!$P:$P,0))))</f>
        <v/>
      </c>
      <c r="L1402" s="923" t="str">
        <f>IF($M1383&lt;&gt;EUconst_Relevant,"",IF(INDEX('G_Fall-back'!L:L,MATCH($P1402,'G_Fall-back'!$P:$P,0))="","",INDEX('G_Fall-back'!L:L,MATCH($P1402,'G_Fall-back'!$P:$P,0))))</f>
        <v/>
      </c>
      <c r="M1402" s="923" t="str">
        <f>IF($M1383&lt;&gt;EUconst_Relevant,"",IF(INDEX('G_Fall-back'!M:M,MATCH($P1402,'G_Fall-back'!$P:$P,0))="","",INDEX('G_Fall-back'!M:M,MATCH($P1402,'G_Fall-back'!$P:$P,0))))</f>
        <v/>
      </c>
      <c r="N1402" s="823"/>
      <c r="O1402" s="25"/>
      <c r="P1402" s="367" t="str">
        <f>EUconst_CNTR_FuelEF &amp; I1383</f>
        <v>FuelEF_Kurināmā līmeņatzīmes apakšiekārta (OEP | bez OIM)</v>
      </c>
      <c r="Q1402" s="437"/>
      <c r="R1402" s="437"/>
      <c r="S1402" s="437"/>
      <c r="T1402" s="437"/>
    </row>
    <row r="1403" spans="1:20" s="697" customFormat="1" x14ac:dyDescent="0.2">
      <c r="A1403" s="437"/>
      <c r="B1403" s="414"/>
      <c r="C1403" s="414"/>
      <c r="D1403" s="414"/>
      <c r="E1403" s="1667" t="str">
        <f>Translations!$B$853</f>
        <v>Atlikumgāzu kurināmā ielaide</v>
      </c>
      <c r="F1403" s="1660"/>
      <c r="G1403" s="1660"/>
      <c r="H1403" s="466" t="str">
        <f>EUconst_TJpa</f>
        <v>TJ / gads</v>
      </c>
      <c r="I1403" s="922" t="str">
        <f>IF($M1383&lt;&gt;EUconst_Relevant,"",IF(INDEX('G_Fall-back'!I:I,MATCH($P1403,'G_Fall-back'!$P:$P,0))="","",INDEX('G_Fall-back'!I:I,MATCH($P1403,'G_Fall-back'!$P:$P,0))))</f>
        <v/>
      </c>
      <c r="J1403" s="922" t="str">
        <f>IF($M1383&lt;&gt;EUconst_Relevant,"",IF(INDEX('G_Fall-back'!J:J,MATCH($P1403,'G_Fall-back'!$P:$P,0))="","",INDEX('G_Fall-back'!J:J,MATCH($P1403,'G_Fall-back'!$P:$P,0))))</f>
        <v/>
      </c>
      <c r="K1403" s="922" t="str">
        <f>IF($M1383&lt;&gt;EUconst_Relevant,"",IF(INDEX('G_Fall-back'!K:K,MATCH($P1403,'G_Fall-back'!$P:$P,0))="","",INDEX('G_Fall-back'!K:K,MATCH($P1403,'G_Fall-back'!$P:$P,0))))</f>
        <v/>
      </c>
      <c r="L1403" s="922" t="str">
        <f>IF($M1383&lt;&gt;EUconst_Relevant,"",IF(INDEX('G_Fall-back'!L:L,MATCH($P1403,'G_Fall-back'!$P:$P,0))="","",INDEX('G_Fall-back'!L:L,MATCH($P1403,'G_Fall-back'!$P:$P,0))))</f>
        <v/>
      </c>
      <c r="M1403" s="922" t="str">
        <f>IF($M1383&lt;&gt;EUconst_Relevant,"",IF(INDEX('G_Fall-back'!M:M,MATCH($P1403,'G_Fall-back'!$P:$P,0))="","",INDEX('G_Fall-back'!M:M,MATCH($P1403,'G_Fall-back'!$P:$P,0))))</f>
        <v/>
      </c>
      <c r="N1403" s="823"/>
      <c r="O1403" s="25"/>
      <c r="P1403" s="453" t="str">
        <f>EUconst_CNTR_WGConsumed &amp; I1383</f>
        <v>WasteGasCons_Kurināmā līmeņatzīmes apakšiekārta (OEP | bez OIM)</v>
      </c>
      <c r="Q1403" s="437"/>
      <c r="R1403" s="437"/>
      <c r="S1403" s="437"/>
      <c r="T1403" s="437"/>
    </row>
    <row r="1404" spans="1:20" s="697" customFormat="1" x14ac:dyDescent="0.2">
      <c r="A1404" s="437"/>
      <c r="B1404" s="414"/>
      <c r="C1404" s="414"/>
      <c r="D1404" s="414"/>
      <c r="E1404" s="1737" t="str">
        <f>Translations!$B$732</f>
        <v>Svērtais emisijas faktors</v>
      </c>
      <c r="F1404" s="1659"/>
      <c r="G1404" s="1659"/>
      <c r="H1404" s="485" t="str">
        <f>EUconst_tCO2pTJ</f>
        <v>t CO2 / TJ</v>
      </c>
      <c r="I1404" s="923" t="str">
        <f>IF($M1383&lt;&gt;EUconst_Relevant,"",IF(INDEX('G_Fall-back'!I:I,MATCH($P1404,'G_Fall-back'!$P:$P,0))="","",INDEX('G_Fall-back'!I:I,MATCH($P1404,'G_Fall-back'!$P:$P,0))))</f>
        <v/>
      </c>
      <c r="J1404" s="923" t="str">
        <f>IF($M1383&lt;&gt;EUconst_Relevant,"",IF(INDEX('G_Fall-back'!J:J,MATCH($P1404,'G_Fall-back'!$P:$P,0))="","",INDEX('G_Fall-back'!J:J,MATCH($P1404,'G_Fall-back'!$P:$P,0))))</f>
        <v/>
      </c>
      <c r="K1404" s="923" t="str">
        <f>IF($M1383&lt;&gt;EUconst_Relevant,"",IF(INDEX('G_Fall-back'!K:K,MATCH($P1404,'G_Fall-back'!$P:$P,0))="","",INDEX('G_Fall-back'!K:K,MATCH($P1404,'G_Fall-back'!$P:$P,0))))</f>
        <v/>
      </c>
      <c r="L1404" s="923" t="str">
        <f>IF($M1383&lt;&gt;EUconst_Relevant,"",IF(INDEX('G_Fall-back'!L:L,MATCH($P1404,'G_Fall-back'!$P:$P,0))="","",INDEX('G_Fall-back'!L:L,MATCH($P1404,'G_Fall-back'!$P:$P,0))))</f>
        <v/>
      </c>
      <c r="M1404" s="923" t="str">
        <f>IF($M1383&lt;&gt;EUconst_Relevant,"",IF(INDEX('G_Fall-back'!M:M,MATCH($P1404,'G_Fall-back'!$P:$P,0))="","",INDEX('G_Fall-back'!M:M,MATCH($P1404,'G_Fall-back'!$P:$P,0))))</f>
        <v/>
      </c>
      <c r="N1404" s="823"/>
      <c r="O1404" s="25"/>
      <c r="P1404" s="367" t="str">
        <f>EUconst_CNTR_WGConsumedEF &amp; I1383</f>
        <v>WasteGasConsEF_Kurināmā līmeņatzīmes apakšiekārta (OEP | bez OIM)</v>
      </c>
      <c r="Q1404" s="437"/>
      <c r="R1404" s="437"/>
      <c r="S1404" s="437"/>
      <c r="T1404" s="437"/>
    </row>
    <row r="1405" spans="1:20" s="697" customFormat="1" x14ac:dyDescent="0.2">
      <c r="A1405" s="437"/>
      <c r="B1405" s="414"/>
      <c r="C1405" s="414"/>
      <c r="D1405" s="414"/>
      <c r="E1405" s="1667" t="str">
        <f>Translations!$B$1631</f>
        <v>Elektroenerģijas ielaide siltuma ražošanai</v>
      </c>
      <c r="F1405" s="1660"/>
      <c r="G1405" s="1660"/>
      <c r="H1405" s="466" t="str">
        <f>EUconst_TJpa</f>
        <v>TJ / gads</v>
      </c>
      <c r="I1405" s="922" t="str">
        <f>IF($M1383&lt;&gt;EUconst_Relevant,"",IF(INDEX('G_Fall-back'!I:I,MATCH($P1405,'G_Fall-back'!$P:$P,0))="","",INDEX('G_Fall-back'!I:I,MATCH($P1405,'G_Fall-back'!$P:$P,0))))</f>
        <v/>
      </c>
      <c r="J1405" s="922" t="str">
        <f>IF($M1383&lt;&gt;EUconst_Relevant,"",IF(INDEX('G_Fall-back'!J:J,MATCH($P1405,'G_Fall-back'!$P:$P,0))="","",INDEX('G_Fall-back'!J:J,MATCH($P1405,'G_Fall-back'!$P:$P,0))))</f>
        <v/>
      </c>
      <c r="K1405" s="922" t="str">
        <f>IF($M1383&lt;&gt;EUconst_Relevant,"",IF(INDEX('G_Fall-back'!K:K,MATCH($P1405,'G_Fall-back'!$P:$P,0))="","",INDEX('G_Fall-back'!K:K,MATCH($P1405,'G_Fall-back'!$P:$P,0))))</f>
        <v/>
      </c>
      <c r="L1405" s="922" t="str">
        <f>IF($M1383&lt;&gt;EUconst_Relevant,"",IF(INDEX('G_Fall-back'!L:L,MATCH($P1405,'G_Fall-back'!$P:$P,0))="","",INDEX('G_Fall-back'!L:L,MATCH($P1405,'G_Fall-back'!$P:$P,0))))</f>
        <v/>
      </c>
      <c r="M1405" s="922" t="str">
        <f>IF($M1383&lt;&gt;EUconst_Relevant,"",IF(INDEX('G_Fall-back'!M:M,MATCH($P1405,'G_Fall-back'!$P:$P,0))="","",INDEX('G_Fall-back'!M:M,MATCH($P1405,'G_Fall-back'!$P:$P,0))))</f>
        <v/>
      </c>
      <c r="N1405" s="823"/>
      <c r="O1405" s="25"/>
      <c r="P1405" s="453" t="str">
        <f>EUconst_CNTR_ElectricityInput &amp; I1383</f>
        <v>ElectricityInput_Kurināmā līmeņatzīmes apakšiekārta (OEP | bez OIM)</v>
      </c>
      <c r="Q1405" s="437"/>
      <c r="R1405" s="437"/>
      <c r="S1405" s="437"/>
      <c r="T1405" s="437"/>
    </row>
    <row r="1406" spans="1:20" s="697" customFormat="1" x14ac:dyDescent="0.2">
      <c r="A1406" s="437"/>
      <c r="B1406" s="414"/>
      <c r="C1406" s="414"/>
      <c r="D1406" s="414"/>
      <c r="E1406" s="1737" t="str">
        <f>Translations!$B$732</f>
        <v>Svērtais emisijas faktors</v>
      </c>
      <c r="F1406" s="1659"/>
      <c r="G1406" s="1659"/>
      <c r="H1406" s="485" t="str">
        <f>EUconst_tCO2pTJ</f>
        <v>t CO2 / TJ</v>
      </c>
      <c r="I1406" s="923" t="str">
        <f>IF($M1383&lt;&gt;EUconst_Relevant,"",IF(INDEX('G_Fall-back'!I:I,MATCH($P1406,'G_Fall-back'!$P:$P,0))="","",INDEX('G_Fall-back'!I:I,MATCH($P1406,'G_Fall-back'!$P:$P,0))))</f>
        <v/>
      </c>
      <c r="J1406" s="923" t="str">
        <f>IF($M1383&lt;&gt;EUconst_Relevant,"",IF(INDEX('G_Fall-back'!J:J,MATCH($P1406,'G_Fall-back'!$P:$P,0))="","",INDEX('G_Fall-back'!J:J,MATCH($P1406,'G_Fall-back'!$P:$P,0))))</f>
        <v/>
      </c>
      <c r="K1406" s="923" t="str">
        <f>IF($M1383&lt;&gt;EUconst_Relevant,"",IF(INDEX('G_Fall-back'!K:K,MATCH($P1406,'G_Fall-back'!$P:$P,0))="","",INDEX('G_Fall-back'!K:K,MATCH($P1406,'G_Fall-back'!$P:$P,0))))</f>
        <v/>
      </c>
      <c r="L1406" s="923" t="str">
        <f>IF($M1383&lt;&gt;EUconst_Relevant,"",IF(INDEX('G_Fall-back'!L:L,MATCH($P1406,'G_Fall-back'!$P:$P,0))="","",INDEX('G_Fall-back'!L:L,MATCH($P1406,'G_Fall-back'!$P:$P,0))))</f>
        <v/>
      </c>
      <c r="M1406" s="923" t="str">
        <f>IF($M1383&lt;&gt;EUconst_Relevant,"",IF(INDEX('G_Fall-back'!M:M,MATCH($P1406,'G_Fall-back'!$P:$P,0))="","",INDEX('G_Fall-back'!M:M,MATCH($P1406,'G_Fall-back'!$P:$P,0))))</f>
        <v/>
      </c>
      <c r="N1406" s="823"/>
      <c r="O1406" s="25"/>
      <c r="P1406" s="367" t="str">
        <f>EUconst_CNTR_ElectricityEF &amp; I1383</f>
        <v>ElectricityEF_Kurināmā līmeņatzīmes apakšiekārta (OEP | bez OIM)</v>
      </c>
      <c r="Q1406" s="437"/>
      <c r="R1406" s="437"/>
      <c r="S1406" s="437"/>
      <c r="T1406" s="437"/>
    </row>
    <row r="1407" spans="1:20" s="697" customFormat="1" ht="5.0999999999999996" customHeight="1" x14ac:dyDescent="0.2">
      <c r="A1407" s="437"/>
      <c r="B1407" s="414"/>
      <c r="C1407" s="414"/>
      <c r="D1407" s="414"/>
      <c r="E1407" s="526"/>
      <c r="F1407" s="823"/>
      <c r="G1407" s="823"/>
      <c r="H1407" s="823"/>
      <c r="I1407" s="924"/>
      <c r="J1407" s="924"/>
      <c r="K1407" s="924"/>
      <c r="L1407" s="924"/>
      <c r="M1407" s="924"/>
      <c r="N1407" s="823"/>
      <c r="O1407" s="25"/>
      <c r="P1407" s="437"/>
      <c r="Q1407" s="437"/>
      <c r="R1407" s="437"/>
      <c r="S1407" s="437"/>
      <c r="T1407" s="437"/>
    </row>
    <row r="1408" spans="1:20" s="697" customFormat="1" x14ac:dyDescent="0.2">
      <c r="A1408" s="437"/>
      <c r="B1408" s="414"/>
      <c r="C1408" s="414"/>
      <c r="D1408" s="414"/>
      <c r="E1408" s="1651" t="str">
        <f>Translations!$B$687</f>
        <v>Tiešās emisijas</v>
      </c>
      <c r="F1408" s="1652"/>
      <c r="G1408" s="1652"/>
      <c r="H1408" s="465" t="str">
        <f>EUconst_tCO2pa</f>
        <v>t CO2 / gads</v>
      </c>
      <c r="I1408" s="925" t="str">
        <f>IF($M1383&lt;&gt;EUconst_Relevant,"",IF(INDEX('G_Fall-back'!I:I,MATCH($P1408,'G_Fall-back'!$P:$P,0))="","",INDEX('G_Fall-back'!I:I,MATCH($P1408,'G_Fall-back'!$P:$P,0))))</f>
        <v/>
      </c>
      <c r="J1408" s="925" t="str">
        <f>IF($M1383&lt;&gt;EUconst_Relevant,"",IF(INDEX('G_Fall-back'!J:J,MATCH($P1408,'G_Fall-back'!$P:$P,0))="","",INDEX('G_Fall-back'!J:J,MATCH($P1408,'G_Fall-back'!$P:$P,0))))</f>
        <v/>
      </c>
      <c r="K1408" s="925" t="str">
        <f>IF($M1383&lt;&gt;EUconst_Relevant,"",IF(INDEX('G_Fall-back'!K:K,MATCH($P1408,'G_Fall-back'!$P:$P,0))="","",INDEX('G_Fall-back'!K:K,MATCH($P1408,'G_Fall-back'!$P:$P,0))))</f>
        <v/>
      </c>
      <c r="L1408" s="925" t="str">
        <f>IF($M1383&lt;&gt;EUconst_Relevant,"",IF(INDEX('G_Fall-back'!L:L,MATCH($P1408,'G_Fall-back'!$P:$P,0))="","",INDEX('G_Fall-back'!L:L,MATCH($P1408,'G_Fall-back'!$P:$P,0))))</f>
        <v/>
      </c>
      <c r="M1408" s="925" t="str">
        <f>IF($M1383&lt;&gt;EUconst_Relevant,"",IF(INDEX('G_Fall-back'!M:M,MATCH($P1408,'G_Fall-back'!$P:$P,0))="","",INDEX('G_Fall-back'!M:M,MATCH($P1408,'G_Fall-back'!$P:$P,0))))</f>
        <v/>
      </c>
      <c r="N1408" s="823"/>
      <c r="O1408" s="25"/>
      <c r="P1408" s="367" t="str">
        <f>EUconst_CNTR_Emissions &amp; I1383</f>
        <v>DirEmissions_Kurināmā līmeņatzīmes apakšiekārta (OEP | bez OIM)</v>
      </c>
      <c r="Q1408" s="437"/>
      <c r="R1408" s="437"/>
      <c r="S1408" s="437"/>
      <c r="T1408" s="437"/>
    </row>
    <row r="1409" spans="1:20" s="697" customFormat="1" ht="5.0999999999999996" customHeight="1" x14ac:dyDescent="0.2">
      <c r="A1409" s="437"/>
      <c r="B1409" s="414"/>
      <c r="C1409" s="414"/>
      <c r="D1409" s="414"/>
      <c r="E1409" s="526"/>
      <c r="F1409" s="526"/>
      <c r="G1409" s="526"/>
      <c r="H1409" s="526"/>
      <c r="I1409" s="924"/>
      <c r="J1409" s="924"/>
      <c r="K1409" s="924"/>
      <c r="L1409" s="924"/>
      <c r="M1409" s="924"/>
      <c r="N1409" s="823"/>
      <c r="O1409" s="25"/>
      <c r="P1409" s="437"/>
      <c r="Q1409" s="437"/>
      <c r="R1409" s="437"/>
      <c r="S1409" s="437"/>
      <c r="T1409" s="437"/>
    </row>
    <row r="1410" spans="1:20" s="697" customFormat="1" x14ac:dyDescent="0.2">
      <c r="A1410" s="437"/>
      <c r="B1410" s="414"/>
      <c r="C1410" s="414"/>
      <c r="D1410" s="414"/>
      <c r="E1410" s="1651" t="str">
        <f>Translations!$B$770</f>
        <v>Neto eksportētais siltums</v>
      </c>
      <c r="F1410" s="1652"/>
      <c r="G1410" s="1652"/>
      <c r="H1410" s="465" t="str">
        <f>EUconst_TJpa</f>
        <v>TJ / gads</v>
      </c>
      <c r="I1410" s="925" t="str">
        <f>IF($M1383&lt;&gt;EUconst_Relevant,"",IF(INDEX('G_Fall-back'!I:I,MATCH($P1410,'G_Fall-back'!$P:$P,0))="","",INDEX('G_Fall-back'!I:I,MATCH($P1410,'G_Fall-back'!$P:$P,0))))</f>
        <v/>
      </c>
      <c r="J1410" s="925" t="str">
        <f>IF($M1383&lt;&gt;EUconst_Relevant,"",IF(INDEX('G_Fall-back'!J:J,MATCH($P1410,'G_Fall-back'!$P:$P,0))="","",INDEX('G_Fall-back'!J:J,MATCH($P1410,'G_Fall-back'!$P:$P,0))))</f>
        <v/>
      </c>
      <c r="K1410" s="925" t="str">
        <f>IF($M1383&lt;&gt;EUconst_Relevant,"",IF(INDEX('G_Fall-back'!K:K,MATCH($P1410,'G_Fall-back'!$P:$P,0))="","",INDEX('G_Fall-back'!K:K,MATCH($P1410,'G_Fall-back'!$P:$P,0))))</f>
        <v/>
      </c>
      <c r="L1410" s="925" t="str">
        <f>IF($M1383&lt;&gt;EUconst_Relevant,"",IF(INDEX('G_Fall-back'!L:L,MATCH($P1410,'G_Fall-back'!$P:$P,0))="","",INDEX('G_Fall-back'!L:L,MATCH($P1410,'G_Fall-back'!$P:$P,0))))</f>
        <v/>
      </c>
      <c r="M1410" s="925" t="str">
        <f>IF($M1383&lt;&gt;EUconst_Relevant,"",IF(INDEX('G_Fall-back'!M:M,MATCH($P1410,'G_Fall-back'!$P:$P,0))="","",INDEX('G_Fall-back'!M:M,MATCH($P1410,'G_Fall-back'!$P:$P,0))))</f>
        <v/>
      </c>
      <c r="N1410" s="823"/>
      <c r="O1410" s="25"/>
      <c r="P1410" s="367" t="str">
        <f>EUconst_CNTR_HeatExport &amp; I1383</f>
        <v>HeatEx_Kurināmā līmeņatzīmes apakšiekārta (OEP | bez OIM)</v>
      </c>
      <c r="Q1410" s="437"/>
      <c r="R1410" s="437"/>
      <c r="S1410" s="437"/>
      <c r="T1410" s="437"/>
    </row>
    <row r="1411" spans="1:20" s="697" customFormat="1" ht="12.75" customHeight="1" x14ac:dyDescent="0.2">
      <c r="A1411" s="437"/>
      <c r="B1411" s="414"/>
      <c r="C1411" s="414"/>
      <c r="D1411" s="414"/>
      <c r="E1411" s="1651" t="str">
        <f>Translations!$B$893</f>
        <v>Īpatnējais EF (siltuma eksports)</v>
      </c>
      <c r="F1411" s="1652"/>
      <c r="G1411" s="1652"/>
      <c r="H1411" s="465" t="str">
        <f>EUconst_TJpa</f>
        <v>TJ / gads</v>
      </c>
      <c r="I1411" s="925" t="str">
        <f>IF($M1383&lt;&gt;EUconst_Relevant,"",IF(INDEX('G_Fall-back'!I:I,MATCH($P1411,'G_Fall-back'!$P:$P,0))="","",INDEX('G_Fall-back'!I:I,MATCH($P1411,'G_Fall-back'!$P:$P,0))))</f>
        <v/>
      </c>
      <c r="J1411" s="925" t="str">
        <f>IF($M1383&lt;&gt;EUconst_Relevant,"",IF(INDEX('G_Fall-back'!J:J,MATCH($P1411,'G_Fall-back'!$P:$P,0))="","",INDEX('G_Fall-back'!J:J,MATCH($P1411,'G_Fall-back'!$P:$P,0))))</f>
        <v/>
      </c>
      <c r="K1411" s="925" t="str">
        <f>IF($M1383&lt;&gt;EUconst_Relevant,"",IF(INDEX('G_Fall-back'!K:K,MATCH($P1411,'G_Fall-back'!$P:$P,0))="","",INDEX('G_Fall-back'!K:K,MATCH($P1411,'G_Fall-back'!$P:$P,0))))</f>
        <v/>
      </c>
      <c r="L1411" s="925" t="str">
        <f>IF($M1383&lt;&gt;EUconst_Relevant,"",IF(INDEX('G_Fall-back'!L:L,MATCH($P1411,'G_Fall-back'!$P:$P,0))="","",INDEX('G_Fall-back'!L:L,MATCH($P1411,'G_Fall-back'!$P:$P,0))))</f>
        <v/>
      </c>
      <c r="M1411" s="925" t="str">
        <f>IF($M1383&lt;&gt;EUconst_Relevant,"",IF(INDEX('G_Fall-back'!M:M,MATCH($P1411,'G_Fall-back'!$P:$P,0))="","",INDEX('G_Fall-back'!M:M,MATCH($P1411,'G_Fall-back'!$P:$P,0))))</f>
        <v/>
      </c>
      <c r="N1411" s="823"/>
      <c r="O1411" s="25"/>
      <c r="P1411" s="202" t="str">
        <f>EUconst_CNTR_HeatExportEF &amp; I1383</f>
        <v>HeatExEF_Kurināmā līmeņatzīmes apakšiekārta (OEP | bez OIM)</v>
      </c>
      <c r="Q1411" s="437"/>
      <c r="R1411" s="437"/>
      <c r="S1411" s="437"/>
      <c r="T1411" s="437"/>
    </row>
    <row r="1412" spans="1:20" s="697" customFormat="1" ht="12.75" customHeight="1" x14ac:dyDescent="0.2">
      <c r="A1412" s="437"/>
      <c r="B1412" s="414"/>
      <c r="C1412" s="414"/>
      <c r="D1412" s="414"/>
      <c r="E1412" s="823"/>
      <c r="F1412" s="823"/>
      <c r="G1412" s="823"/>
      <c r="H1412" s="823"/>
      <c r="I1412" s="823"/>
      <c r="J1412" s="823"/>
      <c r="K1412" s="823"/>
      <c r="L1412" s="823"/>
      <c r="M1412" s="823"/>
      <c r="N1412" s="823"/>
      <c r="O1412" s="25"/>
      <c r="P1412" s="437"/>
      <c r="Q1412" s="437"/>
      <c r="R1412" s="437"/>
      <c r="S1412" s="437"/>
      <c r="T1412" s="437"/>
    </row>
    <row r="1413" spans="1:20" s="697" customFormat="1" ht="13.5" thickBot="1" x14ac:dyDescent="0.25">
      <c r="A1413" s="437"/>
      <c r="B1413" s="414"/>
      <c r="C1413" s="414"/>
      <c r="D1413" s="414"/>
      <c r="E1413" s="414"/>
      <c r="F1413" s="414"/>
      <c r="G1413" s="414"/>
      <c r="M1413" s="414"/>
      <c r="N1413" s="414"/>
      <c r="O1413" s="25"/>
      <c r="P1413" s="437"/>
      <c r="Q1413" s="437"/>
      <c r="R1413" s="437"/>
      <c r="S1413" s="437"/>
      <c r="T1413" s="437"/>
    </row>
    <row r="1414" spans="1:20" s="697" customFormat="1" ht="12.75" customHeight="1" thickBot="1" x14ac:dyDescent="0.25">
      <c r="A1414" s="437"/>
      <c r="B1414" s="21"/>
      <c r="C1414" s="294"/>
      <c r="D1414" s="294"/>
      <c r="E1414" s="294"/>
      <c r="F1414" s="294"/>
      <c r="G1414" s="294"/>
      <c r="H1414" s="294"/>
      <c r="I1414" s="294"/>
      <c r="J1414" s="294"/>
      <c r="K1414" s="294"/>
      <c r="L1414" s="294"/>
      <c r="M1414" s="294"/>
      <c r="N1414" s="294"/>
      <c r="O1414" s="25"/>
      <c r="P1414" s="437"/>
      <c r="Q1414" s="437"/>
      <c r="R1414" s="437"/>
      <c r="S1414" s="437"/>
      <c r="T1414" s="26" t="s">
        <v>560</v>
      </c>
    </row>
    <row r="1415" spans="1:20" s="697" customFormat="1" ht="15" customHeight="1" thickBot="1" x14ac:dyDescent="0.3">
      <c r="A1415" s="437"/>
      <c r="B1415" s="414"/>
      <c r="C1415" s="36">
        <f>C1383+1</f>
        <v>16</v>
      </c>
      <c r="D1415" s="1318" t="str">
        <f>CONCATENATE(EUconst_FBSubinst," ",C1415-10, ":")</f>
        <v>Alternatīva apakšiekārta 6:</v>
      </c>
      <c r="E1415" s="1251"/>
      <c r="F1415" s="1251"/>
      <c r="G1415" s="1251"/>
      <c r="H1415" s="1328"/>
      <c r="I1415" s="1877" t="str">
        <f>INDEX(EUconst_FallBackListNames,$C1415-10)</f>
        <v>Kurināmā līmeņatzīmes apakšiekārta (bez OEP | bez OIM)</v>
      </c>
      <c r="J1415" s="1878"/>
      <c r="K1415" s="1878"/>
      <c r="L1415" s="1879"/>
      <c r="M1415" s="1783" t="str">
        <f>IF(ISBLANK(INDEX(CNTR_FallBackSubInstRelevant,C1415-10)),"",IF(INDEX(CNTR_FallBackSubInstRelevant,C1415-10),EUconst_Relevant,EUconst_NotRelevant))</f>
        <v/>
      </c>
      <c r="N1415" s="1784"/>
      <c r="O1415" s="25"/>
      <c r="P1415" s="437"/>
      <c r="Q1415" s="904">
        <f>C1415</f>
        <v>16</v>
      </c>
      <c r="R1415" s="901" t="str">
        <f>I1415</f>
        <v>Kurināmā līmeņatzīmes apakšiekārta (bez OEP | bez OIM)</v>
      </c>
      <c r="S1415" s="903" t="b">
        <f>H1418</f>
        <v>0</v>
      </c>
      <c r="T1415" s="902" t="str">
        <f>IF(M1427="","",IF(S1418=0,0,SUM(M1427)/S1418))</f>
        <v/>
      </c>
    </row>
    <row r="1416" spans="1:20" s="697" customFormat="1" ht="5.0999999999999996" customHeight="1" thickBot="1" x14ac:dyDescent="0.25">
      <c r="A1416" s="437"/>
      <c r="B1416" s="414"/>
      <c r="C1416" s="414"/>
      <c r="D1416" s="414"/>
      <c r="E1416" s="414"/>
      <c r="F1416" s="414"/>
      <c r="G1416" s="414"/>
      <c r="H1416" s="414"/>
      <c r="I1416" s="414"/>
      <c r="J1416" s="414"/>
      <c r="K1416" s="414"/>
      <c r="L1416" s="414"/>
      <c r="M1416" s="414"/>
      <c r="N1416" s="414"/>
      <c r="O1416" s="25"/>
      <c r="P1416" s="437"/>
      <c r="Q1416" s="437"/>
      <c r="R1416" s="437"/>
      <c r="S1416" s="437"/>
      <c r="T1416" s="26"/>
    </row>
    <row r="1417" spans="1:20" s="697" customFormat="1" ht="13.5" thickBot="1" x14ac:dyDescent="0.25">
      <c r="A1417" s="437"/>
      <c r="B1417" s="414"/>
      <c r="C1417" s="414"/>
      <c r="D1417" s="414"/>
      <c r="E1417" s="414"/>
      <c r="F1417" s="414"/>
      <c r="G1417" s="414"/>
      <c r="H1417" s="647" t="str">
        <f>Translations!$B$1204</f>
        <v>Pakļauta OEP</v>
      </c>
      <c r="I1417" s="647" t="str">
        <f>Translations!$B$1208</f>
        <v>Ekspl. sākta</v>
      </c>
      <c r="J1417" s="647" t="str">
        <f>Translations!$B$1212</f>
        <v>15(7)3?</v>
      </c>
      <c r="L1417" s="1172" t="str">
        <f>Translations!$B$1206</f>
        <v>LA Nr.</v>
      </c>
      <c r="M1417" s="989" t="str">
        <f>Translations!$B$1234</f>
        <v>LA vērtība (min./maks./fakt.)</v>
      </c>
      <c r="N1417" s="990"/>
      <c r="O1417" s="25"/>
      <c r="P1417" s="437"/>
      <c r="Q1417" s="437"/>
      <c r="R1417" s="646" t="s">
        <v>641</v>
      </c>
      <c r="S1417" s="903" t="b">
        <f>H1420</f>
        <v>0</v>
      </c>
      <c r="T1417" s="26"/>
    </row>
    <row r="1418" spans="1:20" s="697" customFormat="1" x14ac:dyDescent="0.2">
      <c r="A1418" s="437"/>
      <c r="B1418" s="414"/>
      <c r="C1418" s="414"/>
      <c r="D1418" s="414"/>
      <c r="E1418" s="649" t="str">
        <f>I1415</f>
        <v>Kurināmā līmeņatzīmes apakšiekārta (bez OEP | bez OIM)</v>
      </c>
      <c r="F1418" s="650"/>
      <c r="G1418" s="594"/>
      <c r="H1418" s="651" t="b">
        <f>INDEX(EUconst_FallBackListCLstatus,MATCH(I1415,EUconst_FallBackListNames,0))</f>
        <v>0</v>
      </c>
      <c r="I1418" s="1171" t="str">
        <f>IF(M1415&lt;&gt;EUconst_Relevant,"",INDEX(CNTR_SubInstStartDate,MATCH(E1418,CNTR_SubInstListNames,0)))</f>
        <v/>
      </c>
      <c r="J1418" s="651" t="str">
        <f>IF(M1415&lt;&gt;EUconst_Relevant,"",INDEX(CNTR_SubInstLess1Year,MATCH(E1418,CNTR_SubInstListNames,0)))</f>
        <v/>
      </c>
      <c r="L1418" s="1173">
        <f>C1415-10</f>
        <v>6</v>
      </c>
      <c r="M1418" s="995" t="str">
        <f>IF(M1415&lt;&gt;EUconst_Relevant,"",INDEX(EUconst_FallBackListBMvaluesMatrix,L1418,2))</f>
        <v/>
      </c>
      <c r="N1418" s="992" t="str">
        <f>EUconst_EUA &amp; "/" &amp; H1423</f>
        <v>ESK/TJ</v>
      </c>
      <c r="O1418" s="25"/>
      <c r="P1418" s="437"/>
      <c r="Q1418" s="437"/>
      <c r="R1418" s="732" t="s">
        <v>554</v>
      </c>
      <c r="S1418" s="815">
        <f>IF(H1418,1,INDEX(EUconst_CLEFYears,1))</f>
        <v>0.3</v>
      </c>
      <c r="T1418" s="437"/>
    </row>
    <row r="1419" spans="1:20" s="697" customFormat="1" x14ac:dyDescent="0.2">
      <c r="A1419" s="437"/>
      <c r="B1419" s="414"/>
      <c r="C1419" s="414"/>
      <c r="H1419" s="647" t="s">
        <v>623</v>
      </c>
      <c r="M1419" s="995" t="str">
        <f>IF(M1415&lt;&gt;EUconst_Relevant,"",INDEX(EUconst_FallBackListBMvaluesMatrix,L1418,1))</f>
        <v/>
      </c>
      <c r="N1419" s="992" t="str">
        <f>EUconst_EUA &amp; "/" &amp; H1423</f>
        <v>ESK/TJ</v>
      </c>
      <c r="O1419" s="25"/>
      <c r="P1419" s="437"/>
      <c r="Q1419" s="437"/>
      <c r="R1419" s="732"/>
      <c r="S1419" s="866"/>
      <c r="T1419" s="437"/>
    </row>
    <row r="1420" spans="1:20" s="697" customFormat="1" ht="13.5" thickBot="1" x14ac:dyDescent="0.25">
      <c r="A1420" s="437"/>
      <c r="B1420" s="414"/>
      <c r="C1420" s="414"/>
      <c r="H1420" s="651" t="b">
        <f>INDEX(EUconst_FallBackListCBAMstatus,MATCH(I1415,EUconst_FallBackListNames,0))</f>
        <v>0</v>
      </c>
      <c r="M1420" s="996" t="str">
        <f>IF(M1415&lt;&gt;EUconst_Relevant,"",IF(EUconst_StatusOfDataCollection,INDEX(EUconst_FallBackListBMvaluesMatrix,L1418,3),""))</f>
        <v/>
      </c>
      <c r="N1420" s="994" t="str">
        <f>EUconst_EUA &amp; "/" &amp; H1423</f>
        <v>ESK/TJ</v>
      </c>
      <c r="O1420" s="25"/>
      <c r="P1420" s="437"/>
      <c r="Q1420" s="437"/>
      <c r="R1420" s="732"/>
      <c r="S1420" s="866"/>
      <c r="T1420" s="437"/>
    </row>
    <row r="1421" spans="1:20" s="697" customFormat="1" ht="5.0999999999999996" customHeight="1" x14ac:dyDescent="0.2">
      <c r="A1421" s="437"/>
      <c r="B1421" s="414"/>
      <c r="C1421" s="414"/>
      <c r="D1421" s="414"/>
      <c r="E1421" s="414"/>
      <c r="F1421" s="414"/>
      <c r="G1421" s="414"/>
      <c r="H1421" s="414"/>
      <c r="I1421" s="414"/>
      <c r="J1421" s="414"/>
      <c r="K1421" s="414"/>
      <c r="L1421" s="414"/>
      <c r="M1421" s="414"/>
      <c r="N1421" s="414"/>
      <c r="O1421" s="25"/>
      <c r="P1421" s="437"/>
      <c r="Q1421" s="437"/>
      <c r="R1421" s="437"/>
      <c r="S1421" s="437"/>
      <c r="T1421" s="437"/>
    </row>
    <row r="1422" spans="1:20" s="697" customFormat="1" x14ac:dyDescent="0.2">
      <c r="A1422" s="437"/>
      <c r="B1422" s="414"/>
      <c r="C1422" s="414"/>
      <c r="D1422" s="414"/>
      <c r="E1422" s="652"/>
      <c r="F1422" s="652"/>
      <c r="G1422" s="653"/>
      <c r="H1422" s="647" t="str">
        <f>EUconst_Unit</f>
        <v>Vienība</v>
      </c>
      <c r="I1422" s="447">
        <f>I$1652</f>
        <v>2019</v>
      </c>
      <c r="J1422" s="447">
        <f>J$1652</f>
        <v>2020</v>
      </c>
      <c r="K1422" s="447">
        <f>K$1652</f>
        <v>2021</v>
      </c>
      <c r="L1422" s="447">
        <f>L$1652</f>
        <v>2022</v>
      </c>
      <c r="M1422" s="447">
        <f>M$1652</f>
        <v>2023</v>
      </c>
      <c r="N1422" s="414"/>
      <c r="O1422" s="25"/>
      <c r="P1422" s="202" t="s">
        <v>228</v>
      </c>
      <c r="Q1422" s="437"/>
      <c r="R1422" s="437"/>
      <c r="S1422" s="437"/>
      <c r="T1422" s="437"/>
    </row>
    <row r="1423" spans="1:20" s="697" customFormat="1" x14ac:dyDescent="0.2">
      <c r="A1423" s="437"/>
      <c r="B1423" s="414"/>
      <c r="C1423" s="414"/>
      <c r="D1423" s="414"/>
      <c r="E1423" s="654" t="str">
        <f>Translations!$B$1236</f>
        <v>Ziņotais HAL (vēsturiskais darbības līmenis)</v>
      </c>
      <c r="F1423" s="655"/>
      <c r="G1423" s="656"/>
      <c r="H1423" s="651" t="str">
        <f>INDEX(EUconst_FallBackListUnits,L1418)</f>
        <v>TJ</v>
      </c>
      <c r="I1423" s="546" t="str">
        <f>IF($M1415&lt;&gt;EUconst_Relevant,"",SUMIF('G_Fall-back'!$P:$P,$P1424,'G_Fall-back'!I:I))</f>
        <v/>
      </c>
      <c r="J1423" s="546" t="str">
        <f>IF($M1415&lt;&gt;EUconst_Relevant,"",SUMIF('G_Fall-back'!$P:$P,$P1424,'G_Fall-back'!J:J))</f>
        <v/>
      </c>
      <c r="K1423" s="546" t="str">
        <f>IF($M1415&lt;&gt;EUconst_Relevant,"",SUMIF('G_Fall-back'!$P:$P,$P1424,'G_Fall-back'!K:K))</f>
        <v/>
      </c>
      <c r="L1423" s="546" t="str">
        <f>IF($M1415&lt;&gt;EUconst_Relevant,"",SUMIF('G_Fall-back'!$P:$P,$P1424,'G_Fall-back'!L:L))</f>
        <v/>
      </c>
      <c r="M1423" s="546" t="str">
        <f>IF($M1415&lt;&gt;EUconst_Relevant,"",SUMIF('G_Fall-back'!$P:$P,$P1424,'G_Fall-back'!M:M))</f>
        <v/>
      </c>
      <c r="N1423" s="648" t="s">
        <v>625</v>
      </c>
      <c r="O1423" s="25"/>
      <c r="P1423" s="202" t="str">
        <f>EUconst_CNTR_HAL&amp;I1415</f>
        <v>HAL_Kurināmā līmeņatzīmes apakšiekārta (bez OEP | bez OIM)</v>
      </c>
      <c r="Q1423" s="437"/>
      <c r="R1423" s="437"/>
      <c r="S1423" s="437"/>
      <c r="T1423" s="26"/>
    </row>
    <row r="1424" spans="1:20" s="697" customFormat="1" x14ac:dyDescent="0.2">
      <c r="A1424" s="437"/>
      <c r="B1424" s="414"/>
      <c r="C1424" s="414"/>
      <c r="D1424" s="414"/>
      <c r="E1424" s="654" t="str">
        <f>Translations!$B$1237</f>
        <v>HAL aprēķinam izmantotās vērtības:</v>
      </c>
      <c r="F1424" s="655"/>
      <c r="G1424" s="656"/>
      <c r="H1424" s="651" t="str">
        <f>H1423</f>
        <v>TJ</v>
      </c>
      <c r="I1424" s="442" t="str">
        <f>IF($M1415&lt;&gt;EUconst_Relevant,"",INDEX('G_Fall-back'!S:S,MATCH($P1424,'G_Fall-back'!$P:$P,0)))</f>
        <v/>
      </c>
      <c r="J1424" s="442" t="str">
        <f>IF($M1415&lt;&gt;EUconst_Relevant,"",INDEX('G_Fall-back'!T:T,MATCH($P1424,'G_Fall-back'!$P:$P,0)))</f>
        <v/>
      </c>
      <c r="K1424" s="442" t="str">
        <f>IF($M1415&lt;&gt;EUconst_Relevant,"",INDEX('G_Fall-back'!U:U,MATCH($P1424,'G_Fall-back'!$P:$P,0)))</f>
        <v/>
      </c>
      <c r="L1424" s="442" t="str">
        <f>IF($M1415&lt;&gt;EUconst_Relevant,"",INDEX('G_Fall-back'!V:V,MATCH($P1424,'G_Fall-back'!$P:$P,0)))</f>
        <v/>
      </c>
      <c r="M1424" s="442" t="str">
        <f>IF($M1415&lt;&gt;EUconst_Relevant,"",INDEX('G_Fall-back'!W:W,MATCH($P1424,'G_Fall-back'!$P:$P,0)))</f>
        <v/>
      </c>
      <c r="N1424" s="546" t="str">
        <f>IF(OR($M1415&lt;&gt;EUconst_Relevant,$J1418=TRUE),"",IF(COUNT($I1424:$M1424)&gt;0,MEDIAN($I1424:$M1424),""))</f>
        <v/>
      </c>
      <c r="O1424" s="25"/>
      <c r="P1424" s="202" t="str">
        <f>EUconst_CNTR_HAL&amp;I1415</f>
        <v>HAL_Kurināmā līmeņatzīmes apakšiekārta (bez OEP | bez OIM)</v>
      </c>
      <c r="Q1424" s="437"/>
      <c r="R1424" s="931" t="s">
        <v>604</v>
      </c>
      <c r="S1424" s="931" t="s">
        <v>605</v>
      </c>
      <c r="T1424" s="931" t="s">
        <v>606</v>
      </c>
    </row>
    <row r="1425" spans="1:20" s="697" customFormat="1" ht="5.0999999999999996" customHeight="1" thickBot="1" x14ac:dyDescent="0.25">
      <c r="A1425" s="437"/>
      <c r="B1425" s="414"/>
      <c r="C1425" s="414"/>
      <c r="D1425" s="414"/>
      <c r="E1425" s="414"/>
      <c r="F1425" s="414"/>
      <c r="G1425" s="414"/>
      <c r="H1425" s="414"/>
      <c r="I1425" s="414"/>
      <c r="J1425" s="414"/>
      <c r="K1425" s="414"/>
      <c r="L1425" s="414"/>
      <c r="M1425" s="414"/>
      <c r="N1425" s="414"/>
      <c r="O1425" s="25"/>
      <c r="P1425" s="437"/>
      <c r="Q1425" s="437"/>
      <c r="R1425" s="437"/>
      <c r="S1425" s="437"/>
      <c r="T1425" s="26"/>
    </row>
    <row r="1426" spans="1:20" s="697" customFormat="1" ht="13.5" thickBot="1" x14ac:dyDescent="0.25">
      <c r="A1426" s="437"/>
      <c r="B1426" s="414"/>
      <c r="C1426" s="414"/>
      <c r="D1426" s="414"/>
      <c r="E1426" s="414"/>
      <c r="F1426" s="657" t="str">
        <f>Translations!$B$1728</f>
        <v>HAL kopā</v>
      </c>
      <c r="G1426" s="817"/>
      <c r="H1426" s="414"/>
      <c r="I1426" s="816" t="str">
        <f>Translations!$B$1226</f>
        <v>1. gada prov. ied. apj. (min.)</v>
      </c>
      <c r="J1426" s="817"/>
      <c r="K1426" s="816" t="str">
        <f>Translations!$B$1229</f>
        <v>1. gada prov. ied. apj. (maks.)</v>
      </c>
      <c r="L1426" s="817"/>
      <c r="M1426" s="816" t="str">
        <f>Translations!$B$1231</f>
        <v>1. gada prov. ied. apj. (fakt.)</v>
      </c>
      <c r="N1426" s="817"/>
      <c r="O1426" s="25"/>
      <c r="P1426" s="202" t="str">
        <f>EUconst_AllocPrelim&amp;I1415</f>
        <v>AllocPrelim_Kurināmā līmeņatzīmes apakšiekārta (bez OEP | bez OIM)</v>
      </c>
      <c r="Q1426" s="437"/>
      <c r="R1426" s="900" t="str">
        <f>IF(I1427="","",IF(S1418=0,0,SUM(I1427)/S1418))</f>
        <v/>
      </c>
      <c r="S1426" s="900" t="str">
        <f>IF(K1427="","",IF(S1418=0,0,SUM(K1427)/S1418))</f>
        <v/>
      </c>
      <c r="T1426" s="900" t="str">
        <f>T1415</f>
        <v/>
      </c>
    </row>
    <row r="1427" spans="1:20" s="697" customFormat="1" ht="13.5" thickBot="1" x14ac:dyDescent="0.25">
      <c r="A1427" s="437"/>
      <c r="B1427" s="414"/>
      <c r="C1427" s="414"/>
      <c r="D1427" s="414"/>
      <c r="E1427" s="414"/>
      <c r="F1427" s="658" t="str">
        <f>IF(M1415&lt;&gt;EUconst_Relevant,"",MAX(0, IF(J1418=TRUE, SUM(K1418), SUM(N1424))))</f>
        <v/>
      </c>
      <c r="G1427" s="884" t="str">
        <f>H1424&amp;" / "&amp;EUconst_Year</f>
        <v>TJ / gads</v>
      </c>
      <c r="H1427" s="414"/>
      <c r="I1427" s="814" t="str">
        <f>IF(M1415&lt;&gt;EUconst_Relevant,"",ROUND(SUM(M1418)*SUM(F1427)*SUM(S1418),0))</f>
        <v/>
      </c>
      <c r="J1427" s="884" t="str">
        <f>EUconst_EUApa</f>
        <v>ESK / gads</v>
      </c>
      <c r="K1427" s="814" t="str">
        <f>IF(M1415&lt;&gt;EUconst_Relevant,"",ROUND(SUM(M1419)*SUM(F1427)*SUM(S1418),0))</f>
        <v/>
      </c>
      <c r="L1427" s="884" t="str">
        <f>EUconst_EUApa</f>
        <v>ESK / gads</v>
      </c>
      <c r="M1427" s="814" t="str">
        <f>IF(OR(M1415&lt;&gt;EUconst_Relevant,M1420=""),"",ROUND(SUM(M1420)*SUM(F1427)*SUM(S1418),0))</f>
        <v/>
      </c>
      <c r="N1427" s="884" t="str">
        <f>EUconst_EUApa</f>
        <v>ESK / gads</v>
      </c>
      <c r="O1427" s="25"/>
      <c r="P1427" s="202" t="str">
        <f>EUconst_HALsum &amp; I1415</f>
        <v>HALsum_Kurināmā līmeņatzīmes apakšiekārta (bez OEP | bez OIM)</v>
      </c>
      <c r="Q1427" s="437"/>
      <c r="R1427" s="437"/>
      <c r="S1427" s="437"/>
      <c r="T1427" s="437"/>
    </row>
    <row r="1428" spans="1:20" s="697" customFormat="1" x14ac:dyDescent="0.2">
      <c r="A1428" s="437"/>
      <c r="B1428" s="414"/>
      <c r="C1428" s="414"/>
      <c r="D1428" s="414"/>
      <c r="E1428" s="414"/>
      <c r="F1428" s="414"/>
      <c r="G1428" s="414"/>
      <c r="H1428" s="414"/>
      <c r="I1428" s="414"/>
      <c r="J1428" s="414"/>
      <c r="K1428" s="414"/>
      <c r="L1428" s="414"/>
      <c r="M1428" s="414"/>
      <c r="N1428" s="414"/>
      <c r="O1428" s="25"/>
      <c r="P1428" s="437"/>
      <c r="Q1428" s="437"/>
      <c r="R1428" s="437"/>
      <c r="S1428" s="437"/>
      <c r="T1428" s="437"/>
    </row>
    <row r="1429" spans="1:20" s="697" customFormat="1" ht="12.75" customHeight="1" x14ac:dyDescent="0.2">
      <c r="A1429" s="437"/>
      <c r="B1429" s="414"/>
      <c r="C1429" s="414"/>
      <c r="D1429" s="414"/>
      <c r="E1429" s="526"/>
      <c r="F1429" s="823"/>
      <c r="G1429" s="823"/>
      <c r="H1429" s="823"/>
      <c r="I1429" s="823"/>
      <c r="J1429" s="823"/>
      <c r="K1429" s="823"/>
      <c r="L1429" s="823"/>
      <c r="M1429" s="823"/>
      <c r="N1429" s="823"/>
      <c r="O1429" s="25"/>
      <c r="P1429" s="437"/>
      <c r="Q1429" s="437"/>
      <c r="R1429" s="437"/>
      <c r="S1429" s="437"/>
      <c r="T1429" s="437"/>
    </row>
    <row r="1430" spans="1:20" s="697" customFormat="1" ht="13.5" thickBot="1" x14ac:dyDescent="0.25">
      <c r="A1430" s="437"/>
      <c r="B1430" s="414"/>
      <c r="C1430" s="414"/>
      <c r="D1430" s="414"/>
      <c r="E1430" s="526"/>
      <c r="F1430" s="823"/>
      <c r="G1430" s="823"/>
      <c r="H1430" s="525" t="str">
        <f>EUconst_Unit</f>
        <v>Vienība</v>
      </c>
      <c r="I1430" s="928">
        <f>I$1652</f>
        <v>2019</v>
      </c>
      <c r="J1430" s="825">
        <f>J$1652</f>
        <v>2020</v>
      </c>
      <c r="K1430" s="825">
        <f>K$1652</f>
        <v>2021</v>
      </c>
      <c r="L1430" s="825">
        <f>L$1652</f>
        <v>2022</v>
      </c>
      <c r="M1430" s="825">
        <f>M$1652</f>
        <v>2023</v>
      </c>
      <c r="N1430" s="823"/>
      <c r="O1430" s="25"/>
      <c r="P1430" s="437"/>
      <c r="Q1430" s="437"/>
      <c r="R1430" s="437"/>
      <c r="S1430" s="437"/>
      <c r="T1430" s="437"/>
    </row>
    <row r="1431" spans="1:20" s="697" customFormat="1" ht="13.5" thickBot="1" x14ac:dyDescent="0.25">
      <c r="A1431" s="437"/>
      <c r="B1431" s="414"/>
      <c r="C1431" s="414"/>
      <c r="D1431" s="414"/>
      <c r="E1431" s="1789" t="str">
        <f>Translations!$B$1238</f>
        <v>Kopējās attiecinātās emisijas</v>
      </c>
      <c r="F1431" s="1789"/>
      <c r="G1431" s="1789"/>
      <c r="H1431" s="886" t="str">
        <f>EUconst_tCO2epa</f>
        <v>t CO2e/gads</v>
      </c>
      <c r="I1431" s="918" t="str">
        <f>INDEX(I$115:I$134,MATCH($I1415,$E$115:$E$134,0))</f>
        <v/>
      </c>
      <c r="J1431" s="919" t="str">
        <f>INDEX(J$115:J$134,MATCH($I1415,$E$115:$E$134,0))</f>
        <v/>
      </c>
      <c r="K1431" s="919" t="str">
        <f>INDEX(K$115:K$134,MATCH($I1415,$E$115:$E$134,0))</f>
        <v/>
      </c>
      <c r="L1431" s="919" t="str">
        <f>INDEX(L$115:L$134,MATCH($I1415,$E$115:$E$134,0))</f>
        <v/>
      </c>
      <c r="M1431" s="920" t="str">
        <f>INDEX(M$115:M$134,MATCH($I1415,$E$115:$E$134,0))</f>
        <v/>
      </c>
      <c r="N1431" s="823"/>
      <c r="O1431" s="25"/>
      <c r="P1431" s="437"/>
      <c r="Q1431" s="437"/>
      <c r="R1431" s="437"/>
      <c r="S1431" s="437"/>
      <c r="T1431" s="26"/>
    </row>
    <row r="1432" spans="1:20" s="697" customFormat="1" ht="5.0999999999999996" customHeight="1" x14ac:dyDescent="0.2">
      <c r="A1432" s="437"/>
      <c r="B1432" s="414"/>
      <c r="C1432" s="414"/>
      <c r="D1432" s="414"/>
      <c r="E1432" s="526"/>
      <c r="F1432" s="526"/>
      <c r="G1432" s="526"/>
      <c r="H1432" s="526"/>
      <c r="I1432" s="921"/>
      <c r="J1432" s="921"/>
      <c r="K1432" s="921"/>
      <c r="L1432" s="921"/>
      <c r="M1432" s="921"/>
      <c r="N1432" s="526"/>
      <c r="O1432" s="25"/>
      <c r="P1432" s="437"/>
      <c r="Q1432" s="437"/>
      <c r="R1432" s="437"/>
      <c r="S1432" s="437"/>
      <c r="T1432" s="26"/>
    </row>
    <row r="1433" spans="1:20" s="697" customFormat="1" x14ac:dyDescent="0.2">
      <c r="A1433" s="437"/>
      <c r="B1433" s="414"/>
      <c r="C1433" s="414"/>
      <c r="D1433" s="414"/>
      <c r="E1433" s="1667" t="str">
        <f>Translations!$B$1623</f>
        <v>Kopējā enerģijas ielaide</v>
      </c>
      <c r="F1433" s="1660"/>
      <c r="G1433" s="1660"/>
      <c r="H1433" s="466" t="str">
        <f>EUconst_TJpa</f>
        <v>TJ / gads</v>
      </c>
      <c r="I1433" s="922" t="str">
        <f>IF($M1415&lt;&gt;EUconst_Relevant,"",IF(INDEX('G_Fall-back'!I:I,MATCH($P1433,'G_Fall-back'!$P:$P,0))="","",INDEX('G_Fall-back'!I:I,MATCH($P1433,'G_Fall-back'!$P:$P,0))))</f>
        <v/>
      </c>
      <c r="J1433" s="922" t="str">
        <f>IF($M1415&lt;&gt;EUconst_Relevant,"",IF(INDEX('G_Fall-back'!J:J,MATCH($P1433,'G_Fall-back'!$P:$P,0))="","",INDEX('G_Fall-back'!J:J,MATCH($P1433,'G_Fall-back'!$P:$P,0))))</f>
        <v/>
      </c>
      <c r="K1433" s="922" t="str">
        <f>IF($M1415&lt;&gt;EUconst_Relevant,"",IF(INDEX('G_Fall-back'!K:K,MATCH($P1433,'G_Fall-back'!$P:$P,0))="","",INDEX('G_Fall-back'!K:K,MATCH($P1433,'G_Fall-back'!$P:$P,0))))</f>
        <v/>
      </c>
      <c r="L1433" s="922" t="str">
        <f>IF($M1415&lt;&gt;EUconst_Relevant,"",IF(INDEX('G_Fall-back'!L:L,MATCH($P1433,'G_Fall-back'!$P:$P,0))="","",INDEX('G_Fall-back'!L:L,MATCH($P1433,'G_Fall-back'!$P:$P,0))))</f>
        <v/>
      </c>
      <c r="M1433" s="922" t="str">
        <f>IF($M1415&lt;&gt;EUconst_Relevant,"",IF(INDEX('G_Fall-back'!M:M,MATCH($P1433,'G_Fall-back'!$P:$P,0))="","",INDEX('G_Fall-back'!M:M,MATCH($P1433,'G_Fall-back'!$P:$P,0))))</f>
        <v/>
      </c>
      <c r="N1433" s="823"/>
      <c r="O1433" s="25"/>
      <c r="P1433" s="822" t="str">
        <f>EUconst_CNTR_FuelInput &amp; I1415</f>
        <v>FuelInput_Kurināmā līmeņatzīmes apakšiekārta (bez OEP | bez OIM)</v>
      </c>
      <c r="Q1433" s="437"/>
      <c r="R1433" s="437"/>
      <c r="S1433" s="437"/>
      <c r="T1433" s="437"/>
    </row>
    <row r="1434" spans="1:20" s="697" customFormat="1" x14ac:dyDescent="0.2">
      <c r="A1434" s="437"/>
      <c r="B1434" s="414"/>
      <c r="C1434" s="414"/>
      <c r="D1434" s="414"/>
      <c r="E1434" s="1737" t="str">
        <f>Translations!$B$732</f>
        <v>Svērtais emisijas faktors</v>
      </c>
      <c r="F1434" s="1659"/>
      <c r="G1434" s="1659"/>
      <c r="H1434" s="485" t="str">
        <f>EUconst_tCO2pTJ</f>
        <v>t CO2 / TJ</v>
      </c>
      <c r="I1434" s="923" t="str">
        <f>IF($M1415&lt;&gt;EUconst_Relevant,"",IF(INDEX('G_Fall-back'!I:I,MATCH($P1434,'G_Fall-back'!$P:$P,0))="","",INDEX('G_Fall-back'!I:I,MATCH($P1434,'G_Fall-back'!$P:$P,0))))</f>
        <v/>
      </c>
      <c r="J1434" s="923" t="str">
        <f>IF($M1415&lt;&gt;EUconst_Relevant,"",IF(INDEX('G_Fall-back'!J:J,MATCH($P1434,'G_Fall-back'!$P:$P,0))="","",INDEX('G_Fall-back'!J:J,MATCH($P1434,'G_Fall-back'!$P:$P,0))))</f>
        <v/>
      </c>
      <c r="K1434" s="923" t="str">
        <f>IF($M1415&lt;&gt;EUconst_Relevant,"",IF(INDEX('G_Fall-back'!K:K,MATCH($P1434,'G_Fall-back'!$P:$P,0))="","",INDEX('G_Fall-back'!K:K,MATCH($P1434,'G_Fall-back'!$P:$P,0))))</f>
        <v/>
      </c>
      <c r="L1434" s="923" t="str">
        <f>IF($M1415&lt;&gt;EUconst_Relevant,"",IF(INDEX('G_Fall-back'!L:L,MATCH($P1434,'G_Fall-back'!$P:$P,0))="","",INDEX('G_Fall-back'!L:L,MATCH($P1434,'G_Fall-back'!$P:$P,0))))</f>
        <v/>
      </c>
      <c r="M1434" s="923" t="str">
        <f>IF($M1415&lt;&gt;EUconst_Relevant,"",IF(INDEX('G_Fall-back'!M:M,MATCH($P1434,'G_Fall-back'!$P:$P,0))="","",INDEX('G_Fall-back'!M:M,MATCH($P1434,'G_Fall-back'!$P:$P,0))))</f>
        <v/>
      </c>
      <c r="N1434" s="823"/>
      <c r="O1434" s="25"/>
      <c r="P1434" s="367" t="str">
        <f>EUconst_CNTR_FuelEF &amp; I1415</f>
        <v>FuelEF_Kurināmā līmeņatzīmes apakšiekārta (bez OEP | bez OIM)</v>
      </c>
      <c r="Q1434" s="437"/>
      <c r="R1434" s="437"/>
      <c r="S1434" s="437"/>
      <c r="T1434" s="437"/>
    </row>
    <row r="1435" spans="1:20" s="697" customFormat="1" x14ac:dyDescent="0.2">
      <c r="A1435" s="437"/>
      <c r="B1435" s="414"/>
      <c r="C1435" s="414"/>
      <c r="D1435" s="414"/>
      <c r="E1435" s="1667" t="str">
        <f>Translations!$B$853</f>
        <v>Atlikumgāzu kurināmā ielaide</v>
      </c>
      <c r="F1435" s="1660"/>
      <c r="G1435" s="1660"/>
      <c r="H1435" s="466" t="str">
        <f>EUconst_TJpa</f>
        <v>TJ / gads</v>
      </c>
      <c r="I1435" s="922" t="str">
        <f>IF($M1415&lt;&gt;EUconst_Relevant,"",IF(INDEX('G_Fall-back'!I:I,MATCH($P1435,'G_Fall-back'!$P:$P,0))="","",INDEX('G_Fall-back'!I:I,MATCH($P1435,'G_Fall-back'!$P:$P,0))))</f>
        <v/>
      </c>
      <c r="J1435" s="922" t="str">
        <f>IF($M1415&lt;&gt;EUconst_Relevant,"",IF(INDEX('G_Fall-back'!J:J,MATCH($P1435,'G_Fall-back'!$P:$P,0))="","",INDEX('G_Fall-back'!J:J,MATCH($P1435,'G_Fall-back'!$P:$P,0))))</f>
        <v/>
      </c>
      <c r="K1435" s="922" t="str">
        <f>IF($M1415&lt;&gt;EUconst_Relevant,"",IF(INDEX('G_Fall-back'!K:K,MATCH($P1435,'G_Fall-back'!$P:$P,0))="","",INDEX('G_Fall-back'!K:K,MATCH($P1435,'G_Fall-back'!$P:$P,0))))</f>
        <v/>
      </c>
      <c r="L1435" s="922" t="str">
        <f>IF($M1415&lt;&gt;EUconst_Relevant,"",IF(INDEX('G_Fall-back'!L:L,MATCH($P1435,'G_Fall-back'!$P:$P,0))="","",INDEX('G_Fall-back'!L:L,MATCH($P1435,'G_Fall-back'!$P:$P,0))))</f>
        <v/>
      </c>
      <c r="M1435" s="922" t="str">
        <f>IF($M1415&lt;&gt;EUconst_Relevant,"",IF(INDEX('G_Fall-back'!M:M,MATCH($P1435,'G_Fall-back'!$P:$P,0))="","",INDEX('G_Fall-back'!M:M,MATCH($P1435,'G_Fall-back'!$P:$P,0))))</f>
        <v/>
      </c>
      <c r="N1435" s="823"/>
      <c r="O1435" s="25"/>
      <c r="P1435" s="453" t="str">
        <f>EUconst_CNTR_WGConsumed &amp; I1415</f>
        <v>WasteGasCons_Kurināmā līmeņatzīmes apakšiekārta (bez OEP | bez OIM)</v>
      </c>
      <c r="Q1435" s="437"/>
      <c r="R1435" s="437"/>
      <c r="S1435" s="437"/>
      <c r="T1435" s="437"/>
    </row>
    <row r="1436" spans="1:20" s="697" customFormat="1" x14ac:dyDescent="0.2">
      <c r="A1436" s="437"/>
      <c r="B1436" s="414"/>
      <c r="C1436" s="414"/>
      <c r="D1436" s="414"/>
      <c r="E1436" s="1737" t="str">
        <f>Translations!$B$732</f>
        <v>Svērtais emisijas faktors</v>
      </c>
      <c r="F1436" s="1659"/>
      <c r="G1436" s="1659"/>
      <c r="H1436" s="485" t="str">
        <f>EUconst_tCO2pTJ</f>
        <v>t CO2 / TJ</v>
      </c>
      <c r="I1436" s="923" t="str">
        <f>IF($M1415&lt;&gt;EUconst_Relevant,"",IF(INDEX('G_Fall-back'!I:I,MATCH($P1436,'G_Fall-back'!$P:$P,0))="","",INDEX('G_Fall-back'!I:I,MATCH($P1436,'G_Fall-back'!$P:$P,0))))</f>
        <v/>
      </c>
      <c r="J1436" s="923" t="str">
        <f>IF($M1415&lt;&gt;EUconst_Relevant,"",IF(INDEX('G_Fall-back'!J:J,MATCH($P1436,'G_Fall-back'!$P:$P,0))="","",INDEX('G_Fall-back'!J:J,MATCH($P1436,'G_Fall-back'!$P:$P,0))))</f>
        <v/>
      </c>
      <c r="K1436" s="923" t="str">
        <f>IF($M1415&lt;&gt;EUconst_Relevant,"",IF(INDEX('G_Fall-back'!K:K,MATCH($P1436,'G_Fall-back'!$P:$P,0))="","",INDEX('G_Fall-back'!K:K,MATCH($P1436,'G_Fall-back'!$P:$P,0))))</f>
        <v/>
      </c>
      <c r="L1436" s="923" t="str">
        <f>IF($M1415&lt;&gt;EUconst_Relevant,"",IF(INDEX('G_Fall-back'!L:L,MATCH($P1436,'G_Fall-back'!$P:$P,0))="","",INDEX('G_Fall-back'!L:L,MATCH($P1436,'G_Fall-back'!$P:$P,0))))</f>
        <v/>
      </c>
      <c r="M1436" s="923" t="str">
        <f>IF($M1415&lt;&gt;EUconst_Relevant,"",IF(INDEX('G_Fall-back'!M:M,MATCH($P1436,'G_Fall-back'!$P:$P,0))="","",INDEX('G_Fall-back'!M:M,MATCH($P1436,'G_Fall-back'!$P:$P,0))))</f>
        <v/>
      </c>
      <c r="N1436" s="823"/>
      <c r="O1436" s="25"/>
      <c r="P1436" s="367" t="str">
        <f>EUconst_CNTR_WGConsumedEF &amp; I1415</f>
        <v>WasteGasConsEF_Kurināmā līmeņatzīmes apakšiekārta (bez OEP | bez OIM)</v>
      </c>
      <c r="Q1436" s="437"/>
      <c r="R1436" s="437"/>
      <c r="S1436" s="437"/>
      <c r="T1436" s="437"/>
    </row>
    <row r="1437" spans="1:20" s="697" customFormat="1" x14ac:dyDescent="0.2">
      <c r="A1437" s="437"/>
      <c r="B1437" s="414"/>
      <c r="C1437" s="414"/>
      <c r="D1437" s="414"/>
      <c r="E1437" s="1667" t="str">
        <f>Translations!$B$1631</f>
        <v>Elektroenerģijas ielaide siltuma ražošanai</v>
      </c>
      <c r="F1437" s="1660"/>
      <c r="G1437" s="1660"/>
      <c r="H1437" s="466" t="str">
        <f>EUconst_TJpa</f>
        <v>TJ / gads</v>
      </c>
      <c r="I1437" s="922" t="str">
        <f>IF($M1415&lt;&gt;EUconst_Relevant,"",IF(INDEX('G_Fall-back'!I:I,MATCH($P1437,'G_Fall-back'!$P:$P,0))="","",INDEX('G_Fall-back'!I:I,MATCH($P1437,'G_Fall-back'!$P:$P,0))))</f>
        <v/>
      </c>
      <c r="J1437" s="922" t="str">
        <f>IF($M1415&lt;&gt;EUconst_Relevant,"",IF(INDEX('G_Fall-back'!J:J,MATCH($P1437,'G_Fall-back'!$P:$P,0))="","",INDEX('G_Fall-back'!J:J,MATCH($P1437,'G_Fall-back'!$P:$P,0))))</f>
        <v/>
      </c>
      <c r="K1437" s="922" t="str">
        <f>IF($M1415&lt;&gt;EUconst_Relevant,"",IF(INDEX('G_Fall-back'!K:K,MATCH($P1437,'G_Fall-back'!$P:$P,0))="","",INDEX('G_Fall-back'!K:K,MATCH($P1437,'G_Fall-back'!$P:$P,0))))</f>
        <v/>
      </c>
      <c r="L1437" s="922" t="str">
        <f>IF($M1415&lt;&gt;EUconst_Relevant,"",IF(INDEX('G_Fall-back'!L:L,MATCH($P1437,'G_Fall-back'!$P:$P,0))="","",INDEX('G_Fall-back'!L:L,MATCH($P1437,'G_Fall-back'!$P:$P,0))))</f>
        <v/>
      </c>
      <c r="M1437" s="922" t="str">
        <f>IF($M1415&lt;&gt;EUconst_Relevant,"",IF(INDEX('G_Fall-back'!M:M,MATCH($P1437,'G_Fall-back'!$P:$P,0))="","",INDEX('G_Fall-back'!M:M,MATCH($P1437,'G_Fall-back'!$P:$P,0))))</f>
        <v/>
      </c>
      <c r="N1437" s="823"/>
      <c r="O1437" s="25"/>
      <c r="P1437" s="453" t="str">
        <f>EUconst_CNTR_ElectricityInput &amp; I1415</f>
        <v>ElectricityInput_Kurināmā līmeņatzīmes apakšiekārta (bez OEP | bez OIM)</v>
      </c>
      <c r="Q1437" s="437"/>
      <c r="R1437" s="437"/>
      <c r="S1437" s="437"/>
      <c r="T1437" s="437"/>
    </row>
    <row r="1438" spans="1:20" s="697" customFormat="1" x14ac:dyDescent="0.2">
      <c r="A1438" s="437"/>
      <c r="B1438" s="414"/>
      <c r="C1438" s="414"/>
      <c r="D1438" s="414"/>
      <c r="E1438" s="1737" t="str">
        <f>Translations!$B$732</f>
        <v>Svērtais emisijas faktors</v>
      </c>
      <c r="F1438" s="1659"/>
      <c r="G1438" s="1659"/>
      <c r="H1438" s="485" t="str">
        <f>EUconst_tCO2pTJ</f>
        <v>t CO2 / TJ</v>
      </c>
      <c r="I1438" s="923" t="str">
        <f>IF($M1415&lt;&gt;EUconst_Relevant,"",IF(INDEX('G_Fall-back'!I:I,MATCH($P1438,'G_Fall-back'!$P:$P,0))="","",INDEX('G_Fall-back'!I:I,MATCH($P1438,'G_Fall-back'!$P:$P,0))))</f>
        <v/>
      </c>
      <c r="J1438" s="923" t="str">
        <f>IF($M1415&lt;&gt;EUconst_Relevant,"",IF(INDEX('G_Fall-back'!J:J,MATCH($P1438,'G_Fall-back'!$P:$P,0))="","",INDEX('G_Fall-back'!J:J,MATCH($P1438,'G_Fall-back'!$P:$P,0))))</f>
        <v/>
      </c>
      <c r="K1438" s="923" t="str">
        <f>IF($M1415&lt;&gt;EUconst_Relevant,"",IF(INDEX('G_Fall-back'!K:K,MATCH($P1438,'G_Fall-back'!$P:$P,0))="","",INDEX('G_Fall-back'!K:K,MATCH($P1438,'G_Fall-back'!$P:$P,0))))</f>
        <v/>
      </c>
      <c r="L1438" s="923" t="str">
        <f>IF($M1415&lt;&gt;EUconst_Relevant,"",IF(INDEX('G_Fall-back'!L:L,MATCH($P1438,'G_Fall-back'!$P:$P,0))="","",INDEX('G_Fall-back'!L:L,MATCH($P1438,'G_Fall-back'!$P:$P,0))))</f>
        <v/>
      </c>
      <c r="M1438" s="923" t="str">
        <f>IF($M1415&lt;&gt;EUconst_Relevant,"",IF(INDEX('G_Fall-back'!M:M,MATCH($P1438,'G_Fall-back'!$P:$P,0))="","",INDEX('G_Fall-back'!M:M,MATCH($P1438,'G_Fall-back'!$P:$P,0))))</f>
        <v/>
      </c>
      <c r="N1438" s="823"/>
      <c r="O1438" s="25"/>
      <c r="P1438" s="367" t="str">
        <f>EUconst_CNTR_ElectricityEF &amp; I1415</f>
        <v>ElectricityEF_Kurināmā līmeņatzīmes apakšiekārta (bez OEP | bez OIM)</v>
      </c>
      <c r="Q1438" s="437"/>
      <c r="R1438" s="437"/>
      <c r="S1438" s="437"/>
      <c r="T1438" s="437"/>
    </row>
    <row r="1439" spans="1:20" s="697" customFormat="1" ht="5.0999999999999996" customHeight="1" x14ac:dyDescent="0.2">
      <c r="A1439" s="437"/>
      <c r="B1439" s="414"/>
      <c r="C1439" s="414"/>
      <c r="D1439" s="414"/>
      <c r="E1439" s="526"/>
      <c r="F1439" s="823"/>
      <c r="G1439" s="823"/>
      <c r="H1439" s="823"/>
      <c r="I1439" s="924"/>
      <c r="J1439" s="924"/>
      <c r="K1439" s="924"/>
      <c r="L1439" s="924"/>
      <c r="M1439" s="924"/>
      <c r="N1439" s="823"/>
      <c r="O1439" s="25"/>
      <c r="P1439" s="437"/>
      <c r="Q1439" s="437"/>
      <c r="R1439" s="437"/>
      <c r="S1439" s="437"/>
      <c r="T1439" s="437"/>
    </row>
    <row r="1440" spans="1:20" s="697" customFormat="1" x14ac:dyDescent="0.2">
      <c r="A1440" s="437"/>
      <c r="B1440" s="414"/>
      <c r="C1440" s="414"/>
      <c r="D1440" s="414"/>
      <c r="E1440" s="1651" t="str">
        <f>Translations!$B$687</f>
        <v>Tiešās emisijas</v>
      </c>
      <c r="F1440" s="1652"/>
      <c r="G1440" s="1652"/>
      <c r="H1440" s="465" t="str">
        <f>EUconst_tCO2pa</f>
        <v>t CO2 / gads</v>
      </c>
      <c r="I1440" s="925" t="str">
        <f>IF($M1415&lt;&gt;EUconst_Relevant,"",IF(INDEX('G_Fall-back'!I:I,MATCH($P1440,'G_Fall-back'!$P:$P,0))="","",INDEX('G_Fall-back'!I:I,MATCH($P1440,'G_Fall-back'!$P:$P,0))))</f>
        <v/>
      </c>
      <c r="J1440" s="925" t="str">
        <f>IF($M1415&lt;&gt;EUconst_Relevant,"",IF(INDEX('G_Fall-back'!J:J,MATCH($P1440,'G_Fall-back'!$P:$P,0))="","",INDEX('G_Fall-back'!J:J,MATCH($P1440,'G_Fall-back'!$P:$P,0))))</f>
        <v/>
      </c>
      <c r="K1440" s="925" t="str">
        <f>IF($M1415&lt;&gt;EUconst_Relevant,"",IF(INDEX('G_Fall-back'!K:K,MATCH($P1440,'G_Fall-back'!$P:$P,0))="","",INDEX('G_Fall-back'!K:K,MATCH($P1440,'G_Fall-back'!$P:$P,0))))</f>
        <v/>
      </c>
      <c r="L1440" s="925" t="str">
        <f>IF($M1415&lt;&gt;EUconst_Relevant,"",IF(INDEX('G_Fall-back'!L:L,MATCH($P1440,'G_Fall-back'!$P:$P,0))="","",INDEX('G_Fall-back'!L:L,MATCH($P1440,'G_Fall-back'!$P:$P,0))))</f>
        <v/>
      </c>
      <c r="M1440" s="925" t="str">
        <f>IF($M1415&lt;&gt;EUconst_Relevant,"",IF(INDEX('G_Fall-back'!M:M,MATCH($P1440,'G_Fall-back'!$P:$P,0))="","",INDEX('G_Fall-back'!M:M,MATCH($P1440,'G_Fall-back'!$P:$P,0))))</f>
        <v/>
      </c>
      <c r="N1440" s="823"/>
      <c r="O1440" s="25"/>
      <c r="P1440" s="367" t="str">
        <f>EUconst_CNTR_Emissions &amp; I1415</f>
        <v>DirEmissions_Kurināmā līmeņatzīmes apakšiekārta (bez OEP | bez OIM)</v>
      </c>
      <c r="Q1440" s="437"/>
      <c r="R1440" s="437"/>
      <c r="S1440" s="437"/>
      <c r="T1440" s="437"/>
    </row>
    <row r="1441" spans="1:20" s="697" customFormat="1" ht="5.0999999999999996" customHeight="1" x14ac:dyDescent="0.2">
      <c r="A1441" s="437"/>
      <c r="B1441" s="414"/>
      <c r="C1441" s="414"/>
      <c r="D1441" s="414"/>
      <c r="E1441" s="526"/>
      <c r="F1441" s="526"/>
      <c r="G1441" s="526"/>
      <c r="H1441" s="526"/>
      <c r="I1441" s="924"/>
      <c r="J1441" s="924"/>
      <c r="K1441" s="924"/>
      <c r="L1441" s="924"/>
      <c r="M1441" s="924"/>
      <c r="N1441" s="823"/>
      <c r="O1441" s="25"/>
      <c r="P1441" s="437"/>
      <c r="Q1441" s="437"/>
      <c r="R1441" s="437"/>
      <c r="S1441" s="437"/>
      <c r="T1441" s="437"/>
    </row>
    <row r="1442" spans="1:20" s="697" customFormat="1" x14ac:dyDescent="0.2">
      <c r="A1442" s="437"/>
      <c r="B1442" s="414"/>
      <c r="C1442" s="414"/>
      <c r="D1442" s="414"/>
      <c r="E1442" s="1651" t="str">
        <f>Translations!$B$770</f>
        <v>Neto eksportētais siltums</v>
      </c>
      <c r="F1442" s="1652"/>
      <c r="G1442" s="1652"/>
      <c r="H1442" s="465" t="str">
        <f>EUconst_TJpa</f>
        <v>TJ / gads</v>
      </c>
      <c r="I1442" s="925" t="str">
        <f>IF($M1415&lt;&gt;EUconst_Relevant,"",IF(INDEX('G_Fall-back'!I:I,MATCH($P1442,'G_Fall-back'!$P:$P,0))="","",INDEX('G_Fall-back'!I:I,MATCH($P1442,'G_Fall-back'!$P:$P,0))))</f>
        <v/>
      </c>
      <c r="J1442" s="925" t="str">
        <f>IF($M1415&lt;&gt;EUconst_Relevant,"",IF(INDEX('G_Fall-back'!J:J,MATCH($P1442,'G_Fall-back'!$P:$P,0))="","",INDEX('G_Fall-back'!J:J,MATCH($P1442,'G_Fall-back'!$P:$P,0))))</f>
        <v/>
      </c>
      <c r="K1442" s="925" t="str">
        <f>IF($M1415&lt;&gt;EUconst_Relevant,"",IF(INDEX('G_Fall-back'!K:K,MATCH($P1442,'G_Fall-back'!$P:$P,0))="","",INDEX('G_Fall-back'!K:K,MATCH($P1442,'G_Fall-back'!$P:$P,0))))</f>
        <v/>
      </c>
      <c r="L1442" s="925" t="str">
        <f>IF($M1415&lt;&gt;EUconst_Relevant,"",IF(INDEX('G_Fall-back'!L:L,MATCH($P1442,'G_Fall-back'!$P:$P,0))="","",INDEX('G_Fall-back'!L:L,MATCH($P1442,'G_Fall-back'!$P:$P,0))))</f>
        <v/>
      </c>
      <c r="M1442" s="925" t="str">
        <f>IF($M1415&lt;&gt;EUconst_Relevant,"",IF(INDEX('G_Fall-back'!M:M,MATCH($P1442,'G_Fall-back'!$P:$P,0))="","",INDEX('G_Fall-back'!M:M,MATCH($P1442,'G_Fall-back'!$P:$P,0))))</f>
        <v/>
      </c>
      <c r="N1442" s="823"/>
      <c r="O1442" s="25"/>
      <c r="P1442" s="367" t="str">
        <f>EUconst_CNTR_HeatExport &amp; I1415</f>
        <v>HeatEx_Kurināmā līmeņatzīmes apakšiekārta (bez OEP | bez OIM)</v>
      </c>
      <c r="Q1442" s="437"/>
      <c r="R1442" s="437"/>
      <c r="S1442" s="437"/>
      <c r="T1442" s="437"/>
    </row>
    <row r="1443" spans="1:20" s="697" customFormat="1" ht="12.75" customHeight="1" x14ac:dyDescent="0.2">
      <c r="A1443" s="437"/>
      <c r="B1443" s="414"/>
      <c r="C1443" s="414"/>
      <c r="D1443" s="414"/>
      <c r="E1443" s="1651" t="str">
        <f>Translations!$B$893</f>
        <v>Īpatnējais EF (siltuma eksports)</v>
      </c>
      <c r="F1443" s="1652"/>
      <c r="G1443" s="1652"/>
      <c r="H1443" s="465" t="str">
        <f>EUconst_TJpa</f>
        <v>TJ / gads</v>
      </c>
      <c r="I1443" s="925" t="str">
        <f>IF($M1415&lt;&gt;EUconst_Relevant,"",IF(INDEX('G_Fall-back'!I:I,MATCH($P1443,'G_Fall-back'!$P:$P,0))="","",INDEX('G_Fall-back'!I:I,MATCH($P1443,'G_Fall-back'!$P:$P,0))))</f>
        <v/>
      </c>
      <c r="J1443" s="925" t="str">
        <f>IF($M1415&lt;&gt;EUconst_Relevant,"",IF(INDEX('G_Fall-back'!J:J,MATCH($P1443,'G_Fall-back'!$P:$P,0))="","",INDEX('G_Fall-back'!J:J,MATCH($P1443,'G_Fall-back'!$P:$P,0))))</f>
        <v/>
      </c>
      <c r="K1443" s="925" t="str">
        <f>IF($M1415&lt;&gt;EUconst_Relevant,"",IF(INDEX('G_Fall-back'!K:K,MATCH($P1443,'G_Fall-back'!$P:$P,0))="","",INDEX('G_Fall-back'!K:K,MATCH($P1443,'G_Fall-back'!$P:$P,0))))</f>
        <v/>
      </c>
      <c r="L1443" s="925" t="str">
        <f>IF($M1415&lt;&gt;EUconst_Relevant,"",IF(INDEX('G_Fall-back'!L:L,MATCH($P1443,'G_Fall-back'!$P:$P,0))="","",INDEX('G_Fall-back'!L:L,MATCH($P1443,'G_Fall-back'!$P:$P,0))))</f>
        <v/>
      </c>
      <c r="M1443" s="925" t="str">
        <f>IF($M1415&lt;&gt;EUconst_Relevant,"",IF(INDEX('G_Fall-back'!M:M,MATCH($P1443,'G_Fall-back'!$P:$P,0))="","",INDEX('G_Fall-back'!M:M,MATCH($P1443,'G_Fall-back'!$P:$P,0))))</f>
        <v/>
      </c>
      <c r="N1443" s="823"/>
      <c r="O1443" s="25"/>
      <c r="P1443" s="202" t="str">
        <f>EUconst_CNTR_HeatExportEF &amp; I1415</f>
        <v>HeatExEF_Kurināmā līmeņatzīmes apakšiekārta (bez OEP | bez OIM)</v>
      </c>
      <c r="Q1443" s="437"/>
      <c r="R1443" s="437"/>
      <c r="S1443" s="437"/>
      <c r="T1443" s="437"/>
    </row>
    <row r="1444" spans="1:20" s="697" customFormat="1" ht="12.75" customHeight="1" x14ac:dyDescent="0.2">
      <c r="A1444" s="437"/>
      <c r="B1444" s="414"/>
      <c r="C1444" s="414"/>
      <c r="D1444" s="414"/>
      <c r="E1444" s="823"/>
      <c r="F1444" s="823"/>
      <c r="G1444" s="823"/>
      <c r="H1444" s="823"/>
      <c r="I1444" s="823"/>
      <c r="J1444" s="823"/>
      <c r="K1444" s="823"/>
      <c r="L1444" s="823"/>
      <c r="M1444" s="823"/>
      <c r="N1444" s="823"/>
      <c r="O1444" s="25"/>
      <c r="P1444" s="437"/>
      <c r="Q1444" s="437"/>
      <c r="R1444" s="437"/>
      <c r="S1444" s="437"/>
      <c r="T1444" s="437"/>
    </row>
    <row r="1445" spans="1:20" s="697" customFormat="1" ht="13.5" thickBot="1" x14ac:dyDescent="0.25">
      <c r="A1445" s="437"/>
      <c r="B1445" s="414"/>
      <c r="C1445" s="414"/>
      <c r="D1445" s="414"/>
      <c r="E1445" s="414"/>
      <c r="F1445" s="414"/>
      <c r="G1445" s="414"/>
      <c r="M1445" s="414"/>
      <c r="N1445" s="414"/>
      <c r="O1445" s="25"/>
      <c r="P1445" s="437"/>
      <c r="Q1445" s="437"/>
      <c r="R1445" s="437"/>
      <c r="S1445" s="437"/>
      <c r="T1445" s="437"/>
    </row>
    <row r="1446" spans="1:20" s="697" customFormat="1" ht="12.75" customHeight="1" thickBot="1" x14ac:dyDescent="0.25">
      <c r="A1446" s="437"/>
      <c r="B1446" s="21"/>
      <c r="C1446" s="294"/>
      <c r="D1446" s="294"/>
      <c r="E1446" s="294"/>
      <c r="F1446" s="294"/>
      <c r="G1446" s="294"/>
      <c r="H1446" s="294"/>
      <c r="I1446" s="294"/>
      <c r="J1446" s="294"/>
      <c r="K1446" s="294"/>
      <c r="L1446" s="294"/>
      <c r="M1446" s="294"/>
      <c r="N1446" s="294"/>
      <c r="O1446" s="25"/>
      <c r="P1446" s="437"/>
      <c r="Q1446" s="437"/>
      <c r="R1446" s="437"/>
      <c r="S1446" s="437"/>
      <c r="T1446" s="26" t="s">
        <v>560</v>
      </c>
    </row>
    <row r="1447" spans="1:20" s="697" customFormat="1" ht="15" customHeight="1" thickBot="1" x14ac:dyDescent="0.3">
      <c r="A1447" s="437"/>
      <c r="B1447" s="414"/>
      <c r="C1447" s="36">
        <f>C1415+1</f>
        <v>17</v>
      </c>
      <c r="D1447" s="1318" t="str">
        <f>CONCATENATE(EUconst_FBSubinst," ",C1447-10, ":")</f>
        <v>Alternatīva apakšiekārta 7:</v>
      </c>
      <c r="E1447" s="1251"/>
      <c r="F1447" s="1251"/>
      <c r="G1447" s="1251"/>
      <c r="H1447" s="1328"/>
      <c r="I1447" s="1877" t="str">
        <f>INDEX(EUconst_FallBackListNames,$C1447-10)</f>
        <v>Kurināmā līmeņatzīmes apakšiekārta (OEP | OIM)</v>
      </c>
      <c r="J1447" s="1878"/>
      <c r="K1447" s="1878"/>
      <c r="L1447" s="1879"/>
      <c r="M1447" s="1783" t="str">
        <f>IF(ISBLANK(INDEX(CNTR_FallBackSubInstRelevant,C1447-10)),"",IF(INDEX(CNTR_FallBackSubInstRelevant,C1447-10),EUconst_Relevant,EUconst_NotRelevant))</f>
        <v/>
      </c>
      <c r="N1447" s="1784"/>
      <c r="O1447" s="25"/>
      <c r="P1447" s="437"/>
      <c r="Q1447" s="904">
        <f>C1447</f>
        <v>17</v>
      </c>
      <c r="R1447" s="901" t="str">
        <f>I1447</f>
        <v>Kurināmā līmeņatzīmes apakšiekārta (OEP | OIM)</v>
      </c>
      <c r="S1447" s="903" t="b">
        <f>H1450</f>
        <v>1</v>
      </c>
      <c r="T1447" s="902" t="str">
        <f>IF(M1459="","",IF(S1450=0,0,SUM(M1459)/S1450))</f>
        <v/>
      </c>
    </row>
    <row r="1448" spans="1:20" s="697" customFormat="1" ht="5.0999999999999996" customHeight="1" thickBot="1" x14ac:dyDescent="0.25">
      <c r="A1448" s="437"/>
      <c r="B1448" s="414"/>
      <c r="C1448" s="414"/>
      <c r="D1448" s="414"/>
      <c r="E1448" s="414"/>
      <c r="F1448" s="414"/>
      <c r="G1448" s="414"/>
      <c r="H1448" s="414"/>
      <c r="I1448" s="414"/>
      <c r="J1448" s="414"/>
      <c r="K1448" s="414"/>
      <c r="L1448" s="414"/>
      <c r="M1448" s="414"/>
      <c r="N1448" s="414"/>
      <c r="O1448" s="25"/>
      <c r="P1448" s="437"/>
      <c r="Q1448" s="437"/>
      <c r="R1448" s="437"/>
      <c r="S1448" s="437"/>
      <c r="T1448" s="26"/>
    </row>
    <row r="1449" spans="1:20" s="697" customFormat="1" ht="13.5" thickBot="1" x14ac:dyDescent="0.25">
      <c r="A1449" s="437"/>
      <c r="B1449" s="414"/>
      <c r="C1449" s="414"/>
      <c r="D1449" s="414"/>
      <c r="E1449" s="414"/>
      <c r="F1449" s="414"/>
      <c r="G1449" s="414"/>
      <c r="H1449" s="647" t="str">
        <f>Translations!$B$1204</f>
        <v>Pakļauta OEP</v>
      </c>
      <c r="I1449" s="647" t="str">
        <f>Translations!$B$1208</f>
        <v>Ekspl. sākta</v>
      </c>
      <c r="J1449" s="647" t="str">
        <f>Translations!$B$1212</f>
        <v>15(7)3?</v>
      </c>
      <c r="L1449" s="1172" t="str">
        <f>Translations!$B$1206</f>
        <v>LA Nr.</v>
      </c>
      <c r="M1449" s="989" t="str">
        <f>Translations!$B$1234</f>
        <v>LA vērtība (min./maks./fakt.)</v>
      </c>
      <c r="N1449" s="990"/>
      <c r="O1449" s="25"/>
      <c r="P1449" s="437"/>
      <c r="Q1449" s="437"/>
      <c r="R1449" s="646" t="s">
        <v>641</v>
      </c>
      <c r="S1449" s="903" t="b">
        <f>H1452</f>
        <v>1</v>
      </c>
      <c r="T1449" s="26"/>
    </row>
    <row r="1450" spans="1:20" s="697" customFormat="1" x14ac:dyDescent="0.2">
      <c r="A1450" s="437"/>
      <c r="B1450" s="414"/>
      <c r="C1450" s="414"/>
      <c r="D1450" s="414"/>
      <c r="E1450" s="649" t="str">
        <f>I1447</f>
        <v>Kurināmā līmeņatzīmes apakšiekārta (OEP | OIM)</v>
      </c>
      <c r="F1450" s="650"/>
      <c r="G1450" s="594"/>
      <c r="H1450" s="651" t="b">
        <f>INDEX(EUconst_FallBackListCLstatus,MATCH(I1447,EUconst_FallBackListNames,0))</f>
        <v>1</v>
      </c>
      <c r="I1450" s="1171" t="str">
        <f>IF(M1447&lt;&gt;EUconst_Relevant,"",INDEX(CNTR_SubInstStartDate,MATCH(E1450,CNTR_SubInstListNames,0)))</f>
        <v/>
      </c>
      <c r="J1450" s="651" t="str">
        <f>IF(M1447&lt;&gt;EUconst_Relevant,"",INDEX(CNTR_SubInstLess1Year,MATCH(E1450,CNTR_SubInstListNames,0)))</f>
        <v/>
      </c>
      <c r="L1450" s="1173">
        <f>C1447-10</f>
        <v>7</v>
      </c>
      <c r="M1450" s="995" t="str">
        <f>IF(M1447&lt;&gt;EUconst_Relevant,"",INDEX(EUconst_FallBackListBMvaluesMatrix,L1450,2))</f>
        <v/>
      </c>
      <c r="N1450" s="992" t="str">
        <f>EUconst_EUA &amp; "/" &amp; H1455</f>
        <v>ESK/TJ</v>
      </c>
      <c r="O1450" s="25"/>
      <c r="P1450" s="437"/>
      <c r="Q1450" s="437"/>
      <c r="R1450" s="732" t="s">
        <v>554</v>
      </c>
      <c r="S1450" s="815">
        <f>IF(H1450,1,INDEX(EUconst_CLEFYears,1))</f>
        <v>1</v>
      </c>
      <c r="T1450" s="437"/>
    </row>
    <row r="1451" spans="1:20" s="697" customFormat="1" x14ac:dyDescent="0.2">
      <c r="A1451" s="437"/>
      <c r="B1451" s="414"/>
      <c r="C1451" s="414"/>
      <c r="H1451" s="647" t="s">
        <v>623</v>
      </c>
      <c r="M1451" s="995" t="str">
        <f>IF(M1447&lt;&gt;EUconst_Relevant,"",INDEX(EUconst_FallBackListBMvaluesMatrix,L1450,1))</f>
        <v/>
      </c>
      <c r="N1451" s="992" t="str">
        <f>EUconst_EUA &amp; "/" &amp; H1455</f>
        <v>ESK/TJ</v>
      </c>
      <c r="O1451" s="25"/>
      <c r="P1451" s="437"/>
      <c r="Q1451" s="437"/>
      <c r="R1451" s="732"/>
      <c r="S1451" s="866"/>
      <c r="T1451" s="437"/>
    </row>
    <row r="1452" spans="1:20" s="697" customFormat="1" ht="13.5" thickBot="1" x14ac:dyDescent="0.25">
      <c r="A1452" s="437"/>
      <c r="B1452" s="414"/>
      <c r="C1452" s="414"/>
      <c r="H1452" s="651" t="b">
        <f>INDEX(EUconst_FallBackListCBAMstatus,MATCH(I1447,EUconst_FallBackListNames,0))</f>
        <v>1</v>
      </c>
      <c r="M1452" s="996" t="str">
        <f>IF(M1447&lt;&gt;EUconst_Relevant,"",IF(EUconst_StatusOfDataCollection,INDEX(EUconst_FallBackListBMvaluesMatrix,L1450,3),""))</f>
        <v/>
      </c>
      <c r="N1452" s="994" t="str">
        <f>EUconst_EUA &amp; "/" &amp; H1455</f>
        <v>ESK/TJ</v>
      </c>
      <c r="O1452" s="25"/>
      <c r="P1452" s="437"/>
      <c r="Q1452" s="437"/>
      <c r="R1452" s="732"/>
      <c r="S1452" s="866"/>
      <c r="T1452" s="437"/>
    </row>
    <row r="1453" spans="1:20" s="697" customFormat="1" ht="5.0999999999999996" customHeight="1" x14ac:dyDescent="0.2">
      <c r="A1453" s="437"/>
      <c r="B1453" s="414"/>
      <c r="C1453" s="414"/>
      <c r="D1453" s="414"/>
      <c r="E1453" s="414"/>
      <c r="F1453" s="414"/>
      <c r="G1453" s="414"/>
      <c r="H1453" s="414"/>
      <c r="I1453" s="414"/>
      <c r="J1453" s="414"/>
      <c r="K1453" s="414"/>
      <c r="L1453" s="414"/>
      <c r="M1453" s="414"/>
      <c r="N1453" s="414"/>
      <c r="O1453" s="25"/>
      <c r="P1453" s="437"/>
      <c r="Q1453" s="437"/>
      <c r="R1453" s="437"/>
      <c r="S1453" s="437"/>
      <c r="T1453" s="437"/>
    </row>
    <row r="1454" spans="1:20" s="697" customFormat="1" x14ac:dyDescent="0.2">
      <c r="A1454" s="437"/>
      <c r="B1454" s="414"/>
      <c r="C1454" s="414"/>
      <c r="D1454" s="414"/>
      <c r="E1454" s="652"/>
      <c r="F1454" s="652"/>
      <c r="G1454" s="653"/>
      <c r="H1454" s="647" t="str">
        <f>EUconst_Unit</f>
        <v>Vienība</v>
      </c>
      <c r="I1454" s="447">
        <f>I$1652</f>
        <v>2019</v>
      </c>
      <c r="J1454" s="447">
        <f>J$1652</f>
        <v>2020</v>
      </c>
      <c r="K1454" s="447">
        <f>K$1652</f>
        <v>2021</v>
      </c>
      <c r="L1454" s="447">
        <f>L$1652</f>
        <v>2022</v>
      </c>
      <c r="M1454" s="447">
        <f>M$1652</f>
        <v>2023</v>
      </c>
      <c r="N1454" s="414"/>
      <c r="O1454" s="25"/>
      <c r="P1454" s="202" t="s">
        <v>228</v>
      </c>
      <c r="Q1454" s="437"/>
      <c r="R1454" s="437"/>
      <c r="S1454" s="437"/>
      <c r="T1454" s="437"/>
    </row>
    <row r="1455" spans="1:20" s="697" customFormat="1" x14ac:dyDescent="0.2">
      <c r="A1455" s="437"/>
      <c r="B1455" s="414"/>
      <c r="C1455" s="414"/>
      <c r="D1455" s="414"/>
      <c r="E1455" s="654" t="str">
        <f>Translations!$B$1236</f>
        <v>Ziņotais HAL (vēsturiskais darbības līmenis)</v>
      </c>
      <c r="F1455" s="655"/>
      <c r="G1455" s="656"/>
      <c r="H1455" s="651" t="str">
        <f>INDEX(EUconst_FallBackListUnits,L1450)</f>
        <v>TJ</v>
      </c>
      <c r="I1455" s="546" t="str">
        <f>IF($M1447&lt;&gt;EUconst_Relevant,"",SUMIF('G_Fall-back'!$P:$P,$P1456,'G_Fall-back'!I:I))</f>
        <v/>
      </c>
      <c r="J1455" s="546" t="str">
        <f>IF($M1447&lt;&gt;EUconst_Relevant,"",SUMIF('G_Fall-back'!$P:$P,$P1456,'G_Fall-back'!J:J))</f>
        <v/>
      </c>
      <c r="K1455" s="546" t="str">
        <f>IF($M1447&lt;&gt;EUconst_Relevant,"",SUMIF('G_Fall-back'!$P:$P,$P1456,'G_Fall-back'!K:K))</f>
        <v/>
      </c>
      <c r="L1455" s="546" t="str">
        <f>IF($M1447&lt;&gt;EUconst_Relevant,"",SUMIF('G_Fall-back'!$P:$P,$P1456,'G_Fall-back'!L:L))</f>
        <v/>
      </c>
      <c r="M1455" s="546" t="str">
        <f>IF($M1447&lt;&gt;EUconst_Relevant,"",SUMIF('G_Fall-back'!$P:$P,$P1456,'G_Fall-back'!M:M))</f>
        <v/>
      </c>
      <c r="N1455" s="648" t="s">
        <v>625</v>
      </c>
      <c r="O1455" s="25"/>
      <c r="P1455" s="202" t="str">
        <f>EUconst_CNTR_HAL&amp;I1447</f>
        <v>HAL_Kurināmā līmeņatzīmes apakšiekārta (OEP | OIM)</v>
      </c>
      <c r="Q1455" s="437"/>
      <c r="R1455" s="437"/>
      <c r="S1455" s="437"/>
      <c r="T1455" s="26"/>
    </row>
    <row r="1456" spans="1:20" s="697" customFormat="1" x14ac:dyDescent="0.2">
      <c r="A1456" s="437"/>
      <c r="B1456" s="414"/>
      <c r="C1456" s="414"/>
      <c r="D1456" s="414"/>
      <c r="E1456" s="654" t="str">
        <f>Translations!$B$1237</f>
        <v>HAL aprēķinam izmantotās vērtības:</v>
      </c>
      <c r="F1456" s="655"/>
      <c r="G1456" s="656"/>
      <c r="H1456" s="651" t="str">
        <f>H1455</f>
        <v>TJ</v>
      </c>
      <c r="I1456" s="442" t="str">
        <f>IF($M1447&lt;&gt;EUconst_Relevant,"",INDEX('G_Fall-back'!S:S,MATCH($P1456,'G_Fall-back'!$P:$P,0)))</f>
        <v/>
      </c>
      <c r="J1456" s="442" t="str">
        <f>IF($M1447&lt;&gt;EUconst_Relevant,"",INDEX('G_Fall-back'!T:T,MATCH($P1456,'G_Fall-back'!$P:$P,0)))</f>
        <v/>
      </c>
      <c r="K1456" s="442" t="str">
        <f>IF($M1447&lt;&gt;EUconst_Relevant,"",INDEX('G_Fall-back'!U:U,MATCH($P1456,'G_Fall-back'!$P:$P,0)))</f>
        <v/>
      </c>
      <c r="L1456" s="442" t="str">
        <f>IF($M1447&lt;&gt;EUconst_Relevant,"",INDEX('G_Fall-back'!V:V,MATCH($P1456,'G_Fall-back'!$P:$P,0)))</f>
        <v/>
      </c>
      <c r="M1456" s="442" t="str">
        <f>IF($M1447&lt;&gt;EUconst_Relevant,"",INDEX('G_Fall-back'!W:W,MATCH($P1456,'G_Fall-back'!$P:$P,0)))</f>
        <v/>
      </c>
      <c r="N1456" s="546" t="str">
        <f>IF(OR($M1447&lt;&gt;EUconst_Relevant,$J1450=TRUE),"",IF(COUNT($I1456:$M1456)&gt;0,MEDIAN($I1456:$M1456),""))</f>
        <v/>
      </c>
      <c r="O1456" s="25"/>
      <c r="P1456" s="202" t="str">
        <f>EUconst_CNTR_HAL&amp;I1447</f>
        <v>HAL_Kurināmā līmeņatzīmes apakšiekārta (OEP | OIM)</v>
      </c>
      <c r="Q1456" s="437"/>
      <c r="R1456" s="931" t="s">
        <v>604</v>
      </c>
      <c r="S1456" s="931" t="s">
        <v>605</v>
      </c>
      <c r="T1456" s="931" t="s">
        <v>606</v>
      </c>
    </row>
    <row r="1457" spans="1:20" s="697" customFormat="1" ht="5.0999999999999996" customHeight="1" thickBot="1" x14ac:dyDescent="0.25">
      <c r="A1457" s="437"/>
      <c r="B1457" s="414"/>
      <c r="C1457" s="414"/>
      <c r="D1457" s="414"/>
      <c r="E1457" s="414"/>
      <c r="F1457" s="414"/>
      <c r="G1457" s="414"/>
      <c r="H1457" s="414"/>
      <c r="I1457" s="414"/>
      <c r="J1457" s="414"/>
      <c r="K1457" s="414"/>
      <c r="L1457" s="414"/>
      <c r="M1457" s="414"/>
      <c r="N1457" s="414"/>
      <c r="O1457" s="25"/>
      <c r="P1457" s="437"/>
      <c r="Q1457" s="437"/>
      <c r="R1457" s="437"/>
      <c r="S1457" s="437"/>
      <c r="T1457" s="26"/>
    </row>
    <row r="1458" spans="1:20" s="697" customFormat="1" ht="13.5" thickBot="1" x14ac:dyDescent="0.25">
      <c r="A1458" s="437"/>
      <c r="B1458" s="414"/>
      <c r="C1458" s="414"/>
      <c r="D1458" s="414"/>
      <c r="E1458" s="414"/>
      <c r="F1458" s="657" t="str">
        <f>Translations!$B$1728</f>
        <v>HAL kopā</v>
      </c>
      <c r="G1458" s="817"/>
      <c r="H1458" s="414"/>
      <c r="I1458" s="816" t="str">
        <f>Translations!$B$1226</f>
        <v>1. gada prov. ied. apj. (min.)</v>
      </c>
      <c r="J1458" s="817"/>
      <c r="K1458" s="816" t="str">
        <f>Translations!$B$1229</f>
        <v>1. gada prov. ied. apj. (maks.)</v>
      </c>
      <c r="L1458" s="817"/>
      <c r="M1458" s="816" t="str">
        <f>Translations!$B$1231</f>
        <v>1. gada prov. ied. apj. (fakt.)</v>
      </c>
      <c r="N1458" s="817"/>
      <c r="O1458" s="25"/>
      <c r="P1458" s="202" t="str">
        <f>EUconst_AllocPrelim&amp;I1447</f>
        <v>AllocPrelim_Kurināmā līmeņatzīmes apakšiekārta (OEP | OIM)</v>
      </c>
      <c r="Q1458" s="437"/>
      <c r="R1458" s="900" t="str">
        <f>IF(I1459="","",IF(S1450=0,0,SUM(I1459)/S1450))</f>
        <v/>
      </c>
      <c r="S1458" s="900" t="str">
        <f>IF(K1459="","",IF(S1450=0,0,SUM(K1459)/S1450))</f>
        <v/>
      </c>
      <c r="T1458" s="900" t="str">
        <f>T1447</f>
        <v/>
      </c>
    </row>
    <row r="1459" spans="1:20" s="697" customFormat="1" ht="13.5" thickBot="1" x14ac:dyDescent="0.25">
      <c r="A1459" s="437"/>
      <c r="B1459" s="414"/>
      <c r="C1459" s="414"/>
      <c r="D1459" s="414"/>
      <c r="E1459" s="414"/>
      <c r="F1459" s="658" t="str">
        <f>IF(M1447&lt;&gt;EUconst_Relevant,"",MAX(0, IF(J1450=TRUE, SUM(K1450), SUM(N1456))))</f>
        <v/>
      </c>
      <c r="G1459" s="884" t="str">
        <f>H1456&amp;" / "&amp;EUconst_Year</f>
        <v>TJ / gads</v>
      </c>
      <c r="H1459" s="414"/>
      <c r="I1459" s="814" t="str">
        <f>IF(M1447&lt;&gt;EUconst_Relevant,"",ROUND(SUM(M1450)*SUM(F1459)*SUM(S1450),0))</f>
        <v/>
      </c>
      <c r="J1459" s="884" t="str">
        <f>EUconst_EUApa</f>
        <v>ESK / gads</v>
      </c>
      <c r="K1459" s="814" t="str">
        <f>IF(M1447&lt;&gt;EUconst_Relevant,"",ROUND(SUM(M1451)*SUM(F1459)*SUM(S1450),0))</f>
        <v/>
      </c>
      <c r="L1459" s="884" t="str">
        <f>EUconst_EUApa</f>
        <v>ESK / gads</v>
      </c>
      <c r="M1459" s="814" t="str">
        <f>IF(OR(M1447&lt;&gt;EUconst_Relevant,M1452=""),"",ROUND(SUM(M1452)*SUM(F1459)*SUM(S1450),0))</f>
        <v/>
      </c>
      <c r="N1459" s="884" t="str">
        <f>EUconst_EUApa</f>
        <v>ESK / gads</v>
      </c>
      <c r="O1459" s="25"/>
      <c r="P1459" s="202" t="str">
        <f>EUconst_HALsum &amp; I1447</f>
        <v>HALsum_Kurināmā līmeņatzīmes apakšiekārta (OEP | OIM)</v>
      </c>
      <c r="Q1459" s="437"/>
      <c r="R1459" s="437"/>
      <c r="S1459" s="437"/>
      <c r="T1459" s="437"/>
    </row>
    <row r="1460" spans="1:20" s="697" customFormat="1" x14ac:dyDescent="0.2">
      <c r="A1460" s="437"/>
      <c r="B1460" s="414"/>
      <c r="C1460" s="414"/>
      <c r="D1460" s="414"/>
      <c r="E1460" s="414"/>
      <c r="F1460" s="414"/>
      <c r="G1460" s="414"/>
      <c r="H1460" s="414"/>
      <c r="I1460" s="414"/>
      <c r="J1460" s="414"/>
      <c r="K1460" s="414"/>
      <c r="L1460" s="414"/>
      <c r="M1460" s="414"/>
      <c r="N1460" s="414"/>
      <c r="O1460" s="25"/>
      <c r="P1460" s="437"/>
      <c r="Q1460" s="437"/>
      <c r="R1460" s="437"/>
      <c r="S1460" s="437"/>
      <c r="T1460" s="437"/>
    </row>
    <row r="1461" spans="1:20" s="697" customFormat="1" ht="12.75" customHeight="1" x14ac:dyDescent="0.2">
      <c r="A1461" s="437"/>
      <c r="B1461" s="414"/>
      <c r="C1461" s="414"/>
      <c r="D1461" s="414"/>
      <c r="E1461" s="526"/>
      <c r="F1461" s="823"/>
      <c r="G1461" s="823"/>
      <c r="H1461" s="823"/>
      <c r="I1461" s="823"/>
      <c r="J1461" s="823"/>
      <c r="K1461" s="823"/>
      <c r="L1461" s="823"/>
      <c r="M1461" s="823"/>
      <c r="N1461" s="823"/>
      <c r="O1461" s="25"/>
      <c r="P1461" s="437"/>
      <c r="Q1461" s="437"/>
      <c r="R1461" s="437"/>
      <c r="S1461" s="437"/>
      <c r="T1461" s="437"/>
    </row>
    <row r="1462" spans="1:20" s="697" customFormat="1" ht="13.5" thickBot="1" x14ac:dyDescent="0.25">
      <c r="A1462" s="437"/>
      <c r="B1462" s="414"/>
      <c r="C1462" s="414"/>
      <c r="D1462" s="414"/>
      <c r="E1462" s="526"/>
      <c r="F1462" s="823"/>
      <c r="G1462" s="823"/>
      <c r="H1462" s="525" t="str">
        <f>EUconst_Unit</f>
        <v>Vienība</v>
      </c>
      <c r="I1462" s="928">
        <f>I$1652</f>
        <v>2019</v>
      </c>
      <c r="J1462" s="825">
        <f>J$1652</f>
        <v>2020</v>
      </c>
      <c r="K1462" s="825">
        <f>K$1652</f>
        <v>2021</v>
      </c>
      <c r="L1462" s="825">
        <f>L$1652</f>
        <v>2022</v>
      </c>
      <c r="M1462" s="825">
        <f>M$1652</f>
        <v>2023</v>
      </c>
      <c r="N1462" s="823"/>
      <c r="O1462" s="25"/>
      <c r="P1462" s="437"/>
      <c r="Q1462" s="437"/>
      <c r="R1462" s="437"/>
      <c r="S1462" s="437"/>
      <c r="T1462" s="437"/>
    </row>
    <row r="1463" spans="1:20" s="697" customFormat="1" ht="13.5" thickBot="1" x14ac:dyDescent="0.25">
      <c r="A1463" s="437"/>
      <c r="B1463" s="414"/>
      <c r="C1463" s="414"/>
      <c r="D1463" s="414"/>
      <c r="E1463" s="1789" t="str">
        <f>Translations!$B$1238</f>
        <v>Kopējās attiecinātās emisijas</v>
      </c>
      <c r="F1463" s="1789"/>
      <c r="G1463" s="1789"/>
      <c r="H1463" s="886" t="str">
        <f>EUconst_tCO2epa</f>
        <v>t CO2e/gads</v>
      </c>
      <c r="I1463" s="918" t="str">
        <f>INDEX(I$115:I$134,MATCH($I1447,$E$115:$E$134,0))</f>
        <v/>
      </c>
      <c r="J1463" s="919" t="str">
        <f>INDEX(J$115:J$134,MATCH($I1447,$E$115:$E$134,0))</f>
        <v/>
      </c>
      <c r="K1463" s="919" t="str">
        <f>INDEX(K$115:K$134,MATCH($I1447,$E$115:$E$134,0))</f>
        <v/>
      </c>
      <c r="L1463" s="919" t="str">
        <f>INDEX(L$115:L$134,MATCH($I1447,$E$115:$E$134,0))</f>
        <v/>
      </c>
      <c r="M1463" s="920" t="str">
        <f>INDEX(M$115:M$134,MATCH($I1447,$E$115:$E$134,0))</f>
        <v/>
      </c>
      <c r="N1463" s="823"/>
      <c r="O1463" s="25"/>
      <c r="P1463" s="437"/>
      <c r="Q1463" s="437"/>
      <c r="R1463" s="437"/>
      <c r="S1463" s="437"/>
      <c r="T1463" s="26"/>
    </row>
    <row r="1464" spans="1:20" s="697" customFormat="1" ht="5.0999999999999996" customHeight="1" x14ac:dyDescent="0.2">
      <c r="A1464" s="437"/>
      <c r="B1464" s="414"/>
      <c r="C1464" s="414"/>
      <c r="D1464" s="414"/>
      <c r="E1464" s="526"/>
      <c r="F1464" s="526"/>
      <c r="G1464" s="526"/>
      <c r="H1464" s="526"/>
      <c r="I1464" s="921"/>
      <c r="J1464" s="921"/>
      <c r="K1464" s="921"/>
      <c r="L1464" s="921"/>
      <c r="M1464" s="921"/>
      <c r="N1464" s="526"/>
      <c r="O1464" s="25"/>
      <c r="P1464" s="437"/>
      <c r="Q1464" s="437"/>
      <c r="R1464" s="437"/>
      <c r="S1464" s="437"/>
      <c r="T1464" s="26"/>
    </row>
    <row r="1465" spans="1:20" s="697" customFormat="1" x14ac:dyDescent="0.2">
      <c r="A1465" s="437"/>
      <c r="B1465" s="414"/>
      <c r="C1465" s="414"/>
      <c r="D1465" s="414"/>
      <c r="E1465" s="1667" t="str">
        <f>Translations!$B$1623</f>
        <v>Kopējā enerģijas ielaide</v>
      </c>
      <c r="F1465" s="1660"/>
      <c r="G1465" s="1660"/>
      <c r="H1465" s="466" t="str">
        <f>EUconst_TJpa</f>
        <v>TJ / gads</v>
      </c>
      <c r="I1465" s="922" t="str">
        <f>IF($M1447&lt;&gt;EUconst_Relevant,"",IF(INDEX('G_Fall-back'!I:I,MATCH($P1465,'G_Fall-back'!$P:$P,0))="","",INDEX('G_Fall-back'!I:I,MATCH($P1465,'G_Fall-back'!$P:$P,0))))</f>
        <v/>
      </c>
      <c r="J1465" s="922" t="str">
        <f>IF($M1447&lt;&gt;EUconst_Relevant,"",IF(INDEX('G_Fall-back'!J:J,MATCH($P1465,'G_Fall-back'!$P:$P,0))="","",INDEX('G_Fall-back'!J:J,MATCH($P1465,'G_Fall-back'!$P:$P,0))))</f>
        <v/>
      </c>
      <c r="K1465" s="922" t="str">
        <f>IF($M1447&lt;&gt;EUconst_Relevant,"",IF(INDEX('G_Fall-back'!K:K,MATCH($P1465,'G_Fall-back'!$P:$P,0))="","",INDEX('G_Fall-back'!K:K,MATCH($P1465,'G_Fall-back'!$P:$P,0))))</f>
        <v/>
      </c>
      <c r="L1465" s="922" t="str">
        <f>IF($M1447&lt;&gt;EUconst_Relevant,"",IF(INDEX('G_Fall-back'!L:L,MATCH($P1465,'G_Fall-back'!$P:$P,0))="","",INDEX('G_Fall-back'!L:L,MATCH($P1465,'G_Fall-back'!$P:$P,0))))</f>
        <v/>
      </c>
      <c r="M1465" s="922" t="str">
        <f>IF($M1447&lt;&gt;EUconst_Relevant,"",IF(INDEX('G_Fall-back'!M:M,MATCH($P1465,'G_Fall-back'!$P:$P,0))="","",INDEX('G_Fall-back'!M:M,MATCH($P1465,'G_Fall-back'!$P:$P,0))))</f>
        <v/>
      </c>
      <c r="N1465" s="823"/>
      <c r="O1465" s="25"/>
      <c r="P1465" s="822" t="str">
        <f>EUconst_CNTR_FuelInput &amp; I1447</f>
        <v>FuelInput_Kurināmā līmeņatzīmes apakšiekārta (OEP | OIM)</v>
      </c>
      <c r="Q1465" s="437"/>
      <c r="R1465" s="437"/>
      <c r="S1465" s="437"/>
      <c r="T1465" s="437"/>
    </row>
    <row r="1466" spans="1:20" s="697" customFormat="1" x14ac:dyDescent="0.2">
      <c r="A1466" s="437"/>
      <c r="B1466" s="414"/>
      <c r="C1466" s="414"/>
      <c r="D1466" s="414"/>
      <c r="E1466" s="1737" t="str">
        <f>Translations!$B$732</f>
        <v>Svērtais emisijas faktors</v>
      </c>
      <c r="F1466" s="1659"/>
      <c r="G1466" s="1659"/>
      <c r="H1466" s="485" t="str">
        <f>EUconst_tCO2pTJ</f>
        <v>t CO2 / TJ</v>
      </c>
      <c r="I1466" s="923" t="str">
        <f>IF($M1447&lt;&gt;EUconst_Relevant,"",IF(INDEX('G_Fall-back'!I:I,MATCH($P1466,'G_Fall-back'!$P:$P,0))="","",INDEX('G_Fall-back'!I:I,MATCH($P1466,'G_Fall-back'!$P:$P,0))))</f>
        <v/>
      </c>
      <c r="J1466" s="923" t="str">
        <f>IF($M1447&lt;&gt;EUconst_Relevant,"",IF(INDEX('G_Fall-back'!J:J,MATCH($P1466,'G_Fall-back'!$P:$P,0))="","",INDEX('G_Fall-back'!J:J,MATCH($P1466,'G_Fall-back'!$P:$P,0))))</f>
        <v/>
      </c>
      <c r="K1466" s="923" t="str">
        <f>IF($M1447&lt;&gt;EUconst_Relevant,"",IF(INDEX('G_Fall-back'!K:K,MATCH($P1466,'G_Fall-back'!$P:$P,0))="","",INDEX('G_Fall-back'!K:K,MATCH($P1466,'G_Fall-back'!$P:$P,0))))</f>
        <v/>
      </c>
      <c r="L1466" s="923" t="str">
        <f>IF($M1447&lt;&gt;EUconst_Relevant,"",IF(INDEX('G_Fall-back'!L:L,MATCH($P1466,'G_Fall-back'!$P:$P,0))="","",INDEX('G_Fall-back'!L:L,MATCH($P1466,'G_Fall-back'!$P:$P,0))))</f>
        <v/>
      </c>
      <c r="M1466" s="923" t="str">
        <f>IF($M1447&lt;&gt;EUconst_Relevant,"",IF(INDEX('G_Fall-back'!M:M,MATCH($P1466,'G_Fall-back'!$P:$P,0))="","",INDEX('G_Fall-back'!M:M,MATCH($P1466,'G_Fall-back'!$P:$P,0))))</f>
        <v/>
      </c>
      <c r="N1466" s="823"/>
      <c r="O1466" s="25"/>
      <c r="P1466" s="367" t="str">
        <f>EUconst_CNTR_FuelEF &amp; I1447</f>
        <v>FuelEF_Kurināmā līmeņatzīmes apakšiekārta (OEP | OIM)</v>
      </c>
      <c r="Q1466" s="437"/>
      <c r="R1466" s="437"/>
      <c r="S1466" s="437"/>
      <c r="T1466" s="437"/>
    </row>
    <row r="1467" spans="1:20" s="697" customFormat="1" x14ac:dyDescent="0.2">
      <c r="A1467" s="437"/>
      <c r="B1467" s="414"/>
      <c r="C1467" s="414"/>
      <c r="D1467" s="414"/>
      <c r="E1467" s="1667" t="str">
        <f>Translations!$B$853</f>
        <v>Atlikumgāzu kurināmā ielaide</v>
      </c>
      <c r="F1467" s="1660"/>
      <c r="G1467" s="1660"/>
      <c r="H1467" s="466" t="str">
        <f>EUconst_TJpa</f>
        <v>TJ / gads</v>
      </c>
      <c r="I1467" s="922" t="str">
        <f>IF($M1447&lt;&gt;EUconst_Relevant,"",IF(INDEX('G_Fall-back'!I:I,MATCH($P1467,'G_Fall-back'!$P:$P,0))="","",INDEX('G_Fall-back'!I:I,MATCH($P1467,'G_Fall-back'!$P:$P,0))))</f>
        <v/>
      </c>
      <c r="J1467" s="922" t="str">
        <f>IF($M1447&lt;&gt;EUconst_Relevant,"",IF(INDEX('G_Fall-back'!J:J,MATCH($P1467,'G_Fall-back'!$P:$P,0))="","",INDEX('G_Fall-back'!J:J,MATCH($P1467,'G_Fall-back'!$P:$P,0))))</f>
        <v/>
      </c>
      <c r="K1467" s="922" t="str">
        <f>IF($M1447&lt;&gt;EUconst_Relevant,"",IF(INDEX('G_Fall-back'!K:K,MATCH($P1467,'G_Fall-back'!$P:$P,0))="","",INDEX('G_Fall-back'!K:K,MATCH($P1467,'G_Fall-back'!$P:$P,0))))</f>
        <v/>
      </c>
      <c r="L1467" s="922" t="str">
        <f>IF($M1447&lt;&gt;EUconst_Relevant,"",IF(INDEX('G_Fall-back'!L:L,MATCH($P1467,'G_Fall-back'!$P:$P,0))="","",INDEX('G_Fall-back'!L:L,MATCH($P1467,'G_Fall-back'!$P:$P,0))))</f>
        <v/>
      </c>
      <c r="M1467" s="922" t="str">
        <f>IF($M1447&lt;&gt;EUconst_Relevant,"",IF(INDEX('G_Fall-back'!M:M,MATCH($P1467,'G_Fall-back'!$P:$P,0))="","",INDEX('G_Fall-back'!M:M,MATCH($P1467,'G_Fall-back'!$P:$P,0))))</f>
        <v/>
      </c>
      <c r="N1467" s="823"/>
      <c r="O1467" s="25"/>
      <c r="P1467" s="453" t="str">
        <f>EUconst_CNTR_WGConsumed &amp; I1447</f>
        <v>WasteGasCons_Kurināmā līmeņatzīmes apakšiekārta (OEP | OIM)</v>
      </c>
      <c r="Q1467" s="437"/>
      <c r="R1467" s="437"/>
      <c r="S1467" s="437"/>
      <c r="T1467" s="437"/>
    </row>
    <row r="1468" spans="1:20" s="697" customFormat="1" x14ac:dyDescent="0.2">
      <c r="A1468" s="437"/>
      <c r="B1468" s="414"/>
      <c r="C1468" s="414"/>
      <c r="D1468" s="414"/>
      <c r="E1468" s="1737" t="str">
        <f>Translations!$B$732</f>
        <v>Svērtais emisijas faktors</v>
      </c>
      <c r="F1468" s="1659"/>
      <c r="G1468" s="1659"/>
      <c r="H1468" s="485" t="str">
        <f>EUconst_tCO2pTJ</f>
        <v>t CO2 / TJ</v>
      </c>
      <c r="I1468" s="923" t="str">
        <f>IF($M1447&lt;&gt;EUconst_Relevant,"",IF(INDEX('G_Fall-back'!I:I,MATCH($P1468,'G_Fall-back'!$P:$P,0))="","",INDEX('G_Fall-back'!I:I,MATCH($P1468,'G_Fall-back'!$P:$P,0))))</f>
        <v/>
      </c>
      <c r="J1468" s="923" t="str">
        <f>IF($M1447&lt;&gt;EUconst_Relevant,"",IF(INDEX('G_Fall-back'!J:J,MATCH($P1468,'G_Fall-back'!$P:$P,0))="","",INDEX('G_Fall-back'!J:J,MATCH($P1468,'G_Fall-back'!$P:$P,0))))</f>
        <v/>
      </c>
      <c r="K1468" s="923" t="str">
        <f>IF($M1447&lt;&gt;EUconst_Relevant,"",IF(INDEX('G_Fall-back'!K:K,MATCH($P1468,'G_Fall-back'!$P:$P,0))="","",INDEX('G_Fall-back'!K:K,MATCH($P1468,'G_Fall-back'!$P:$P,0))))</f>
        <v/>
      </c>
      <c r="L1468" s="923" t="str">
        <f>IF($M1447&lt;&gt;EUconst_Relevant,"",IF(INDEX('G_Fall-back'!L:L,MATCH($P1468,'G_Fall-back'!$P:$P,0))="","",INDEX('G_Fall-back'!L:L,MATCH($P1468,'G_Fall-back'!$P:$P,0))))</f>
        <v/>
      </c>
      <c r="M1468" s="923" t="str">
        <f>IF($M1447&lt;&gt;EUconst_Relevant,"",IF(INDEX('G_Fall-back'!M:M,MATCH($P1468,'G_Fall-back'!$P:$P,0))="","",INDEX('G_Fall-back'!M:M,MATCH($P1468,'G_Fall-back'!$P:$P,0))))</f>
        <v/>
      </c>
      <c r="N1468" s="823"/>
      <c r="O1468" s="25"/>
      <c r="P1468" s="367" t="str">
        <f>EUconst_CNTR_WGConsumedEF &amp; I1447</f>
        <v>WasteGasConsEF_Kurināmā līmeņatzīmes apakšiekārta (OEP | OIM)</v>
      </c>
      <c r="Q1468" s="437"/>
      <c r="R1468" s="437"/>
      <c r="S1468" s="437"/>
      <c r="T1468" s="437"/>
    </row>
    <row r="1469" spans="1:20" s="697" customFormat="1" x14ac:dyDescent="0.2">
      <c r="A1469" s="437"/>
      <c r="B1469" s="414"/>
      <c r="C1469" s="414"/>
      <c r="D1469" s="414"/>
      <c r="E1469" s="1667" t="str">
        <f>Translations!$B$1631</f>
        <v>Elektroenerģijas ielaide siltuma ražošanai</v>
      </c>
      <c r="F1469" s="1660"/>
      <c r="G1469" s="1660"/>
      <c r="H1469" s="466" t="str">
        <f>EUconst_TJpa</f>
        <v>TJ / gads</v>
      </c>
      <c r="I1469" s="922" t="str">
        <f>IF($M1447&lt;&gt;EUconst_Relevant,"",IF(INDEX('G_Fall-back'!I:I,MATCH($P1469,'G_Fall-back'!$P:$P,0))="","",INDEX('G_Fall-back'!I:I,MATCH($P1469,'G_Fall-back'!$P:$P,0))))</f>
        <v/>
      </c>
      <c r="J1469" s="922" t="str">
        <f>IF($M1447&lt;&gt;EUconst_Relevant,"",IF(INDEX('G_Fall-back'!J:J,MATCH($P1469,'G_Fall-back'!$P:$P,0))="","",INDEX('G_Fall-back'!J:J,MATCH($P1469,'G_Fall-back'!$P:$P,0))))</f>
        <v/>
      </c>
      <c r="K1469" s="922" t="str">
        <f>IF($M1447&lt;&gt;EUconst_Relevant,"",IF(INDEX('G_Fall-back'!K:K,MATCH($P1469,'G_Fall-back'!$P:$P,0))="","",INDEX('G_Fall-back'!K:K,MATCH($P1469,'G_Fall-back'!$P:$P,0))))</f>
        <v/>
      </c>
      <c r="L1469" s="922" t="str">
        <f>IF($M1447&lt;&gt;EUconst_Relevant,"",IF(INDEX('G_Fall-back'!L:L,MATCH($P1469,'G_Fall-back'!$P:$P,0))="","",INDEX('G_Fall-back'!L:L,MATCH($P1469,'G_Fall-back'!$P:$P,0))))</f>
        <v/>
      </c>
      <c r="M1469" s="922" t="str">
        <f>IF($M1447&lt;&gt;EUconst_Relevant,"",IF(INDEX('G_Fall-back'!M:M,MATCH($P1469,'G_Fall-back'!$P:$P,0))="","",INDEX('G_Fall-back'!M:M,MATCH($P1469,'G_Fall-back'!$P:$P,0))))</f>
        <v/>
      </c>
      <c r="N1469" s="823"/>
      <c r="O1469" s="25"/>
      <c r="P1469" s="453" t="str">
        <f>EUconst_CNTR_ElectricityInput &amp; I1447</f>
        <v>ElectricityInput_Kurināmā līmeņatzīmes apakšiekārta (OEP | OIM)</v>
      </c>
      <c r="Q1469" s="437"/>
      <c r="R1469" s="437"/>
      <c r="S1469" s="437"/>
      <c r="T1469" s="437"/>
    </row>
    <row r="1470" spans="1:20" s="697" customFormat="1" x14ac:dyDescent="0.2">
      <c r="A1470" s="437"/>
      <c r="B1470" s="414"/>
      <c r="C1470" s="414"/>
      <c r="D1470" s="414"/>
      <c r="E1470" s="1737" t="str">
        <f>Translations!$B$732</f>
        <v>Svērtais emisijas faktors</v>
      </c>
      <c r="F1470" s="1659"/>
      <c r="G1470" s="1659"/>
      <c r="H1470" s="485" t="str">
        <f>EUconst_tCO2pTJ</f>
        <v>t CO2 / TJ</v>
      </c>
      <c r="I1470" s="923" t="str">
        <f>IF($M1447&lt;&gt;EUconst_Relevant,"",IF(INDEX('G_Fall-back'!I:I,MATCH($P1470,'G_Fall-back'!$P:$P,0))="","",INDEX('G_Fall-back'!I:I,MATCH($P1470,'G_Fall-back'!$P:$P,0))))</f>
        <v/>
      </c>
      <c r="J1470" s="923" t="str">
        <f>IF($M1447&lt;&gt;EUconst_Relevant,"",IF(INDEX('G_Fall-back'!J:J,MATCH($P1470,'G_Fall-back'!$P:$P,0))="","",INDEX('G_Fall-back'!J:J,MATCH($P1470,'G_Fall-back'!$P:$P,0))))</f>
        <v/>
      </c>
      <c r="K1470" s="923" t="str">
        <f>IF($M1447&lt;&gt;EUconst_Relevant,"",IF(INDEX('G_Fall-back'!K:K,MATCH($P1470,'G_Fall-back'!$P:$P,0))="","",INDEX('G_Fall-back'!K:K,MATCH($P1470,'G_Fall-back'!$P:$P,0))))</f>
        <v/>
      </c>
      <c r="L1470" s="923" t="str">
        <f>IF($M1447&lt;&gt;EUconst_Relevant,"",IF(INDEX('G_Fall-back'!L:L,MATCH($P1470,'G_Fall-back'!$P:$P,0))="","",INDEX('G_Fall-back'!L:L,MATCH($P1470,'G_Fall-back'!$P:$P,0))))</f>
        <v/>
      </c>
      <c r="M1470" s="923" t="str">
        <f>IF($M1447&lt;&gt;EUconst_Relevant,"",IF(INDEX('G_Fall-back'!M:M,MATCH($P1470,'G_Fall-back'!$P:$P,0))="","",INDEX('G_Fall-back'!M:M,MATCH($P1470,'G_Fall-back'!$P:$P,0))))</f>
        <v/>
      </c>
      <c r="N1470" s="823"/>
      <c r="O1470" s="25"/>
      <c r="P1470" s="367" t="str">
        <f>EUconst_CNTR_ElectricityEF &amp; I1447</f>
        <v>ElectricityEF_Kurināmā līmeņatzīmes apakšiekārta (OEP | OIM)</v>
      </c>
      <c r="Q1470" s="437"/>
      <c r="R1470" s="437"/>
      <c r="S1470" s="437"/>
      <c r="T1470" s="437"/>
    </row>
    <row r="1471" spans="1:20" s="697" customFormat="1" ht="5.0999999999999996" customHeight="1" x14ac:dyDescent="0.2">
      <c r="A1471" s="437"/>
      <c r="B1471" s="414"/>
      <c r="C1471" s="414"/>
      <c r="D1471" s="414"/>
      <c r="E1471" s="526"/>
      <c r="F1471" s="823"/>
      <c r="G1471" s="823"/>
      <c r="H1471" s="823"/>
      <c r="I1471" s="924"/>
      <c r="J1471" s="924"/>
      <c r="K1471" s="924"/>
      <c r="L1471" s="924"/>
      <c r="M1471" s="924"/>
      <c r="N1471" s="823"/>
      <c r="O1471" s="25"/>
      <c r="P1471" s="437"/>
      <c r="Q1471" s="437"/>
      <c r="R1471" s="437"/>
      <c r="S1471" s="437"/>
      <c r="T1471" s="437"/>
    </row>
    <row r="1472" spans="1:20" s="697" customFormat="1" x14ac:dyDescent="0.2">
      <c r="A1472" s="437"/>
      <c r="B1472" s="414"/>
      <c r="C1472" s="414"/>
      <c r="D1472" s="414"/>
      <c r="E1472" s="1651" t="str">
        <f>Translations!$B$687</f>
        <v>Tiešās emisijas</v>
      </c>
      <c r="F1472" s="1652"/>
      <c r="G1472" s="1652"/>
      <c r="H1472" s="465" t="str">
        <f>EUconst_tCO2pa</f>
        <v>t CO2 / gads</v>
      </c>
      <c r="I1472" s="925" t="str">
        <f>IF($M1447&lt;&gt;EUconst_Relevant,"",IF(INDEX('G_Fall-back'!I:I,MATCH($P1472,'G_Fall-back'!$P:$P,0))="","",INDEX('G_Fall-back'!I:I,MATCH($P1472,'G_Fall-back'!$P:$P,0))))</f>
        <v/>
      </c>
      <c r="J1472" s="925" t="str">
        <f>IF($M1447&lt;&gt;EUconst_Relevant,"",IF(INDEX('G_Fall-back'!J:J,MATCH($P1472,'G_Fall-back'!$P:$P,0))="","",INDEX('G_Fall-back'!J:J,MATCH($P1472,'G_Fall-back'!$P:$P,0))))</f>
        <v/>
      </c>
      <c r="K1472" s="925" t="str">
        <f>IF($M1447&lt;&gt;EUconst_Relevant,"",IF(INDEX('G_Fall-back'!K:K,MATCH($P1472,'G_Fall-back'!$P:$P,0))="","",INDEX('G_Fall-back'!K:K,MATCH($P1472,'G_Fall-back'!$P:$P,0))))</f>
        <v/>
      </c>
      <c r="L1472" s="925" t="str">
        <f>IF($M1447&lt;&gt;EUconst_Relevant,"",IF(INDEX('G_Fall-back'!L:L,MATCH($P1472,'G_Fall-back'!$P:$P,0))="","",INDEX('G_Fall-back'!L:L,MATCH($P1472,'G_Fall-back'!$P:$P,0))))</f>
        <v/>
      </c>
      <c r="M1472" s="925" t="str">
        <f>IF($M1447&lt;&gt;EUconst_Relevant,"",IF(INDEX('G_Fall-back'!M:M,MATCH($P1472,'G_Fall-back'!$P:$P,0))="","",INDEX('G_Fall-back'!M:M,MATCH($P1472,'G_Fall-back'!$P:$P,0))))</f>
        <v/>
      </c>
      <c r="N1472" s="823"/>
      <c r="O1472" s="25"/>
      <c r="P1472" s="367" t="str">
        <f>EUconst_CNTR_Emissions &amp; I1447</f>
        <v>DirEmissions_Kurināmā līmeņatzīmes apakšiekārta (OEP | OIM)</v>
      </c>
      <c r="Q1472" s="437"/>
      <c r="R1472" s="437"/>
      <c r="S1472" s="437"/>
      <c r="T1472" s="437"/>
    </row>
    <row r="1473" spans="1:20" s="697" customFormat="1" ht="5.0999999999999996" customHeight="1" x14ac:dyDescent="0.2">
      <c r="A1473" s="437"/>
      <c r="B1473" s="414"/>
      <c r="C1473" s="414"/>
      <c r="D1473" s="414"/>
      <c r="E1473" s="526"/>
      <c r="F1473" s="526"/>
      <c r="G1473" s="526"/>
      <c r="H1473" s="526"/>
      <c r="I1473" s="924"/>
      <c r="J1473" s="924"/>
      <c r="K1473" s="924"/>
      <c r="L1473" s="924"/>
      <c r="M1473" s="924"/>
      <c r="N1473" s="823"/>
      <c r="O1473" s="25"/>
      <c r="P1473" s="437"/>
      <c r="Q1473" s="437"/>
      <c r="R1473" s="437"/>
      <c r="S1473" s="437"/>
      <c r="T1473" s="437"/>
    </row>
    <row r="1474" spans="1:20" s="697" customFormat="1" x14ac:dyDescent="0.2">
      <c r="A1474" s="437"/>
      <c r="B1474" s="414"/>
      <c r="C1474" s="414"/>
      <c r="D1474" s="414"/>
      <c r="E1474" s="1651" t="str">
        <f>Translations!$B$770</f>
        <v>Neto eksportētais siltums</v>
      </c>
      <c r="F1474" s="1652"/>
      <c r="G1474" s="1652"/>
      <c r="H1474" s="465" t="str">
        <f>EUconst_TJpa</f>
        <v>TJ / gads</v>
      </c>
      <c r="I1474" s="925" t="str">
        <f>IF($M1447&lt;&gt;EUconst_Relevant,"",IF(INDEX('G_Fall-back'!I:I,MATCH($P1474,'G_Fall-back'!$P:$P,0))="","",INDEX('G_Fall-back'!I:I,MATCH($P1474,'G_Fall-back'!$P:$P,0))))</f>
        <v/>
      </c>
      <c r="J1474" s="925" t="str">
        <f>IF($M1447&lt;&gt;EUconst_Relevant,"",IF(INDEX('G_Fall-back'!J:J,MATCH($P1474,'G_Fall-back'!$P:$P,0))="","",INDEX('G_Fall-back'!J:J,MATCH($P1474,'G_Fall-back'!$P:$P,0))))</f>
        <v/>
      </c>
      <c r="K1474" s="925" t="str">
        <f>IF($M1447&lt;&gt;EUconst_Relevant,"",IF(INDEX('G_Fall-back'!K:K,MATCH($P1474,'G_Fall-back'!$P:$P,0))="","",INDEX('G_Fall-back'!K:K,MATCH($P1474,'G_Fall-back'!$P:$P,0))))</f>
        <v/>
      </c>
      <c r="L1474" s="925" t="str">
        <f>IF($M1447&lt;&gt;EUconst_Relevant,"",IF(INDEX('G_Fall-back'!L:L,MATCH($P1474,'G_Fall-back'!$P:$P,0))="","",INDEX('G_Fall-back'!L:L,MATCH($P1474,'G_Fall-back'!$P:$P,0))))</f>
        <v/>
      </c>
      <c r="M1474" s="925" t="str">
        <f>IF($M1447&lt;&gt;EUconst_Relevant,"",IF(INDEX('G_Fall-back'!M:M,MATCH($P1474,'G_Fall-back'!$P:$P,0))="","",INDEX('G_Fall-back'!M:M,MATCH($P1474,'G_Fall-back'!$P:$P,0))))</f>
        <v/>
      </c>
      <c r="N1474" s="823"/>
      <c r="O1474" s="25"/>
      <c r="P1474" s="367" t="str">
        <f>EUconst_CNTR_HeatExport &amp; I1447</f>
        <v>HeatEx_Kurināmā līmeņatzīmes apakšiekārta (OEP | OIM)</v>
      </c>
      <c r="Q1474" s="437"/>
      <c r="R1474" s="437"/>
      <c r="S1474" s="437"/>
      <c r="T1474" s="437"/>
    </row>
    <row r="1475" spans="1:20" s="697" customFormat="1" ht="12.75" customHeight="1" x14ac:dyDescent="0.2">
      <c r="A1475" s="437"/>
      <c r="B1475" s="414"/>
      <c r="C1475" s="414"/>
      <c r="D1475" s="414"/>
      <c r="E1475" s="1651" t="str">
        <f>Translations!$B$893</f>
        <v>Īpatnējais EF (siltuma eksports)</v>
      </c>
      <c r="F1475" s="1652"/>
      <c r="G1475" s="1652"/>
      <c r="H1475" s="465" t="str">
        <f>EUconst_TJpa</f>
        <v>TJ / gads</v>
      </c>
      <c r="I1475" s="925" t="str">
        <f>IF($M1447&lt;&gt;EUconst_Relevant,"",IF(INDEX('G_Fall-back'!I:I,MATCH($P1475,'G_Fall-back'!$P:$P,0))="","",INDEX('G_Fall-back'!I:I,MATCH($P1475,'G_Fall-back'!$P:$P,0))))</f>
        <v/>
      </c>
      <c r="J1475" s="925" t="str">
        <f>IF($M1447&lt;&gt;EUconst_Relevant,"",IF(INDEX('G_Fall-back'!J:J,MATCH($P1475,'G_Fall-back'!$P:$P,0))="","",INDEX('G_Fall-back'!J:J,MATCH($P1475,'G_Fall-back'!$P:$P,0))))</f>
        <v/>
      </c>
      <c r="K1475" s="925" t="str">
        <f>IF($M1447&lt;&gt;EUconst_Relevant,"",IF(INDEX('G_Fall-back'!K:K,MATCH($P1475,'G_Fall-back'!$P:$P,0))="","",INDEX('G_Fall-back'!K:K,MATCH($P1475,'G_Fall-back'!$P:$P,0))))</f>
        <v/>
      </c>
      <c r="L1475" s="925" t="str">
        <f>IF($M1447&lt;&gt;EUconst_Relevant,"",IF(INDEX('G_Fall-back'!L:L,MATCH($P1475,'G_Fall-back'!$P:$P,0))="","",INDEX('G_Fall-back'!L:L,MATCH($P1475,'G_Fall-back'!$P:$P,0))))</f>
        <v/>
      </c>
      <c r="M1475" s="925" t="str">
        <f>IF($M1447&lt;&gt;EUconst_Relevant,"",IF(INDEX('G_Fall-back'!M:M,MATCH($P1475,'G_Fall-back'!$P:$P,0))="","",INDEX('G_Fall-back'!M:M,MATCH($P1475,'G_Fall-back'!$P:$P,0))))</f>
        <v/>
      </c>
      <c r="N1475" s="823"/>
      <c r="O1475" s="25"/>
      <c r="P1475" s="202" t="str">
        <f>EUconst_CNTR_HeatExportEF &amp; I1447</f>
        <v>HeatExEF_Kurināmā līmeņatzīmes apakšiekārta (OEP | OIM)</v>
      </c>
      <c r="Q1475" s="437"/>
      <c r="R1475" s="437"/>
      <c r="S1475" s="437"/>
      <c r="T1475" s="437"/>
    </row>
    <row r="1476" spans="1:20" s="697" customFormat="1" ht="12.75" customHeight="1" x14ac:dyDescent="0.2">
      <c r="A1476" s="437"/>
      <c r="B1476" s="414"/>
      <c r="C1476" s="414"/>
      <c r="D1476" s="414"/>
      <c r="E1476" s="823"/>
      <c r="F1476" s="823"/>
      <c r="G1476" s="823"/>
      <c r="H1476" s="823"/>
      <c r="I1476" s="823"/>
      <c r="J1476" s="823"/>
      <c r="K1476" s="823"/>
      <c r="L1476" s="823"/>
      <c r="M1476" s="823"/>
      <c r="N1476" s="823"/>
      <c r="O1476" s="25"/>
      <c r="P1476" s="437"/>
      <c r="Q1476" s="437"/>
      <c r="R1476" s="437"/>
      <c r="S1476" s="437"/>
      <c r="T1476" s="437"/>
    </row>
    <row r="1477" spans="1:20" s="697" customFormat="1" ht="13.5" thickBot="1" x14ac:dyDescent="0.25">
      <c r="A1477" s="437"/>
      <c r="B1477" s="414"/>
      <c r="C1477" s="414"/>
      <c r="D1477" s="414"/>
      <c r="E1477" s="414"/>
      <c r="F1477" s="414"/>
      <c r="G1477" s="414"/>
      <c r="M1477" s="414"/>
      <c r="N1477" s="414"/>
      <c r="O1477" s="25"/>
      <c r="P1477" s="437"/>
      <c r="Q1477" s="437"/>
      <c r="R1477" s="437"/>
      <c r="S1477" s="437"/>
      <c r="T1477" s="437"/>
    </row>
    <row r="1478" spans="1:20" s="697" customFormat="1" ht="12.75" customHeight="1" thickBot="1" x14ac:dyDescent="0.25">
      <c r="A1478" s="437"/>
      <c r="B1478" s="21"/>
      <c r="C1478" s="294"/>
      <c r="D1478" s="294"/>
      <c r="E1478" s="294"/>
      <c r="F1478" s="294"/>
      <c r="G1478" s="294"/>
      <c r="H1478" s="294"/>
      <c r="I1478" s="294"/>
      <c r="J1478" s="294"/>
      <c r="K1478" s="294"/>
      <c r="L1478" s="294"/>
      <c r="M1478" s="294"/>
      <c r="N1478" s="294"/>
      <c r="O1478" s="25"/>
      <c r="P1478" s="437"/>
      <c r="Q1478" s="437"/>
      <c r="R1478" s="437"/>
      <c r="S1478" s="437"/>
      <c r="T1478" s="26" t="s">
        <v>560</v>
      </c>
    </row>
    <row r="1479" spans="1:20" s="697" customFormat="1" ht="15" customHeight="1" thickBot="1" x14ac:dyDescent="0.3">
      <c r="A1479" s="437"/>
      <c r="B1479" s="414"/>
      <c r="C1479" s="36">
        <f>C1447+1</f>
        <v>18</v>
      </c>
      <c r="D1479" s="1318" t="str">
        <f>CONCATENATE(EUconst_FBSubinst," ",C1479-10, ":")</f>
        <v>Alternatīva apakšiekārta 8:</v>
      </c>
      <c r="E1479" s="1251"/>
      <c r="F1479" s="1251"/>
      <c r="G1479" s="1251"/>
      <c r="H1479" s="1328"/>
      <c r="I1479" s="1877" t="str">
        <f>INDEX(EUconst_FallBackListNames,$C1479-10)</f>
        <v>Procesa emisiju apakšiekārta (OEP | bez OIM)</v>
      </c>
      <c r="J1479" s="1878"/>
      <c r="K1479" s="1878"/>
      <c r="L1479" s="1879"/>
      <c r="M1479" s="1783" t="str">
        <f>IF(ISBLANK(INDEX(CNTR_FallBackSubInstRelevant,C1479-10)),"",IF(INDEX(CNTR_FallBackSubInstRelevant,C1479-10),EUconst_Relevant,EUconst_NotRelevant))</f>
        <v/>
      </c>
      <c r="N1479" s="1784"/>
      <c r="O1479" s="25"/>
      <c r="P1479" s="437"/>
      <c r="Q1479" s="904">
        <f>C1479</f>
        <v>18</v>
      </c>
      <c r="R1479" s="901" t="str">
        <f>I1479</f>
        <v>Procesa emisiju apakšiekārta (OEP | bez OIM)</v>
      </c>
      <c r="S1479" s="903" t="b">
        <f>H1482</f>
        <v>1</v>
      </c>
      <c r="T1479" s="902" t="str">
        <f>IF(M1491="","",IF(S1482=0,0,SUM(M1491)/S1482))</f>
        <v/>
      </c>
    </row>
    <row r="1480" spans="1:20" s="697" customFormat="1" ht="5.0999999999999996" customHeight="1" thickBot="1" x14ac:dyDescent="0.25">
      <c r="A1480" s="437"/>
      <c r="B1480" s="414"/>
      <c r="C1480" s="414"/>
      <c r="D1480" s="414"/>
      <c r="E1480" s="414"/>
      <c r="F1480" s="414"/>
      <c r="G1480" s="414"/>
      <c r="H1480" s="414"/>
      <c r="I1480" s="414"/>
      <c r="J1480" s="414"/>
      <c r="K1480" s="414"/>
      <c r="L1480" s="414"/>
      <c r="M1480" s="414"/>
      <c r="N1480" s="414"/>
      <c r="O1480" s="25"/>
      <c r="P1480" s="437"/>
      <c r="Q1480" s="437"/>
      <c r="R1480" s="437"/>
      <c r="S1480" s="437"/>
      <c r="T1480" s="26"/>
    </row>
    <row r="1481" spans="1:20" s="697" customFormat="1" ht="13.5" thickBot="1" x14ac:dyDescent="0.25">
      <c r="A1481" s="437"/>
      <c r="B1481" s="414"/>
      <c r="C1481" s="414"/>
      <c r="D1481" s="414"/>
      <c r="E1481" s="414"/>
      <c r="F1481" s="414"/>
      <c r="G1481" s="414"/>
      <c r="H1481" s="647" t="str">
        <f>Translations!$B$1204</f>
        <v>Pakļauta OEP</v>
      </c>
      <c r="I1481" s="647" t="str">
        <f>Translations!$B$1208</f>
        <v>Ekspl. sākta</v>
      </c>
      <c r="J1481" s="647" t="str">
        <f>Translations!$B$1212</f>
        <v>15(7)3?</v>
      </c>
      <c r="L1481" s="1172" t="str">
        <f>Translations!$B$1206</f>
        <v>LA Nr.</v>
      </c>
      <c r="M1481" s="989" t="str">
        <f>Translations!$B$1234</f>
        <v>LA vērtība (min./maks./fakt.)</v>
      </c>
      <c r="N1481" s="990"/>
      <c r="O1481" s="25"/>
      <c r="P1481" s="437"/>
      <c r="Q1481" s="437"/>
      <c r="R1481" s="646" t="s">
        <v>641</v>
      </c>
      <c r="S1481" s="903" t="b">
        <f>H1484</f>
        <v>0</v>
      </c>
      <c r="T1481" s="26"/>
    </row>
    <row r="1482" spans="1:20" s="697" customFormat="1" x14ac:dyDescent="0.2">
      <c r="A1482" s="437"/>
      <c r="B1482" s="414"/>
      <c r="C1482" s="414"/>
      <c r="D1482" s="414"/>
      <c r="E1482" s="649" t="str">
        <f>I1479</f>
        <v>Procesa emisiju apakšiekārta (OEP | bez OIM)</v>
      </c>
      <c r="F1482" s="650"/>
      <c r="G1482" s="594"/>
      <c r="H1482" s="651" t="b">
        <f>INDEX(EUconst_FallBackListCLstatus,MATCH(I1479,EUconst_FallBackListNames,0))</f>
        <v>1</v>
      </c>
      <c r="I1482" s="1171" t="str">
        <f>IF(M1479&lt;&gt;EUconst_Relevant,"",INDEX(CNTR_SubInstStartDate,MATCH(E1482,CNTR_SubInstListNames,0)))</f>
        <v/>
      </c>
      <c r="J1482" s="651" t="str">
        <f>IF(M1479&lt;&gt;EUconst_Relevant,"",INDEX(CNTR_SubInstLess1Year,MATCH(E1482,CNTR_SubInstListNames,0)))</f>
        <v/>
      </c>
      <c r="L1482" s="1173">
        <f>C1479-10</f>
        <v>8</v>
      </c>
      <c r="M1482" s="995" t="str">
        <f>IF(M1479&lt;&gt;EUconst_Relevant,"",INDEX(EUconst_FallBackListBMvaluesMatrix,L1482,2))</f>
        <v/>
      </c>
      <c r="N1482" s="992" t="str">
        <f>EUconst_EUA &amp; "/" &amp; H1487</f>
        <v>ESK/t CO2e</v>
      </c>
      <c r="O1482" s="25"/>
      <c r="P1482" s="437"/>
      <c r="Q1482" s="437"/>
      <c r="R1482" s="732" t="s">
        <v>554</v>
      </c>
      <c r="S1482" s="815">
        <f>IF(H1482,1,INDEX(EUconst_CLEFYears,1))</f>
        <v>1</v>
      </c>
      <c r="T1482" s="437"/>
    </row>
    <row r="1483" spans="1:20" s="697" customFormat="1" x14ac:dyDescent="0.2">
      <c r="A1483" s="437"/>
      <c r="B1483" s="414"/>
      <c r="C1483" s="414"/>
      <c r="H1483" s="647" t="s">
        <v>623</v>
      </c>
      <c r="M1483" s="995" t="str">
        <f>IF(M1479&lt;&gt;EUconst_Relevant,"",INDEX(EUconst_FallBackListBMvaluesMatrix,L1482,1))</f>
        <v/>
      </c>
      <c r="N1483" s="992" t="str">
        <f>EUconst_EUA &amp; "/" &amp; H1487</f>
        <v>ESK/t CO2e</v>
      </c>
      <c r="O1483" s="25"/>
      <c r="P1483" s="437"/>
      <c r="Q1483" s="437"/>
      <c r="R1483" s="732"/>
      <c r="S1483" s="866"/>
      <c r="T1483" s="437"/>
    </row>
    <row r="1484" spans="1:20" s="697" customFormat="1" ht="13.5" thickBot="1" x14ac:dyDescent="0.25">
      <c r="A1484" s="437"/>
      <c r="B1484" s="414"/>
      <c r="C1484" s="414"/>
      <c r="H1484" s="651" t="b">
        <f>INDEX(EUconst_FallBackListCBAMstatus,MATCH(I1479,EUconst_FallBackListNames,0))</f>
        <v>0</v>
      </c>
      <c r="M1484" s="996" t="str">
        <f>IF(M1479&lt;&gt;EUconst_Relevant,"",IF(EUconst_StatusOfDataCollection,INDEX(EUconst_FallBackListBMvaluesMatrix,L1482,3),""))</f>
        <v/>
      </c>
      <c r="N1484" s="994" t="str">
        <f>EUconst_EUA &amp; "/" &amp; H1487</f>
        <v>ESK/t CO2e</v>
      </c>
      <c r="O1484" s="25"/>
      <c r="P1484" s="437"/>
      <c r="Q1484" s="437"/>
      <c r="R1484" s="732"/>
      <c r="S1484" s="866"/>
      <c r="T1484" s="437"/>
    </row>
    <row r="1485" spans="1:20" s="697" customFormat="1" ht="5.0999999999999996" customHeight="1" x14ac:dyDescent="0.2">
      <c r="A1485" s="437"/>
      <c r="B1485" s="414"/>
      <c r="C1485" s="414"/>
      <c r="D1485" s="414"/>
      <c r="E1485" s="414"/>
      <c r="F1485" s="414"/>
      <c r="G1485" s="414"/>
      <c r="H1485" s="414"/>
      <c r="I1485" s="414"/>
      <c r="J1485" s="414"/>
      <c r="K1485" s="414"/>
      <c r="L1485" s="414"/>
      <c r="M1485" s="414"/>
      <c r="N1485" s="414"/>
      <c r="O1485" s="25"/>
      <c r="P1485" s="437"/>
      <c r="Q1485" s="437"/>
      <c r="R1485" s="437"/>
      <c r="S1485" s="437"/>
      <c r="T1485" s="437"/>
    </row>
    <row r="1486" spans="1:20" s="697" customFormat="1" x14ac:dyDescent="0.2">
      <c r="A1486" s="437"/>
      <c r="B1486" s="414"/>
      <c r="C1486" s="414"/>
      <c r="D1486" s="414"/>
      <c r="E1486" s="652"/>
      <c r="F1486" s="652"/>
      <c r="G1486" s="653"/>
      <c r="H1486" s="647" t="str">
        <f>EUconst_Unit</f>
        <v>Vienība</v>
      </c>
      <c r="I1486" s="447">
        <f>I$1652</f>
        <v>2019</v>
      </c>
      <c r="J1486" s="447">
        <f>J$1652</f>
        <v>2020</v>
      </c>
      <c r="K1486" s="447">
        <f>K$1652</f>
        <v>2021</v>
      </c>
      <c r="L1486" s="447">
        <f>L$1652</f>
        <v>2022</v>
      </c>
      <c r="M1486" s="447">
        <f>M$1652</f>
        <v>2023</v>
      </c>
      <c r="N1486" s="414"/>
      <c r="O1486" s="25"/>
      <c r="P1486" s="202" t="s">
        <v>228</v>
      </c>
      <c r="Q1486" s="437"/>
      <c r="R1486" s="437"/>
      <c r="S1486" s="437"/>
      <c r="T1486" s="437"/>
    </row>
    <row r="1487" spans="1:20" s="697" customFormat="1" x14ac:dyDescent="0.2">
      <c r="A1487" s="437"/>
      <c r="B1487" s="414"/>
      <c r="C1487" s="414"/>
      <c r="D1487" s="414"/>
      <c r="E1487" s="654" t="str">
        <f>Translations!$B$1236</f>
        <v>Ziņotais HAL (vēsturiskais darbības līmenis)</v>
      </c>
      <c r="F1487" s="655"/>
      <c r="G1487" s="656"/>
      <c r="H1487" s="651" t="str">
        <f>INDEX(EUconst_FallBackListUnits,L1482)</f>
        <v>t CO2e</v>
      </c>
      <c r="I1487" s="546" t="str">
        <f>IF($M1479&lt;&gt;EUconst_Relevant,"",SUMIF('G_Fall-back'!$P:$P,$P1488,'G_Fall-back'!I:I))</f>
        <v/>
      </c>
      <c r="J1487" s="546" t="str">
        <f>IF($M1479&lt;&gt;EUconst_Relevant,"",SUMIF('G_Fall-back'!$P:$P,$P1488,'G_Fall-back'!J:J))</f>
        <v/>
      </c>
      <c r="K1487" s="546" t="str">
        <f>IF($M1479&lt;&gt;EUconst_Relevant,"",SUMIF('G_Fall-back'!$P:$P,$P1488,'G_Fall-back'!K:K))</f>
        <v/>
      </c>
      <c r="L1487" s="546" t="str">
        <f>IF($M1479&lt;&gt;EUconst_Relevant,"",SUMIF('G_Fall-back'!$P:$P,$P1488,'G_Fall-back'!L:L))</f>
        <v/>
      </c>
      <c r="M1487" s="546" t="str">
        <f>IF($M1479&lt;&gt;EUconst_Relevant,"",SUMIF('G_Fall-back'!$P:$P,$P1488,'G_Fall-back'!M:M))</f>
        <v/>
      </c>
      <c r="N1487" s="648" t="s">
        <v>625</v>
      </c>
      <c r="O1487" s="25"/>
      <c r="P1487" s="202" t="str">
        <f>EUconst_CNTR_HAL&amp;I1479</f>
        <v>HAL_Procesa emisiju apakšiekārta (OEP | bez OIM)</v>
      </c>
      <c r="Q1487" s="437"/>
      <c r="R1487" s="437"/>
      <c r="S1487" s="437"/>
      <c r="T1487" s="26"/>
    </row>
    <row r="1488" spans="1:20" s="697" customFormat="1" x14ac:dyDescent="0.2">
      <c r="A1488" s="437"/>
      <c r="B1488" s="414"/>
      <c r="C1488" s="414"/>
      <c r="D1488" s="414"/>
      <c r="E1488" s="654" t="str">
        <f>Translations!$B$1237</f>
        <v>HAL aprēķinam izmantotās vērtības:</v>
      </c>
      <c r="F1488" s="655"/>
      <c r="G1488" s="656"/>
      <c r="H1488" s="651" t="str">
        <f>H1487</f>
        <v>t CO2e</v>
      </c>
      <c r="I1488" s="442" t="str">
        <f>IF($M1479&lt;&gt;EUconst_Relevant,"",INDEX('G_Fall-back'!S:S,MATCH($P1488,'G_Fall-back'!$P:$P,0)))</f>
        <v/>
      </c>
      <c r="J1488" s="442" t="str">
        <f>IF($M1479&lt;&gt;EUconst_Relevant,"",INDEX('G_Fall-back'!T:T,MATCH($P1488,'G_Fall-back'!$P:$P,0)))</f>
        <v/>
      </c>
      <c r="K1488" s="442" t="str">
        <f>IF($M1479&lt;&gt;EUconst_Relevant,"",INDEX('G_Fall-back'!U:U,MATCH($P1488,'G_Fall-back'!$P:$P,0)))</f>
        <v/>
      </c>
      <c r="L1488" s="442" t="str">
        <f>IF($M1479&lt;&gt;EUconst_Relevant,"",INDEX('G_Fall-back'!V:V,MATCH($P1488,'G_Fall-back'!$P:$P,0)))</f>
        <v/>
      </c>
      <c r="M1488" s="442" t="str">
        <f>IF($M1479&lt;&gt;EUconst_Relevant,"",INDEX('G_Fall-back'!W:W,MATCH($P1488,'G_Fall-back'!$P:$P,0)))</f>
        <v/>
      </c>
      <c r="N1488" s="546" t="str">
        <f>IF(OR($M1479&lt;&gt;EUconst_Relevant,$J1482=TRUE),"",IF(COUNT($I1488:$M1488)&gt;0,MEDIAN($I1488:$M1488),""))</f>
        <v/>
      </c>
      <c r="O1488" s="25"/>
      <c r="P1488" s="202" t="str">
        <f>EUconst_CNTR_HAL&amp;I1479</f>
        <v>HAL_Procesa emisiju apakšiekārta (OEP | bez OIM)</v>
      </c>
      <c r="Q1488" s="437"/>
      <c r="R1488" s="931" t="s">
        <v>604</v>
      </c>
      <c r="S1488" s="931" t="s">
        <v>605</v>
      </c>
      <c r="T1488" s="931" t="s">
        <v>606</v>
      </c>
    </row>
    <row r="1489" spans="1:20" s="697" customFormat="1" ht="5.0999999999999996" customHeight="1" thickBot="1" x14ac:dyDescent="0.25">
      <c r="A1489" s="437"/>
      <c r="B1489" s="414"/>
      <c r="C1489" s="414"/>
      <c r="D1489" s="414"/>
      <c r="E1489" s="414"/>
      <c r="F1489" s="414"/>
      <c r="G1489" s="414"/>
      <c r="H1489" s="414"/>
      <c r="I1489" s="414"/>
      <c r="J1489" s="414"/>
      <c r="K1489" s="414"/>
      <c r="L1489" s="414"/>
      <c r="M1489" s="414"/>
      <c r="N1489" s="414"/>
      <c r="O1489" s="25"/>
      <c r="P1489" s="437"/>
      <c r="Q1489" s="437"/>
      <c r="R1489" s="437"/>
      <c r="S1489" s="437"/>
      <c r="T1489" s="26"/>
    </row>
    <row r="1490" spans="1:20" s="697" customFormat="1" ht="13.5" thickBot="1" x14ac:dyDescent="0.25">
      <c r="A1490" s="437"/>
      <c r="B1490" s="414"/>
      <c r="C1490" s="414"/>
      <c r="D1490" s="414"/>
      <c r="E1490" s="414"/>
      <c r="F1490" s="657" t="str">
        <f>Translations!$B$1728</f>
        <v>HAL kopā</v>
      </c>
      <c r="G1490" s="817"/>
      <c r="H1490" s="414"/>
      <c r="I1490" s="816" t="str">
        <f>Translations!$B$1226</f>
        <v>1. gada prov. ied. apj. (min.)</v>
      </c>
      <c r="J1490" s="817"/>
      <c r="K1490" s="816" t="str">
        <f>Translations!$B$1229</f>
        <v>1. gada prov. ied. apj. (maks.)</v>
      </c>
      <c r="L1490" s="817"/>
      <c r="M1490" s="816" t="str">
        <f>Translations!$B$1231</f>
        <v>1. gada prov. ied. apj. (fakt.)</v>
      </c>
      <c r="N1490" s="817"/>
      <c r="O1490" s="25"/>
      <c r="P1490" s="202" t="str">
        <f>EUconst_AllocPrelim&amp;I1479</f>
        <v>AllocPrelim_Procesa emisiju apakšiekārta (OEP | bez OIM)</v>
      </c>
      <c r="Q1490" s="437"/>
      <c r="R1490" s="900" t="str">
        <f>IF(I1491="","",IF(S1482=0,0,SUM(I1491)/S1482))</f>
        <v/>
      </c>
      <c r="S1490" s="900" t="str">
        <f>IF(K1491="","",IF(S1482=0,0,SUM(K1491)/S1482))</f>
        <v/>
      </c>
      <c r="T1490" s="900" t="str">
        <f>T1479</f>
        <v/>
      </c>
    </row>
    <row r="1491" spans="1:20" s="697" customFormat="1" ht="13.5" thickBot="1" x14ac:dyDescent="0.25">
      <c r="A1491" s="437"/>
      <c r="B1491" s="414"/>
      <c r="C1491" s="414"/>
      <c r="D1491" s="414"/>
      <c r="E1491" s="414"/>
      <c r="F1491" s="658" t="str">
        <f>IF(M1479&lt;&gt;EUconst_Relevant,"",MAX(0, IF(J1482=TRUE, SUM(K1482), SUM(N1488))))</f>
        <v/>
      </c>
      <c r="G1491" s="884" t="str">
        <f>H1488&amp;" / "&amp;EUconst_Year</f>
        <v>t CO2e / gads</v>
      </c>
      <c r="H1491" s="414"/>
      <c r="I1491" s="814" t="str">
        <f>IF(M1479&lt;&gt;EUconst_Relevant,"",ROUND(SUM(M1482)*SUM(F1491)*SUM(S1482),0))</f>
        <v/>
      </c>
      <c r="J1491" s="884" t="str">
        <f>EUconst_EUApa</f>
        <v>ESK / gads</v>
      </c>
      <c r="K1491" s="814" t="str">
        <f>IF(M1479&lt;&gt;EUconst_Relevant,"",ROUND(SUM(M1483)*SUM(F1491)*SUM(S1482),0))</f>
        <v/>
      </c>
      <c r="L1491" s="884" t="str">
        <f>EUconst_EUApa</f>
        <v>ESK / gads</v>
      </c>
      <c r="M1491" s="814" t="str">
        <f>IF(OR(M1479&lt;&gt;EUconst_Relevant,M1484=""),"",ROUND(SUM(M1484)*SUM(F1491)*SUM(S1482),0))</f>
        <v/>
      </c>
      <c r="N1491" s="884" t="str">
        <f>EUconst_EUApa</f>
        <v>ESK / gads</v>
      </c>
      <c r="O1491" s="25"/>
      <c r="P1491" s="202" t="str">
        <f>EUconst_HALsum &amp; I1479</f>
        <v>HALsum_Procesa emisiju apakšiekārta (OEP | bez OIM)</v>
      </c>
      <c r="Q1491" s="437"/>
      <c r="R1491" s="437"/>
      <c r="S1491" s="437"/>
      <c r="T1491" s="437"/>
    </row>
    <row r="1492" spans="1:20" s="697" customFormat="1" x14ac:dyDescent="0.2">
      <c r="A1492" s="437"/>
      <c r="B1492" s="414"/>
      <c r="C1492" s="414"/>
      <c r="D1492" s="414"/>
      <c r="E1492" s="414"/>
      <c r="F1492" s="414"/>
      <c r="G1492" s="414"/>
      <c r="H1492" s="414"/>
      <c r="I1492" s="414"/>
      <c r="J1492" s="414"/>
      <c r="K1492" s="414"/>
      <c r="L1492" s="414"/>
      <c r="M1492" s="414"/>
      <c r="N1492" s="414"/>
      <c r="O1492" s="25"/>
      <c r="P1492" s="437"/>
      <c r="Q1492" s="437"/>
      <c r="R1492" s="437"/>
      <c r="S1492" s="437"/>
      <c r="T1492" s="437"/>
    </row>
    <row r="1493" spans="1:20" s="697" customFormat="1" ht="12.75" customHeight="1" x14ac:dyDescent="0.2">
      <c r="A1493" s="437"/>
      <c r="B1493" s="414"/>
      <c r="C1493" s="414"/>
      <c r="D1493" s="414"/>
      <c r="E1493" s="526"/>
      <c r="F1493" s="823"/>
      <c r="G1493" s="823"/>
      <c r="H1493" s="823"/>
      <c r="I1493" s="823"/>
      <c r="J1493" s="823"/>
      <c r="K1493" s="823"/>
      <c r="L1493" s="823"/>
      <c r="M1493" s="823"/>
      <c r="N1493" s="823"/>
      <c r="O1493" s="25"/>
      <c r="P1493" s="437"/>
      <c r="Q1493" s="437"/>
      <c r="R1493" s="437"/>
      <c r="S1493" s="437"/>
      <c r="T1493" s="437"/>
    </row>
    <row r="1494" spans="1:20" s="697" customFormat="1" ht="13.5" thickBot="1" x14ac:dyDescent="0.25">
      <c r="A1494" s="437"/>
      <c r="B1494" s="414"/>
      <c r="C1494" s="414"/>
      <c r="D1494" s="414"/>
      <c r="E1494" s="526"/>
      <c r="F1494" s="823"/>
      <c r="G1494" s="823"/>
      <c r="H1494" s="525" t="str">
        <f>EUconst_Unit</f>
        <v>Vienība</v>
      </c>
      <c r="I1494" s="928">
        <f>I$1652</f>
        <v>2019</v>
      </c>
      <c r="J1494" s="825">
        <f>J$1652</f>
        <v>2020</v>
      </c>
      <c r="K1494" s="825">
        <f>K$1652</f>
        <v>2021</v>
      </c>
      <c r="L1494" s="825">
        <f>L$1652</f>
        <v>2022</v>
      </c>
      <c r="M1494" s="825">
        <f>M$1652</f>
        <v>2023</v>
      </c>
      <c r="N1494" s="823"/>
      <c r="O1494" s="25"/>
      <c r="P1494" s="437"/>
      <c r="Q1494" s="437"/>
      <c r="R1494" s="437"/>
      <c r="S1494" s="437"/>
      <c r="T1494" s="437"/>
    </row>
    <row r="1495" spans="1:20" s="697" customFormat="1" ht="13.5" thickBot="1" x14ac:dyDescent="0.25">
      <c r="A1495" s="437"/>
      <c r="B1495" s="414"/>
      <c r="C1495" s="414"/>
      <c r="D1495" s="414"/>
      <c r="E1495" s="1789" t="str">
        <f>Translations!$B$1238</f>
        <v>Kopējās attiecinātās emisijas</v>
      </c>
      <c r="F1495" s="1789"/>
      <c r="G1495" s="1789"/>
      <c r="H1495" s="886" t="str">
        <f>EUconst_tCO2epa</f>
        <v>t CO2e/gads</v>
      </c>
      <c r="I1495" s="918" t="str">
        <f>INDEX(I$115:I$134,MATCH($I1479,$E$115:$E$134,0))</f>
        <v/>
      </c>
      <c r="J1495" s="919" t="str">
        <f>INDEX(J$115:J$134,MATCH($I1479,$E$115:$E$134,0))</f>
        <v/>
      </c>
      <c r="K1495" s="919" t="str">
        <f>INDEX(K$115:K$134,MATCH($I1479,$E$115:$E$134,0))</f>
        <v/>
      </c>
      <c r="L1495" s="919" t="str">
        <f>INDEX(L$115:L$134,MATCH($I1479,$E$115:$E$134,0))</f>
        <v/>
      </c>
      <c r="M1495" s="920" t="str">
        <f>INDEX(M$115:M$134,MATCH($I1479,$E$115:$E$134,0))</f>
        <v/>
      </c>
      <c r="N1495" s="823"/>
      <c r="O1495" s="25"/>
      <c r="P1495" s="437"/>
      <c r="Q1495" s="437"/>
      <c r="R1495" s="437"/>
      <c r="S1495" s="437"/>
      <c r="T1495" s="26"/>
    </row>
    <row r="1496" spans="1:20" s="697" customFormat="1" ht="12.75" customHeight="1" x14ac:dyDescent="0.2">
      <c r="A1496" s="437"/>
      <c r="B1496" s="414"/>
      <c r="C1496" s="414"/>
      <c r="D1496" s="414"/>
      <c r="E1496" s="823"/>
      <c r="F1496" s="823"/>
      <c r="G1496" s="823"/>
      <c r="H1496" s="823"/>
      <c r="I1496" s="823"/>
      <c r="J1496" s="823"/>
      <c r="K1496" s="823"/>
      <c r="L1496" s="823"/>
      <c r="M1496" s="823"/>
      <c r="N1496" s="823"/>
      <c r="O1496" s="25"/>
      <c r="P1496" s="437"/>
      <c r="Q1496" s="437"/>
      <c r="R1496" s="437"/>
      <c r="S1496" s="437"/>
      <c r="T1496" s="437"/>
    </row>
    <row r="1497" spans="1:20" s="697" customFormat="1" ht="13.5" thickBot="1" x14ac:dyDescent="0.25">
      <c r="A1497" s="437"/>
      <c r="B1497" s="414"/>
      <c r="C1497" s="414"/>
      <c r="D1497" s="414"/>
      <c r="E1497" s="414"/>
      <c r="F1497" s="414"/>
      <c r="G1497" s="414"/>
      <c r="M1497" s="414"/>
      <c r="N1497" s="414"/>
      <c r="O1497" s="25"/>
      <c r="P1497" s="437"/>
      <c r="Q1497" s="437"/>
      <c r="R1497" s="437"/>
      <c r="S1497" s="437"/>
      <c r="T1497" s="437"/>
    </row>
    <row r="1498" spans="1:20" s="697" customFormat="1" ht="12.75" customHeight="1" thickBot="1" x14ac:dyDescent="0.25">
      <c r="A1498" s="437"/>
      <c r="B1498" s="21"/>
      <c r="C1498" s="294"/>
      <c r="D1498" s="294"/>
      <c r="E1498" s="294"/>
      <c r="F1498" s="294"/>
      <c r="G1498" s="294"/>
      <c r="H1498" s="294"/>
      <c r="I1498" s="294"/>
      <c r="J1498" s="294"/>
      <c r="K1498" s="294"/>
      <c r="L1498" s="294"/>
      <c r="M1498" s="294"/>
      <c r="N1498" s="294"/>
      <c r="O1498" s="25"/>
      <c r="P1498" s="437"/>
      <c r="Q1498" s="437"/>
      <c r="R1498" s="437"/>
      <c r="S1498" s="437"/>
      <c r="T1498" s="26" t="s">
        <v>560</v>
      </c>
    </row>
    <row r="1499" spans="1:20" s="697" customFormat="1" ht="15" customHeight="1" thickBot="1" x14ac:dyDescent="0.3">
      <c r="A1499" s="437"/>
      <c r="B1499" s="414"/>
      <c r="C1499" s="36">
        <f>C1479+1</f>
        <v>19</v>
      </c>
      <c r="D1499" s="1318" t="str">
        <f>CONCATENATE(EUconst_FBSubinst," ",C1499-10, ":")</f>
        <v>Alternatīva apakšiekārta 9:</v>
      </c>
      <c r="E1499" s="1251"/>
      <c r="F1499" s="1251"/>
      <c r="G1499" s="1251"/>
      <c r="H1499" s="1328"/>
      <c r="I1499" s="1877" t="str">
        <f>INDEX(EUconst_FallBackListNames,$C1499-10)</f>
        <v>Procesa emisiju apakšiekārta (bez OEP | bez OIM)</v>
      </c>
      <c r="J1499" s="1878"/>
      <c r="K1499" s="1878"/>
      <c r="L1499" s="1879"/>
      <c r="M1499" s="1783" t="str">
        <f>IF(ISBLANK(INDEX(CNTR_FallBackSubInstRelevant,C1499-10)),"",IF(INDEX(CNTR_FallBackSubInstRelevant,C1499-10),EUconst_Relevant,EUconst_NotRelevant))</f>
        <v/>
      </c>
      <c r="N1499" s="1784"/>
      <c r="O1499" s="25"/>
      <c r="P1499" s="437"/>
      <c r="Q1499" s="904">
        <f>C1499</f>
        <v>19</v>
      </c>
      <c r="R1499" s="901" t="str">
        <f>I1499</f>
        <v>Procesa emisiju apakšiekārta (bez OEP | bez OIM)</v>
      </c>
      <c r="S1499" s="903" t="b">
        <f>H1502</f>
        <v>0</v>
      </c>
      <c r="T1499" s="902" t="str">
        <f>IF(M1511="","",IF(S1502=0,0,SUM(M1511)/S1502))</f>
        <v/>
      </c>
    </row>
    <row r="1500" spans="1:20" s="697" customFormat="1" ht="5.0999999999999996" customHeight="1" thickBot="1" x14ac:dyDescent="0.25">
      <c r="A1500" s="437"/>
      <c r="B1500" s="414"/>
      <c r="C1500" s="414"/>
      <c r="D1500" s="414"/>
      <c r="E1500" s="414"/>
      <c r="F1500" s="414"/>
      <c r="G1500" s="414"/>
      <c r="H1500" s="414"/>
      <c r="I1500" s="414"/>
      <c r="J1500" s="414"/>
      <c r="K1500" s="414"/>
      <c r="L1500" s="414"/>
      <c r="M1500" s="414"/>
      <c r="N1500" s="414"/>
      <c r="O1500" s="25"/>
      <c r="P1500" s="437"/>
      <c r="Q1500" s="437"/>
      <c r="R1500" s="437"/>
      <c r="S1500" s="437"/>
      <c r="T1500" s="26"/>
    </row>
    <row r="1501" spans="1:20" s="697" customFormat="1" ht="13.5" thickBot="1" x14ac:dyDescent="0.25">
      <c r="A1501" s="437"/>
      <c r="B1501" s="414"/>
      <c r="C1501" s="414"/>
      <c r="D1501" s="414"/>
      <c r="E1501" s="414"/>
      <c r="F1501" s="414"/>
      <c r="G1501" s="414"/>
      <c r="H1501" s="647" t="str">
        <f>Translations!$B$1204</f>
        <v>Pakļauta OEP</v>
      </c>
      <c r="I1501" s="647" t="str">
        <f>Translations!$B$1208</f>
        <v>Ekspl. sākta</v>
      </c>
      <c r="J1501" s="647" t="str">
        <f>Translations!$B$1212</f>
        <v>15(7)3?</v>
      </c>
      <c r="L1501" s="1172" t="str">
        <f>Translations!$B$1206</f>
        <v>LA Nr.</v>
      </c>
      <c r="M1501" s="989" t="str">
        <f>Translations!$B$1234</f>
        <v>LA vērtība (min./maks./fakt.)</v>
      </c>
      <c r="N1501" s="990"/>
      <c r="O1501" s="25"/>
      <c r="P1501" s="437"/>
      <c r="Q1501" s="437"/>
      <c r="R1501" s="646" t="s">
        <v>641</v>
      </c>
      <c r="S1501" s="903" t="b">
        <f>H1504</f>
        <v>0</v>
      </c>
      <c r="T1501" s="26"/>
    </row>
    <row r="1502" spans="1:20" s="697" customFormat="1" x14ac:dyDescent="0.2">
      <c r="A1502" s="437"/>
      <c r="B1502" s="414"/>
      <c r="C1502" s="414"/>
      <c r="D1502" s="414"/>
      <c r="E1502" s="649" t="str">
        <f>I1499</f>
        <v>Procesa emisiju apakšiekārta (bez OEP | bez OIM)</v>
      </c>
      <c r="F1502" s="650"/>
      <c r="G1502" s="594"/>
      <c r="H1502" s="651" t="b">
        <f>INDEX(EUconst_FallBackListCLstatus,MATCH(I1499,EUconst_FallBackListNames,0))</f>
        <v>0</v>
      </c>
      <c r="I1502" s="1171" t="str">
        <f>IF(M1499&lt;&gt;EUconst_Relevant,"",INDEX(CNTR_SubInstStartDate,MATCH(E1502,CNTR_SubInstListNames,0)))</f>
        <v/>
      </c>
      <c r="J1502" s="651" t="str">
        <f>IF(M1499&lt;&gt;EUconst_Relevant,"",INDEX(CNTR_SubInstLess1Year,MATCH(E1502,CNTR_SubInstListNames,0)))</f>
        <v/>
      </c>
      <c r="L1502" s="1173">
        <f>C1499-10</f>
        <v>9</v>
      </c>
      <c r="M1502" s="995" t="str">
        <f>IF(M1499&lt;&gt;EUconst_Relevant,"",INDEX(EUconst_FallBackListBMvaluesMatrix,L1502,2))</f>
        <v/>
      </c>
      <c r="N1502" s="992" t="str">
        <f>EUconst_EUA &amp; "/" &amp; H1507</f>
        <v>ESK/t CO2e</v>
      </c>
      <c r="O1502" s="25"/>
      <c r="P1502" s="437"/>
      <c r="Q1502" s="437"/>
      <c r="R1502" s="732" t="s">
        <v>554</v>
      </c>
      <c r="S1502" s="815">
        <f>IF(H1502,1,INDEX(EUconst_CLEFYears,1))</f>
        <v>0.3</v>
      </c>
      <c r="T1502" s="437"/>
    </row>
    <row r="1503" spans="1:20" s="697" customFormat="1" x14ac:dyDescent="0.2">
      <c r="A1503" s="437"/>
      <c r="B1503" s="414"/>
      <c r="C1503" s="414"/>
      <c r="H1503" s="647" t="s">
        <v>623</v>
      </c>
      <c r="M1503" s="995" t="str">
        <f>IF(M1499&lt;&gt;EUconst_Relevant,"",INDEX(EUconst_FallBackListBMvaluesMatrix,L1502,1))</f>
        <v/>
      </c>
      <c r="N1503" s="992" t="str">
        <f>EUconst_EUA &amp; "/" &amp; H1507</f>
        <v>ESK/t CO2e</v>
      </c>
      <c r="O1503" s="25"/>
      <c r="P1503" s="437"/>
      <c r="Q1503" s="437"/>
      <c r="R1503" s="732"/>
      <c r="S1503" s="866"/>
      <c r="T1503" s="437"/>
    </row>
    <row r="1504" spans="1:20" s="697" customFormat="1" ht="13.5" thickBot="1" x14ac:dyDescent="0.25">
      <c r="A1504" s="437"/>
      <c r="B1504" s="414"/>
      <c r="C1504" s="414"/>
      <c r="H1504" s="651" t="b">
        <f>INDEX(EUconst_FallBackListCBAMstatus,MATCH(I1499,EUconst_FallBackListNames,0))</f>
        <v>0</v>
      </c>
      <c r="M1504" s="996" t="str">
        <f>IF(M1499&lt;&gt;EUconst_Relevant,"",IF(EUconst_StatusOfDataCollection,INDEX(EUconst_FallBackListBMvaluesMatrix,L1502,3),""))</f>
        <v/>
      </c>
      <c r="N1504" s="994" t="str">
        <f>EUconst_EUA &amp; "/" &amp; H1507</f>
        <v>ESK/t CO2e</v>
      </c>
      <c r="O1504" s="25"/>
      <c r="P1504" s="437"/>
      <c r="Q1504" s="437"/>
      <c r="R1504" s="732"/>
      <c r="S1504" s="866"/>
      <c r="T1504" s="437"/>
    </row>
    <row r="1505" spans="1:20" s="697" customFormat="1" ht="5.0999999999999996" customHeight="1" x14ac:dyDescent="0.2">
      <c r="A1505" s="437"/>
      <c r="B1505" s="414"/>
      <c r="C1505" s="414"/>
      <c r="D1505" s="414"/>
      <c r="E1505" s="414"/>
      <c r="F1505" s="414"/>
      <c r="G1505" s="414"/>
      <c r="H1505" s="414"/>
      <c r="I1505" s="414"/>
      <c r="J1505" s="414"/>
      <c r="K1505" s="414"/>
      <c r="L1505" s="414"/>
      <c r="M1505" s="414"/>
      <c r="N1505" s="414"/>
      <c r="O1505" s="25"/>
      <c r="P1505" s="437"/>
      <c r="Q1505" s="437"/>
      <c r="R1505" s="437"/>
      <c r="S1505" s="437"/>
      <c r="T1505" s="437"/>
    </row>
    <row r="1506" spans="1:20" s="697" customFormat="1" x14ac:dyDescent="0.2">
      <c r="A1506" s="437"/>
      <c r="B1506" s="414"/>
      <c r="C1506" s="414"/>
      <c r="D1506" s="414"/>
      <c r="E1506" s="652"/>
      <c r="F1506" s="652"/>
      <c r="G1506" s="653"/>
      <c r="H1506" s="647" t="str">
        <f>EUconst_Unit</f>
        <v>Vienība</v>
      </c>
      <c r="I1506" s="447">
        <f>I$1652</f>
        <v>2019</v>
      </c>
      <c r="J1506" s="447">
        <f>J$1652</f>
        <v>2020</v>
      </c>
      <c r="K1506" s="447">
        <f>K$1652</f>
        <v>2021</v>
      </c>
      <c r="L1506" s="447">
        <f>L$1652</f>
        <v>2022</v>
      </c>
      <c r="M1506" s="447">
        <f>M$1652</f>
        <v>2023</v>
      </c>
      <c r="N1506" s="414"/>
      <c r="O1506" s="25"/>
      <c r="P1506" s="202" t="s">
        <v>228</v>
      </c>
      <c r="Q1506" s="437"/>
      <c r="R1506" s="437"/>
      <c r="S1506" s="437"/>
      <c r="T1506" s="437"/>
    </row>
    <row r="1507" spans="1:20" s="697" customFormat="1" x14ac:dyDescent="0.2">
      <c r="A1507" s="437"/>
      <c r="B1507" s="414"/>
      <c r="C1507" s="414"/>
      <c r="D1507" s="414"/>
      <c r="E1507" s="654" t="str">
        <f>Translations!$B$1236</f>
        <v>Ziņotais HAL (vēsturiskais darbības līmenis)</v>
      </c>
      <c r="F1507" s="655"/>
      <c r="G1507" s="656"/>
      <c r="H1507" s="651" t="str">
        <f>INDEX(EUconst_FallBackListUnits,L1502)</f>
        <v>t CO2e</v>
      </c>
      <c r="I1507" s="546" t="str">
        <f>IF($M1499&lt;&gt;EUconst_Relevant,"",SUMIF('G_Fall-back'!$P:$P,$P1508,'G_Fall-back'!I:I))</f>
        <v/>
      </c>
      <c r="J1507" s="546" t="str">
        <f>IF($M1499&lt;&gt;EUconst_Relevant,"",SUMIF('G_Fall-back'!$P:$P,$P1508,'G_Fall-back'!J:J))</f>
        <v/>
      </c>
      <c r="K1507" s="546" t="str">
        <f>IF($M1499&lt;&gt;EUconst_Relevant,"",SUMIF('G_Fall-back'!$P:$P,$P1508,'G_Fall-back'!K:K))</f>
        <v/>
      </c>
      <c r="L1507" s="546" t="str">
        <f>IF($M1499&lt;&gt;EUconst_Relevant,"",SUMIF('G_Fall-back'!$P:$P,$P1508,'G_Fall-back'!L:L))</f>
        <v/>
      </c>
      <c r="M1507" s="546" t="str">
        <f>IF($M1499&lt;&gt;EUconst_Relevant,"",SUMIF('G_Fall-back'!$P:$P,$P1508,'G_Fall-back'!M:M))</f>
        <v/>
      </c>
      <c r="N1507" s="648" t="s">
        <v>625</v>
      </c>
      <c r="O1507" s="25"/>
      <c r="P1507" s="202" t="str">
        <f>EUconst_CNTR_HAL&amp;I1499</f>
        <v>HAL_Procesa emisiju apakšiekārta (bez OEP | bez OIM)</v>
      </c>
      <c r="Q1507" s="437"/>
      <c r="R1507" s="437"/>
      <c r="S1507" s="437"/>
      <c r="T1507" s="26"/>
    </row>
    <row r="1508" spans="1:20" s="697" customFormat="1" x14ac:dyDescent="0.2">
      <c r="A1508" s="437"/>
      <c r="B1508" s="414"/>
      <c r="C1508" s="414"/>
      <c r="D1508" s="414"/>
      <c r="E1508" s="654" t="str">
        <f>Translations!$B$1237</f>
        <v>HAL aprēķinam izmantotās vērtības:</v>
      </c>
      <c r="F1508" s="655"/>
      <c r="G1508" s="656"/>
      <c r="H1508" s="651" t="str">
        <f>H1507</f>
        <v>t CO2e</v>
      </c>
      <c r="I1508" s="442" t="str">
        <f>IF($M1499&lt;&gt;EUconst_Relevant,"",INDEX('G_Fall-back'!S:S,MATCH($P1508,'G_Fall-back'!$P:$P,0)))</f>
        <v/>
      </c>
      <c r="J1508" s="442" t="str">
        <f>IF($M1499&lt;&gt;EUconst_Relevant,"",INDEX('G_Fall-back'!T:T,MATCH($P1508,'G_Fall-back'!$P:$P,0)))</f>
        <v/>
      </c>
      <c r="K1508" s="442" t="str">
        <f>IF($M1499&lt;&gt;EUconst_Relevant,"",INDEX('G_Fall-back'!U:U,MATCH($P1508,'G_Fall-back'!$P:$P,0)))</f>
        <v/>
      </c>
      <c r="L1508" s="442" t="str">
        <f>IF($M1499&lt;&gt;EUconst_Relevant,"",INDEX('G_Fall-back'!V:V,MATCH($P1508,'G_Fall-back'!$P:$P,0)))</f>
        <v/>
      </c>
      <c r="M1508" s="442" t="str">
        <f>IF($M1499&lt;&gt;EUconst_Relevant,"",INDEX('G_Fall-back'!W:W,MATCH($P1508,'G_Fall-back'!$P:$P,0)))</f>
        <v/>
      </c>
      <c r="N1508" s="546" t="str">
        <f>IF(OR($M1499&lt;&gt;EUconst_Relevant,$J1502=TRUE),"",IF(COUNT($I1508:$M1508)&gt;0,MEDIAN($I1508:$M1508),""))</f>
        <v/>
      </c>
      <c r="O1508" s="25"/>
      <c r="P1508" s="202" t="str">
        <f>EUconst_CNTR_HAL&amp;I1499</f>
        <v>HAL_Procesa emisiju apakšiekārta (bez OEP | bez OIM)</v>
      </c>
      <c r="Q1508" s="437"/>
      <c r="R1508" s="931" t="s">
        <v>604</v>
      </c>
      <c r="S1508" s="931" t="s">
        <v>605</v>
      </c>
      <c r="T1508" s="931" t="s">
        <v>606</v>
      </c>
    </row>
    <row r="1509" spans="1:20" s="697" customFormat="1" ht="5.0999999999999996" customHeight="1" thickBot="1" x14ac:dyDescent="0.25">
      <c r="A1509" s="437"/>
      <c r="B1509" s="414"/>
      <c r="C1509" s="414"/>
      <c r="D1509" s="414"/>
      <c r="E1509" s="414"/>
      <c r="F1509" s="414"/>
      <c r="G1509" s="414"/>
      <c r="H1509" s="414"/>
      <c r="I1509" s="414"/>
      <c r="J1509" s="414"/>
      <c r="K1509" s="414"/>
      <c r="L1509" s="414"/>
      <c r="M1509" s="414"/>
      <c r="N1509" s="414"/>
      <c r="O1509" s="25"/>
      <c r="P1509" s="437"/>
      <c r="Q1509" s="437"/>
      <c r="R1509" s="437"/>
      <c r="S1509" s="437"/>
      <c r="T1509" s="26"/>
    </row>
    <row r="1510" spans="1:20" s="697" customFormat="1" ht="13.5" thickBot="1" x14ac:dyDescent="0.25">
      <c r="A1510" s="437"/>
      <c r="B1510" s="414"/>
      <c r="C1510" s="414"/>
      <c r="D1510" s="414"/>
      <c r="E1510" s="414"/>
      <c r="F1510" s="657" t="str">
        <f>Translations!$B$1728</f>
        <v>HAL kopā</v>
      </c>
      <c r="G1510" s="817"/>
      <c r="H1510" s="414"/>
      <c r="I1510" s="816" t="str">
        <f>Translations!$B$1226</f>
        <v>1. gada prov. ied. apj. (min.)</v>
      </c>
      <c r="J1510" s="817"/>
      <c r="K1510" s="816" t="str">
        <f>Translations!$B$1229</f>
        <v>1. gada prov. ied. apj. (maks.)</v>
      </c>
      <c r="L1510" s="817"/>
      <c r="M1510" s="816" t="str">
        <f>Translations!$B$1231</f>
        <v>1. gada prov. ied. apj. (fakt.)</v>
      </c>
      <c r="N1510" s="817"/>
      <c r="O1510" s="25"/>
      <c r="P1510" s="202" t="str">
        <f>EUconst_AllocPrelim&amp;I1499</f>
        <v>AllocPrelim_Procesa emisiju apakšiekārta (bez OEP | bez OIM)</v>
      </c>
      <c r="Q1510" s="437"/>
      <c r="R1510" s="900" t="str">
        <f>IF(I1511="","",IF(S1502=0,0,SUM(I1511)/S1502))</f>
        <v/>
      </c>
      <c r="S1510" s="900" t="str">
        <f>IF(K1511="","",IF(S1502=0,0,SUM(K1511)/S1502))</f>
        <v/>
      </c>
      <c r="T1510" s="900" t="str">
        <f>T1499</f>
        <v/>
      </c>
    </row>
    <row r="1511" spans="1:20" s="697" customFormat="1" ht="13.5" thickBot="1" x14ac:dyDescent="0.25">
      <c r="A1511" s="437"/>
      <c r="B1511" s="414"/>
      <c r="C1511" s="414"/>
      <c r="D1511" s="414"/>
      <c r="E1511" s="414"/>
      <c r="F1511" s="658" t="str">
        <f>IF(M1499&lt;&gt;EUconst_Relevant,"",MAX(0, IF(J1502=TRUE, SUM(K1502), SUM(N1508))))</f>
        <v/>
      </c>
      <c r="G1511" s="884" t="str">
        <f>H1508&amp;" / "&amp;EUconst_Year</f>
        <v>t CO2e / gads</v>
      </c>
      <c r="H1511" s="414"/>
      <c r="I1511" s="814" t="str">
        <f>IF(M1499&lt;&gt;EUconst_Relevant,"",ROUND(SUM(M1502)*SUM(F1511)*SUM(S1502),0))</f>
        <v/>
      </c>
      <c r="J1511" s="884" t="str">
        <f>EUconst_EUApa</f>
        <v>ESK / gads</v>
      </c>
      <c r="K1511" s="814" t="str">
        <f>IF(M1499&lt;&gt;EUconst_Relevant,"",ROUND(SUM(M1503)*SUM(F1511)*SUM(S1502),0))</f>
        <v/>
      </c>
      <c r="L1511" s="884" t="str">
        <f>EUconst_EUApa</f>
        <v>ESK / gads</v>
      </c>
      <c r="M1511" s="814" t="str">
        <f>IF(OR(M1499&lt;&gt;EUconst_Relevant,M1504=""),"",ROUND(SUM(M1504)*SUM(F1511)*SUM(S1502),0))</f>
        <v/>
      </c>
      <c r="N1511" s="884" t="str">
        <f>EUconst_EUApa</f>
        <v>ESK / gads</v>
      </c>
      <c r="O1511" s="25"/>
      <c r="P1511" s="202" t="str">
        <f>EUconst_HALsum &amp; I1499</f>
        <v>HALsum_Procesa emisiju apakšiekārta (bez OEP | bez OIM)</v>
      </c>
      <c r="Q1511" s="437"/>
      <c r="R1511" s="437"/>
      <c r="S1511" s="437"/>
      <c r="T1511" s="437"/>
    </row>
    <row r="1512" spans="1:20" s="697" customFormat="1" x14ac:dyDescent="0.2">
      <c r="A1512" s="437"/>
      <c r="B1512" s="414"/>
      <c r="C1512" s="414"/>
      <c r="D1512" s="414"/>
      <c r="E1512" s="414"/>
      <c r="F1512" s="414"/>
      <c r="G1512" s="414"/>
      <c r="H1512" s="414"/>
      <c r="I1512" s="414"/>
      <c r="J1512" s="414"/>
      <c r="K1512" s="414"/>
      <c r="L1512" s="414"/>
      <c r="M1512" s="414"/>
      <c r="N1512" s="414"/>
      <c r="O1512" s="25"/>
      <c r="P1512" s="437"/>
      <c r="Q1512" s="437"/>
      <c r="R1512" s="437"/>
      <c r="S1512" s="437"/>
      <c r="T1512" s="437"/>
    </row>
    <row r="1513" spans="1:20" s="697" customFormat="1" ht="12.75" customHeight="1" x14ac:dyDescent="0.2">
      <c r="A1513" s="437"/>
      <c r="B1513" s="414"/>
      <c r="C1513" s="414"/>
      <c r="D1513" s="414"/>
      <c r="E1513" s="526"/>
      <c r="F1513" s="823"/>
      <c r="G1513" s="823"/>
      <c r="H1513" s="823"/>
      <c r="I1513" s="823"/>
      <c r="J1513" s="823"/>
      <c r="K1513" s="823"/>
      <c r="L1513" s="823"/>
      <c r="M1513" s="823"/>
      <c r="N1513" s="823"/>
      <c r="O1513" s="25"/>
      <c r="P1513" s="437"/>
      <c r="Q1513" s="437"/>
      <c r="R1513" s="437"/>
      <c r="S1513" s="437"/>
      <c r="T1513" s="437"/>
    </row>
    <row r="1514" spans="1:20" s="697" customFormat="1" ht="13.5" thickBot="1" x14ac:dyDescent="0.25">
      <c r="A1514" s="437"/>
      <c r="B1514" s="414"/>
      <c r="C1514" s="414"/>
      <c r="D1514" s="414"/>
      <c r="E1514" s="526"/>
      <c r="F1514" s="823"/>
      <c r="G1514" s="823"/>
      <c r="H1514" s="525" t="str">
        <f>EUconst_Unit</f>
        <v>Vienība</v>
      </c>
      <c r="I1514" s="928">
        <f>I$1652</f>
        <v>2019</v>
      </c>
      <c r="J1514" s="825">
        <f>J$1652</f>
        <v>2020</v>
      </c>
      <c r="K1514" s="825">
        <f>K$1652</f>
        <v>2021</v>
      </c>
      <c r="L1514" s="825">
        <f>L$1652</f>
        <v>2022</v>
      </c>
      <c r="M1514" s="825">
        <f>M$1652</f>
        <v>2023</v>
      </c>
      <c r="N1514" s="823"/>
      <c r="O1514" s="25"/>
      <c r="P1514" s="437"/>
      <c r="Q1514" s="437"/>
      <c r="R1514" s="437"/>
      <c r="S1514" s="437"/>
      <c r="T1514" s="437"/>
    </row>
    <row r="1515" spans="1:20" s="697" customFormat="1" ht="13.5" thickBot="1" x14ac:dyDescent="0.25">
      <c r="A1515" s="437"/>
      <c r="B1515" s="414"/>
      <c r="C1515" s="414"/>
      <c r="D1515" s="414"/>
      <c r="E1515" s="1789" t="str">
        <f>Translations!$B$1238</f>
        <v>Kopējās attiecinātās emisijas</v>
      </c>
      <c r="F1515" s="1789"/>
      <c r="G1515" s="1789"/>
      <c r="H1515" s="886" t="str">
        <f>EUconst_tCO2epa</f>
        <v>t CO2e/gads</v>
      </c>
      <c r="I1515" s="918" t="str">
        <f>INDEX(I$115:I$134,MATCH($I1499,$E$115:$E$134,0))</f>
        <v/>
      </c>
      <c r="J1515" s="919" t="str">
        <f>INDEX(J$115:J$134,MATCH($I1499,$E$115:$E$134,0))</f>
        <v/>
      </c>
      <c r="K1515" s="919" t="str">
        <f>INDEX(K$115:K$134,MATCH($I1499,$E$115:$E$134,0))</f>
        <v/>
      </c>
      <c r="L1515" s="919" t="str">
        <f>INDEX(L$115:L$134,MATCH($I1499,$E$115:$E$134,0))</f>
        <v/>
      </c>
      <c r="M1515" s="920" t="str">
        <f>INDEX(M$115:M$134,MATCH($I1499,$E$115:$E$134,0))</f>
        <v/>
      </c>
      <c r="N1515" s="823"/>
      <c r="O1515" s="25"/>
      <c r="P1515" s="437"/>
      <c r="Q1515" s="437"/>
      <c r="R1515" s="437"/>
      <c r="S1515" s="437"/>
      <c r="T1515" s="26"/>
    </row>
    <row r="1516" spans="1:20" s="697" customFormat="1" ht="12.75" customHeight="1" x14ac:dyDescent="0.2">
      <c r="A1516" s="437"/>
      <c r="B1516" s="414"/>
      <c r="C1516" s="414"/>
      <c r="D1516" s="414"/>
      <c r="E1516" s="823"/>
      <c r="F1516" s="823"/>
      <c r="G1516" s="823"/>
      <c r="H1516" s="823"/>
      <c r="I1516" s="823"/>
      <c r="J1516" s="823"/>
      <c r="K1516" s="823"/>
      <c r="L1516" s="823"/>
      <c r="M1516" s="823"/>
      <c r="N1516" s="823"/>
      <c r="O1516" s="25"/>
      <c r="P1516" s="437"/>
      <c r="Q1516" s="437"/>
      <c r="R1516" s="437"/>
      <c r="S1516" s="437"/>
      <c r="T1516" s="437"/>
    </row>
    <row r="1517" spans="1:20" ht="12.75" customHeight="1" thickBot="1" x14ac:dyDescent="0.25">
      <c r="B1517" s="38"/>
      <c r="C1517" s="38"/>
      <c r="D1517" s="38"/>
      <c r="E1517" s="38"/>
      <c r="F1517" s="38"/>
      <c r="G1517" s="38"/>
      <c r="H1517" s="38"/>
      <c r="I1517" s="38"/>
      <c r="J1517" s="38"/>
      <c r="K1517" s="38"/>
      <c r="L1517" s="38"/>
      <c r="M1517" s="38"/>
      <c r="N1517" s="38"/>
      <c r="O1517" s="25"/>
    </row>
    <row r="1518" spans="1:20" s="697" customFormat="1" ht="12.75" customHeight="1" thickBot="1" x14ac:dyDescent="0.25">
      <c r="A1518" s="437"/>
      <c r="B1518" s="21"/>
      <c r="C1518" s="294"/>
      <c r="D1518" s="294"/>
      <c r="E1518" s="294"/>
      <c r="F1518" s="294"/>
      <c r="G1518" s="294"/>
      <c r="H1518" s="294"/>
      <c r="I1518" s="294"/>
      <c r="J1518" s="294"/>
      <c r="K1518" s="294"/>
      <c r="L1518" s="294"/>
      <c r="M1518" s="294"/>
      <c r="N1518" s="294"/>
      <c r="O1518" s="25"/>
      <c r="P1518" s="437"/>
      <c r="Q1518" s="437"/>
      <c r="R1518" s="437"/>
      <c r="S1518" s="437"/>
      <c r="T1518" s="26" t="s">
        <v>560</v>
      </c>
    </row>
    <row r="1519" spans="1:20" s="697" customFormat="1" ht="15" customHeight="1" thickBot="1" x14ac:dyDescent="0.3">
      <c r="A1519" s="437"/>
      <c r="B1519" s="414"/>
      <c r="C1519" s="36">
        <f>C1499+1</f>
        <v>20</v>
      </c>
      <c r="D1519" s="1318" t="str">
        <f>CONCATENATE(EUconst_FBSubinst," ",C1519-10, ":")</f>
        <v>Alternatīva apakšiekārta 10:</v>
      </c>
      <c r="E1519" s="1251"/>
      <c r="F1519" s="1251"/>
      <c r="G1519" s="1251"/>
      <c r="H1519" s="1328"/>
      <c r="I1519" s="1877" t="str">
        <f>INDEX(EUconst_FallBackListNames,$C1519-10)</f>
        <v>Procesa emisiju apakšiekārta (OEP | OIM)</v>
      </c>
      <c r="J1519" s="1878"/>
      <c r="K1519" s="1878"/>
      <c r="L1519" s="1879"/>
      <c r="M1519" s="1783" t="str">
        <f>IF(ISBLANK(INDEX(CNTR_FallBackSubInstRelevant,C1519-10)),"",IF(INDEX(CNTR_FallBackSubInstRelevant,C1519-10),EUconst_Relevant,EUconst_NotRelevant))</f>
        <v/>
      </c>
      <c r="N1519" s="1784"/>
      <c r="O1519" s="25"/>
      <c r="P1519" s="437"/>
      <c r="Q1519" s="904">
        <f>C1519</f>
        <v>20</v>
      </c>
      <c r="R1519" s="901" t="str">
        <f>I1519</f>
        <v>Procesa emisiju apakšiekārta (OEP | OIM)</v>
      </c>
      <c r="S1519" s="903" t="b">
        <f>H1522</f>
        <v>1</v>
      </c>
      <c r="T1519" s="902" t="str">
        <f>IF(M1531="","",IF(S1522=0,0,SUM(M1531)/S1522))</f>
        <v/>
      </c>
    </row>
    <row r="1520" spans="1:20" s="697" customFormat="1" ht="5.0999999999999996" customHeight="1" thickBot="1" x14ac:dyDescent="0.25">
      <c r="A1520" s="437"/>
      <c r="B1520" s="414"/>
      <c r="C1520" s="414"/>
      <c r="D1520" s="414"/>
      <c r="E1520" s="414"/>
      <c r="F1520" s="414"/>
      <c r="G1520" s="414"/>
      <c r="H1520" s="414"/>
      <c r="I1520" s="414"/>
      <c r="J1520" s="414"/>
      <c r="K1520" s="414"/>
      <c r="L1520" s="414"/>
      <c r="M1520" s="414"/>
      <c r="N1520" s="414"/>
      <c r="O1520" s="25"/>
      <c r="P1520" s="437"/>
      <c r="Q1520" s="437"/>
      <c r="R1520" s="437"/>
      <c r="S1520" s="437"/>
      <c r="T1520" s="26"/>
    </row>
    <row r="1521" spans="1:20" s="697" customFormat="1" ht="13.5" thickBot="1" x14ac:dyDescent="0.25">
      <c r="A1521" s="437"/>
      <c r="B1521" s="414"/>
      <c r="C1521" s="414"/>
      <c r="D1521" s="414"/>
      <c r="E1521" s="414"/>
      <c r="F1521" s="414"/>
      <c r="G1521" s="414"/>
      <c r="H1521" s="647" t="str">
        <f>Translations!$B$1204</f>
        <v>Pakļauta OEP</v>
      </c>
      <c r="I1521" s="647" t="str">
        <f>Translations!$B$1208</f>
        <v>Ekspl. sākta</v>
      </c>
      <c r="J1521" s="647" t="str">
        <f>Translations!$B$1212</f>
        <v>15(7)3?</v>
      </c>
      <c r="L1521" s="1172" t="str">
        <f>Translations!$B$1206</f>
        <v>LA Nr.</v>
      </c>
      <c r="M1521" s="989" t="str">
        <f>Translations!$B$1234</f>
        <v>LA vērtība (min./maks./fakt.)</v>
      </c>
      <c r="N1521" s="990"/>
      <c r="O1521" s="25"/>
      <c r="P1521" s="437"/>
      <c r="Q1521" s="437"/>
      <c r="R1521" s="646" t="s">
        <v>641</v>
      </c>
      <c r="S1521" s="903" t="b">
        <f>H1524</f>
        <v>1</v>
      </c>
      <c r="T1521" s="26"/>
    </row>
    <row r="1522" spans="1:20" s="697" customFormat="1" x14ac:dyDescent="0.2">
      <c r="A1522" s="437"/>
      <c r="B1522" s="414"/>
      <c r="C1522" s="414"/>
      <c r="D1522" s="414"/>
      <c r="E1522" s="649" t="str">
        <f>I1519</f>
        <v>Procesa emisiju apakšiekārta (OEP | OIM)</v>
      </c>
      <c r="F1522" s="650"/>
      <c r="G1522" s="594"/>
      <c r="H1522" s="651" t="b">
        <f>INDEX(EUconst_FallBackListCLstatus,MATCH(I1519,EUconst_FallBackListNames,0))</f>
        <v>1</v>
      </c>
      <c r="I1522" s="1171" t="str">
        <f>IF(M1519&lt;&gt;EUconst_Relevant,"",INDEX(CNTR_SubInstStartDate,MATCH(E1522,CNTR_SubInstListNames,0)))</f>
        <v/>
      </c>
      <c r="J1522" s="651" t="str">
        <f>IF(M1519&lt;&gt;EUconst_Relevant,"",INDEX(CNTR_SubInstLess1Year,MATCH(E1522,CNTR_SubInstListNames,0)))</f>
        <v/>
      </c>
      <c r="L1522" s="1173">
        <f>C1519-10</f>
        <v>10</v>
      </c>
      <c r="M1522" s="995" t="str">
        <f>IF(M1519&lt;&gt;EUconst_Relevant,"",INDEX(EUconst_FallBackListBMvaluesMatrix,L1522,2))</f>
        <v/>
      </c>
      <c r="N1522" s="992" t="str">
        <f>EUconst_EUA &amp; "/" &amp; H1527</f>
        <v>ESK/t CO2e</v>
      </c>
      <c r="O1522" s="25"/>
      <c r="P1522" s="437"/>
      <c r="Q1522" s="437"/>
      <c r="R1522" s="732" t="s">
        <v>554</v>
      </c>
      <c r="S1522" s="815">
        <f>IF(H1522,1,INDEX(EUconst_CLEFYears,1))</f>
        <v>1</v>
      </c>
      <c r="T1522" s="437"/>
    </row>
    <row r="1523" spans="1:20" s="697" customFormat="1" x14ac:dyDescent="0.2">
      <c r="A1523" s="437"/>
      <c r="B1523" s="414"/>
      <c r="C1523" s="414"/>
      <c r="H1523" s="647" t="s">
        <v>623</v>
      </c>
      <c r="M1523" s="995" t="str">
        <f>IF(M1519&lt;&gt;EUconst_Relevant,"",INDEX(EUconst_FallBackListBMvaluesMatrix,L1522,1))</f>
        <v/>
      </c>
      <c r="N1523" s="992" t="str">
        <f>EUconst_EUA &amp; "/" &amp; H1527</f>
        <v>ESK/t CO2e</v>
      </c>
      <c r="O1523" s="25"/>
      <c r="P1523" s="437"/>
      <c r="Q1523" s="437"/>
      <c r="R1523" s="732"/>
      <c r="S1523" s="866"/>
      <c r="T1523" s="437"/>
    </row>
    <row r="1524" spans="1:20" s="697" customFormat="1" ht="13.5" thickBot="1" x14ac:dyDescent="0.25">
      <c r="A1524" s="437"/>
      <c r="B1524" s="414"/>
      <c r="C1524" s="414"/>
      <c r="H1524" s="651" t="b">
        <f>INDEX(EUconst_FallBackListCBAMstatus,MATCH(I1519,EUconst_FallBackListNames,0))</f>
        <v>1</v>
      </c>
      <c r="M1524" s="996" t="str">
        <f>IF(M1519&lt;&gt;EUconst_Relevant,"",IF(EUconst_StatusOfDataCollection,INDEX(EUconst_FallBackListBMvaluesMatrix,L1522,3),""))</f>
        <v/>
      </c>
      <c r="N1524" s="994" t="str">
        <f>EUconst_EUA &amp; "/" &amp; H1527</f>
        <v>ESK/t CO2e</v>
      </c>
      <c r="O1524" s="25"/>
      <c r="P1524" s="437"/>
      <c r="Q1524" s="437"/>
      <c r="R1524" s="732"/>
      <c r="S1524" s="866"/>
      <c r="T1524" s="437"/>
    </row>
    <row r="1525" spans="1:20" s="697" customFormat="1" ht="5.0999999999999996" customHeight="1" x14ac:dyDescent="0.2">
      <c r="A1525" s="437"/>
      <c r="B1525" s="414"/>
      <c r="C1525" s="414"/>
      <c r="D1525" s="414"/>
      <c r="E1525" s="414"/>
      <c r="F1525" s="414"/>
      <c r="G1525" s="414"/>
      <c r="H1525" s="414"/>
      <c r="I1525" s="414"/>
      <c r="J1525" s="414"/>
      <c r="K1525" s="414"/>
      <c r="L1525" s="414"/>
      <c r="M1525" s="414"/>
      <c r="N1525" s="414"/>
      <c r="O1525" s="25"/>
      <c r="P1525" s="437"/>
      <c r="Q1525" s="437"/>
      <c r="R1525" s="437"/>
      <c r="S1525" s="437"/>
      <c r="T1525" s="437"/>
    </row>
    <row r="1526" spans="1:20" s="697" customFormat="1" x14ac:dyDescent="0.2">
      <c r="A1526" s="437"/>
      <c r="B1526" s="414"/>
      <c r="C1526" s="414"/>
      <c r="D1526" s="414"/>
      <c r="E1526" s="652"/>
      <c r="F1526" s="652"/>
      <c r="G1526" s="653"/>
      <c r="H1526" s="647" t="str">
        <f>EUconst_Unit</f>
        <v>Vienība</v>
      </c>
      <c r="I1526" s="447">
        <f>I$1652</f>
        <v>2019</v>
      </c>
      <c r="J1526" s="447">
        <f>J$1652</f>
        <v>2020</v>
      </c>
      <c r="K1526" s="447">
        <f>K$1652</f>
        <v>2021</v>
      </c>
      <c r="L1526" s="447">
        <f>L$1652</f>
        <v>2022</v>
      </c>
      <c r="M1526" s="447">
        <f>M$1652</f>
        <v>2023</v>
      </c>
      <c r="N1526" s="414"/>
      <c r="O1526" s="25"/>
      <c r="P1526" s="202" t="s">
        <v>228</v>
      </c>
      <c r="Q1526" s="437"/>
      <c r="R1526" s="437"/>
      <c r="S1526" s="437"/>
      <c r="T1526" s="437"/>
    </row>
    <row r="1527" spans="1:20" s="697" customFormat="1" x14ac:dyDescent="0.2">
      <c r="A1527" s="437"/>
      <c r="B1527" s="414"/>
      <c r="C1527" s="414"/>
      <c r="D1527" s="414"/>
      <c r="E1527" s="654" t="str">
        <f>Translations!$B$1236</f>
        <v>Ziņotais HAL (vēsturiskais darbības līmenis)</v>
      </c>
      <c r="F1527" s="655"/>
      <c r="G1527" s="656"/>
      <c r="H1527" s="651" t="str">
        <f>INDEX(EUconst_FallBackListUnits,L1522)</f>
        <v>t CO2e</v>
      </c>
      <c r="I1527" s="546" t="str">
        <f>IF($M1519&lt;&gt;EUconst_Relevant,"",SUMIF('G_Fall-back'!$P:$P,$P1528,'G_Fall-back'!I:I))</f>
        <v/>
      </c>
      <c r="J1527" s="546" t="str">
        <f>IF($M1519&lt;&gt;EUconst_Relevant,"",SUMIF('G_Fall-back'!$P:$P,$P1528,'G_Fall-back'!J:J))</f>
        <v/>
      </c>
      <c r="K1527" s="546" t="str">
        <f>IF($M1519&lt;&gt;EUconst_Relevant,"",SUMIF('G_Fall-back'!$P:$P,$P1528,'G_Fall-back'!K:K))</f>
        <v/>
      </c>
      <c r="L1527" s="546" t="str">
        <f>IF($M1519&lt;&gt;EUconst_Relevant,"",SUMIF('G_Fall-back'!$P:$P,$P1528,'G_Fall-back'!L:L))</f>
        <v/>
      </c>
      <c r="M1527" s="546" t="str">
        <f>IF($M1519&lt;&gt;EUconst_Relevant,"",SUMIF('G_Fall-back'!$P:$P,$P1528,'G_Fall-back'!M:M))</f>
        <v/>
      </c>
      <c r="N1527" s="648" t="s">
        <v>625</v>
      </c>
      <c r="O1527" s="25"/>
      <c r="P1527" s="202" t="str">
        <f>EUconst_CNTR_HAL&amp;I1519</f>
        <v>HAL_Procesa emisiju apakšiekārta (OEP | OIM)</v>
      </c>
      <c r="Q1527" s="437"/>
      <c r="R1527" s="437"/>
      <c r="S1527" s="437"/>
      <c r="T1527" s="26"/>
    </row>
    <row r="1528" spans="1:20" s="697" customFormat="1" x14ac:dyDescent="0.2">
      <c r="A1528" s="437"/>
      <c r="B1528" s="414"/>
      <c r="C1528" s="414"/>
      <c r="D1528" s="414"/>
      <c r="E1528" s="654" t="str">
        <f>Translations!$B$1237</f>
        <v>HAL aprēķinam izmantotās vērtības:</v>
      </c>
      <c r="F1528" s="655"/>
      <c r="G1528" s="656"/>
      <c r="H1528" s="651" t="str">
        <f>H1527</f>
        <v>t CO2e</v>
      </c>
      <c r="I1528" s="442" t="str">
        <f>IF($M1519&lt;&gt;EUconst_Relevant,"",INDEX('G_Fall-back'!S:S,MATCH($P1528,'G_Fall-back'!$P:$P,0)))</f>
        <v/>
      </c>
      <c r="J1528" s="442" t="str">
        <f>IF($M1519&lt;&gt;EUconst_Relevant,"",INDEX('G_Fall-back'!T:T,MATCH($P1528,'G_Fall-back'!$P:$P,0)))</f>
        <v/>
      </c>
      <c r="K1528" s="442" t="str">
        <f>IF($M1519&lt;&gt;EUconst_Relevant,"",INDEX('G_Fall-back'!U:U,MATCH($P1528,'G_Fall-back'!$P:$P,0)))</f>
        <v/>
      </c>
      <c r="L1528" s="442" t="str">
        <f>IF($M1519&lt;&gt;EUconst_Relevant,"",INDEX('G_Fall-back'!V:V,MATCH($P1528,'G_Fall-back'!$P:$P,0)))</f>
        <v/>
      </c>
      <c r="M1528" s="442" t="str">
        <f>IF($M1519&lt;&gt;EUconst_Relevant,"",INDEX('G_Fall-back'!W:W,MATCH($P1528,'G_Fall-back'!$P:$P,0)))</f>
        <v/>
      </c>
      <c r="N1528" s="546" t="str">
        <f>IF(OR($M1519&lt;&gt;EUconst_Relevant,$J1522=TRUE),"",IF(COUNT($I1528:$M1528)&gt;0,MEDIAN($I1528:$M1528),""))</f>
        <v/>
      </c>
      <c r="O1528" s="25"/>
      <c r="P1528" s="202" t="str">
        <f>EUconst_CNTR_HAL&amp;I1519</f>
        <v>HAL_Procesa emisiju apakšiekārta (OEP | OIM)</v>
      </c>
      <c r="Q1528" s="437"/>
      <c r="R1528" s="931" t="s">
        <v>604</v>
      </c>
      <c r="S1528" s="931" t="s">
        <v>605</v>
      </c>
      <c r="T1528" s="931" t="s">
        <v>606</v>
      </c>
    </row>
    <row r="1529" spans="1:20" s="697" customFormat="1" ht="5.0999999999999996" customHeight="1" thickBot="1" x14ac:dyDescent="0.25">
      <c r="A1529" s="437"/>
      <c r="B1529" s="414"/>
      <c r="C1529" s="414"/>
      <c r="D1529" s="414"/>
      <c r="E1529" s="414"/>
      <c r="F1529" s="414"/>
      <c r="G1529" s="414"/>
      <c r="H1529" s="414"/>
      <c r="I1529" s="414"/>
      <c r="J1529" s="414"/>
      <c r="K1529" s="414"/>
      <c r="L1529" s="414"/>
      <c r="M1529" s="414"/>
      <c r="N1529" s="414"/>
      <c r="O1529" s="25"/>
      <c r="P1529" s="437"/>
      <c r="Q1529" s="437"/>
      <c r="R1529" s="437"/>
      <c r="S1529" s="437"/>
      <c r="T1529" s="26"/>
    </row>
    <row r="1530" spans="1:20" s="697" customFormat="1" ht="13.5" thickBot="1" x14ac:dyDescent="0.25">
      <c r="A1530" s="437"/>
      <c r="B1530" s="414"/>
      <c r="C1530" s="414"/>
      <c r="D1530" s="414"/>
      <c r="E1530" s="414"/>
      <c r="F1530" s="657" t="str">
        <f>Translations!$B$1728</f>
        <v>HAL kopā</v>
      </c>
      <c r="G1530" s="817"/>
      <c r="H1530" s="414"/>
      <c r="I1530" s="816" t="str">
        <f>Translations!$B$1226</f>
        <v>1. gada prov. ied. apj. (min.)</v>
      </c>
      <c r="J1530" s="817"/>
      <c r="K1530" s="816" t="str">
        <f>Translations!$B$1229</f>
        <v>1. gada prov. ied. apj. (maks.)</v>
      </c>
      <c r="L1530" s="817"/>
      <c r="M1530" s="816" t="str">
        <f>Translations!$B$1231</f>
        <v>1. gada prov. ied. apj. (fakt.)</v>
      </c>
      <c r="N1530" s="817"/>
      <c r="O1530" s="25"/>
      <c r="P1530" s="202" t="str">
        <f>EUconst_AllocPrelim&amp;I1519</f>
        <v>AllocPrelim_Procesa emisiju apakšiekārta (OEP | OIM)</v>
      </c>
      <c r="Q1530" s="437"/>
      <c r="R1530" s="900" t="str">
        <f>IF(I1531="","",IF(S1522=0,0,SUM(I1531)/S1522))</f>
        <v/>
      </c>
      <c r="S1530" s="900" t="str">
        <f>IF(K1531="","",IF(S1522=0,0,SUM(K1531)/S1522))</f>
        <v/>
      </c>
      <c r="T1530" s="900" t="str">
        <f>T1519</f>
        <v/>
      </c>
    </row>
    <row r="1531" spans="1:20" s="697" customFormat="1" ht="13.5" thickBot="1" x14ac:dyDescent="0.25">
      <c r="A1531" s="437"/>
      <c r="B1531" s="414"/>
      <c r="C1531" s="414"/>
      <c r="D1531" s="414"/>
      <c r="E1531" s="414"/>
      <c r="F1531" s="658" t="str">
        <f>IF(M1519&lt;&gt;EUconst_Relevant,"",MAX(0, IF(J1522=TRUE, SUM(K1522), SUM(N1528))))</f>
        <v/>
      </c>
      <c r="G1531" s="884" t="str">
        <f>H1528&amp;" / "&amp;EUconst_Year</f>
        <v>t CO2e / gads</v>
      </c>
      <c r="H1531" s="414"/>
      <c r="I1531" s="814" t="str">
        <f>IF(M1519&lt;&gt;EUconst_Relevant,"",ROUND(SUM(M1522)*SUM(F1531)*SUM(S1522),0))</f>
        <v/>
      </c>
      <c r="J1531" s="884" t="str">
        <f>EUconst_EUApa</f>
        <v>ESK / gads</v>
      </c>
      <c r="K1531" s="814" t="str">
        <f>IF(M1519&lt;&gt;EUconst_Relevant,"",ROUND(SUM(M1523)*SUM(F1531)*SUM(S1522),0))</f>
        <v/>
      </c>
      <c r="L1531" s="884" t="str">
        <f>EUconst_EUApa</f>
        <v>ESK / gads</v>
      </c>
      <c r="M1531" s="814" t="str">
        <f>IF(OR(M1519&lt;&gt;EUconst_Relevant,M1524=""),"",ROUND(SUM(M1524)*SUM(F1531)*SUM(S1522),0))</f>
        <v/>
      </c>
      <c r="N1531" s="884" t="str">
        <f>EUconst_EUApa</f>
        <v>ESK / gads</v>
      </c>
      <c r="O1531" s="25"/>
      <c r="P1531" s="202" t="str">
        <f>EUconst_HALsum &amp; I1519</f>
        <v>HALsum_Procesa emisiju apakšiekārta (OEP | OIM)</v>
      </c>
      <c r="Q1531" s="437"/>
      <c r="R1531" s="437"/>
      <c r="S1531" s="437"/>
      <c r="T1531" s="437"/>
    </row>
    <row r="1532" spans="1:20" s="697" customFormat="1" x14ac:dyDescent="0.2">
      <c r="A1532" s="437"/>
      <c r="B1532" s="414"/>
      <c r="C1532" s="414"/>
      <c r="D1532" s="414"/>
      <c r="E1532" s="414"/>
      <c r="F1532" s="414"/>
      <c r="G1532" s="414"/>
      <c r="H1532" s="414"/>
      <c r="I1532" s="414"/>
      <c r="J1532" s="414"/>
      <c r="K1532" s="414"/>
      <c r="L1532" s="414"/>
      <c r="M1532" s="414"/>
      <c r="N1532" s="414"/>
      <c r="O1532" s="25"/>
      <c r="P1532" s="437"/>
      <c r="Q1532" s="437"/>
      <c r="R1532" s="437"/>
      <c r="S1532" s="437"/>
      <c r="T1532" s="437"/>
    </row>
    <row r="1533" spans="1:20" s="697" customFormat="1" ht="12.75" customHeight="1" x14ac:dyDescent="0.2">
      <c r="A1533" s="437"/>
      <c r="B1533" s="414"/>
      <c r="C1533" s="414"/>
      <c r="D1533" s="414"/>
      <c r="E1533" s="526"/>
      <c r="F1533" s="823"/>
      <c r="G1533" s="823"/>
      <c r="H1533" s="823"/>
      <c r="I1533" s="823"/>
      <c r="J1533" s="823"/>
      <c r="K1533" s="823"/>
      <c r="L1533" s="823"/>
      <c r="M1533" s="823"/>
      <c r="N1533" s="823"/>
      <c r="O1533" s="25"/>
      <c r="P1533" s="437"/>
      <c r="Q1533" s="437"/>
      <c r="R1533" s="437"/>
      <c r="S1533" s="437"/>
      <c r="T1533" s="437"/>
    </row>
    <row r="1534" spans="1:20" s="697" customFormat="1" ht="13.5" thickBot="1" x14ac:dyDescent="0.25">
      <c r="A1534" s="437"/>
      <c r="B1534" s="414"/>
      <c r="C1534" s="414"/>
      <c r="D1534" s="414"/>
      <c r="E1534" s="526"/>
      <c r="F1534" s="823"/>
      <c r="G1534" s="823"/>
      <c r="H1534" s="525" t="str">
        <f>EUconst_Unit</f>
        <v>Vienība</v>
      </c>
      <c r="I1534" s="928">
        <f>I$1652</f>
        <v>2019</v>
      </c>
      <c r="J1534" s="825">
        <f>J$1652</f>
        <v>2020</v>
      </c>
      <c r="K1534" s="825">
        <f>K$1652</f>
        <v>2021</v>
      </c>
      <c r="L1534" s="825">
        <f>L$1652</f>
        <v>2022</v>
      </c>
      <c r="M1534" s="825">
        <f>M$1652</f>
        <v>2023</v>
      </c>
      <c r="N1534" s="823"/>
      <c r="O1534" s="25"/>
      <c r="P1534" s="437"/>
      <c r="Q1534" s="437"/>
      <c r="R1534" s="437"/>
      <c r="S1534" s="437"/>
      <c r="T1534" s="437"/>
    </row>
    <row r="1535" spans="1:20" s="697" customFormat="1" ht="13.5" thickBot="1" x14ac:dyDescent="0.25">
      <c r="A1535" s="437"/>
      <c r="B1535" s="414"/>
      <c r="C1535" s="414"/>
      <c r="D1535" s="414"/>
      <c r="E1535" s="1789" t="str">
        <f>Translations!$B$1238</f>
        <v>Kopējās attiecinātās emisijas</v>
      </c>
      <c r="F1535" s="1789"/>
      <c r="G1535" s="1789"/>
      <c r="H1535" s="886" t="str">
        <f>EUconst_tCO2epa</f>
        <v>t CO2e/gads</v>
      </c>
      <c r="I1535" s="918" t="str">
        <f>INDEX(I$115:I$134,MATCH($I1519,$E$115:$E$134,0))</f>
        <v/>
      </c>
      <c r="J1535" s="919" t="str">
        <f>INDEX(J$115:J$134,MATCH($I1519,$E$115:$E$134,0))</f>
        <v/>
      </c>
      <c r="K1535" s="919" t="str">
        <f>INDEX(K$115:K$134,MATCH($I1519,$E$115:$E$134,0))</f>
        <v/>
      </c>
      <c r="L1535" s="919" t="str">
        <f>INDEX(L$115:L$134,MATCH($I1519,$E$115:$E$134,0))</f>
        <v/>
      </c>
      <c r="M1535" s="920" t="str">
        <f>INDEX(M$115:M$134,MATCH($I1519,$E$115:$E$134,0))</f>
        <v/>
      </c>
      <c r="N1535" s="823"/>
      <c r="O1535" s="25"/>
      <c r="P1535" s="437"/>
      <c r="Q1535" s="437"/>
      <c r="R1535" s="437"/>
      <c r="S1535" s="437"/>
      <c r="T1535" s="26"/>
    </row>
    <row r="1536" spans="1:20" s="697" customFormat="1" ht="12.75" customHeight="1" x14ac:dyDescent="0.2">
      <c r="A1536" s="437"/>
      <c r="B1536" s="414"/>
      <c r="C1536" s="414"/>
      <c r="D1536" s="414"/>
      <c r="E1536" s="823"/>
      <c r="F1536" s="823"/>
      <c r="G1536" s="823"/>
      <c r="H1536" s="823"/>
      <c r="I1536" s="823"/>
      <c r="J1536" s="823"/>
      <c r="K1536" s="823"/>
      <c r="L1536" s="823"/>
      <c r="M1536" s="823"/>
      <c r="N1536" s="823"/>
      <c r="O1536" s="25"/>
      <c r="P1536" s="437"/>
      <c r="Q1536" s="437"/>
      <c r="R1536" s="437"/>
      <c r="S1536" s="437"/>
      <c r="T1536" s="437"/>
    </row>
    <row r="1537" spans="1:20" ht="25.5" customHeight="1" x14ac:dyDescent="0.2">
      <c r="B1537" s="38"/>
      <c r="C1537" s="38"/>
      <c r="D1537" s="38"/>
      <c r="E1537" s="38"/>
      <c r="F1537" s="38"/>
      <c r="G1537" s="38"/>
      <c r="H1537" s="38"/>
      <c r="I1537" s="38"/>
      <c r="J1537" s="38"/>
      <c r="K1537" s="38"/>
      <c r="L1537" s="38"/>
      <c r="M1537" s="38"/>
      <c r="N1537" s="38"/>
      <c r="O1537" s="25"/>
    </row>
    <row r="1538" spans="1:20" s="697" customFormat="1" ht="15.75" x14ac:dyDescent="0.25">
      <c r="A1538" s="437"/>
      <c r="B1538" s="21"/>
      <c r="C1538" s="30" t="s">
        <v>244</v>
      </c>
      <c r="D1538" s="31" t="str">
        <f>Translations!$B$1246</f>
        <v>Aprēķins par provizorisko ikgadējo kvotu daudzumu, ko iedala bez maksas</v>
      </c>
      <c r="E1538" s="31"/>
      <c r="F1538" s="31"/>
      <c r="G1538" s="31"/>
      <c r="H1538" s="31"/>
      <c r="I1538" s="31"/>
      <c r="J1538" s="31"/>
      <c r="K1538" s="31"/>
      <c r="L1538" s="31"/>
      <c r="M1538" s="31"/>
      <c r="N1538" s="31"/>
      <c r="O1538" s="25"/>
      <c r="P1538" s="26" t="s">
        <v>593</v>
      </c>
      <c r="Q1538" s="26" t="s">
        <v>593</v>
      </c>
      <c r="R1538" s="26" t="s">
        <v>593</v>
      </c>
      <c r="S1538" s="26" t="s">
        <v>593</v>
      </c>
      <c r="T1538" s="26" t="s">
        <v>593</v>
      </c>
    </row>
    <row r="1539" spans="1:20" s="697" customFormat="1" ht="12.75" customHeight="1" x14ac:dyDescent="0.2">
      <c r="A1539" s="437"/>
      <c r="B1539" s="414"/>
      <c r="C1539" s="414"/>
      <c r="D1539" s="414"/>
      <c r="E1539" s="414"/>
      <c r="F1539" s="414"/>
      <c r="G1539" s="414"/>
      <c r="H1539" s="414"/>
      <c r="I1539" s="414"/>
      <c r="J1539" s="414"/>
      <c r="K1539" s="414"/>
      <c r="L1539" s="414"/>
      <c r="M1539" s="414"/>
      <c r="N1539" s="414"/>
      <c r="O1539" s="25"/>
      <c r="P1539" s="26"/>
      <c r="Q1539" s="26"/>
      <c r="R1539" s="26"/>
      <c r="S1539" s="26"/>
      <c r="T1539" s="26"/>
    </row>
    <row r="1540" spans="1:20" s="697" customFormat="1" ht="39.950000000000003" customHeight="1" x14ac:dyDescent="0.2">
      <c r="A1540" s="437"/>
      <c r="B1540" s="21"/>
      <c r="C1540" s="21"/>
      <c r="D1540" s="34"/>
      <c r="E1540" s="1319" t="str">
        <f>Translations!$B$1247</f>
        <v>Šajā sadaļā sniegts kopsavilkums par provizorisko iedales apjomu vērtībām par attiecīgi 2021. līdz 2025. gadu vai 2026. līdz 2030. gadu, kuras attiecas uz šo iekārtu un kuru pamatā ir iepriekšējās sadaļās uzrādītie un uz jūsu ievadītajiem datiem balstītie dati. Attēlotā informācija neietver pilnīguma pārbaudes. Tāpēc datus var uzskatīt par pareiziem tikai tad, ja ir izpildīti šādi nosacījumi:</v>
      </c>
      <c r="F1540" s="1251"/>
      <c r="G1540" s="1251"/>
      <c r="H1540" s="1251"/>
      <c r="I1540" s="1251"/>
      <c r="J1540" s="1251"/>
      <c r="K1540" s="1251"/>
      <c r="L1540" s="1251"/>
      <c r="M1540" s="1251"/>
      <c r="N1540" s="1251"/>
      <c r="O1540" s="25"/>
      <c r="P1540" s="26"/>
      <c r="Q1540" s="437"/>
      <c r="R1540" s="437"/>
      <c r="S1540" s="437"/>
      <c r="T1540" s="437"/>
    </row>
    <row r="1541" spans="1:20" s="697" customFormat="1" x14ac:dyDescent="0.2">
      <c r="A1541" s="437"/>
      <c r="B1541" s="21"/>
      <c r="C1541" s="21"/>
      <c r="D1541" s="34"/>
      <c r="E1541" s="875" t="s">
        <v>392</v>
      </c>
      <c r="F1541" s="1319" t="str">
        <f>Translations!$B$1248</f>
        <v>lapa "A_InstallationData" ir aizpildīta pilnībā, jo īpaši A lapas II sadaļa (tiesības uz iedali un bāzlīnijas periods) un A lapas III sadaļa (apakšiekārtu saraksts);</v>
      </c>
      <c r="G1541" s="1319"/>
      <c r="H1541" s="1319"/>
      <c r="I1541" s="1319"/>
      <c r="J1541" s="1319"/>
      <c r="K1541" s="1319"/>
      <c r="L1541" s="1319"/>
      <c r="M1541" s="1319"/>
      <c r="N1541" s="1319"/>
      <c r="O1541" s="25"/>
      <c r="P1541" s="26"/>
      <c r="Q1541" s="437"/>
      <c r="R1541" s="437"/>
      <c r="S1541" s="437"/>
      <c r="T1541" s="437"/>
    </row>
    <row r="1542" spans="1:20" s="697" customFormat="1" x14ac:dyDescent="0.2">
      <c r="A1542" s="437"/>
      <c r="B1542" s="21"/>
      <c r="C1542" s="21"/>
      <c r="D1542" s="34"/>
      <c r="E1542" s="875" t="s">
        <v>392</v>
      </c>
      <c r="F1542" s="1319" t="str">
        <f>Translations!$B$1249</f>
        <v>ir ievadīti dati par visiem attiecīgajiem bāzlīnijas gadiem un ir aizpildītas relevantās sadaļas F un G lapā;</v>
      </c>
      <c r="G1542" s="1319"/>
      <c r="H1542" s="1319"/>
      <c r="I1542" s="1319"/>
      <c r="J1542" s="1319"/>
      <c r="K1542" s="1319"/>
      <c r="L1542" s="1319"/>
      <c r="M1542" s="1319"/>
      <c r="N1542" s="1319"/>
      <c r="O1542" s="25"/>
      <c r="P1542" s="26"/>
      <c r="Q1542" s="437"/>
      <c r="R1542" s="437"/>
      <c r="S1542" s="437"/>
      <c r="T1542" s="437"/>
    </row>
    <row r="1543" spans="1:20" s="697" customFormat="1" x14ac:dyDescent="0.2">
      <c r="A1543" s="437"/>
      <c r="B1543" s="21"/>
      <c r="C1543" s="21"/>
      <c r="D1543" s="34"/>
      <c r="E1543" s="875" t="s">
        <v>392</v>
      </c>
      <c r="F1543" s="1319" t="str">
        <f>Translations!$B$1250</f>
        <v>nevienā relevantā šo lapu sadaļā neparādās nekādi kļūdas ziņojumi.</v>
      </c>
      <c r="G1543" s="1319"/>
      <c r="H1543" s="1319"/>
      <c r="I1543" s="1319"/>
      <c r="J1543" s="1319"/>
      <c r="K1543" s="1319"/>
      <c r="L1543" s="1319"/>
      <c r="M1543" s="1319"/>
      <c r="N1543" s="1319"/>
      <c r="O1543" s="25"/>
      <c r="P1543" s="26"/>
      <c r="Q1543" s="437"/>
      <c r="R1543" s="437"/>
      <c r="S1543" s="437"/>
      <c r="T1543" s="437"/>
    </row>
    <row r="1544" spans="1:20" s="697" customFormat="1" x14ac:dyDescent="0.2">
      <c r="A1544" s="437"/>
      <c r="B1544" s="21"/>
      <c r="C1544" s="21"/>
      <c r="D1544" s="34"/>
      <c r="E1544" s="1319" t="str">
        <f>Translations!$B$1251</f>
        <v>Lai izprastu šīs informācijas provizorisko raksturu, ir jāsaprot, kas ņemts vērā aprēķinā.</v>
      </c>
      <c r="F1544" s="1251"/>
      <c r="G1544" s="1251"/>
      <c r="H1544" s="1251"/>
      <c r="I1544" s="1251"/>
      <c r="J1544" s="1251"/>
      <c r="K1544" s="1251"/>
      <c r="L1544" s="1251"/>
      <c r="M1544" s="1251"/>
      <c r="N1544" s="1251"/>
      <c r="O1544" s="25"/>
      <c r="P1544" s="26"/>
      <c r="Q1544" s="437"/>
      <c r="R1544" s="437"/>
      <c r="S1544" s="437"/>
      <c r="T1544" s="437"/>
    </row>
    <row r="1545" spans="1:20" s="697" customFormat="1" ht="25.5" customHeight="1" x14ac:dyDescent="0.2">
      <c r="A1545" s="437"/>
      <c r="B1545" s="21"/>
      <c r="C1545" s="21"/>
      <c r="D1545" s="34"/>
      <c r="E1545" s="875" t="s">
        <v>392</v>
      </c>
      <c r="F1545" s="1319" t="str">
        <f>Translations!$B$1252</f>
        <v>Atkarībā no tā, kādi dati ievadīti A lapas II sadaļas 2. punktā (izraudzītais bāzlīnijas periods), A lapas III sadaļā (dati par apakšiekārtām) un F un G lapā, šīs lapas IV sadaļā redzams, kādi bāzlīnijas gadi izmantoti, lai aprēķinātu vēsturiskos darbības līmeņus (HAL), kuriem piemēro līmeņatzīmes.</v>
      </c>
      <c r="G1545" s="1319"/>
      <c r="H1545" s="1319"/>
      <c r="I1545" s="1319"/>
      <c r="J1545" s="1319"/>
      <c r="K1545" s="1319"/>
      <c r="L1545" s="1319"/>
      <c r="M1545" s="1319"/>
      <c r="N1545" s="1319"/>
      <c r="O1545" s="25"/>
      <c r="P1545" s="26"/>
      <c r="Q1545" s="437"/>
      <c r="R1545" s="437"/>
      <c r="S1545" s="437"/>
      <c r="T1545" s="437"/>
    </row>
    <row r="1546" spans="1:20" s="697" customFormat="1" ht="25.5" customHeight="1" x14ac:dyDescent="0.2">
      <c r="A1546" s="437"/>
      <c r="B1546" s="21"/>
      <c r="C1546" s="21"/>
      <c r="D1546" s="34"/>
      <c r="E1546" s="875" t="s">
        <v>392</v>
      </c>
      <c r="F1546" s="1301" t="str">
        <f>Translations!$B$1253</f>
        <v>Tā kā laikā, kad dati tiek iesniegti kompetentajai iestādei, atjauninātās līmeņatzīmju vērtības vēl nav pieejamas, orientējošu priekšstatu par gaidāmā iedales apjoma apmēru var iegūt, izvēloties vai nu “minimālās”, vai “maksimālās” līmeņatzīmju vērtības 1. punkta a) apakšpunktā.</v>
      </c>
      <c r="G1546" s="1268"/>
      <c r="H1546" s="1268"/>
      <c r="I1546" s="1268"/>
      <c r="J1546" s="1268"/>
      <c r="K1546" s="1268"/>
      <c r="L1546" s="1268"/>
      <c r="M1546" s="1268"/>
      <c r="N1546" s="1268"/>
      <c r="O1546" s="25"/>
      <c r="P1546" s="26"/>
      <c r="Q1546" s="437"/>
      <c r="R1546" s="437"/>
      <c r="S1546" s="437"/>
      <c r="T1546" s="437"/>
    </row>
    <row r="1547" spans="1:20" s="697" customFormat="1" x14ac:dyDescent="0.2">
      <c r="A1547" s="437"/>
      <c r="B1547" s="21"/>
      <c r="C1547" s="21"/>
      <c r="D1547" s="34"/>
      <c r="E1547" s="875" t="s">
        <v>392</v>
      </c>
      <c r="F1547" s="1319" t="str">
        <f>Translations!$B$1254</f>
        <v>Aprēķinā attiecībā uz katru apakšiekārtu ņemts vērā, vai tā ir pakļauta nopietnam oglekļa emisiju pārvirzes riskam.</v>
      </c>
      <c r="G1547" s="1319"/>
      <c r="H1547" s="1319"/>
      <c r="I1547" s="1319"/>
      <c r="J1547" s="1319"/>
      <c r="K1547" s="1319"/>
      <c r="L1547" s="1319"/>
      <c r="M1547" s="1319"/>
      <c r="N1547" s="1319"/>
      <c r="O1547" s="25"/>
      <c r="P1547" s="26"/>
      <c r="Q1547" s="437"/>
      <c r="R1547" s="437"/>
      <c r="S1547" s="437"/>
      <c r="T1547" s="437"/>
    </row>
    <row r="1548" spans="1:20" s="697" customFormat="1" ht="12.75" customHeight="1" x14ac:dyDescent="0.2">
      <c r="A1548" s="437"/>
      <c r="B1548" s="21"/>
      <c r="C1548" s="21"/>
      <c r="D1548" s="34"/>
      <c r="E1548" s="875" t="s">
        <v>392</v>
      </c>
      <c r="F1548" s="1319" t="str">
        <f>Translations!$B$1735</f>
        <v>Aprēķinā attiecībā uz katru apakšiekārtu ņemts vērā, vai tai piemērojams OIM.</v>
      </c>
      <c r="G1548" s="1319"/>
      <c r="H1548" s="1319"/>
      <c r="I1548" s="1319"/>
      <c r="J1548" s="1319"/>
      <c r="K1548" s="1319"/>
      <c r="L1548" s="1319"/>
      <c r="M1548" s="1319"/>
      <c r="N1548" s="1319"/>
      <c r="O1548" s="25"/>
      <c r="P1548" s="26"/>
      <c r="Q1548" s="437"/>
      <c r="R1548" s="437"/>
      <c r="S1548" s="437"/>
      <c r="T1548" s="437"/>
    </row>
    <row r="1549" spans="1:20" s="697" customFormat="1" ht="39.950000000000003" customHeight="1" x14ac:dyDescent="0.2">
      <c r="A1549" s="437"/>
      <c r="B1549" s="21"/>
      <c r="C1549" s="21"/>
      <c r="D1549" s="34"/>
      <c r="E1549" s="875" t="s">
        <v>392</v>
      </c>
      <c r="F1549" s="1319" t="str">
        <f>Translations!$B$1256</f>
        <v>Provizoriskais iedales apjoms visām pārējām iekārtām (uz kurām neattiecas ES ETS direktīvas 10.a panta 3. punkts) ir jāreizina ar starpnozaru korekcijas koeficientu, kas noteikts saskaņā ar FAR 14. panta 6. punktu. Tiklīdz visas dalībvalstis būs paziņojušas par saviem valsts īstenošanas pasākumiem (VĪP), Eiropas Komisija šo koeficientu aprēķinās un tiks publicētas jaunās līmeņatzīmju vērtības.</v>
      </c>
      <c r="G1549" s="1319"/>
      <c r="H1549" s="1319"/>
      <c r="I1549" s="1319"/>
      <c r="J1549" s="1319"/>
      <c r="K1549" s="1319"/>
      <c r="L1549" s="1319"/>
      <c r="M1549" s="1319"/>
      <c r="N1549" s="1319"/>
      <c r="O1549" s="25"/>
      <c r="P1549" s="26"/>
      <c r="Q1549" s="437"/>
      <c r="R1549" s="437"/>
      <c r="S1549" s="437"/>
      <c r="T1549" s="437"/>
    </row>
    <row r="1550" spans="1:20" s="697" customFormat="1" ht="25.5" customHeight="1" x14ac:dyDescent="0.2">
      <c r="A1550" s="437"/>
      <c r="B1550" s="21"/>
      <c r="C1550" s="21"/>
      <c r="D1550" s="34"/>
      <c r="E1550" s="875" t="s">
        <v>392</v>
      </c>
      <c r="F1550" s="1319" t="str">
        <f>Translations!$B$1257</f>
        <v>Lai operatori varētu labāk izprast, kā iedales apjoms tiek aprēķināts, zemāk ir redzams PROVIZORISKAIS iedales apjoms (t. i., iedales apjoms pirms starpnozaru korekcijas koeficienta vai lineārā koeficienta piemērošanas). Datus iesniedzot kompetentajai iestādei, starpnozaru korekcijas koeficients nav jāievada.</v>
      </c>
      <c r="G1550" s="1319"/>
      <c r="H1550" s="1319"/>
      <c r="I1550" s="1319"/>
      <c r="J1550" s="1319"/>
      <c r="K1550" s="1319"/>
      <c r="L1550" s="1319"/>
      <c r="M1550" s="1319"/>
      <c r="N1550" s="1319"/>
      <c r="O1550" s="25"/>
      <c r="P1550" s="26"/>
      <c r="Q1550" s="437"/>
      <c r="R1550" s="437"/>
      <c r="S1550" s="437"/>
      <c r="T1550" s="437"/>
    </row>
    <row r="1551" spans="1:20" s="697" customFormat="1" ht="25.5" customHeight="1" x14ac:dyDescent="0.2">
      <c r="A1551" s="437"/>
      <c r="B1551" s="21"/>
      <c r="C1551" s="21"/>
      <c r="D1551" s="34"/>
      <c r="E1551" s="875" t="s">
        <v>392</v>
      </c>
      <c r="F1551" s="1319" t="str">
        <f>Translations!$B$1258</f>
        <v>Tomēr šajā veidnē ir iespējams ievadīt starpnozaru korekcijas koeficienta vērtību. Operators šo iespēju var izmantot tikai savai zināšanai. Ar to iegūtie rezultāti nekādā gadījumā nav juridiski saistoši.</v>
      </c>
      <c r="G1551" s="1319"/>
      <c r="H1551" s="1319"/>
      <c r="I1551" s="1319"/>
      <c r="J1551" s="1319"/>
      <c r="K1551" s="1319"/>
      <c r="L1551" s="1319"/>
      <c r="M1551" s="1319"/>
      <c r="N1551" s="1319"/>
      <c r="O1551" s="25"/>
      <c r="P1551" s="26"/>
      <c r="Q1551" s="437"/>
      <c r="R1551" s="437"/>
      <c r="S1551" s="437"/>
      <c r="T1551" s="437"/>
    </row>
    <row r="1552" spans="1:20" s="697" customFormat="1" ht="12.75" customHeight="1" thickBot="1" x14ac:dyDescent="0.25">
      <c r="A1552" s="437"/>
      <c r="B1552" s="21"/>
      <c r="C1552" s="21"/>
      <c r="D1552" s="34"/>
      <c r="E1552" s="875"/>
      <c r="F1552" s="930"/>
      <c r="G1552" s="930"/>
      <c r="H1552" s="930"/>
      <c r="I1552" s="930"/>
      <c r="J1552" s="930"/>
      <c r="K1552" s="930"/>
      <c r="L1552" s="930"/>
      <c r="M1552" s="930"/>
      <c r="N1552" s="930"/>
      <c r="O1552" s="25"/>
      <c r="P1552" s="26"/>
      <c r="Q1552" s="437"/>
      <c r="R1552" s="437"/>
      <c r="S1552" s="437"/>
      <c r="T1552" s="437"/>
    </row>
    <row r="1553" spans="1:20" s="836" customFormat="1" ht="90" customHeight="1" thickBot="1" x14ac:dyDescent="0.25">
      <c r="A1553" s="834"/>
      <c r="B1553" s="835"/>
      <c r="C1553" s="835"/>
      <c r="D1553" s="1946" t="str">
        <f>Translations!$B$1259</f>
        <v>Atruna. Saskaņā ar FAR 16. panta 1. punktu dalībvalstīm ir no 2021. gada jāaprēķina un jānosaka bez maksas iedalāmo emisijas kvotu skaits katrai iekārtai, kas piesakās uz bezmaksas kvotu iedali. Tas nozīmē, ka šeit redzamie rezultāti ir tikai orientējoši. Netiek sniegtas nekādas tiešas vai netiešas garantijas attiecībā uz rezultāta pareizību, pilnīgumu vai uzticamību. Pamatojoties uz šajā veidnē redzamajiem rezultātiem, nerodas nekādas tiesības ne uz kādu konkrētu kvotu daudzumu. Attiecībā uz aprēķinu pareizību sk. arī atrunu lapā "Vadlīnijas un nosacījumi".</v>
      </c>
      <c r="E1553" s="1947"/>
      <c r="F1553" s="1947"/>
      <c r="G1553" s="1947"/>
      <c r="H1553" s="1947"/>
      <c r="I1553" s="1947"/>
      <c r="J1553" s="1947"/>
      <c r="K1553" s="1947"/>
      <c r="L1553" s="1947"/>
      <c r="M1553" s="1947"/>
      <c r="N1553" s="1948"/>
      <c r="O1553" s="25"/>
      <c r="P1553" s="26"/>
      <c r="Q1553" s="26"/>
      <c r="R1553" s="26"/>
      <c r="S1553" s="26"/>
      <c r="T1553" s="26"/>
    </row>
    <row r="1554" spans="1:20" s="697" customFormat="1" x14ac:dyDescent="0.2">
      <c r="A1554" s="437"/>
      <c r="B1554" s="414"/>
      <c r="C1554" s="414"/>
      <c r="D1554" s="414"/>
      <c r="E1554" s="414"/>
      <c r="F1554" s="414"/>
      <c r="G1554" s="414"/>
      <c r="H1554" s="414"/>
      <c r="I1554" s="414"/>
      <c r="J1554" s="414"/>
      <c r="K1554" s="414"/>
      <c r="L1554" s="414"/>
      <c r="M1554" s="414"/>
      <c r="N1554" s="414"/>
      <c r="O1554" s="25"/>
      <c r="P1554" s="437"/>
      <c r="Q1554" s="437"/>
      <c r="R1554" s="437"/>
      <c r="S1554" s="437"/>
      <c r="T1554" s="437"/>
    </row>
    <row r="1555" spans="1:20" s="697" customFormat="1" ht="15" x14ac:dyDescent="0.25">
      <c r="A1555" s="437"/>
      <c r="B1555" s="21"/>
      <c r="C1555" s="36">
        <v>1</v>
      </c>
      <c r="D1555" s="1965" t="str">
        <f>Translations!$B$1260</f>
        <v>Kopējais provizoriskais ikgadējais kvotu daudzums, ko iedala bez maksas:</v>
      </c>
      <c r="E1555" s="1268"/>
      <c r="F1555" s="1268"/>
      <c r="G1555" s="1268"/>
      <c r="H1555" s="1268"/>
      <c r="I1555" s="1268"/>
      <c r="J1555" s="1268"/>
      <c r="K1555" s="1268"/>
      <c r="L1555" s="1268"/>
      <c r="M1555" s="1268"/>
      <c r="N1555" s="1268"/>
      <c r="O1555" s="25"/>
      <c r="P1555" s="437"/>
      <c r="Q1555" s="437"/>
      <c r="R1555" s="437"/>
      <c r="S1555" s="437"/>
      <c r="T1555" s="437"/>
    </row>
    <row r="1556" spans="1:20" s="697" customFormat="1" ht="38.85" customHeight="1" x14ac:dyDescent="0.2">
      <c r="A1556" s="437"/>
      <c r="B1556" s="21"/>
      <c r="C1556" s="21"/>
      <c r="D1556" s="34"/>
      <c r="E1556" s="1319" t="str">
        <f>Translations!$B$1261</f>
        <v>Šeit redzamie daudzumi atspoguļo aprēķinu par provizorisko ikgadējo emisijas kvotu skaitu, ko iedala bez maksas saskaņā ar FAR 16. panta 1. līdz 7. punktu, t. i., kad jau ir piemēroti FAR V pielikumā minētie koeficienti (turpmāk "oglekļa emisiju pārvirzes faktors”). Saskaņā ar FAR 16. panta 3. punktu centralizētās siltumapgādes apakšiekārtai šis faktors visiem gadiem ir 0,3.</v>
      </c>
      <c r="F1556" s="1251"/>
      <c r="G1556" s="1251"/>
      <c r="H1556" s="1251"/>
      <c r="I1556" s="1251"/>
      <c r="J1556" s="1251"/>
      <c r="K1556" s="1251"/>
      <c r="L1556" s="1251"/>
      <c r="M1556" s="1251"/>
      <c r="N1556" s="1251"/>
      <c r="O1556" s="25"/>
      <c r="P1556" s="26"/>
      <c r="Q1556" s="437"/>
      <c r="R1556" s="437"/>
      <c r="S1556" s="437"/>
      <c r="T1556" s="437"/>
    </row>
    <row r="1557" spans="1:20" s="697" customFormat="1" x14ac:dyDescent="0.2">
      <c r="A1557" s="437"/>
      <c r="B1557" s="21"/>
      <c r="C1557" s="21"/>
      <c r="D1557" s="34"/>
      <c r="E1557" s="1343" t="str">
        <f>Translations!$B$1262</f>
        <v>Ja attiecībā uz apakšiekārtu aprēķinātā provizoriskā ikgadējā bez maksas iedalāmo emisijas kvotu daudzuma vērtība ir negatīva, tās vietā tiek ierakstīta nulle.</v>
      </c>
      <c r="F1557" s="1344"/>
      <c r="G1557" s="1344"/>
      <c r="H1557" s="1344"/>
      <c r="I1557" s="1344"/>
      <c r="J1557" s="1344"/>
      <c r="K1557" s="1344"/>
      <c r="L1557" s="1344"/>
      <c r="M1557" s="1344"/>
      <c r="N1557" s="1344"/>
      <c r="O1557" s="25"/>
      <c r="P1557" s="26"/>
      <c r="Q1557" s="437"/>
      <c r="R1557" s="437"/>
      <c r="S1557" s="437"/>
      <c r="T1557" s="437"/>
    </row>
    <row r="1558" spans="1:20" s="697" customFormat="1" ht="5.0999999999999996" customHeight="1" thickBot="1" x14ac:dyDescent="0.25">
      <c r="A1558" s="437"/>
      <c r="B1558" s="414"/>
      <c r="C1558" s="414"/>
      <c r="D1558" s="414"/>
      <c r="E1558" s="414"/>
      <c r="F1558" s="414"/>
      <c r="G1558" s="414"/>
      <c r="H1558" s="414"/>
      <c r="I1558" s="414"/>
      <c r="J1558" s="414"/>
      <c r="K1558" s="414"/>
      <c r="L1558" s="414"/>
      <c r="M1558" s="414"/>
      <c r="N1558" s="414"/>
      <c r="O1558" s="25"/>
      <c r="P1558" s="437"/>
      <c r="Q1558" s="437"/>
      <c r="R1558" s="437"/>
      <c r="S1558" s="437"/>
      <c r="T1558" s="437"/>
    </row>
    <row r="1559" spans="1:20" s="697" customFormat="1" ht="13.5" thickBot="1" x14ac:dyDescent="0.25">
      <c r="A1559" s="437"/>
      <c r="B1559" s="21"/>
      <c r="C1559" s="583"/>
      <c r="D1559" s="32" t="s">
        <v>165</v>
      </c>
      <c r="E1559" s="1963" t="str">
        <f>Translations!$B$1263</f>
        <v>Minimālā, maksimālā vai faktiskā provizoriskā iedales apjoma aprēķināšana?</v>
      </c>
      <c r="F1559" s="1963"/>
      <c r="G1559" s="1963"/>
      <c r="H1559" s="1963"/>
      <c r="I1559" s="1963"/>
      <c r="J1559" s="1963"/>
      <c r="K1559" s="1964"/>
      <c r="L1559" s="936"/>
      <c r="M1559" s="414"/>
      <c r="N1559" s="414"/>
      <c r="O1559" s="25"/>
      <c r="P1559" s="932">
        <f>IF(L1559="",1,MATCH(L1559,EUconst_MinOrMaxOrActual,0))</f>
        <v>1</v>
      </c>
      <c r="Q1559" s="63" t="s">
        <v>607</v>
      </c>
      <c r="R1559" s="437"/>
      <c r="S1559" s="437"/>
      <c r="T1559" s="437"/>
    </row>
    <row r="1560" spans="1:20" s="697" customFormat="1" ht="12.75" customHeight="1" x14ac:dyDescent="0.2">
      <c r="A1560" s="437"/>
      <c r="B1560" s="21"/>
      <c r="C1560" s="21"/>
      <c r="D1560" s="34"/>
      <c r="E1560" s="1319" t="str">
        <f>Translations!$B$1264</f>
        <v>Balstoties uz šo izvēli, tiks uzrādīts orientējošais minimālais, maksimālais vai faktiskais provizoriskais iedales apjoms saskaņā ar IV sadaļu.</v>
      </c>
      <c r="F1560" s="1251"/>
      <c r="G1560" s="1251"/>
      <c r="H1560" s="1251"/>
      <c r="I1560" s="1251"/>
      <c r="J1560" s="1251"/>
      <c r="K1560" s="1251"/>
      <c r="L1560" s="1251"/>
      <c r="M1560" s="1251"/>
      <c r="N1560" s="1251"/>
      <c r="O1560" s="25"/>
      <c r="P1560" s="26"/>
      <c r="Q1560" s="437"/>
      <c r="R1560" s="437"/>
      <c r="S1560" s="437"/>
      <c r="T1560" s="437"/>
    </row>
    <row r="1561" spans="1:20" s="697" customFormat="1" ht="12.75" customHeight="1" x14ac:dyDescent="0.2">
      <c r="A1561" s="437"/>
      <c r="B1561" s="21"/>
      <c r="C1561" s="21"/>
      <c r="D1561" s="34"/>
      <c r="E1561" s="1319" t="str">
        <f>Translations!$B$1265</f>
        <v>Ņemiet vērā, ka faktisko iedales apjomu būs iespējams aprēķināt tikai tad, kad būs publicētas jaunās līmeņatzīmju vērtības. Pirms tam, ja izvēlēsities variantu “faktiskais”, aprēķini netiks veikti.</v>
      </c>
      <c r="F1561" s="1251"/>
      <c r="G1561" s="1251"/>
      <c r="H1561" s="1251"/>
      <c r="I1561" s="1251"/>
      <c r="J1561" s="1251"/>
      <c r="K1561" s="1251"/>
      <c r="L1561" s="1251"/>
      <c r="M1561" s="1251"/>
      <c r="N1561" s="1251"/>
      <c r="O1561" s="25"/>
      <c r="P1561" s="26"/>
      <c r="Q1561" s="437"/>
      <c r="R1561" s="437"/>
      <c r="S1561" s="437"/>
      <c r="T1561" s="437"/>
    </row>
    <row r="1562" spans="1:20" s="697" customFormat="1" ht="12.75" customHeight="1" x14ac:dyDescent="0.2">
      <c r="A1562" s="437"/>
      <c r="B1562" s="21"/>
      <c r="C1562" s="21"/>
      <c r="D1562" s="34"/>
      <c r="E1562" s="1319" t="str">
        <f>Translations!$B$1266</f>
        <v>Ja šis lauks būs atstāts tukšs, visos tālākajos aprēķinos pēc noklusējuma par pamatu tiks ņemts minimālais provizoriskais iedales apjoms.</v>
      </c>
      <c r="F1562" s="1251"/>
      <c r="G1562" s="1251"/>
      <c r="H1562" s="1251"/>
      <c r="I1562" s="1251"/>
      <c r="J1562" s="1251"/>
      <c r="K1562" s="1251"/>
      <c r="L1562" s="1251"/>
      <c r="M1562" s="1251"/>
      <c r="N1562" s="1251"/>
      <c r="O1562" s="25"/>
      <c r="P1562" s="26"/>
      <c r="Q1562" s="437"/>
      <c r="R1562" s="437"/>
      <c r="S1562" s="437"/>
      <c r="T1562" s="437"/>
    </row>
    <row r="1563" spans="1:20" s="697" customFormat="1" ht="5.0999999999999996" customHeight="1" x14ac:dyDescent="0.2">
      <c r="A1563" s="437"/>
      <c r="B1563" s="414"/>
      <c r="C1563" s="414"/>
      <c r="D1563" s="414"/>
      <c r="E1563" s="414"/>
      <c r="F1563" s="414"/>
      <c r="G1563" s="414"/>
      <c r="H1563" s="414"/>
      <c r="I1563" s="414"/>
      <c r="J1563" s="414"/>
      <c r="K1563" s="414"/>
      <c r="L1563" s="414"/>
      <c r="M1563" s="414"/>
      <c r="N1563" s="414"/>
      <c r="O1563" s="25"/>
      <c r="P1563" s="437"/>
      <c r="Q1563" s="437"/>
      <c r="R1563" s="437"/>
      <c r="S1563" s="437"/>
      <c r="T1563" s="437"/>
    </row>
    <row r="1564" spans="1:20" s="697" customFormat="1" x14ac:dyDescent="0.2">
      <c r="A1564" s="437"/>
      <c r="B1564" s="21"/>
      <c r="C1564" s="583"/>
      <c r="D1564" s="32" t="s">
        <v>339</v>
      </c>
      <c r="E1564" s="893" t="str">
        <f>Translations!$B$1267</f>
        <v>Aprēķina faktori:</v>
      </c>
      <c r="F1564" s="893"/>
      <c r="G1564" s="413"/>
      <c r="H1564" s="225"/>
      <c r="I1564" s="33"/>
      <c r="J1564" s="33"/>
      <c r="K1564" s="39"/>
      <c r="L1564" s="414"/>
      <c r="M1564" s="414"/>
      <c r="N1564" s="414"/>
      <c r="O1564" s="25"/>
      <c r="P1564" s="437"/>
      <c r="Q1564" s="437"/>
      <c r="R1564" s="437"/>
      <c r="S1564" s="437"/>
      <c r="T1564" s="437"/>
    </row>
    <row r="1565" spans="1:20" s="697" customFormat="1" x14ac:dyDescent="0.2">
      <c r="A1565" s="437"/>
      <c r="B1565" s="414"/>
      <c r="C1565" s="414"/>
      <c r="D1565" s="414"/>
      <c r="E1565" s="652"/>
      <c r="F1565" s="652"/>
      <c r="G1565" s="652"/>
      <c r="H1565" s="653"/>
      <c r="I1565" s="447">
        <f>I$1652+7</f>
        <v>2026</v>
      </c>
      <c r="J1565" s="447">
        <f>J$1652+7</f>
        <v>2027</v>
      </c>
      <c r="K1565" s="447">
        <f>K$1652+7</f>
        <v>2028</v>
      </c>
      <c r="L1565" s="447">
        <f>L$1652+7</f>
        <v>2029</v>
      </c>
      <c r="M1565" s="447">
        <f>M$1652+7</f>
        <v>2030</v>
      </c>
      <c r="N1565" s="414"/>
      <c r="O1565" s="25"/>
      <c r="P1565" s="437"/>
      <c r="Q1565" s="437"/>
      <c r="R1565" s="437"/>
      <c r="S1565" s="437"/>
      <c r="T1565" s="437"/>
    </row>
    <row r="1566" spans="1:20" s="697" customFormat="1" x14ac:dyDescent="0.2">
      <c r="A1566" s="437"/>
      <c r="B1566" s="414"/>
      <c r="C1566" s="414"/>
      <c r="D1566" s="414"/>
      <c r="E1566" s="1880" t="str">
        <f>Translations!$B$1268</f>
        <v>Oglekļa emisiju pārvirzes faktors nozarēm bez OEP</v>
      </c>
      <c r="F1566" s="1880"/>
      <c r="G1566" s="1880"/>
      <c r="H1566" s="1880"/>
      <c r="I1566" s="894">
        <f>INDEX(EUconst_CLEFYears,I1565-2020)</f>
        <v>0.3</v>
      </c>
      <c r="J1566" s="894">
        <f>INDEX(EUconst_CLEFYears,J1565-2020)</f>
        <v>0.22499999999999998</v>
      </c>
      <c r="K1566" s="894">
        <f>INDEX(EUconst_CLEFYears,K1565-2020)</f>
        <v>0.14999999999999997</v>
      </c>
      <c r="L1566" s="894">
        <f>INDEX(EUconst_CLEFYears,L1565-2020)</f>
        <v>7.4999999999999969E-2</v>
      </c>
      <c r="M1566" s="894">
        <f>INDEX(EUconst_CLEFYears,M1565-2020)</f>
        <v>0</v>
      </c>
      <c r="N1566" s="414"/>
      <c r="O1566" s="25"/>
      <c r="P1566" s="437"/>
      <c r="Q1566" s="437"/>
      <c r="R1566" s="437"/>
      <c r="S1566" s="437"/>
      <c r="T1566" s="437"/>
    </row>
    <row r="1567" spans="1:20" s="697" customFormat="1" x14ac:dyDescent="0.2">
      <c r="A1567" s="437"/>
      <c r="B1567" s="414"/>
      <c r="C1567" s="414"/>
      <c r="D1567" s="414"/>
      <c r="E1567" s="1880" t="str">
        <f>Translations!$B$1269</f>
        <v>Oglekļa emisiju pārvirzes faktors centralizētajai siltumapgādei</v>
      </c>
      <c r="F1567" s="1880"/>
      <c r="G1567" s="1880"/>
      <c r="H1567" s="1880"/>
      <c r="I1567" s="894">
        <f>INDEX(EUconst_CLEFDistrict,I1565-2020)</f>
        <v>0.3</v>
      </c>
      <c r="J1567" s="894">
        <f>INDEX(EUconst_CLEFDistrict,J1565-2020)</f>
        <v>0.3</v>
      </c>
      <c r="K1567" s="894">
        <f>INDEX(EUconst_CLEFDistrict,K1565-2020)</f>
        <v>0.3</v>
      </c>
      <c r="L1567" s="894">
        <f>INDEX(EUconst_CLEFDistrict,L1565-2020)</f>
        <v>0.3</v>
      </c>
      <c r="M1567" s="894">
        <f>INDEX(EUconst_CLEFDistrict,M1565-2020)</f>
        <v>0.3</v>
      </c>
      <c r="N1567" s="414"/>
      <c r="O1567" s="25"/>
      <c r="P1567" s="437"/>
      <c r="Q1567" s="437"/>
      <c r="R1567" s="437"/>
      <c r="S1567" s="437"/>
      <c r="T1567" s="437"/>
    </row>
    <row r="1568" spans="1:20" s="697" customFormat="1" x14ac:dyDescent="0.2">
      <c r="A1568" s="437"/>
      <c r="B1568" s="414"/>
      <c r="C1568" s="414"/>
      <c r="D1568" s="414"/>
      <c r="E1568" s="1882" t="str">
        <f>Translations!$B$1270</f>
        <v>Piezīme. attiecībā uz OEP pakļautām nozarēm OEP faktors visiem gadiem ir 1,0000.</v>
      </c>
      <c r="F1568" s="1319"/>
      <c r="G1568" s="1319"/>
      <c r="H1568" s="1319"/>
      <c r="I1568" s="1319"/>
      <c r="J1568" s="1319"/>
      <c r="K1568" s="1319"/>
      <c r="L1568" s="1319"/>
      <c r="M1568" s="1319"/>
      <c r="N1568" s="1319"/>
      <c r="O1568" s="25"/>
      <c r="P1568" s="437"/>
      <c r="Q1568" s="437"/>
      <c r="R1568" s="437"/>
      <c r="S1568" s="437"/>
      <c r="T1568" s="437"/>
    </row>
    <row r="1569" spans="1:20" s="697" customFormat="1" x14ac:dyDescent="0.2">
      <c r="A1569" s="437"/>
      <c r="B1569" s="414"/>
      <c r="C1569" s="414"/>
      <c r="D1569" s="414"/>
      <c r="E1569" s="1880" t="str">
        <f>Translations!$B$1736</f>
        <v>Procesa emisiju faktors</v>
      </c>
      <c r="F1569" s="1880"/>
      <c r="G1569" s="1880"/>
      <c r="H1569" s="1880"/>
      <c r="I1569" s="894">
        <v>0.97</v>
      </c>
      <c r="J1569" s="894">
        <v>0.97</v>
      </c>
      <c r="K1569" s="894">
        <v>0.91</v>
      </c>
      <c r="L1569" s="894">
        <v>0.91</v>
      </c>
      <c r="M1569" s="894">
        <v>0.91</v>
      </c>
      <c r="N1569" s="414"/>
      <c r="O1569" s="25"/>
      <c r="P1569" s="437"/>
      <c r="Q1569" s="437"/>
      <c r="R1569" s="437"/>
      <c r="S1569" s="437"/>
      <c r="T1569" s="437"/>
    </row>
    <row r="1570" spans="1:20" s="697" customFormat="1" ht="5.0999999999999996" customHeight="1" x14ac:dyDescent="0.2">
      <c r="A1570" s="437"/>
      <c r="B1570" s="414"/>
      <c r="C1570" s="414"/>
      <c r="D1570" s="414"/>
      <c r="E1570" s="414"/>
      <c r="F1570" s="414"/>
      <c r="G1570" s="414"/>
      <c r="H1570" s="414"/>
      <c r="I1570" s="414"/>
      <c r="J1570" s="414"/>
      <c r="K1570" s="414"/>
      <c r="L1570" s="414"/>
      <c r="M1570" s="414"/>
      <c r="N1570" s="414"/>
      <c r="O1570" s="25"/>
      <c r="P1570" s="437"/>
      <c r="Q1570" s="437"/>
      <c r="R1570" s="437"/>
      <c r="S1570" s="437"/>
      <c r="T1570" s="437"/>
    </row>
    <row r="1571" spans="1:20" s="697" customFormat="1" x14ac:dyDescent="0.2">
      <c r="A1571" s="437"/>
      <c r="B1571" s="21"/>
      <c r="C1571" s="583"/>
      <c r="D1571" s="32" t="s">
        <v>11</v>
      </c>
      <c r="E1571" s="893" t="s">
        <v>627</v>
      </c>
      <c r="F1571" s="893"/>
      <c r="G1571" s="413"/>
      <c r="H1571" s="225"/>
      <c r="I1571" s="33"/>
      <c r="J1571" s="33"/>
      <c r="K1571" s="39"/>
      <c r="L1571" s="414"/>
      <c r="M1571" s="414"/>
      <c r="N1571" s="414"/>
      <c r="O1571" s="25"/>
      <c r="P1571" s="437"/>
      <c r="Q1571" s="437"/>
      <c r="R1571" s="437"/>
      <c r="S1571" s="437"/>
      <c r="T1571" s="437"/>
    </row>
    <row r="1572" spans="1:20" s="697" customFormat="1" x14ac:dyDescent="0.2">
      <c r="A1572" s="437"/>
      <c r="B1572" s="414"/>
      <c r="C1572" s="414"/>
      <c r="D1572" s="414"/>
      <c r="E1572" s="652"/>
      <c r="F1572" s="652"/>
      <c r="G1572" s="652"/>
      <c r="H1572" s="653"/>
      <c r="I1572" s="447">
        <f>I$1652+7</f>
        <v>2026</v>
      </c>
      <c r="J1572" s="447">
        <f>J$1652+7</f>
        <v>2027</v>
      </c>
      <c r="K1572" s="447">
        <f>K$1652+7</f>
        <v>2028</v>
      </c>
      <c r="L1572" s="447">
        <f>L$1652+7</f>
        <v>2029</v>
      </c>
      <c r="M1572" s="447">
        <f>M$1652+7</f>
        <v>2030</v>
      </c>
      <c r="N1572" s="414"/>
      <c r="O1572" s="25"/>
      <c r="P1572" s="437"/>
      <c r="Q1572" s="437"/>
      <c r="R1572" s="437"/>
      <c r="S1572" s="437"/>
      <c r="T1572" s="437"/>
    </row>
    <row r="1573" spans="1:20" s="697" customFormat="1" x14ac:dyDescent="0.2">
      <c r="A1573" s="437"/>
      <c r="B1573" s="414"/>
      <c r="C1573" s="414"/>
      <c r="D1573" s="414"/>
      <c r="E1573" s="1880" t="str">
        <f>Translations!$B$1737</f>
        <v>OIM koeficienti produktiem, kam piemēro OIM</v>
      </c>
      <c r="F1573" s="1880"/>
      <c r="G1573" s="1880"/>
      <c r="H1573" s="1880"/>
      <c r="I1573" s="894">
        <f>INDEX(EUconst_CBAMFactor,I1572-2020)</f>
        <v>0.97499999999999998</v>
      </c>
      <c r="J1573" s="894">
        <f>INDEX(EUconst_CBAMFactor,J1572-2020)</f>
        <v>0.95</v>
      </c>
      <c r="K1573" s="894">
        <f>INDEX(EUconst_CBAMFactor,K1572-2020)</f>
        <v>0.9</v>
      </c>
      <c r="L1573" s="894">
        <f>INDEX(EUconst_CBAMFactor,L1572-2020)</f>
        <v>0.77500000000000002</v>
      </c>
      <c r="M1573" s="894">
        <f>INDEX(EUconst_CBAMFactor,M1572-2020)</f>
        <v>0.51500000000000001</v>
      </c>
      <c r="N1573" s="414"/>
      <c r="O1573" s="25"/>
      <c r="P1573" s="437"/>
      <c r="Q1573" s="437"/>
      <c r="R1573" s="437"/>
      <c r="S1573" s="437"/>
      <c r="T1573" s="437"/>
    </row>
    <row r="1574" spans="1:20" s="697" customFormat="1" ht="5.0999999999999996" customHeight="1" x14ac:dyDescent="0.2">
      <c r="A1574" s="437"/>
      <c r="B1574" s="414"/>
      <c r="C1574" s="414"/>
      <c r="D1574" s="414"/>
      <c r="E1574" s="414"/>
      <c r="F1574" s="414"/>
      <c r="G1574" s="414"/>
      <c r="H1574" s="414"/>
      <c r="I1574" s="414"/>
      <c r="J1574" s="414"/>
      <c r="K1574" s="414"/>
      <c r="L1574" s="414"/>
      <c r="M1574" s="414"/>
      <c r="N1574" s="414"/>
      <c r="O1574" s="25"/>
      <c r="P1574" s="437"/>
      <c r="Q1574" s="437"/>
      <c r="R1574" s="437"/>
      <c r="S1574" s="437"/>
      <c r="T1574" s="437"/>
    </row>
    <row r="1575" spans="1:20" s="697" customFormat="1" x14ac:dyDescent="0.2">
      <c r="A1575" s="437"/>
      <c r="B1575" s="21"/>
      <c r="C1575" s="583"/>
      <c r="D1575" s="32" t="s">
        <v>342</v>
      </c>
      <c r="E1575" s="893" t="str">
        <f>Translations!$B$1271</f>
        <v>Aprēķins saskaņā ar FAR 16. panta 1. līdz 7. punktu:</v>
      </c>
      <c r="F1575" s="893"/>
      <c r="G1575" s="413"/>
      <c r="H1575" s="225"/>
      <c r="I1575" s="33"/>
      <c r="J1575" s="33"/>
      <c r="K1575" s="39"/>
      <c r="L1575" s="414"/>
      <c r="M1575" s="414"/>
      <c r="N1575" s="414"/>
      <c r="O1575" s="25"/>
      <c r="P1575" s="437"/>
      <c r="Q1575" s="437"/>
      <c r="R1575" s="437"/>
      <c r="S1575" s="437"/>
      <c r="T1575" s="437"/>
    </row>
    <row r="1576" spans="1:20" s="697" customFormat="1" ht="5.0999999999999996" customHeight="1" thickBot="1" x14ac:dyDescent="0.25">
      <c r="A1576" s="437"/>
      <c r="B1576" s="414"/>
      <c r="C1576" s="414"/>
      <c r="D1576" s="414"/>
      <c r="E1576" s="414"/>
      <c r="F1576" s="414"/>
      <c r="G1576" s="414"/>
      <c r="H1576" s="414"/>
      <c r="I1576" s="414"/>
      <c r="J1576" s="414"/>
      <c r="K1576" s="414"/>
      <c r="L1576" s="414"/>
      <c r="M1576" s="414"/>
      <c r="N1576" s="414"/>
      <c r="O1576" s="25"/>
      <c r="P1576" s="437"/>
      <c r="Q1576" s="437"/>
      <c r="R1576" s="437"/>
      <c r="S1576" s="437"/>
      <c r="T1576" s="437"/>
    </row>
    <row r="1577" spans="1:20" s="697" customFormat="1" ht="12.75" customHeight="1" thickBot="1" x14ac:dyDescent="0.25">
      <c r="A1577" s="437"/>
      <c r="B1577" s="414"/>
      <c r="C1577" s="414"/>
      <c r="D1577" s="1961" t="str">
        <f>Translations!$B$614</f>
        <v>Apakšiekārta</v>
      </c>
      <c r="E1577" s="1961"/>
      <c r="F1577" s="1961"/>
      <c r="G1577" s="1961"/>
      <c r="H1577" s="1962"/>
      <c r="I1577" s="447">
        <f>I$1652+7</f>
        <v>2026</v>
      </c>
      <c r="J1577" s="447">
        <f>J$1652+7</f>
        <v>2027</v>
      </c>
      <c r="K1577" s="447">
        <f>K$1652+7</f>
        <v>2028</v>
      </c>
      <c r="L1577" s="447">
        <f>L$1652+7</f>
        <v>2029</v>
      </c>
      <c r="M1577" s="447">
        <f>M$1652+7</f>
        <v>2030</v>
      </c>
      <c r="N1577" s="1165" t="str">
        <f>Translations!$B$1738</f>
        <v>&lt; 10 % vidējo?</v>
      </c>
      <c r="O1577" s="25"/>
      <c r="P1577" s="437"/>
      <c r="Q1577" s="907" t="s">
        <v>596</v>
      </c>
      <c r="R1577" s="908" t="s">
        <v>594</v>
      </c>
      <c r="S1577" s="908" t="str">
        <f>Translations!$B$1612</f>
        <v>OIM?</v>
      </c>
      <c r="T1577" s="907" t="s">
        <v>644</v>
      </c>
    </row>
    <row r="1578" spans="1:20" s="697" customFormat="1" x14ac:dyDescent="0.2">
      <c r="A1578" s="437"/>
      <c r="B1578" s="414"/>
      <c r="C1578" s="892">
        <v>1</v>
      </c>
      <c r="D1578" s="1880" t="str">
        <f t="shared" ref="D1578:D1597" si="16">INDEX($R$507:$R$1538,MATCH($C1578,$Q$507:$Q$1538,0))</f>
        <v/>
      </c>
      <c r="E1578" s="1880"/>
      <c r="F1578" s="1880"/>
      <c r="G1578" s="1880"/>
      <c r="H1578" s="1880"/>
      <c r="I1578" s="442" t="str">
        <f>IF(ISNUMBER($Q1578),IF(AND(CNTR_ConditionalityOK,CNTR_ConfirmationOK),MAX(0,ROUND($Q1578*IF($R1578,1,IF($C1578=14,I$1567,I$1566))*IF($S1578,I$1573,1)*IF($C1578&gt;=18,I$1569/0.97,1),0)),EUconst_ConditionalityMissing),"")</f>
        <v/>
      </c>
      <c r="J1578" s="442" t="str">
        <f>IF(ISNUMBER($Q1578),IF(AND(CNTR_ConditionalityOK,CNTR_ConfirmationOK),MAX(0,ROUND($Q1578*IF($R1578,1,IF($C1578=14,J$1567,J$1566))*IF($S1578,J$1573,1)*IF($C1578&gt;=18,J$1569/0.97,1),0)),EUconst_ConditionalityMissing),"")</f>
        <v/>
      </c>
      <c r="K1578" s="442" t="str">
        <f>IF(ISNUMBER($Q1578),IF(AND(CNTR_ConditionalityOK,CNTR_ConfirmationOK),MAX(0,ROUND($Q1578*IF($R1578,1,IF($C1578=14,K$1567,K$1566))*IF($S1578,K$1573,1)*IF($C1578&gt;=18,K$1569/0.97,1),0)),EUconst_ConditionalityMissing),"")</f>
        <v/>
      </c>
      <c r="L1578" s="442" t="str">
        <f>IF(ISNUMBER($Q1578),IF(AND(CNTR_ConditionalityOK,CNTR_ConfirmationOK),MAX(0,ROUND($Q1578*IF($R1578,1,IF($C1578=14,L$1567,L$1566))*IF($S1578,L$1573,1)*IF($C1578&gt;=18,L$1569/0.97,1),0)),EUconst_ConditionalityMissing),"")</f>
        <v/>
      </c>
      <c r="M1578" s="442" t="str">
        <f>IF(ISNUMBER($Q1578),IF(AND(CNTR_ConditionalityOK,CNTR_ConfirmationOK),MAX(0,ROUND($Q1578*IF($R1578,1,IF($C1578=14,M$1567,M$1566))*IF($S1578,M$1573,1)*IF($C1578&gt;=18,M$1569/0.97,1),0)),EUconst_ConditionalityMissing),"")</f>
        <v/>
      </c>
      <c r="N1578" s="1208" t="str">
        <f>IF(AND(CNTR_HasEntries_A_I,EUconst_StatusOfDataCollection=TRUE,COUNT(I1578:M1578)&gt;0),INDEX(A_InstallationData!$I$270:$I$304,MATCH(C1578,A_InstallationData!$D$270:$D$304,0))=TRUE,"")</f>
        <v/>
      </c>
      <c r="O1578" s="25"/>
      <c r="P1578" s="437"/>
      <c r="Q1578" s="999" t="str">
        <f t="shared" ref="Q1578:Q1597" si="17">IF(ISNUMBER(INDEX($R$507:$T$1538,MATCH(EUconst_AllocPrelim&amp;$D1578,$P$507:$P$1538,0),CNTR_MinMaxActual)),INDEX($R$507:$T$1538,MATCH(EUconst_AllocPrelim&amp;$D1578,$P$507:$P$1538,0),CNTR_MinMaxActual),"")</f>
        <v/>
      </c>
      <c r="R1578" s="876" t="str">
        <f t="shared" ref="R1578:R1597" si="18">IF(ISLOGICAL(INDEX($S$507:$S$1538,MATCH($C1578,$Q$507:$Q$1538,0))),INDEX($S$507:$S$1538,MATCH($C1578,$Q$507:$Q$1538,0)),"")</f>
        <v/>
      </c>
      <c r="S1578" s="876" t="str">
        <f t="shared" ref="S1578:S1597" si="19">IF(ISLOGICAL(INDEX($S$507:$S$1538,MATCH($C1578,$Q$507:$Q$1538,0)+2)),INDEX($S$507:$S$1538,MATCH($C1578,$Q$507:$Q$1538,0)+2),"")</f>
        <v/>
      </c>
      <c r="T1578" s="999">
        <f>IFERROR(SUM(I1578:M1578),0)</f>
        <v>0</v>
      </c>
    </row>
    <row r="1579" spans="1:20" s="697" customFormat="1" x14ac:dyDescent="0.2">
      <c r="A1579" s="437"/>
      <c r="B1579" s="414"/>
      <c r="C1579" s="892">
        <f>C1578+1</f>
        <v>2</v>
      </c>
      <c r="D1579" s="1880" t="str">
        <f t="shared" si="16"/>
        <v/>
      </c>
      <c r="E1579" s="1880"/>
      <c r="F1579" s="1880"/>
      <c r="G1579" s="1880"/>
      <c r="H1579" s="1880"/>
      <c r="I1579" s="442" t="str">
        <f>IF(ISNUMBER($Q1579),IF(AND(CNTR_ConditionalityOK,CNTR_ConfirmationOK),MAX(0,ROUND($Q1579*IF($R1579,1,IF($C1579=14,I$1567,I$1566))*IF($S1579,I$1573,1)*IF($C1579&gt;=18,I$1569/0.97,1),0)),EUconst_ConditionalityMissing),"")</f>
        <v/>
      </c>
      <c r="J1579" s="442" t="str">
        <f>IF(ISNUMBER($Q1579),IF(AND(CNTR_ConditionalityOK,CNTR_ConfirmationOK),MAX(0,ROUND($Q1579*IF($R1579,1,IF($C1579=14,J$1567,J$1566))*IF($S1579,J$1573,1)*IF($C1579&gt;=18,J$1569/0.97,1),0)),EUconst_ConditionalityMissing),"")</f>
        <v/>
      </c>
      <c r="K1579" s="442" t="str">
        <f>IF(ISNUMBER($Q1579),IF(AND(CNTR_ConditionalityOK,CNTR_ConfirmationOK),MAX(0,ROUND($Q1579*IF($R1579,1,IF($C1579=14,K$1567,K$1566))*IF($S1579,K$1573,1)*IF($C1579&gt;=18,K$1569/0.97,1),0)),EUconst_ConditionalityMissing),"")</f>
        <v/>
      </c>
      <c r="L1579" s="442" t="str">
        <f>IF(ISNUMBER($Q1579),IF(AND(CNTR_ConditionalityOK,CNTR_ConfirmationOK),MAX(0,ROUND($Q1579*IF($R1579,1,IF($C1579=14,L$1567,L$1566))*IF($S1579,L$1573,1)*IF($C1579&gt;=18,L$1569/0.97,1),0)),EUconst_ConditionalityMissing),"")</f>
        <v/>
      </c>
      <c r="M1579" s="442" t="str">
        <f>IF(ISNUMBER($Q1579),IF(AND(CNTR_ConditionalityOK,CNTR_ConfirmationOK),MAX(0,ROUND($Q1579*IF($R1579,1,IF($C1579=14,M$1567,M$1566))*IF($S1579,M$1573,1)*IF($C1579&gt;=18,M$1569/0.97,1),0)),EUconst_ConditionalityMissing),"")</f>
        <v/>
      </c>
      <c r="N1579" s="1239" t="str">
        <f>IF(AND(CNTR_HasEntries_A_I,EUconst_StatusOfDataCollection=TRUE,COUNT(I1579:M1579)&gt;0),INDEX(A_InstallationData!$I$270:$I$304,MATCH(C1579,A_InstallationData!$D$270:$D$304,0))=TRUE,"")</f>
        <v/>
      </c>
      <c r="O1579" s="25"/>
      <c r="P1579" s="437"/>
      <c r="Q1579" s="1000" t="str">
        <f t="shared" si="17"/>
        <v/>
      </c>
      <c r="R1579" s="711" t="str">
        <f t="shared" si="18"/>
        <v/>
      </c>
      <c r="S1579" s="711" t="str">
        <f t="shared" si="19"/>
        <v/>
      </c>
      <c r="T1579" s="1000">
        <f t="shared" ref="T1579:T1597" si="20">IFERROR(SUM(I1579:M1579),0)</f>
        <v>0</v>
      </c>
    </row>
    <row r="1580" spans="1:20" s="697" customFormat="1" x14ac:dyDescent="0.2">
      <c r="A1580" s="437"/>
      <c r="B1580" s="414"/>
      <c r="C1580" s="892">
        <f t="shared" ref="C1580:C1597" si="21">C1579+1</f>
        <v>3</v>
      </c>
      <c r="D1580" s="1880" t="str">
        <f t="shared" si="16"/>
        <v/>
      </c>
      <c r="E1580" s="1880"/>
      <c r="F1580" s="1880"/>
      <c r="G1580" s="1880"/>
      <c r="H1580" s="1880"/>
      <c r="I1580" s="442" t="str">
        <f>IF(ISNUMBER($Q1580),IF(AND(CNTR_ConditionalityOK,CNTR_ConfirmationOK),MAX(0,ROUND($Q1580*IF($R1580,1,IF($C1580=14,I$1567,I$1566))*IF($S1580,I$1573,1)*IF($C1580&gt;=18,I$1569/0.97,1),0)),EUconst_ConditionalityMissing),"")</f>
        <v/>
      </c>
      <c r="J1580" s="442" t="str">
        <f>IF(ISNUMBER($Q1580),IF(AND(CNTR_ConditionalityOK,CNTR_ConfirmationOK),MAX(0,ROUND($Q1580*IF($R1580,1,IF($C1580=14,J$1567,J$1566))*IF($S1580,J$1573,1)*IF($C1580&gt;=18,J$1569/0.97,1),0)),EUconst_ConditionalityMissing),"")</f>
        <v/>
      </c>
      <c r="K1580" s="442" t="str">
        <f>IF(ISNUMBER($Q1580),IF(AND(CNTR_ConditionalityOK,CNTR_ConfirmationOK),MAX(0,ROUND($Q1580*IF($R1580,1,IF($C1580=14,K$1567,K$1566))*IF($S1580,K$1573,1)*IF($C1580&gt;=18,K$1569/0.97,1),0)),EUconst_ConditionalityMissing),"")</f>
        <v/>
      </c>
      <c r="L1580" s="442" t="str">
        <f>IF(ISNUMBER($Q1580),IF(AND(CNTR_ConditionalityOK,CNTR_ConfirmationOK),MAX(0,ROUND($Q1580*IF($R1580,1,IF($C1580=14,L$1567,L$1566))*IF($S1580,L$1573,1)*IF($C1580&gt;=18,L$1569/0.97,1),0)),EUconst_ConditionalityMissing),"")</f>
        <v/>
      </c>
      <c r="M1580" s="442" t="str">
        <f>IF(ISNUMBER($Q1580),IF(AND(CNTR_ConditionalityOK,CNTR_ConfirmationOK),MAX(0,ROUND($Q1580*IF($R1580,1,IF($C1580=14,M$1567,M$1566))*IF($S1580,M$1573,1)*IF($C1580&gt;=18,M$1569/0.97,1),0)),EUconst_ConditionalityMissing),"")</f>
        <v/>
      </c>
      <c r="N1580" s="1239" t="str">
        <f>IF(AND(CNTR_HasEntries_A_I,EUconst_StatusOfDataCollection=TRUE,COUNT(I1580:M1580)&gt;0),INDEX(A_InstallationData!$I$270:$I$304,MATCH(C1580,A_InstallationData!$D$270:$D$304,0))=TRUE,"")</f>
        <v/>
      </c>
      <c r="O1580" s="25"/>
      <c r="P1580" s="437"/>
      <c r="Q1580" s="1000" t="str">
        <f t="shared" si="17"/>
        <v/>
      </c>
      <c r="R1580" s="711" t="str">
        <f t="shared" si="18"/>
        <v/>
      </c>
      <c r="S1580" s="711" t="str">
        <f t="shared" si="19"/>
        <v/>
      </c>
      <c r="T1580" s="1000">
        <f t="shared" si="20"/>
        <v>0</v>
      </c>
    </row>
    <row r="1581" spans="1:20" s="697" customFormat="1" x14ac:dyDescent="0.2">
      <c r="A1581" s="437"/>
      <c r="B1581" s="414"/>
      <c r="C1581" s="892">
        <f t="shared" si="21"/>
        <v>4</v>
      </c>
      <c r="D1581" s="1880" t="str">
        <f t="shared" si="16"/>
        <v/>
      </c>
      <c r="E1581" s="1880"/>
      <c r="F1581" s="1880"/>
      <c r="G1581" s="1880"/>
      <c r="H1581" s="1880"/>
      <c r="I1581" s="442" t="str">
        <f>IF(ISNUMBER($Q1581),IF(AND(CNTR_ConditionalityOK,CNTR_ConfirmationOK),MAX(0,ROUND($Q1581*IF($R1581,1,IF($C1581=14,I$1567,I$1566))*IF($S1581,I$1573,1)*IF($C1581&gt;=18,I$1569/0.97,1),0)),EUconst_ConditionalityMissing),"")</f>
        <v/>
      </c>
      <c r="J1581" s="442" t="str">
        <f>IF(ISNUMBER($Q1581),IF(AND(CNTR_ConditionalityOK,CNTR_ConfirmationOK),MAX(0,ROUND($Q1581*IF($R1581,1,IF($C1581=14,J$1567,J$1566))*IF($S1581,J$1573,1)*IF($C1581&gt;=18,J$1569/0.97,1),0)),EUconst_ConditionalityMissing),"")</f>
        <v/>
      </c>
      <c r="K1581" s="442" t="str">
        <f>IF(ISNUMBER($Q1581),IF(AND(CNTR_ConditionalityOK,CNTR_ConfirmationOK),MAX(0,ROUND($Q1581*IF($R1581,1,IF($C1581=14,K$1567,K$1566))*IF($S1581,K$1573,1)*IF($C1581&gt;=18,K$1569/0.97,1),0)),EUconst_ConditionalityMissing),"")</f>
        <v/>
      </c>
      <c r="L1581" s="442" t="str">
        <f>IF(ISNUMBER($Q1581),IF(AND(CNTR_ConditionalityOK,CNTR_ConfirmationOK),MAX(0,ROUND($Q1581*IF($R1581,1,IF($C1581=14,L$1567,L$1566))*IF($S1581,L$1573,1)*IF($C1581&gt;=18,L$1569/0.97,1),0)),EUconst_ConditionalityMissing),"")</f>
        <v/>
      </c>
      <c r="M1581" s="442" t="str">
        <f>IF(ISNUMBER($Q1581),IF(AND(CNTR_ConditionalityOK,CNTR_ConfirmationOK),MAX(0,ROUND($Q1581*IF($R1581,1,IF($C1581=14,M$1567,M$1566))*IF($S1581,M$1573,1)*IF($C1581&gt;=18,M$1569/0.97,1),0)),EUconst_ConditionalityMissing),"")</f>
        <v/>
      </c>
      <c r="N1581" s="1239" t="str">
        <f>IF(AND(CNTR_HasEntries_A_I,EUconst_StatusOfDataCollection=TRUE,COUNT(I1581:M1581)&gt;0),INDEX(A_InstallationData!$I$270:$I$304,MATCH(C1581,A_InstallationData!$D$270:$D$304,0))=TRUE,"")</f>
        <v/>
      </c>
      <c r="O1581" s="25"/>
      <c r="P1581" s="437"/>
      <c r="Q1581" s="1000" t="str">
        <f t="shared" si="17"/>
        <v/>
      </c>
      <c r="R1581" s="711" t="str">
        <f t="shared" si="18"/>
        <v/>
      </c>
      <c r="S1581" s="711" t="str">
        <f t="shared" si="19"/>
        <v/>
      </c>
      <c r="T1581" s="1000">
        <f t="shared" si="20"/>
        <v>0</v>
      </c>
    </row>
    <row r="1582" spans="1:20" s="697" customFormat="1" x14ac:dyDescent="0.2">
      <c r="A1582" s="437"/>
      <c r="B1582" s="414"/>
      <c r="C1582" s="892">
        <f t="shared" si="21"/>
        <v>5</v>
      </c>
      <c r="D1582" s="1880" t="str">
        <f t="shared" si="16"/>
        <v/>
      </c>
      <c r="E1582" s="1880"/>
      <c r="F1582" s="1880"/>
      <c r="G1582" s="1880"/>
      <c r="H1582" s="1880"/>
      <c r="I1582" s="442" t="str">
        <f>IF(ISNUMBER($Q1582),IF(AND(CNTR_ConditionalityOK,CNTR_ConfirmationOK),MAX(0,ROUND($Q1582*IF($R1582,1,IF($C1582=14,I$1567,I$1566))*IF($S1582,I$1573,1)*IF($C1582&gt;=18,I$1569/0.97,1),0)),EUconst_ConditionalityMissing),"")</f>
        <v/>
      </c>
      <c r="J1582" s="442" t="str">
        <f>IF(ISNUMBER($Q1582),IF(AND(CNTR_ConditionalityOK,CNTR_ConfirmationOK),MAX(0,ROUND($Q1582*IF($R1582,1,IF($C1582=14,J$1567,J$1566))*IF($S1582,J$1573,1)*IF($C1582&gt;=18,J$1569/0.97,1),0)),EUconst_ConditionalityMissing),"")</f>
        <v/>
      </c>
      <c r="K1582" s="442" t="str">
        <f>IF(ISNUMBER($Q1582),IF(AND(CNTR_ConditionalityOK,CNTR_ConfirmationOK),MAX(0,ROUND($Q1582*IF($R1582,1,IF($C1582=14,K$1567,K$1566))*IF($S1582,K$1573,1)*IF($C1582&gt;=18,K$1569/0.97,1),0)),EUconst_ConditionalityMissing),"")</f>
        <v/>
      </c>
      <c r="L1582" s="442" t="str">
        <f>IF(ISNUMBER($Q1582),IF(AND(CNTR_ConditionalityOK,CNTR_ConfirmationOK),MAX(0,ROUND($Q1582*IF($R1582,1,IF($C1582=14,L$1567,L$1566))*IF($S1582,L$1573,1)*IF($C1582&gt;=18,L$1569/0.97,1),0)),EUconst_ConditionalityMissing),"")</f>
        <v/>
      </c>
      <c r="M1582" s="442" t="str">
        <f>IF(ISNUMBER($Q1582),IF(AND(CNTR_ConditionalityOK,CNTR_ConfirmationOK),MAX(0,ROUND($Q1582*IF($R1582,1,IF($C1582=14,M$1567,M$1566))*IF($S1582,M$1573,1)*IF($C1582&gt;=18,M$1569/0.97,1),0)),EUconst_ConditionalityMissing),"")</f>
        <v/>
      </c>
      <c r="N1582" s="1239" t="str">
        <f>IF(AND(CNTR_HasEntries_A_I,EUconst_StatusOfDataCollection=TRUE,COUNT(I1582:M1582)&gt;0),INDEX(A_InstallationData!$I$270:$I$304,MATCH(C1582,A_InstallationData!$D$270:$D$304,0))=TRUE,"")</f>
        <v/>
      </c>
      <c r="O1582" s="25"/>
      <c r="P1582" s="437"/>
      <c r="Q1582" s="1000" t="str">
        <f t="shared" si="17"/>
        <v/>
      </c>
      <c r="R1582" s="711" t="str">
        <f t="shared" si="18"/>
        <v/>
      </c>
      <c r="S1582" s="711" t="str">
        <f t="shared" si="19"/>
        <v/>
      </c>
      <c r="T1582" s="1000">
        <f t="shared" si="20"/>
        <v>0</v>
      </c>
    </row>
    <row r="1583" spans="1:20" s="697" customFormat="1" x14ac:dyDescent="0.2">
      <c r="A1583" s="437"/>
      <c r="B1583" s="414"/>
      <c r="C1583" s="892">
        <f t="shared" si="21"/>
        <v>6</v>
      </c>
      <c r="D1583" s="1880" t="str">
        <f t="shared" si="16"/>
        <v/>
      </c>
      <c r="E1583" s="1880"/>
      <c r="F1583" s="1880"/>
      <c r="G1583" s="1880"/>
      <c r="H1583" s="1880"/>
      <c r="I1583" s="442" t="str">
        <f>IF(ISNUMBER($Q1583),IF(AND(CNTR_ConditionalityOK,CNTR_ConfirmationOK),MAX(0,ROUND($Q1583*IF($R1583,1,IF($C1583=14,I$1567,I$1566))*IF($S1583,I$1573,1)*IF($C1583&gt;=18,I$1569/0.97,1),0)),EUconst_ConditionalityMissing),"")</f>
        <v/>
      </c>
      <c r="J1583" s="442" t="str">
        <f>IF(ISNUMBER($Q1583),IF(AND(CNTR_ConditionalityOK,CNTR_ConfirmationOK),MAX(0,ROUND($Q1583*IF($R1583,1,IF($C1583=14,J$1567,J$1566))*IF($S1583,J$1573,1)*IF($C1583&gt;=18,J$1569/0.97,1),0)),EUconst_ConditionalityMissing),"")</f>
        <v/>
      </c>
      <c r="K1583" s="442" t="str">
        <f>IF(ISNUMBER($Q1583),IF(AND(CNTR_ConditionalityOK,CNTR_ConfirmationOK),MAX(0,ROUND($Q1583*IF($R1583,1,IF($C1583=14,K$1567,K$1566))*IF($S1583,K$1573,1)*IF($C1583&gt;=18,K$1569/0.97,1),0)),EUconst_ConditionalityMissing),"")</f>
        <v/>
      </c>
      <c r="L1583" s="442" t="str">
        <f>IF(ISNUMBER($Q1583),IF(AND(CNTR_ConditionalityOK,CNTR_ConfirmationOK),MAX(0,ROUND($Q1583*IF($R1583,1,IF($C1583=14,L$1567,L$1566))*IF($S1583,L$1573,1)*IF($C1583&gt;=18,L$1569/0.97,1),0)),EUconst_ConditionalityMissing),"")</f>
        <v/>
      </c>
      <c r="M1583" s="442" t="str">
        <f>IF(ISNUMBER($Q1583),IF(AND(CNTR_ConditionalityOK,CNTR_ConfirmationOK),MAX(0,ROUND($Q1583*IF($R1583,1,IF($C1583=14,M$1567,M$1566))*IF($S1583,M$1573,1)*IF($C1583&gt;=18,M$1569/0.97,1),0)),EUconst_ConditionalityMissing),"")</f>
        <v/>
      </c>
      <c r="N1583" s="1239" t="str">
        <f>IF(AND(CNTR_HasEntries_A_I,EUconst_StatusOfDataCollection=TRUE,COUNT(I1583:M1583)&gt;0),INDEX(A_InstallationData!$I$270:$I$304,MATCH(C1583,A_InstallationData!$D$270:$D$304,0))=TRUE,"")</f>
        <v/>
      </c>
      <c r="O1583" s="25"/>
      <c r="P1583" s="437"/>
      <c r="Q1583" s="1000" t="str">
        <f t="shared" si="17"/>
        <v/>
      </c>
      <c r="R1583" s="711" t="str">
        <f t="shared" si="18"/>
        <v/>
      </c>
      <c r="S1583" s="711" t="str">
        <f t="shared" si="19"/>
        <v/>
      </c>
      <c r="T1583" s="1000">
        <f t="shared" si="20"/>
        <v>0</v>
      </c>
    </row>
    <row r="1584" spans="1:20" s="697" customFormat="1" ht="12.75" customHeight="1" x14ac:dyDescent="0.2">
      <c r="A1584" s="437"/>
      <c r="B1584" s="414"/>
      <c r="C1584" s="892">
        <f t="shared" si="21"/>
        <v>7</v>
      </c>
      <c r="D1584" s="1880" t="str">
        <f t="shared" si="16"/>
        <v/>
      </c>
      <c r="E1584" s="1880"/>
      <c r="F1584" s="1880"/>
      <c r="G1584" s="1880"/>
      <c r="H1584" s="1880"/>
      <c r="I1584" s="442" t="str">
        <f>IF(ISNUMBER($Q1584),IF(AND(CNTR_ConditionalityOK,CNTR_ConfirmationOK),MAX(0,ROUND($Q1584*IF($R1584,1,IF($C1584=14,I$1567,I$1566))*IF($S1584,I$1573,1)*IF($C1584&gt;=18,I$1569/0.97,1),0)),EUconst_ConditionalityMissing),"")</f>
        <v/>
      </c>
      <c r="J1584" s="442" t="str">
        <f>IF(ISNUMBER($Q1584),IF(AND(CNTR_ConditionalityOK,CNTR_ConfirmationOK),MAX(0,ROUND($Q1584*IF($R1584,1,IF($C1584=14,J$1567,J$1566))*IF($S1584,J$1573,1)*IF($C1584&gt;=18,J$1569/0.97,1),0)),EUconst_ConditionalityMissing),"")</f>
        <v/>
      </c>
      <c r="K1584" s="442" t="str">
        <f>IF(ISNUMBER($Q1584),IF(AND(CNTR_ConditionalityOK,CNTR_ConfirmationOK),MAX(0,ROUND($Q1584*IF($R1584,1,IF($C1584=14,K$1567,K$1566))*IF($S1584,K$1573,1)*IF($C1584&gt;=18,K$1569/0.97,1),0)),EUconst_ConditionalityMissing),"")</f>
        <v/>
      </c>
      <c r="L1584" s="442" t="str">
        <f>IF(ISNUMBER($Q1584),IF(AND(CNTR_ConditionalityOK,CNTR_ConfirmationOK),MAX(0,ROUND($Q1584*IF($R1584,1,IF($C1584=14,L$1567,L$1566))*IF($S1584,L$1573,1)*IF($C1584&gt;=18,L$1569/0.97,1),0)),EUconst_ConditionalityMissing),"")</f>
        <v/>
      </c>
      <c r="M1584" s="442" t="str">
        <f>IF(ISNUMBER($Q1584),IF(AND(CNTR_ConditionalityOK,CNTR_ConfirmationOK),MAX(0,ROUND($Q1584*IF($R1584,1,IF($C1584=14,M$1567,M$1566))*IF($S1584,M$1573,1)*IF($C1584&gt;=18,M$1569/0.97,1),0)),EUconst_ConditionalityMissing),"")</f>
        <v/>
      </c>
      <c r="N1584" s="1239" t="str">
        <f>IF(AND(CNTR_HasEntries_A_I,EUconst_StatusOfDataCollection=TRUE,COUNT(I1584:M1584)&gt;0),INDEX(A_InstallationData!$I$270:$I$304,MATCH(C1584,A_InstallationData!$D$270:$D$304,0))=TRUE,"")</f>
        <v/>
      </c>
      <c r="O1584" s="25"/>
      <c r="P1584" s="437"/>
      <c r="Q1584" s="1000" t="str">
        <f t="shared" si="17"/>
        <v/>
      </c>
      <c r="R1584" s="711" t="str">
        <f t="shared" si="18"/>
        <v/>
      </c>
      <c r="S1584" s="711" t="str">
        <f t="shared" si="19"/>
        <v/>
      </c>
      <c r="T1584" s="1000">
        <f t="shared" si="20"/>
        <v>0</v>
      </c>
    </row>
    <row r="1585" spans="1:20" s="697" customFormat="1" ht="12.75" customHeight="1" x14ac:dyDescent="0.2">
      <c r="A1585" s="437"/>
      <c r="B1585" s="414"/>
      <c r="C1585" s="892">
        <f t="shared" si="21"/>
        <v>8</v>
      </c>
      <c r="D1585" s="1880" t="str">
        <f t="shared" si="16"/>
        <v/>
      </c>
      <c r="E1585" s="1880"/>
      <c r="F1585" s="1880"/>
      <c r="G1585" s="1880"/>
      <c r="H1585" s="1880"/>
      <c r="I1585" s="442" t="str">
        <f>IF(ISNUMBER($Q1585),IF(AND(CNTR_ConditionalityOK,CNTR_ConfirmationOK),MAX(0,ROUND($Q1585*IF($R1585,1,IF($C1585=14,I$1567,I$1566))*IF($S1585,I$1573,1)*IF($C1585&gt;=18,I$1569/0.97,1),0)),EUconst_ConditionalityMissing),"")</f>
        <v/>
      </c>
      <c r="J1585" s="442" t="str">
        <f>IF(ISNUMBER($Q1585),IF(AND(CNTR_ConditionalityOK,CNTR_ConfirmationOK),MAX(0,ROUND($Q1585*IF($R1585,1,IF($C1585=14,J$1567,J$1566))*IF($S1585,J$1573,1)*IF($C1585&gt;=18,J$1569/0.97,1),0)),EUconst_ConditionalityMissing),"")</f>
        <v/>
      </c>
      <c r="K1585" s="442" t="str">
        <f>IF(ISNUMBER($Q1585),IF(AND(CNTR_ConditionalityOK,CNTR_ConfirmationOK),MAX(0,ROUND($Q1585*IF($R1585,1,IF($C1585=14,K$1567,K$1566))*IF($S1585,K$1573,1)*IF($C1585&gt;=18,K$1569/0.97,1),0)),EUconst_ConditionalityMissing),"")</f>
        <v/>
      </c>
      <c r="L1585" s="442" t="str">
        <f>IF(ISNUMBER($Q1585),IF(AND(CNTR_ConditionalityOK,CNTR_ConfirmationOK),MAX(0,ROUND($Q1585*IF($R1585,1,IF($C1585=14,L$1567,L$1566))*IF($S1585,L$1573,1)*IF($C1585&gt;=18,L$1569/0.97,1),0)),EUconst_ConditionalityMissing),"")</f>
        <v/>
      </c>
      <c r="M1585" s="442" t="str">
        <f>IF(ISNUMBER($Q1585),IF(AND(CNTR_ConditionalityOK,CNTR_ConfirmationOK),MAX(0,ROUND($Q1585*IF($R1585,1,IF($C1585=14,M$1567,M$1566))*IF($S1585,M$1573,1)*IF($C1585&gt;=18,M$1569/0.97,1),0)),EUconst_ConditionalityMissing),"")</f>
        <v/>
      </c>
      <c r="N1585" s="1239" t="str">
        <f>IF(AND(CNTR_HasEntries_A_I,EUconst_StatusOfDataCollection=TRUE,COUNT(I1585:M1585)&gt;0),INDEX(A_InstallationData!$I$270:$I$304,MATCH(C1585,A_InstallationData!$D$270:$D$304,0))=TRUE,"")</f>
        <v/>
      </c>
      <c r="O1585" s="25"/>
      <c r="P1585" s="437"/>
      <c r="Q1585" s="1000" t="str">
        <f t="shared" si="17"/>
        <v/>
      </c>
      <c r="R1585" s="711" t="str">
        <f t="shared" si="18"/>
        <v/>
      </c>
      <c r="S1585" s="711" t="str">
        <f t="shared" si="19"/>
        <v/>
      </c>
      <c r="T1585" s="1000">
        <f t="shared" si="20"/>
        <v>0</v>
      </c>
    </row>
    <row r="1586" spans="1:20" s="697" customFormat="1" ht="12.75" customHeight="1" x14ac:dyDescent="0.2">
      <c r="A1586" s="437"/>
      <c r="B1586" s="414"/>
      <c r="C1586" s="892">
        <f t="shared" si="21"/>
        <v>9</v>
      </c>
      <c r="D1586" s="1880" t="str">
        <f t="shared" si="16"/>
        <v/>
      </c>
      <c r="E1586" s="1880"/>
      <c r="F1586" s="1880"/>
      <c r="G1586" s="1880"/>
      <c r="H1586" s="1880"/>
      <c r="I1586" s="442" t="str">
        <f>IF(ISNUMBER($Q1586),IF(AND(CNTR_ConditionalityOK,CNTR_ConfirmationOK),MAX(0,ROUND($Q1586*IF($R1586,1,IF($C1586=14,I$1567,I$1566))*IF($S1586,I$1573,1)*IF($C1586&gt;=18,I$1569/0.97,1),0)),EUconst_ConditionalityMissing),"")</f>
        <v/>
      </c>
      <c r="J1586" s="442" t="str">
        <f>IF(ISNUMBER($Q1586),IF(AND(CNTR_ConditionalityOK,CNTR_ConfirmationOK),MAX(0,ROUND($Q1586*IF($R1586,1,IF($C1586=14,J$1567,J$1566))*IF($S1586,J$1573,1)*IF($C1586&gt;=18,J$1569/0.97,1),0)),EUconst_ConditionalityMissing),"")</f>
        <v/>
      </c>
      <c r="K1586" s="442" t="str">
        <f>IF(ISNUMBER($Q1586),IF(AND(CNTR_ConditionalityOK,CNTR_ConfirmationOK),MAX(0,ROUND($Q1586*IF($R1586,1,IF($C1586=14,K$1567,K$1566))*IF($S1586,K$1573,1)*IF($C1586&gt;=18,K$1569/0.97,1),0)),EUconst_ConditionalityMissing),"")</f>
        <v/>
      </c>
      <c r="L1586" s="442" t="str">
        <f>IF(ISNUMBER($Q1586),IF(AND(CNTR_ConditionalityOK,CNTR_ConfirmationOK),MAX(0,ROUND($Q1586*IF($R1586,1,IF($C1586=14,L$1567,L$1566))*IF($S1586,L$1573,1)*IF($C1586&gt;=18,L$1569/0.97,1),0)),EUconst_ConditionalityMissing),"")</f>
        <v/>
      </c>
      <c r="M1586" s="442" t="str">
        <f>IF(ISNUMBER($Q1586),IF(AND(CNTR_ConditionalityOK,CNTR_ConfirmationOK),MAX(0,ROUND($Q1586*IF($R1586,1,IF($C1586=14,M$1567,M$1566))*IF($S1586,M$1573,1)*IF($C1586&gt;=18,M$1569/0.97,1),0)),EUconst_ConditionalityMissing),"")</f>
        <v/>
      </c>
      <c r="N1586" s="1239" t="str">
        <f>IF(AND(CNTR_HasEntries_A_I,EUconst_StatusOfDataCollection=TRUE,COUNT(I1586:M1586)&gt;0),INDEX(A_InstallationData!$I$270:$I$304,MATCH(C1586,A_InstallationData!$D$270:$D$304,0))=TRUE,"")</f>
        <v/>
      </c>
      <c r="O1586" s="25"/>
      <c r="P1586" s="437"/>
      <c r="Q1586" s="1000" t="str">
        <f t="shared" si="17"/>
        <v/>
      </c>
      <c r="R1586" s="711" t="str">
        <f t="shared" si="18"/>
        <v/>
      </c>
      <c r="S1586" s="711" t="str">
        <f t="shared" si="19"/>
        <v/>
      </c>
      <c r="T1586" s="1000">
        <f t="shared" si="20"/>
        <v>0</v>
      </c>
    </row>
    <row r="1587" spans="1:20" s="697" customFormat="1" ht="13.5" thickBot="1" x14ac:dyDescent="0.25">
      <c r="A1587" s="437"/>
      <c r="B1587" s="414"/>
      <c r="C1587" s="895">
        <f t="shared" si="21"/>
        <v>10</v>
      </c>
      <c r="D1587" s="1960" t="str">
        <f t="shared" si="16"/>
        <v/>
      </c>
      <c r="E1587" s="1960"/>
      <c r="F1587" s="1960"/>
      <c r="G1587" s="1960"/>
      <c r="H1587" s="1960"/>
      <c r="I1587" s="896" t="str">
        <f>IF(ISNUMBER($Q1587),IF(AND(CNTR_ConditionalityOK,CNTR_ConfirmationOK),MAX(0,ROUND($Q1587*IF($R1587,1,IF($C1587=14,I$1567,I$1566))*IF($S1587,I$1573,1)*IF($C1587&gt;=18,I$1569/0.97,1),0)),EUconst_ConditionalityMissing),"")</f>
        <v/>
      </c>
      <c r="J1587" s="896" t="str">
        <f>IF(ISNUMBER($Q1587),IF(AND(CNTR_ConditionalityOK,CNTR_ConfirmationOK),MAX(0,ROUND($Q1587*IF($R1587,1,IF($C1587=14,J$1567,J$1566))*IF($S1587,J$1573,1)*IF($C1587&gt;=18,J$1569/0.97,1),0)),EUconst_ConditionalityMissing),"")</f>
        <v/>
      </c>
      <c r="K1587" s="896" t="str">
        <f>IF(ISNUMBER($Q1587),IF(AND(CNTR_ConditionalityOK,CNTR_ConfirmationOK),MAX(0,ROUND($Q1587*IF($R1587,1,IF($C1587=14,K$1567,K$1566))*IF($S1587,K$1573,1)*IF($C1587&gt;=18,K$1569/0.97,1),0)),EUconst_ConditionalityMissing),"")</f>
        <v/>
      </c>
      <c r="L1587" s="896" t="str">
        <f>IF(ISNUMBER($Q1587),IF(AND(CNTR_ConditionalityOK,CNTR_ConfirmationOK),MAX(0,ROUND($Q1587*IF($R1587,1,IF($C1587=14,L$1567,L$1566))*IF($S1587,L$1573,1)*IF($C1587&gt;=18,L$1569/0.97,1),0)),EUconst_ConditionalityMissing),"")</f>
        <v/>
      </c>
      <c r="M1587" s="896" t="str">
        <f>IF(ISNUMBER($Q1587),IF(AND(CNTR_ConditionalityOK,CNTR_ConfirmationOK),MAX(0,ROUND($Q1587*IF($R1587,1,IF($C1587=14,M$1567,M$1566))*IF($S1587,M$1573,1)*IF($C1587&gt;=18,M$1569/0.97,1),0)),EUconst_ConditionalityMissing),"")</f>
        <v/>
      </c>
      <c r="N1587" s="896" t="str">
        <f>IF(AND(CNTR_HasEntries_A_I,EUconst_StatusOfDataCollection=TRUE,COUNT(I1587:M1587)&gt;0),INDEX(A_InstallationData!$I$270:$I$304,MATCH(C1587,A_InstallationData!$D$270:$D$304,0))=TRUE,"")</f>
        <v/>
      </c>
      <c r="O1587" s="25"/>
      <c r="P1587" s="437"/>
      <c r="Q1587" s="1000" t="str">
        <f t="shared" si="17"/>
        <v/>
      </c>
      <c r="R1587" s="711" t="str">
        <f t="shared" si="18"/>
        <v/>
      </c>
      <c r="S1587" s="711" t="str">
        <f t="shared" si="19"/>
        <v/>
      </c>
      <c r="T1587" s="1000">
        <f t="shared" si="20"/>
        <v>0</v>
      </c>
    </row>
    <row r="1588" spans="1:20" s="697" customFormat="1" x14ac:dyDescent="0.2">
      <c r="A1588" s="437"/>
      <c r="B1588" s="414"/>
      <c r="C1588" s="892">
        <f t="shared" si="21"/>
        <v>11</v>
      </c>
      <c r="D1588" s="1883" t="str">
        <f t="shared" si="16"/>
        <v>Siltuma līmeņatzīmes apakšiekārta, OEP | bez OIM)</v>
      </c>
      <c r="E1588" s="1883"/>
      <c r="F1588" s="1883"/>
      <c r="G1588" s="1883"/>
      <c r="H1588" s="1883"/>
      <c r="I1588" s="897" t="str">
        <f>IF(ISNUMBER($Q1588),IF(AND(CNTR_ConditionalityOK,CNTR_ConfirmationOK),MAX(0,ROUND($Q1588*IF($R1588,1,IF($C1588=14,I$1567,I$1566))*IF($S1588,I$1573,1)*IF($C1588&gt;=18,I$1569/0.97,1),0)),EUconst_ConditionalityMissing),"")</f>
        <v/>
      </c>
      <c r="J1588" s="897" t="str">
        <f>IF(ISNUMBER($Q1588),IF(AND(CNTR_ConditionalityOK,CNTR_ConfirmationOK),MAX(0,ROUND($Q1588*IF($R1588,1,IF($C1588=14,J$1567,J$1566))*IF($S1588,J$1573,1)*IF($C1588&gt;=18,J$1569/0.97,1),0)),EUconst_ConditionalityMissing),"")</f>
        <v/>
      </c>
      <c r="K1588" s="897" t="str">
        <f>IF(ISNUMBER($Q1588),IF(AND(CNTR_ConditionalityOK,CNTR_ConfirmationOK),MAX(0,ROUND($Q1588*IF($R1588,1,IF($C1588=14,K$1567,K$1566))*IF($S1588,K$1573,1)*IF($C1588&gt;=18,K$1569/0.97,1),0)),EUconst_ConditionalityMissing),"")</f>
        <v/>
      </c>
      <c r="L1588" s="897" t="str">
        <f>IF(ISNUMBER($Q1588),IF(AND(CNTR_ConditionalityOK,CNTR_ConfirmationOK),MAX(0,ROUND($Q1588*IF($R1588,1,IF($C1588=14,L$1567,L$1566))*IF($S1588,L$1573,1)*IF($C1588&gt;=18,L$1569/0.97,1),0)),EUconst_ConditionalityMissing),"")</f>
        <v/>
      </c>
      <c r="M1588" s="897" t="str">
        <f>IF(ISNUMBER($Q1588),IF(AND(CNTR_ConditionalityOK,CNTR_ConfirmationOK),MAX(0,ROUND($Q1588*IF($R1588,1,IF($C1588=14,M$1567,M$1566))*IF($S1588,M$1573,1)*IF($C1588&gt;=18,M$1569/0.97,1),0)),EUconst_ConditionalityMissing),"")</f>
        <v/>
      </c>
      <c r="N1588" s="1239" t="str">
        <f>IF(AND(CNTR_HasEntries_A_I,EUconst_StatusOfDataCollection=TRUE,COUNT(I1588:M1588)&gt;0),INDEX(A_InstallationData!$I$270:$I$304,MATCH(C1588,A_InstallationData!$D$270:$D$304,0))=TRUE,"")</f>
        <v/>
      </c>
      <c r="O1588" s="25"/>
      <c r="P1588" s="437"/>
      <c r="Q1588" s="1000" t="str">
        <f t="shared" si="17"/>
        <v/>
      </c>
      <c r="R1588" s="711" t="b">
        <f t="shared" si="18"/>
        <v>1</v>
      </c>
      <c r="S1588" s="711" t="b">
        <f t="shared" si="19"/>
        <v>0</v>
      </c>
      <c r="T1588" s="1000">
        <f t="shared" si="20"/>
        <v>0</v>
      </c>
    </row>
    <row r="1589" spans="1:20" s="697" customFormat="1" x14ac:dyDescent="0.2">
      <c r="A1589" s="437"/>
      <c r="B1589" s="414"/>
      <c r="C1589" s="892">
        <f t="shared" si="21"/>
        <v>12</v>
      </c>
      <c r="D1589" s="1880" t="str">
        <f t="shared" si="16"/>
        <v>Siltuma līmeņatzīmes apakšiekārta (bez OEP | bez OIM)</v>
      </c>
      <c r="E1589" s="1880"/>
      <c r="F1589" s="1880"/>
      <c r="G1589" s="1880"/>
      <c r="H1589" s="1880"/>
      <c r="I1589" s="442" t="str">
        <f>IF(ISNUMBER($Q1589),IF(AND(CNTR_ConditionalityOK,CNTR_ConfirmationOK),MAX(0,ROUND($Q1589*IF($R1589,1,IF($C1589=14,I$1567,I$1566))*IF($S1589,I$1573,1)*IF($C1589&gt;=18,I$1569/0.97,1),0)),EUconst_ConditionalityMissing),"")</f>
        <v/>
      </c>
      <c r="J1589" s="442" t="str">
        <f>IF(ISNUMBER($Q1589),IF(AND(CNTR_ConditionalityOK,CNTR_ConfirmationOK),MAX(0,ROUND($Q1589*IF($R1589,1,IF($C1589=14,J$1567,J$1566))*IF($S1589,J$1573,1)*IF($C1589&gt;=18,J$1569/0.97,1),0)),EUconst_ConditionalityMissing),"")</f>
        <v/>
      </c>
      <c r="K1589" s="442" t="str">
        <f>IF(ISNUMBER($Q1589),IF(AND(CNTR_ConditionalityOK,CNTR_ConfirmationOK),MAX(0,ROUND($Q1589*IF($R1589,1,IF($C1589=14,K$1567,K$1566))*IF($S1589,K$1573,1)*IF($C1589&gt;=18,K$1569/0.97,1),0)),EUconst_ConditionalityMissing),"")</f>
        <v/>
      </c>
      <c r="L1589" s="442" t="str">
        <f>IF(ISNUMBER($Q1589),IF(AND(CNTR_ConditionalityOK,CNTR_ConfirmationOK),MAX(0,ROUND($Q1589*IF($R1589,1,IF($C1589=14,L$1567,L$1566))*IF($S1589,L$1573,1)*IF($C1589&gt;=18,L$1569/0.97,1),0)),EUconst_ConditionalityMissing),"")</f>
        <v/>
      </c>
      <c r="M1589" s="442" t="str">
        <f>IF(ISNUMBER($Q1589),IF(AND(CNTR_ConditionalityOK,CNTR_ConfirmationOK),MAX(0,ROUND($Q1589*IF($R1589,1,IF($C1589=14,M$1567,M$1566))*IF($S1589,M$1573,1)*IF($C1589&gt;=18,M$1569/0.97,1),0)),EUconst_ConditionalityMissing),"")</f>
        <v/>
      </c>
      <c r="N1589" s="1239" t="str">
        <f>IF(AND(CNTR_HasEntries_A_I,EUconst_StatusOfDataCollection=TRUE,COUNT(I1589:M1589)&gt;0),INDEX(A_InstallationData!$I$270:$I$304,MATCH(C1589,A_InstallationData!$D$270:$D$304,0))=TRUE,"")</f>
        <v/>
      </c>
      <c r="O1589" s="25"/>
      <c r="P1589" s="437"/>
      <c r="Q1589" s="1000" t="str">
        <f t="shared" si="17"/>
        <v/>
      </c>
      <c r="R1589" s="711" t="b">
        <f t="shared" si="18"/>
        <v>0</v>
      </c>
      <c r="S1589" s="711" t="b">
        <f t="shared" si="19"/>
        <v>0</v>
      </c>
      <c r="T1589" s="1000">
        <f t="shared" si="20"/>
        <v>0</v>
      </c>
    </row>
    <row r="1590" spans="1:20" s="697" customFormat="1" x14ac:dyDescent="0.2">
      <c r="A1590" s="437"/>
      <c r="B1590" s="414"/>
      <c r="C1590" s="892">
        <f t="shared" si="21"/>
        <v>13</v>
      </c>
      <c r="D1590" s="1880" t="str">
        <f t="shared" si="16"/>
        <v>Siltuma līmeņatzīmes apakšiekārta, OEP | OIM)</v>
      </c>
      <c r="E1590" s="1880"/>
      <c r="F1590" s="1880"/>
      <c r="G1590" s="1880"/>
      <c r="H1590" s="1880"/>
      <c r="I1590" s="442" t="str">
        <f>IF(ISNUMBER($Q1590),IF(AND(CNTR_ConditionalityOK,CNTR_ConfirmationOK),MAX(0,ROUND($Q1590*IF($R1590,1,IF($C1590=14,I$1567,I$1566))*IF($S1590,I$1573,1)*IF($C1590&gt;=18,I$1569/0.97,1),0)),EUconst_ConditionalityMissing),"")</f>
        <v/>
      </c>
      <c r="J1590" s="442" t="str">
        <f>IF(ISNUMBER($Q1590),IF(AND(CNTR_ConditionalityOK,CNTR_ConfirmationOK),MAX(0,ROUND($Q1590*IF($R1590,1,IF($C1590=14,J$1567,J$1566))*IF($S1590,J$1573,1)*IF($C1590&gt;=18,J$1569/0.97,1),0)),EUconst_ConditionalityMissing),"")</f>
        <v/>
      </c>
      <c r="K1590" s="442" t="str">
        <f>IF(ISNUMBER($Q1590),IF(AND(CNTR_ConditionalityOK,CNTR_ConfirmationOK),MAX(0,ROUND($Q1590*IF($R1590,1,IF($C1590=14,K$1567,K$1566))*IF($S1590,K$1573,1)*IF($C1590&gt;=18,K$1569/0.97,1),0)),EUconst_ConditionalityMissing),"")</f>
        <v/>
      </c>
      <c r="L1590" s="442" t="str">
        <f>IF(ISNUMBER($Q1590),IF(AND(CNTR_ConditionalityOK,CNTR_ConfirmationOK),MAX(0,ROUND($Q1590*IF($R1590,1,IF($C1590=14,L$1567,L$1566))*IF($S1590,L$1573,1)*IF($C1590&gt;=18,L$1569/0.97,1),0)),EUconst_ConditionalityMissing),"")</f>
        <v/>
      </c>
      <c r="M1590" s="442" t="str">
        <f>IF(ISNUMBER($Q1590),IF(AND(CNTR_ConditionalityOK,CNTR_ConfirmationOK),MAX(0,ROUND($Q1590*IF($R1590,1,IF($C1590=14,M$1567,M$1566))*IF($S1590,M$1573,1)*IF($C1590&gt;=18,M$1569/0.97,1),0)),EUconst_ConditionalityMissing),"")</f>
        <v/>
      </c>
      <c r="N1590" s="1239" t="str">
        <f>IF(AND(CNTR_HasEntries_A_I,EUconst_StatusOfDataCollection=TRUE,COUNT(I1590:M1590)&gt;0),INDEX(A_InstallationData!$I$270:$I$304,MATCH(C1590,A_InstallationData!$D$270:$D$304,0))=TRUE,"")</f>
        <v/>
      </c>
      <c r="O1590" s="25"/>
      <c r="P1590" s="437"/>
      <c r="Q1590" s="1000" t="str">
        <f t="shared" si="17"/>
        <v/>
      </c>
      <c r="R1590" s="711" t="b">
        <f t="shared" si="18"/>
        <v>1</v>
      </c>
      <c r="S1590" s="711" t="b">
        <f t="shared" si="19"/>
        <v>1</v>
      </c>
      <c r="T1590" s="1000">
        <f t="shared" si="20"/>
        <v>0</v>
      </c>
    </row>
    <row r="1591" spans="1:20" s="697" customFormat="1" x14ac:dyDescent="0.2">
      <c r="A1591" s="437"/>
      <c r="B1591" s="414"/>
      <c r="C1591" s="892">
        <f t="shared" si="21"/>
        <v>14</v>
      </c>
      <c r="D1591" s="1880" t="str">
        <f t="shared" si="16"/>
        <v>Centralizētās siltumapgādes apakšiekārta</v>
      </c>
      <c r="E1591" s="1880"/>
      <c r="F1591" s="1880"/>
      <c r="G1591" s="1880"/>
      <c r="H1591" s="1880"/>
      <c r="I1591" s="442" t="str">
        <f>IF(ISNUMBER($Q1591),IF(AND(CNTR_ConditionalityOK,CNTR_ConfirmationOK),MAX(0,ROUND($Q1591*IF($R1591,1,IF($C1591=14,I$1567,I$1566))*IF($S1591,I$1573,1)*IF($C1591&gt;=18,I$1569/0.97,1),0)),EUconst_ConditionalityMissing),"")</f>
        <v/>
      </c>
      <c r="J1591" s="442" t="str">
        <f>IF(ISNUMBER($Q1591),IF(AND(CNTR_ConditionalityOK,CNTR_ConfirmationOK),MAX(0,ROUND($Q1591*IF($R1591,1,IF($C1591=14,J$1567,J$1566))*IF($S1591,J$1573,1)*IF($C1591&gt;=18,J$1569/0.97,1),0)),EUconst_ConditionalityMissing),"")</f>
        <v/>
      </c>
      <c r="K1591" s="442" t="str">
        <f>IF(ISNUMBER($Q1591),IF(AND(CNTR_ConditionalityOK,CNTR_ConfirmationOK),MAX(0,ROUND($Q1591*IF($R1591,1,IF($C1591=14,K$1567,K$1566))*IF($S1591,K$1573,1)*IF($C1591&gt;=18,K$1569/0.97,1),0)),EUconst_ConditionalityMissing),"")</f>
        <v/>
      </c>
      <c r="L1591" s="442" t="str">
        <f>IF(ISNUMBER($Q1591),IF(AND(CNTR_ConditionalityOK,CNTR_ConfirmationOK),MAX(0,ROUND($Q1591*IF($R1591,1,IF($C1591=14,L$1567,L$1566))*IF($S1591,L$1573,1)*IF($C1591&gt;=18,L$1569/0.97,1),0)),EUconst_ConditionalityMissing),"")</f>
        <v/>
      </c>
      <c r="M1591" s="442" t="str">
        <f>IF(ISNUMBER($Q1591),IF(AND(CNTR_ConditionalityOK,CNTR_ConfirmationOK),MAX(0,ROUND($Q1591*IF($R1591,1,IF($C1591=14,M$1567,M$1566))*IF($S1591,M$1573,1)*IF($C1591&gt;=18,M$1569/0.97,1),0)),EUconst_ConditionalityMissing),"")</f>
        <v/>
      </c>
      <c r="N1591" s="1239" t="str">
        <f>IF(AND(CNTR_HasEntries_A_I,EUconst_StatusOfDataCollection=TRUE,COUNT(I1591:M1591)&gt;0),INDEX(A_InstallationData!$I$270:$I$304,MATCH(C1591,A_InstallationData!$D$270:$D$304,0))=TRUE,"")</f>
        <v/>
      </c>
      <c r="O1591" s="25"/>
      <c r="P1591" s="437"/>
      <c r="Q1591" s="1000" t="str">
        <f t="shared" si="17"/>
        <v/>
      </c>
      <c r="R1591" s="711" t="b">
        <f t="shared" si="18"/>
        <v>0</v>
      </c>
      <c r="S1591" s="711" t="b">
        <f t="shared" si="19"/>
        <v>0</v>
      </c>
      <c r="T1591" s="1000">
        <f t="shared" si="20"/>
        <v>0</v>
      </c>
    </row>
    <row r="1592" spans="1:20" s="697" customFormat="1" x14ac:dyDescent="0.2">
      <c r="A1592" s="437"/>
      <c r="B1592" s="414"/>
      <c r="C1592" s="892">
        <f t="shared" si="21"/>
        <v>15</v>
      </c>
      <c r="D1592" s="1880" t="str">
        <f t="shared" si="16"/>
        <v>Kurināmā līmeņatzīmes apakšiekārta (OEP | bez OIM)</v>
      </c>
      <c r="E1592" s="1880"/>
      <c r="F1592" s="1880"/>
      <c r="G1592" s="1880"/>
      <c r="H1592" s="1880"/>
      <c r="I1592" s="442" t="str">
        <f>IF(ISNUMBER($Q1592),IF(AND(CNTR_ConditionalityOK,CNTR_ConfirmationOK),MAX(0,ROUND($Q1592*IF($R1592,1,IF($C1592=14,I$1567,I$1566))*IF($S1592,I$1573,1)*IF($C1592&gt;=18,I$1569/0.97,1),0)),EUconst_ConditionalityMissing),"")</f>
        <v/>
      </c>
      <c r="J1592" s="442" t="str">
        <f>IF(ISNUMBER($Q1592),IF(AND(CNTR_ConditionalityOK,CNTR_ConfirmationOK),MAX(0,ROUND($Q1592*IF($R1592,1,IF($C1592=14,J$1567,J$1566))*IF($S1592,J$1573,1)*IF($C1592&gt;=18,J$1569/0.97,1),0)),EUconst_ConditionalityMissing),"")</f>
        <v/>
      </c>
      <c r="K1592" s="442" t="str">
        <f>IF(ISNUMBER($Q1592),IF(AND(CNTR_ConditionalityOK,CNTR_ConfirmationOK),MAX(0,ROUND($Q1592*IF($R1592,1,IF($C1592=14,K$1567,K$1566))*IF($S1592,K$1573,1)*IF($C1592&gt;=18,K$1569/0.97,1),0)),EUconst_ConditionalityMissing),"")</f>
        <v/>
      </c>
      <c r="L1592" s="442" t="str">
        <f>IF(ISNUMBER($Q1592),IF(AND(CNTR_ConditionalityOK,CNTR_ConfirmationOK),MAX(0,ROUND($Q1592*IF($R1592,1,IF($C1592=14,L$1567,L$1566))*IF($S1592,L$1573,1)*IF($C1592&gt;=18,L$1569/0.97,1),0)),EUconst_ConditionalityMissing),"")</f>
        <v/>
      </c>
      <c r="M1592" s="442" t="str">
        <f>IF(ISNUMBER($Q1592),IF(AND(CNTR_ConditionalityOK,CNTR_ConfirmationOK),MAX(0,ROUND($Q1592*IF($R1592,1,IF($C1592=14,M$1567,M$1566))*IF($S1592,M$1573,1)*IF($C1592&gt;=18,M$1569/0.97,1),0)),EUconst_ConditionalityMissing),"")</f>
        <v/>
      </c>
      <c r="N1592" s="1239" t="str">
        <f>IF(AND(CNTR_HasEntries_A_I,EUconst_StatusOfDataCollection=TRUE,COUNT(I1592:M1592)&gt;0),INDEX(A_InstallationData!$I$270:$I$304,MATCH(C1592,A_InstallationData!$D$270:$D$304,0))=TRUE,"")</f>
        <v/>
      </c>
      <c r="O1592" s="25"/>
      <c r="P1592" s="437"/>
      <c r="Q1592" s="1000" t="str">
        <f t="shared" si="17"/>
        <v/>
      </c>
      <c r="R1592" s="711" t="b">
        <f t="shared" si="18"/>
        <v>1</v>
      </c>
      <c r="S1592" s="711" t="b">
        <f t="shared" si="19"/>
        <v>0</v>
      </c>
      <c r="T1592" s="1000">
        <f t="shared" si="20"/>
        <v>0</v>
      </c>
    </row>
    <row r="1593" spans="1:20" s="697" customFormat="1" x14ac:dyDescent="0.2">
      <c r="A1593" s="437"/>
      <c r="B1593" s="414"/>
      <c r="C1593" s="892">
        <f t="shared" si="21"/>
        <v>16</v>
      </c>
      <c r="D1593" s="1880" t="str">
        <f t="shared" si="16"/>
        <v>Kurināmā līmeņatzīmes apakšiekārta (bez OEP | bez OIM)</v>
      </c>
      <c r="E1593" s="1880"/>
      <c r="F1593" s="1880"/>
      <c r="G1593" s="1880"/>
      <c r="H1593" s="1880"/>
      <c r="I1593" s="442" t="str">
        <f>IF(ISNUMBER($Q1593),IF(AND(CNTR_ConditionalityOK,CNTR_ConfirmationOK),MAX(0,ROUND($Q1593*IF($R1593,1,IF($C1593=14,I$1567,I$1566))*IF($S1593,I$1573,1)*IF($C1593&gt;=18,I$1569/0.97,1),0)),EUconst_ConditionalityMissing),"")</f>
        <v/>
      </c>
      <c r="J1593" s="442" t="str">
        <f>IF(ISNUMBER($Q1593),IF(AND(CNTR_ConditionalityOK,CNTR_ConfirmationOK),MAX(0,ROUND($Q1593*IF($R1593,1,IF($C1593=14,J$1567,J$1566))*IF($S1593,J$1573,1)*IF($C1593&gt;=18,J$1569/0.97,1),0)),EUconst_ConditionalityMissing),"")</f>
        <v/>
      </c>
      <c r="K1593" s="442" t="str">
        <f>IF(ISNUMBER($Q1593),IF(AND(CNTR_ConditionalityOK,CNTR_ConfirmationOK),MAX(0,ROUND($Q1593*IF($R1593,1,IF($C1593=14,K$1567,K$1566))*IF($S1593,K$1573,1)*IF($C1593&gt;=18,K$1569/0.97,1),0)),EUconst_ConditionalityMissing),"")</f>
        <v/>
      </c>
      <c r="L1593" s="442" t="str">
        <f>IF(ISNUMBER($Q1593),IF(AND(CNTR_ConditionalityOK,CNTR_ConfirmationOK),MAX(0,ROUND($Q1593*IF($R1593,1,IF($C1593=14,L$1567,L$1566))*IF($S1593,L$1573,1)*IF($C1593&gt;=18,L$1569/0.97,1),0)),EUconst_ConditionalityMissing),"")</f>
        <v/>
      </c>
      <c r="M1593" s="442" t="str">
        <f>IF(ISNUMBER($Q1593),IF(AND(CNTR_ConditionalityOK,CNTR_ConfirmationOK),MAX(0,ROUND($Q1593*IF($R1593,1,IF($C1593=14,M$1567,M$1566))*IF($S1593,M$1573,1)*IF($C1593&gt;=18,M$1569/0.97,1),0)),EUconst_ConditionalityMissing),"")</f>
        <v/>
      </c>
      <c r="N1593" s="1239" t="str">
        <f>IF(AND(CNTR_HasEntries_A_I,EUconst_StatusOfDataCollection=TRUE,COUNT(I1593:M1593)&gt;0),INDEX(A_InstallationData!$I$270:$I$304,MATCH(C1593,A_InstallationData!$D$270:$D$304,0))=TRUE,"")</f>
        <v/>
      </c>
      <c r="O1593" s="25"/>
      <c r="P1593" s="437"/>
      <c r="Q1593" s="1000" t="str">
        <f t="shared" si="17"/>
        <v/>
      </c>
      <c r="R1593" s="711" t="b">
        <f t="shared" si="18"/>
        <v>0</v>
      </c>
      <c r="S1593" s="711" t="b">
        <f t="shared" si="19"/>
        <v>0</v>
      </c>
      <c r="T1593" s="1000">
        <f t="shared" si="20"/>
        <v>0</v>
      </c>
    </row>
    <row r="1594" spans="1:20" s="697" customFormat="1" x14ac:dyDescent="0.2">
      <c r="A1594" s="437"/>
      <c r="B1594" s="414"/>
      <c r="C1594" s="892">
        <f t="shared" si="21"/>
        <v>17</v>
      </c>
      <c r="D1594" s="1880" t="str">
        <f t="shared" si="16"/>
        <v>Kurināmā līmeņatzīmes apakšiekārta (OEP | OIM)</v>
      </c>
      <c r="E1594" s="1880"/>
      <c r="F1594" s="1880"/>
      <c r="G1594" s="1880"/>
      <c r="H1594" s="1880"/>
      <c r="I1594" s="442" t="str">
        <f>IF(ISNUMBER($Q1594),IF(AND(CNTR_ConditionalityOK,CNTR_ConfirmationOK),MAX(0,ROUND($Q1594*IF($R1594,1,IF($C1594=14,I$1567,I$1566))*IF($S1594,I$1573,1)*IF($C1594&gt;=18,I$1569/0.97,1),0)),EUconst_ConditionalityMissing),"")</f>
        <v/>
      </c>
      <c r="J1594" s="442" t="str">
        <f>IF(ISNUMBER($Q1594),IF(AND(CNTR_ConditionalityOK,CNTR_ConfirmationOK),MAX(0,ROUND($Q1594*IF($R1594,1,IF($C1594=14,J$1567,J$1566))*IF($S1594,J$1573,1)*IF($C1594&gt;=18,J$1569/0.97,1),0)),EUconst_ConditionalityMissing),"")</f>
        <v/>
      </c>
      <c r="K1594" s="442" t="str">
        <f>IF(ISNUMBER($Q1594),IF(AND(CNTR_ConditionalityOK,CNTR_ConfirmationOK),MAX(0,ROUND($Q1594*IF($R1594,1,IF($C1594=14,K$1567,K$1566))*IF($S1594,K$1573,1)*IF($C1594&gt;=18,K$1569/0.97,1),0)),EUconst_ConditionalityMissing),"")</f>
        <v/>
      </c>
      <c r="L1594" s="442" t="str">
        <f>IF(ISNUMBER($Q1594),IF(AND(CNTR_ConditionalityOK,CNTR_ConfirmationOK),MAX(0,ROUND($Q1594*IF($R1594,1,IF($C1594=14,L$1567,L$1566))*IF($S1594,L$1573,1)*IF($C1594&gt;=18,L$1569/0.97,1),0)),EUconst_ConditionalityMissing),"")</f>
        <v/>
      </c>
      <c r="M1594" s="442" t="str">
        <f>IF(ISNUMBER($Q1594),IF(AND(CNTR_ConditionalityOK,CNTR_ConfirmationOK),MAX(0,ROUND($Q1594*IF($R1594,1,IF($C1594=14,M$1567,M$1566))*IF($S1594,M$1573,1)*IF($C1594&gt;=18,M$1569/0.97,1),0)),EUconst_ConditionalityMissing),"")</f>
        <v/>
      </c>
      <c r="N1594" s="1239" t="str">
        <f>IF(AND(CNTR_HasEntries_A_I,EUconst_StatusOfDataCollection=TRUE,COUNT(I1594:M1594)&gt;0),INDEX(A_InstallationData!$I$270:$I$304,MATCH(C1594,A_InstallationData!$D$270:$D$304,0))=TRUE,"")</f>
        <v/>
      </c>
      <c r="O1594" s="25"/>
      <c r="P1594" s="437"/>
      <c r="Q1594" s="1000" t="str">
        <f t="shared" si="17"/>
        <v/>
      </c>
      <c r="R1594" s="711" t="b">
        <f t="shared" si="18"/>
        <v>1</v>
      </c>
      <c r="S1594" s="711" t="b">
        <f t="shared" si="19"/>
        <v>1</v>
      </c>
      <c r="T1594" s="1000">
        <f t="shared" si="20"/>
        <v>0</v>
      </c>
    </row>
    <row r="1595" spans="1:20" s="697" customFormat="1" x14ac:dyDescent="0.2">
      <c r="A1595" s="437"/>
      <c r="B1595" s="414"/>
      <c r="C1595" s="892">
        <f t="shared" si="21"/>
        <v>18</v>
      </c>
      <c r="D1595" s="1880" t="str">
        <f t="shared" si="16"/>
        <v>Procesa emisiju apakšiekārta (OEP | bez OIM)</v>
      </c>
      <c r="E1595" s="1880"/>
      <c r="F1595" s="1880"/>
      <c r="G1595" s="1880"/>
      <c r="H1595" s="1880"/>
      <c r="I1595" s="442" t="str">
        <f>IF(ISNUMBER($Q1595),IF(AND(CNTR_ConditionalityOK,CNTR_ConfirmationOK),MAX(0,ROUND($Q1595*IF($R1595,1,IF($C1595=14,I$1567,I$1566))*IF($S1595,I$1573,1)*IF($C1595&gt;=18,I$1569/0.97,1),0)),EUconst_ConditionalityMissing),"")</f>
        <v/>
      </c>
      <c r="J1595" s="442" t="str">
        <f>IF(ISNUMBER($Q1595),IF(AND(CNTR_ConditionalityOK,CNTR_ConfirmationOK),MAX(0,ROUND($Q1595*IF($R1595,1,IF($C1595=14,J$1567,J$1566))*IF($S1595,J$1573,1)*IF($C1595&gt;=18,J$1569/0.97,1),0)),EUconst_ConditionalityMissing),"")</f>
        <v/>
      </c>
      <c r="K1595" s="442" t="str">
        <f>IF(ISNUMBER($Q1595),IF(AND(CNTR_ConditionalityOK,CNTR_ConfirmationOK),MAX(0,ROUND($Q1595*IF($R1595,1,IF($C1595=14,K$1567,K$1566))*IF($S1595,K$1573,1)*IF($C1595&gt;=18,K$1569/0.97,1),0)),EUconst_ConditionalityMissing),"")</f>
        <v/>
      </c>
      <c r="L1595" s="442" t="str">
        <f>IF(ISNUMBER($Q1595),IF(AND(CNTR_ConditionalityOK,CNTR_ConfirmationOK),MAX(0,ROUND($Q1595*IF($R1595,1,IF($C1595=14,L$1567,L$1566))*IF($S1595,L$1573,1)*IF($C1595&gt;=18,L$1569/0.97,1),0)),EUconst_ConditionalityMissing),"")</f>
        <v/>
      </c>
      <c r="M1595" s="442" t="str">
        <f>IF(ISNUMBER($Q1595),IF(AND(CNTR_ConditionalityOK,CNTR_ConfirmationOK),MAX(0,ROUND($Q1595*IF($R1595,1,IF($C1595=14,M$1567,M$1566))*IF($S1595,M$1573,1)*IF($C1595&gt;=18,M$1569/0.97,1),0)),EUconst_ConditionalityMissing),"")</f>
        <v/>
      </c>
      <c r="N1595" s="414"/>
      <c r="O1595" s="25"/>
      <c r="P1595" s="437"/>
      <c r="Q1595" s="1000" t="str">
        <f t="shared" si="17"/>
        <v/>
      </c>
      <c r="R1595" s="711" t="b">
        <f t="shared" si="18"/>
        <v>1</v>
      </c>
      <c r="S1595" s="711" t="b">
        <f t="shared" si="19"/>
        <v>0</v>
      </c>
      <c r="T1595" s="1000">
        <f t="shared" si="20"/>
        <v>0</v>
      </c>
    </row>
    <row r="1596" spans="1:20" s="697" customFormat="1" x14ac:dyDescent="0.2">
      <c r="A1596" s="437"/>
      <c r="B1596" s="414"/>
      <c r="C1596" s="892">
        <f t="shared" si="21"/>
        <v>19</v>
      </c>
      <c r="D1596" s="1880" t="str">
        <f t="shared" si="16"/>
        <v>Procesa emisiju apakšiekārta (bez OEP | bez OIM)</v>
      </c>
      <c r="E1596" s="1880"/>
      <c r="F1596" s="1880"/>
      <c r="G1596" s="1880"/>
      <c r="H1596" s="1880"/>
      <c r="I1596" s="906" t="str">
        <f>IF(ISNUMBER($Q1596),IF(AND(CNTR_ConditionalityOK,CNTR_ConfirmationOK),MAX(0,ROUND($Q1596*IF($R1596,1,IF($C1596=14,I$1567,I$1566))*IF($S1596,I$1573,1)*IF($C1596&gt;=18,I$1569/0.97,1),0)),EUconst_ConditionalityMissing),"")</f>
        <v/>
      </c>
      <c r="J1596" s="906" t="str">
        <f>IF(ISNUMBER($Q1596),IF(AND(CNTR_ConditionalityOK,CNTR_ConfirmationOK),MAX(0,ROUND($Q1596*IF($R1596,1,IF($C1596=14,J$1567,J$1566))*IF($S1596,J$1573,1)*IF($C1596&gt;=18,J$1569/0.97,1),0)),EUconst_ConditionalityMissing),"")</f>
        <v/>
      </c>
      <c r="K1596" s="906" t="str">
        <f>IF(ISNUMBER($Q1596),IF(AND(CNTR_ConditionalityOK,CNTR_ConfirmationOK),MAX(0,ROUND($Q1596*IF($R1596,1,IF($C1596=14,K$1567,K$1566))*IF($S1596,K$1573,1)*IF($C1596&gt;=18,K$1569/0.97,1),0)),EUconst_ConditionalityMissing),"")</f>
        <v/>
      </c>
      <c r="L1596" s="906" t="str">
        <f>IF(ISNUMBER($Q1596),IF(AND(CNTR_ConditionalityOK,CNTR_ConfirmationOK),MAX(0,ROUND($Q1596*IF($R1596,1,IF($C1596=14,L$1567,L$1566))*IF($S1596,L$1573,1)*IF($C1596&gt;=18,L$1569/0.97,1),0)),EUconst_ConditionalityMissing),"")</f>
        <v/>
      </c>
      <c r="M1596" s="906" t="str">
        <f>IF(ISNUMBER($Q1596),IF(AND(CNTR_ConditionalityOK,CNTR_ConfirmationOK),MAX(0,ROUND($Q1596*IF($R1596,1,IF($C1596=14,M$1567,M$1566))*IF($S1596,M$1573,1)*IF($C1596&gt;=18,M$1569/0.97,1),0)),EUconst_ConditionalityMissing),"")</f>
        <v/>
      </c>
      <c r="N1596" s="414"/>
      <c r="O1596" s="25"/>
      <c r="P1596" s="437"/>
      <c r="Q1596" s="1000" t="str">
        <f t="shared" si="17"/>
        <v/>
      </c>
      <c r="R1596" s="711" t="b">
        <f t="shared" si="18"/>
        <v>0</v>
      </c>
      <c r="S1596" s="711" t="b">
        <f t="shared" si="19"/>
        <v>0</v>
      </c>
      <c r="T1596" s="1000">
        <f t="shared" si="20"/>
        <v>0</v>
      </c>
    </row>
    <row r="1597" spans="1:20" s="697" customFormat="1" ht="13.5" thickBot="1" x14ac:dyDescent="0.25">
      <c r="A1597" s="437"/>
      <c r="B1597" s="414"/>
      <c r="C1597" s="905">
        <f t="shared" si="21"/>
        <v>20</v>
      </c>
      <c r="D1597" s="1884" t="str">
        <f t="shared" si="16"/>
        <v>Procesa emisiju apakšiekārta (OEP | OIM)</v>
      </c>
      <c r="E1597" s="1884"/>
      <c r="F1597" s="1884"/>
      <c r="G1597" s="1884"/>
      <c r="H1597" s="1884"/>
      <c r="I1597" s="896" t="str">
        <f>IF(ISNUMBER($Q1597),IF(AND(CNTR_ConditionalityOK,CNTR_ConfirmationOK),MAX(0,ROUND($Q1597*IF($R1597,1,IF($C1597=14,I$1567,I$1566))*IF($S1597,I$1573,1)*IF($C1597&gt;=18,I$1569/0.97,1),0)),EUconst_ConditionalityMissing),"")</f>
        <v/>
      </c>
      <c r="J1597" s="896" t="str">
        <f>IF(ISNUMBER($Q1597),IF(AND(CNTR_ConditionalityOK,CNTR_ConfirmationOK),MAX(0,ROUND($Q1597*IF($R1597,1,IF($C1597=14,J$1567,J$1566))*IF($S1597,J$1573,1)*IF($C1597&gt;=18,J$1569/0.97,1),0)),EUconst_ConditionalityMissing),"")</f>
        <v/>
      </c>
      <c r="K1597" s="896" t="str">
        <f>IF(ISNUMBER($Q1597),IF(AND(CNTR_ConditionalityOK,CNTR_ConfirmationOK),MAX(0,ROUND($Q1597*IF($R1597,1,IF($C1597=14,K$1567,K$1566))*IF($S1597,K$1573,1)*IF($C1597&gt;=18,K$1569/0.97,1),0)),EUconst_ConditionalityMissing),"")</f>
        <v/>
      </c>
      <c r="L1597" s="896" t="str">
        <f>IF(ISNUMBER($Q1597),IF(AND(CNTR_ConditionalityOK,CNTR_ConfirmationOK),MAX(0,ROUND($Q1597*IF($R1597,1,IF($C1597=14,L$1567,L$1566))*IF($S1597,L$1573,1)*IF($C1597&gt;=18,L$1569/0.97,1),0)),EUconst_ConditionalityMissing),"")</f>
        <v/>
      </c>
      <c r="M1597" s="896" t="str">
        <f>IF(ISNUMBER($Q1597),IF(AND(CNTR_ConditionalityOK,CNTR_ConfirmationOK),MAX(0,ROUND($Q1597*IF($R1597,1,IF($C1597=14,M$1567,M$1566))*IF($S1597,M$1573,1)*IF($C1597&gt;=18,M$1569/0.97,1),0)),EUconst_ConditionalityMissing),"")</f>
        <v/>
      </c>
      <c r="N1597" s="414"/>
      <c r="O1597" s="25"/>
      <c r="P1597" s="437"/>
      <c r="Q1597" s="1001" t="str">
        <f t="shared" si="17"/>
        <v/>
      </c>
      <c r="R1597" s="712" t="b">
        <f t="shared" si="18"/>
        <v>1</v>
      </c>
      <c r="S1597" s="712" t="b">
        <f t="shared" si="19"/>
        <v>1</v>
      </c>
      <c r="T1597" s="1001">
        <f t="shared" si="20"/>
        <v>0</v>
      </c>
    </row>
    <row r="1598" spans="1:20" s="697" customFormat="1" x14ac:dyDescent="0.2">
      <c r="A1598" s="437"/>
      <c r="B1598" s="414"/>
      <c r="C1598" s="414"/>
      <c r="D1598" s="1959" t="str">
        <f>Translations!$B$1272</f>
        <v>Kopējais provizoriskais bezmaksas kvotu iedales apjoms</v>
      </c>
      <c r="E1598" s="1959"/>
      <c r="F1598" s="1959"/>
      <c r="G1598" s="1959"/>
      <c r="H1598" s="1959"/>
      <c r="I1598" s="898" t="str">
        <f>IF(COUNT(I1578:I1597)&gt;0,IF(SUM(I1578:I1597)&gt;0,SUM(I1578:I1597),0),"")</f>
        <v/>
      </c>
      <c r="J1598" s="898" t="str">
        <f>IF(COUNT(J1578:J1597)&gt;0,IF(SUM(J1578:J1597)&gt;0,SUM(J1578:J1597),0),"")</f>
        <v/>
      </c>
      <c r="K1598" s="898" t="str">
        <f>IF(COUNT(K1578:K1597)&gt;0,IF(SUM(K1578:K1597)&gt;0,SUM(K1578:K1597),0),"")</f>
        <v/>
      </c>
      <c r="L1598" s="898" t="str">
        <f>IF(COUNT(L1578:L1597)&gt;0,IF(SUM(L1578:L1597)&gt;0,SUM(L1578:L1597),0),"")</f>
        <v/>
      </c>
      <c r="M1598" s="898" t="str">
        <f>IF(COUNT(M1578:M1597)&gt;0,IF(SUM(M1578:M1597)&gt;0,SUM(M1578:M1597),0),"")</f>
        <v/>
      </c>
      <c r="N1598" s="414"/>
      <c r="O1598" s="25"/>
      <c r="P1598" s="437"/>
      <c r="Q1598" s="437"/>
      <c r="R1598" s="437"/>
      <c r="S1598" s="437"/>
      <c r="T1598" s="437"/>
    </row>
    <row r="1599" spans="1:20" s="697" customFormat="1" x14ac:dyDescent="0.2">
      <c r="A1599" s="437"/>
      <c r="B1599" s="414"/>
      <c r="C1599" s="414"/>
      <c r="D1599" s="414"/>
      <c r="E1599" s="414"/>
      <c r="F1599" s="414"/>
      <c r="G1599" s="414"/>
      <c r="H1599" s="414"/>
      <c r="I1599" s="414"/>
      <c r="J1599" s="414"/>
      <c r="K1599" s="414"/>
      <c r="L1599" s="414"/>
      <c r="M1599" s="414"/>
      <c r="N1599" s="414"/>
      <c r="O1599" s="25"/>
      <c r="P1599" s="437"/>
      <c r="Q1599" s="437"/>
      <c r="R1599" s="437"/>
      <c r="S1599" s="437"/>
      <c r="T1599" s="437"/>
    </row>
    <row r="1600" spans="1:20" s="697" customFormat="1" ht="15" x14ac:dyDescent="0.25">
      <c r="A1600" s="437"/>
      <c r="B1600" s="21"/>
      <c r="C1600" s="36">
        <v>2</v>
      </c>
      <c r="D1600" s="818" t="str">
        <f>Translations!$B$1273</f>
        <v>Orientējošs paredzamais galīgais bezmaksas kvotu daudzums:</v>
      </c>
      <c r="E1600" s="225"/>
      <c r="F1600" s="225"/>
      <c r="G1600" s="225"/>
      <c r="H1600" s="225"/>
      <c r="I1600" s="33"/>
      <c r="J1600" s="33"/>
      <c r="K1600" s="39"/>
      <c r="L1600" s="414"/>
      <c r="M1600" s="414"/>
      <c r="N1600" s="414"/>
      <c r="O1600" s="25"/>
      <c r="P1600" s="437"/>
      <c r="Q1600" s="437"/>
      <c r="R1600" s="437"/>
      <c r="S1600" s="437"/>
      <c r="T1600" s="437"/>
    </row>
    <row r="1601" spans="1:20" s="697" customFormat="1" ht="5.0999999999999996" customHeight="1" x14ac:dyDescent="0.2">
      <c r="A1601" s="437"/>
      <c r="B1601" s="414"/>
      <c r="C1601" s="414"/>
      <c r="D1601" s="414"/>
      <c r="E1601" s="414"/>
      <c r="F1601" s="414"/>
      <c r="G1601" s="414"/>
      <c r="H1601" s="414"/>
      <c r="I1601" s="414"/>
      <c r="J1601" s="414"/>
      <c r="K1601" s="414"/>
      <c r="L1601" s="414"/>
      <c r="M1601" s="414"/>
      <c r="N1601" s="414"/>
      <c r="O1601" s="25"/>
      <c r="P1601" s="437"/>
      <c r="Q1601" s="437"/>
      <c r="R1601" s="437"/>
      <c r="S1601" s="437"/>
      <c r="T1601" s="437"/>
    </row>
    <row r="1602" spans="1:20" s="697" customFormat="1" x14ac:dyDescent="0.2">
      <c r="A1602" s="437"/>
      <c r="B1602" s="21"/>
      <c r="C1602" s="583"/>
      <c r="D1602" s="32" t="s">
        <v>165</v>
      </c>
      <c r="E1602" s="893" t="str">
        <f>Translations!$B$1739</f>
        <v>Vai piemērojami 20 % samazinājuma nosacījumi?</v>
      </c>
      <c r="F1602" s="893"/>
      <c r="G1602" s="413"/>
      <c r="H1602" s="225"/>
      <c r="I1602" s="33"/>
      <c r="J1602" s="33"/>
      <c r="K1602" s="39"/>
      <c r="M1602" s="1106" t="b">
        <f>CNTR_Conditionality22a22b</f>
        <v>0</v>
      </c>
      <c r="N1602" s="414"/>
      <c r="O1602" s="25"/>
      <c r="P1602" s="437"/>
      <c r="Q1602" s="437"/>
      <c r="R1602" s="437"/>
      <c r="S1602" s="437"/>
      <c r="T1602" s="437"/>
    </row>
    <row r="1603" spans="1:20" s="697" customFormat="1" x14ac:dyDescent="0.2">
      <c r="A1603" s="437"/>
      <c r="B1603" s="414"/>
      <c r="C1603" s="414"/>
      <c r="D1603" s="414"/>
      <c r="E1603" s="1319" t="str">
        <f>Translations!$B$1740</f>
        <v>Rezultāts tiek attēlots automātiski, balstoties uz ierakstiem sadaļās A.II.2. un A.II.3. Ja ir piemērojami kādi no šiem nosacījumiem, iedales apjoms tiek samazināts par 20 %.</v>
      </c>
      <c r="F1603" s="1251"/>
      <c r="G1603" s="1251"/>
      <c r="H1603" s="1251"/>
      <c r="I1603" s="1251"/>
      <c r="J1603" s="1251"/>
      <c r="K1603" s="1251"/>
      <c r="L1603" s="1251"/>
      <c r="M1603" s="1251"/>
      <c r="N1603" s="1251"/>
      <c r="O1603" s="25"/>
      <c r="P1603" s="437"/>
      <c r="Q1603" s="437"/>
      <c r="R1603" s="437"/>
      <c r="S1603" s="437"/>
      <c r="T1603" s="437"/>
    </row>
    <row r="1604" spans="1:20" s="697" customFormat="1" ht="5.0999999999999996" customHeight="1" x14ac:dyDescent="0.2">
      <c r="A1604" s="437"/>
      <c r="B1604" s="414"/>
      <c r="C1604" s="414"/>
      <c r="D1604" s="414"/>
      <c r="E1604" s="414"/>
      <c r="F1604" s="414"/>
      <c r="G1604" s="414"/>
      <c r="H1604" s="414"/>
      <c r="I1604" s="414"/>
      <c r="J1604" s="414"/>
      <c r="K1604" s="414"/>
      <c r="L1604" s="414"/>
      <c r="M1604" s="414"/>
      <c r="N1604" s="414"/>
      <c r="O1604" s="25"/>
      <c r="P1604" s="437"/>
      <c r="Q1604" s="437"/>
      <c r="R1604" s="437"/>
      <c r="S1604" s="437"/>
      <c r="T1604" s="437"/>
    </row>
    <row r="1605" spans="1:20" s="697" customFormat="1" x14ac:dyDescent="0.2">
      <c r="A1605" s="437"/>
      <c r="B1605" s="21"/>
      <c r="C1605" s="21"/>
      <c r="D1605" s="32" t="s">
        <v>339</v>
      </c>
      <c r="E1605" s="893" t="str">
        <f>Translations!$B$1276</f>
        <v>Starpnozaru korekcijas koeficients (SKK) saskaņā ar FAR 14. panta 6. punktu:</v>
      </c>
      <c r="F1605" s="224"/>
      <c r="G1605" s="224"/>
      <c r="H1605" s="224"/>
      <c r="I1605" s="224"/>
      <c r="J1605" s="224"/>
      <c r="K1605" s="224"/>
      <c r="L1605" s="224"/>
      <c r="M1605" s="224"/>
      <c r="N1605" s="224"/>
      <c r="O1605" s="25"/>
      <c r="P1605" s="26"/>
      <c r="Q1605" s="437"/>
      <c r="R1605" s="437"/>
      <c r="S1605" s="437"/>
      <c r="T1605" s="437"/>
    </row>
    <row r="1606" spans="1:20" s="697" customFormat="1" ht="25.5" customHeight="1" x14ac:dyDescent="0.2">
      <c r="A1606" s="437"/>
      <c r="B1606" s="21"/>
      <c r="C1606" s="21"/>
      <c r="D1606" s="34"/>
      <c r="E1606" s="1319" t="str">
        <f>Translations!$B$1277</f>
        <v>Kā paskaidrots iepriekš, savai zināšanai šeit varat ievadīt vienotā starpnozaru korekcijas koeficienta vērtības saskaņā ar ETS direktīvas 10.a panta 5. punktu. Iekams Komisija nav publicējusi galīgo vērtību saskaņā ar FAR 14. panta 6. punktu, noklusējuma vērtība ir 1.</v>
      </c>
      <c r="F1606" s="1251"/>
      <c r="G1606" s="1251"/>
      <c r="H1606" s="1251"/>
      <c r="I1606" s="1251"/>
      <c r="J1606" s="1251"/>
      <c r="K1606" s="1251"/>
      <c r="L1606" s="1251"/>
      <c r="M1606" s="1251"/>
      <c r="N1606" s="1251"/>
      <c r="O1606" s="25"/>
      <c r="P1606" s="26"/>
      <c r="Q1606" s="437"/>
      <c r="R1606" s="437"/>
      <c r="S1606" s="437"/>
      <c r="T1606" s="437"/>
    </row>
    <row r="1607" spans="1:20" s="697" customFormat="1" ht="25.5" customHeight="1" x14ac:dyDescent="0.2">
      <c r="A1607" s="437"/>
      <c r="B1607" s="21"/>
      <c r="C1607" s="21"/>
      <c r="D1607" s="34"/>
      <c r="E1607" s="1343" t="str">
        <f>Translations!$B$1278</f>
        <v>Kad šo ziņojumu iesniedzat kompetentajai iestādei, lai tā varētu noteikt valsts īstenošanas pasākumus, šeit nedrīkst būt ievadīti nekādi dati.</v>
      </c>
      <c r="F1607" s="1344"/>
      <c r="G1607" s="1344"/>
      <c r="H1607" s="1344"/>
      <c r="I1607" s="1344"/>
      <c r="J1607" s="1344"/>
      <c r="K1607" s="1344"/>
      <c r="L1607" s="1344"/>
      <c r="M1607" s="1344"/>
      <c r="N1607" s="1344"/>
      <c r="O1607" s="25"/>
      <c r="P1607" s="26"/>
      <c r="Q1607" s="437"/>
      <c r="R1607" s="437"/>
      <c r="S1607" s="437"/>
      <c r="T1607" s="437"/>
    </row>
    <row r="1608" spans="1:20" s="697" customFormat="1" ht="38.85" customHeight="1" x14ac:dyDescent="0.2">
      <c r="A1608" s="437"/>
      <c r="B1608" s="21"/>
      <c r="C1608" s="21"/>
      <c r="D1608" s="34"/>
      <c r="E1608" s="1343" t="str">
        <f>Translations!$B$1741</f>
        <v>Saskaņā ar 16. panta 8. punktu SKK vienmēr ir 1 iekārtai, kuras apakšiekārtas ir zem 10 % efektīvāko attiecīgās līmeņatzīmes apakšiekārtu vidējo rādītāja un nodrošina vairāk nekā 60 % no provizoriskā iedales apjoma. Tomēr šī informācija būs zināma tikai tad, kad būs noteiktas jaunās līmeņatzīmju vērtības.</v>
      </c>
      <c r="F1608" s="1344"/>
      <c r="G1608" s="1344"/>
      <c r="H1608" s="1344"/>
      <c r="I1608" s="1344"/>
      <c r="J1608" s="1344"/>
      <c r="K1608" s="1344"/>
      <c r="L1608" s="1344"/>
      <c r="M1608" s="1344"/>
      <c r="N1608" s="1344"/>
      <c r="O1608" s="25"/>
      <c r="P1608" s="26"/>
      <c r="Q1608" s="437"/>
      <c r="R1608" s="437"/>
      <c r="S1608" s="437"/>
      <c r="T1608" s="437"/>
    </row>
    <row r="1609" spans="1:20" s="697" customFormat="1" x14ac:dyDescent="0.2">
      <c r="A1609" s="437"/>
      <c r="B1609" s="414"/>
      <c r="C1609" s="414"/>
      <c r="D1609" s="1107" t="s">
        <v>2</v>
      </c>
      <c r="E1609" s="1966" t="str">
        <f>Translations!$B$1742</f>
        <v>Vai iekārtas apakšiekārtas 2021./2022. gadā ir starp 10 % SEG ziņā efektīvākajām?</v>
      </c>
      <c r="F1609" s="1966"/>
      <c r="G1609" s="1966"/>
      <c r="H1609" s="1966"/>
      <c r="I1609" s="1966"/>
      <c r="J1609" s="1966"/>
      <c r="K1609" s="1966"/>
      <c r="L1609" s="1969"/>
      <c r="M1609" s="1106" t="str">
        <f>IF(CNTR_HasEntries_A_I,IF(EUconst_StatusOfDataCollection=FALSE,EUconst_NA,COUNTIF(N1578:N1594,TRUE)&gt;0),"")</f>
        <v/>
      </c>
      <c r="N1609" s="930"/>
      <c r="O1609" s="25"/>
      <c r="P1609" s="437"/>
      <c r="Q1609" s="437"/>
      <c r="R1609" s="437"/>
      <c r="S1609" s="437"/>
      <c r="T1609" s="437"/>
    </row>
    <row r="1610" spans="1:20" s="697" customFormat="1" x14ac:dyDescent="0.2">
      <c r="A1610" s="437"/>
      <c r="B1610" s="414"/>
      <c r="C1610" s="414"/>
      <c r="D1610" s="1107" t="s">
        <v>3</v>
      </c>
      <c r="E1610" s="1966" t="str">
        <f>Translations!$B$1743</f>
        <v>Apakšiekārtas, uz kurām attiecas i punkts, nodrošina šādu provizoriskās iedales apjoma daļu:</v>
      </c>
      <c r="F1610" s="1967"/>
      <c r="G1610" s="1967"/>
      <c r="H1610" s="1967"/>
      <c r="I1610" s="1967"/>
      <c r="J1610" s="1967"/>
      <c r="K1610" s="1967"/>
      <c r="L1610" s="1968"/>
      <c r="M1610" s="1108" t="str">
        <f>IF(AND(CNTR_HasEntries_A_I,M1609=TRUE,SUM($T$1578:$T$1597)&gt;0),SUMIFS($T$1578:$T$1594,$N$1578:$N$1594,TRUE)/SUM($T$1578:$T$1597),"")</f>
        <v/>
      </c>
      <c r="N1610" s="930"/>
      <c r="O1610" s="25"/>
      <c r="P1610" s="437"/>
      <c r="Q1610" s="437"/>
      <c r="R1610" s="437"/>
      <c r="S1610" s="437"/>
      <c r="T1610" s="437"/>
    </row>
    <row r="1611" spans="1:20" s="697" customFormat="1" x14ac:dyDescent="0.2">
      <c r="A1611" s="437"/>
      <c r="B1611" s="414"/>
      <c r="C1611" s="414"/>
      <c r="D1611" s="1107"/>
      <c r="E1611" s="930"/>
      <c r="F1611" s="930"/>
      <c r="G1611" s="930"/>
      <c r="H1611" s="930"/>
      <c r="I1611" s="930"/>
      <c r="J1611" s="930"/>
      <c r="K1611" s="930"/>
      <c r="L1611" s="930"/>
      <c r="M1611" s="930"/>
      <c r="N1611" s="930"/>
      <c r="O1611" s="25"/>
      <c r="P1611" s="437"/>
      <c r="Q1611" s="437"/>
      <c r="R1611" s="437"/>
      <c r="S1611" s="437"/>
      <c r="T1611" s="437"/>
    </row>
    <row r="1612" spans="1:20" s="697" customFormat="1" ht="12.75" customHeight="1" x14ac:dyDescent="0.2">
      <c r="A1612" s="437"/>
      <c r="B1612" s="414"/>
      <c r="C1612" s="414"/>
      <c r="D1612" s="1107"/>
      <c r="E1612" s="652"/>
      <c r="F1612" s="652"/>
      <c r="G1612" s="652"/>
      <c r="H1612" s="653"/>
      <c r="I1612" s="447">
        <f>I$1652+7</f>
        <v>2026</v>
      </c>
      <c r="J1612" s="447">
        <f>J$1652+7</f>
        <v>2027</v>
      </c>
      <c r="K1612" s="447">
        <f>K$1652+7</f>
        <v>2028</v>
      </c>
      <c r="L1612" s="447">
        <f>L$1652+7</f>
        <v>2029</v>
      </c>
      <c r="M1612" s="447">
        <f>M$1652+7</f>
        <v>2030</v>
      </c>
      <c r="N1612" s="414"/>
      <c r="O1612" s="25"/>
      <c r="P1612" s="437"/>
      <c r="Q1612" s="437"/>
      <c r="R1612" s="437"/>
      <c r="S1612" s="437"/>
      <c r="T1612" s="437"/>
    </row>
    <row r="1613" spans="1:20" s="697" customFormat="1" x14ac:dyDescent="0.2">
      <c r="A1613" s="437"/>
      <c r="B1613" s="414"/>
      <c r="C1613" s="414"/>
      <c r="D1613" s="1107" t="s">
        <v>4</v>
      </c>
      <c r="E1613" s="1880" t="str">
        <f>Translations!$B$1279</f>
        <v>Starpnozaru korekcijas koeficients (SKK)</v>
      </c>
      <c r="F1613" s="1880"/>
      <c r="G1613" s="1880"/>
      <c r="H1613" s="1880"/>
      <c r="I1613" s="997"/>
      <c r="J1613" s="997"/>
      <c r="K1613" s="997"/>
      <c r="L1613" s="997"/>
      <c r="M1613" s="997"/>
      <c r="N1613" s="414"/>
      <c r="O1613" s="25"/>
      <c r="P1613" s="437"/>
      <c r="Q1613" s="437"/>
      <c r="R1613" s="437"/>
      <c r="S1613" s="437"/>
      <c r="T1613" s="437"/>
    </row>
    <row r="1614" spans="1:20" s="697" customFormat="1" x14ac:dyDescent="0.2">
      <c r="A1614" s="437"/>
      <c r="B1614" s="414"/>
      <c r="C1614" s="414"/>
      <c r="D1614" s="1107" t="s">
        <v>6</v>
      </c>
      <c r="E1614" s="1880" t="str">
        <f>Translations!$B$1280</f>
        <v>Aprēķinā izmantotā vērtība</v>
      </c>
      <c r="F1614" s="1880"/>
      <c r="G1614" s="1880"/>
      <c r="H1614" s="1880"/>
      <c r="I1614" s="899">
        <f>IF(ISNUMBER(I1613),IF(AND($M1609=TRUE,SUM($M1610)&gt;60%,I1613),1,I1613),1)</f>
        <v>1</v>
      </c>
      <c r="J1614" s="899">
        <f>IF(ISNUMBER(J1613),IF(AND($M1609=TRUE,SUM($M1610)&gt;60%,J1613),1,J1613),1)</f>
        <v>1</v>
      </c>
      <c r="K1614" s="899">
        <f>IF(ISNUMBER(K1613),IF(AND($M1609=TRUE,SUM($M1610)&gt;60%,K1613),1,K1613),1)</f>
        <v>1</v>
      </c>
      <c r="L1614" s="899">
        <f>IF(ISNUMBER(L1613),IF(AND($M1609=TRUE,SUM($M1610)&gt;60%,L1613),1,L1613),1)</f>
        <v>1</v>
      </c>
      <c r="M1614" s="899">
        <f>IF(ISNUMBER(M1613),IF(AND($M1609=TRUE,SUM($M1610)&gt;60%,M1613),1,M1613),1)</f>
        <v>1</v>
      </c>
      <c r="N1614" s="414"/>
      <c r="O1614" s="25"/>
      <c r="P1614" s="437"/>
      <c r="Q1614" s="437"/>
      <c r="R1614" s="437"/>
      <c r="S1614" s="437"/>
      <c r="T1614" s="437"/>
    </row>
    <row r="1615" spans="1:20" s="697" customFormat="1" ht="5.0999999999999996" customHeight="1" x14ac:dyDescent="0.2">
      <c r="A1615" s="437"/>
      <c r="B1615" s="414"/>
      <c r="C1615" s="414"/>
      <c r="D1615" s="414"/>
      <c r="E1615" s="414"/>
      <c r="F1615" s="414"/>
      <c r="G1615" s="414"/>
      <c r="H1615" s="414"/>
      <c r="I1615" s="414"/>
      <c r="J1615" s="414"/>
      <c r="K1615" s="414"/>
      <c r="L1615" s="414"/>
      <c r="M1615" s="414"/>
      <c r="N1615" s="414"/>
      <c r="O1615" s="25"/>
      <c r="P1615" s="437"/>
      <c r="Q1615" s="437"/>
      <c r="R1615" s="437"/>
      <c r="S1615" s="437"/>
      <c r="T1615" s="437"/>
    </row>
    <row r="1616" spans="1:20" s="697" customFormat="1" x14ac:dyDescent="0.2">
      <c r="A1616" s="437"/>
      <c r="B1616" s="21"/>
      <c r="C1616" s="583"/>
      <c r="D1616" s="32" t="s">
        <v>11</v>
      </c>
      <c r="E1616" s="893" t="str">
        <f>Translations!$B$1284</f>
        <v>Aprēķins saskaņā ar FAR 16. panta 8. punktu:</v>
      </c>
      <c r="F1616" s="893"/>
      <c r="G1616" s="413"/>
      <c r="H1616" s="225"/>
      <c r="I1616" s="33"/>
      <c r="J1616" s="33"/>
      <c r="K1616" s="39"/>
      <c r="L1616" s="414"/>
      <c r="M1616" s="414"/>
      <c r="N1616" s="414"/>
      <c r="O1616" s="25"/>
      <c r="P1616" s="437"/>
      <c r="Q1616" s="437"/>
      <c r="R1616" s="437"/>
      <c r="S1616" s="437"/>
      <c r="T1616" s="437"/>
    </row>
    <row r="1617" spans="1:20" s="697" customFormat="1" ht="39.950000000000003" customHeight="1" x14ac:dyDescent="0.2">
      <c r="A1617" s="437"/>
      <c r="B1617" s="21"/>
      <c r="C1617" s="21"/>
      <c r="D1617" s="34"/>
      <c r="E1617" s="1319" t="str">
        <f>Translations!$B$1767</f>
        <v>Šeit redzamie daudzumi atspoguļo aprēķinu par galīgo kopējo bez maksas iedalāmo kvotu skaitu saskaņā ar FAR 16. panta 8. punktu, t. i., iedales apjoma vērtības pēc attiecīgi (t. i. saskaņā ar b) punktu) piemērojamo samazinājumu vai starpnozaru korekcijas koeficienta piemērošanas. Tomēr šīs vērtības nevar uzskatīt par galīgajām vērtībām, jo šīs datu vākšanas laikā vēl nav zināms starpnozaru korekcijas koeficients.</v>
      </c>
      <c r="F1617" s="1251"/>
      <c r="G1617" s="1251"/>
      <c r="H1617" s="1251"/>
      <c r="I1617" s="1251"/>
      <c r="J1617" s="1251"/>
      <c r="K1617" s="1251"/>
      <c r="L1617" s="1251"/>
      <c r="M1617" s="1251"/>
      <c r="N1617" s="1251"/>
      <c r="O1617" s="25"/>
      <c r="P1617" s="26"/>
      <c r="Q1617" s="437"/>
      <c r="R1617" s="437"/>
      <c r="S1617" s="437"/>
      <c r="T1617" s="437"/>
    </row>
    <row r="1618" spans="1:20" s="697" customFormat="1" ht="5.0999999999999996" customHeight="1" x14ac:dyDescent="0.2">
      <c r="A1618" s="437"/>
      <c r="B1618" s="414"/>
      <c r="C1618" s="414"/>
      <c r="D1618" s="414"/>
      <c r="E1618" s="414"/>
      <c r="F1618" s="414"/>
      <c r="G1618" s="414"/>
      <c r="H1618" s="414"/>
      <c r="I1618" s="414"/>
      <c r="J1618" s="414"/>
      <c r="K1618" s="414"/>
      <c r="L1618" s="414"/>
      <c r="M1618" s="414"/>
      <c r="N1618" s="414"/>
      <c r="O1618" s="25"/>
      <c r="P1618" s="437"/>
      <c r="Q1618" s="437"/>
      <c r="R1618" s="437"/>
      <c r="S1618" s="437"/>
      <c r="T1618" s="437"/>
    </row>
    <row r="1619" spans="1:20" s="697" customFormat="1" ht="12.75" customHeight="1" x14ac:dyDescent="0.2">
      <c r="A1619" s="437"/>
      <c r="B1619" s="414"/>
      <c r="C1619" s="414"/>
      <c r="D1619" s="1961" t="str">
        <f>Translations!$B$614</f>
        <v>Apakšiekārta</v>
      </c>
      <c r="E1619" s="1961"/>
      <c r="F1619" s="1961"/>
      <c r="G1619" s="1961"/>
      <c r="H1619" s="1962"/>
      <c r="I1619" s="447">
        <f>I$1652+7</f>
        <v>2026</v>
      </c>
      <c r="J1619" s="447">
        <f>J$1652+7</f>
        <v>2027</v>
      </c>
      <c r="K1619" s="447">
        <f>K$1652+7</f>
        <v>2028</v>
      </c>
      <c r="L1619" s="447">
        <f>L$1652+7</f>
        <v>2029</v>
      </c>
      <c r="M1619" s="447">
        <f>M$1652+7</f>
        <v>2030</v>
      </c>
      <c r="N1619" s="414"/>
      <c r="O1619" s="25"/>
      <c r="P1619" s="437"/>
      <c r="Q1619" s="437"/>
      <c r="R1619" s="437"/>
      <c r="S1619" s="437"/>
      <c r="T1619" s="437"/>
    </row>
    <row r="1620" spans="1:20" s="697" customFormat="1" x14ac:dyDescent="0.2">
      <c r="A1620" s="437"/>
      <c r="B1620" s="414"/>
      <c r="C1620" s="892">
        <v>1</v>
      </c>
      <c r="D1620" s="1880" t="str">
        <f t="shared" ref="D1620:D1639" si="22">D1578</f>
        <v/>
      </c>
      <c r="E1620" s="1880"/>
      <c r="F1620" s="1880"/>
      <c r="G1620" s="1880"/>
      <c r="H1620" s="1880"/>
      <c r="I1620" s="442" t="str">
        <f t="shared" ref="I1620:M1629" si="23">IF(ISNUMBER(I1578),ROUND(I1578*I$1614*IF($M$1602=TRUE,0.8,1),0),"")</f>
        <v/>
      </c>
      <c r="J1620" s="442" t="str">
        <f t="shared" si="23"/>
        <v/>
      </c>
      <c r="K1620" s="442" t="str">
        <f t="shared" si="23"/>
        <v/>
      </c>
      <c r="L1620" s="442" t="str">
        <f t="shared" si="23"/>
        <v/>
      </c>
      <c r="M1620" s="442" t="str">
        <f t="shared" si="23"/>
        <v/>
      </c>
      <c r="N1620" s="414"/>
      <c r="O1620" s="25"/>
      <c r="P1620" s="437"/>
      <c r="Q1620" s="437"/>
      <c r="R1620" s="437"/>
      <c r="S1620" s="437"/>
      <c r="T1620" s="437"/>
    </row>
    <row r="1621" spans="1:20" s="697" customFormat="1" x14ac:dyDescent="0.2">
      <c r="A1621" s="437"/>
      <c r="B1621" s="414"/>
      <c r="C1621" s="892">
        <f>C1620+1</f>
        <v>2</v>
      </c>
      <c r="D1621" s="1880" t="str">
        <f t="shared" si="22"/>
        <v/>
      </c>
      <c r="E1621" s="1880"/>
      <c r="F1621" s="1880"/>
      <c r="G1621" s="1880"/>
      <c r="H1621" s="1880"/>
      <c r="I1621" s="442" t="str">
        <f t="shared" si="23"/>
        <v/>
      </c>
      <c r="J1621" s="442" t="str">
        <f t="shared" si="23"/>
        <v/>
      </c>
      <c r="K1621" s="442" t="str">
        <f t="shared" si="23"/>
        <v/>
      </c>
      <c r="L1621" s="442" t="str">
        <f t="shared" si="23"/>
        <v/>
      </c>
      <c r="M1621" s="442" t="str">
        <f t="shared" si="23"/>
        <v/>
      </c>
      <c r="N1621" s="414"/>
      <c r="O1621" s="25"/>
      <c r="P1621" s="437"/>
      <c r="Q1621" s="437"/>
      <c r="R1621" s="437"/>
      <c r="S1621" s="437"/>
      <c r="T1621" s="437"/>
    </row>
    <row r="1622" spans="1:20" s="697" customFormat="1" x14ac:dyDescent="0.2">
      <c r="A1622" s="437"/>
      <c r="B1622" s="414"/>
      <c r="C1622" s="892">
        <f t="shared" ref="C1622:C1639" si="24">C1621+1</f>
        <v>3</v>
      </c>
      <c r="D1622" s="1880" t="str">
        <f t="shared" si="22"/>
        <v/>
      </c>
      <c r="E1622" s="1880"/>
      <c r="F1622" s="1880"/>
      <c r="G1622" s="1880"/>
      <c r="H1622" s="1880"/>
      <c r="I1622" s="442" t="str">
        <f t="shared" si="23"/>
        <v/>
      </c>
      <c r="J1622" s="442" t="str">
        <f t="shared" si="23"/>
        <v/>
      </c>
      <c r="K1622" s="442" t="str">
        <f t="shared" si="23"/>
        <v/>
      </c>
      <c r="L1622" s="442" t="str">
        <f t="shared" si="23"/>
        <v/>
      </c>
      <c r="M1622" s="442" t="str">
        <f t="shared" si="23"/>
        <v/>
      </c>
      <c r="N1622" s="414"/>
      <c r="O1622" s="25"/>
      <c r="P1622" s="437"/>
      <c r="Q1622" s="437"/>
      <c r="R1622" s="437"/>
      <c r="S1622" s="437"/>
      <c r="T1622" s="437"/>
    </row>
    <row r="1623" spans="1:20" s="697" customFormat="1" x14ac:dyDescent="0.2">
      <c r="A1623" s="437"/>
      <c r="B1623" s="414"/>
      <c r="C1623" s="892">
        <f t="shared" si="24"/>
        <v>4</v>
      </c>
      <c r="D1623" s="1880" t="str">
        <f t="shared" si="22"/>
        <v/>
      </c>
      <c r="E1623" s="1880"/>
      <c r="F1623" s="1880"/>
      <c r="G1623" s="1880"/>
      <c r="H1623" s="1880"/>
      <c r="I1623" s="442" t="str">
        <f t="shared" si="23"/>
        <v/>
      </c>
      <c r="J1623" s="442" t="str">
        <f t="shared" si="23"/>
        <v/>
      </c>
      <c r="K1623" s="442" t="str">
        <f t="shared" si="23"/>
        <v/>
      </c>
      <c r="L1623" s="442" t="str">
        <f t="shared" si="23"/>
        <v/>
      </c>
      <c r="M1623" s="442" t="str">
        <f t="shared" si="23"/>
        <v/>
      </c>
      <c r="N1623" s="414"/>
      <c r="O1623" s="25"/>
      <c r="P1623" s="437"/>
      <c r="Q1623" s="437"/>
      <c r="R1623" s="437"/>
      <c r="S1623" s="437"/>
      <c r="T1623" s="437"/>
    </row>
    <row r="1624" spans="1:20" s="697" customFormat="1" x14ac:dyDescent="0.2">
      <c r="A1624" s="437"/>
      <c r="B1624" s="414"/>
      <c r="C1624" s="892">
        <f t="shared" si="24"/>
        <v>5</v>
      </c>
      <c r="D1624" s="1880" t="str">
        <f t="shared" si="22"/>
        <v/>
      </c>
      <c r="E1624" s="1880"/>
      <c r="F1624" s="1880"/>
      <c r="G1624" s="1880"/>
      <c r="H1624" s="1880"/>
      <c r="I1624" s="442" t="str">
        <f t="shared" si="23"/>
        <v/>
      </c>
      <c r="J1624" s="442" t="str">
        <f t="shared" si="23"/>
        <v/>
      </c>
      <c r="K1624" s="442" t="str">
        <f t="shared" si="23"/>
        <v/>
      </c>
      <c r="L1624" s="442" t="str">
        <f t="shared" si="23"/>
        <v/>
      </c>
      <c r="M1624" s="442" t="str">
        <f t="shared" si="23"/>
        <v/>
      </c>
      <c r="N1624" s="414"/>
      <c r="O1624" s="25"/>
      <c r="P1624" s="437"/>
      <c r="Q1624" s="437"/>
      <c r="R1624" s="437"/>
      <c r="S1624" s="437"/>
      <c r="T1624" s="437"/>
    </row>
    <row r="1625" spans="1:20" s="697" customFormat="1" x14ac:dyDescent="0.2">
      <c r="A1625" s="437"/>
      <c r="B1625" s="414"/>
      <c r="C1625" s="892">
        <f t="shared" si="24"/>
        <v>6</v>
      </c>
      <c r="D1625" s="1880" t="str">
        <f t="shared" si="22"/>
        <v/>
      </c>
      <c r="E1625" s="1880"/>
      <c r="F1625" s="1880"/>
      <c r="G1625" s="1880"/>
      <c r="H1625" s="1880"/>
      <c r="I1625" s="442" t="str">
        <f t="shared" si="23"/>
        <v/>
      </c>
      <c r="J1625" s="442" t="str">
        <f t="shared" si="23"/>
        <v/>
      </c>
      <c r="K1625" s="442" t="str">
        <f t="shared" si="23"/>
        <v/>
      </c>
      <c r="L1625" s="442" t="str">
        <f t="shared" si="23"/>
        <v/>
      </c>
      <c r="M1625" s="442" t="str">
        <f t="shared" si="23"/>
        <v/>
      </c>
      <c r="N1625" s="414"/>
      <c r="O1625" s="25"/>
      <c r="P1625" s="437"/>
      <c r="Q1625" s="437"/>
      <c r="R1625" s="437"/>
      <c r="S1625" s="437"/>
      <c r="T1625" s="437"/>
    </row>
    <row r="1626" spans="1:20" s="697" customFormat="1" x14ac:dyDescent="0.2">
      <c r="A1626" s="437"/>
      <c r="B1626" s="414"/>
      <c r="C1626" s="892">
        <f t="shared" si="24"/>
        <v>7</v>
      </c>
      <c r="D1626" s="1880" t="str">
        <f t="shared" si="22"/>
        <v/>
      </c>
      <c r="E1626" s="1880"/>
      <c r="F1626" s="1880"/>
      <c r="G1626" s="1880"/>
      <c r="H1626" s="1880"/>
      <c r="I1626" s="442" t="str">
        <f t="shared" si="23"/>
        <v/>
      </c>
      <c r="J1626" s="442" t="str">
        <f t="shared" si="23"/>
        <v/>
      </c>
      <c r="K1626" s="442" t="str">
        <f t="shared" si="23"/>
        <v/>
      </c>
      <c r="L1626" s="442" t="str">
        <f t="shared" si="23"/>
        <v/>
      </c>
      <c r="M1626" s="442" t="str">
        <f t="shared" si="23"/>
        <v/>
      </c>
      <c r="N1626" s="414"/>
      <c r="O1626" s="25"/>
      <c r="P1626" s="437"/>
      <c r="Q1626" s="437"/>
      <c r="R1626" s="437"/>
      <c r="S1626" s="437"/>
      <c r="T1626" s="437"/>
    </row>
    <row r="1627" spans="1:20" s="697" customFormat="1" x14ac:dyDescent="0.2">
      <c r="A1627" s="437"/>
      <c r="B1627" s="414"/>
      <c r="C1627" s="892">
        <f t="shared" si="24"/>
        <v>8</v>
      </c>
      <c r="D1627" s="1880" t="str">
        <f t="shared" si="22"/>
        <v/>
      </c>
      <c r="E1627" s="1880"/>
      <c r="F1627" s="1880"/>
      <c r="G1627" s="1880"/>
      <c r="H1627" s="1880"/>
      <c r="I1627" s="442" t="str">
        <f t="shared" si="23"/>
        <v/>
      </c>
      <c r="J1627" s="442" t="str">
        <f t="shared" si="23"/>
        <v/>
      </c>
      <c r="K1627" s="442" t="str">
        <f t="shared" si="23"/>
        <v/>
      </c>
      <c r="L1627" s="442" t="str">
        <f t="shared" si="23"/>
        <v/>
      </c>
      <c r="M1627" s="442" t="str">
        <f t="shared" si="23"/>
        <v/>
      </c>
      <c r="N1627" s="414"/>
      <c r="O1627" s="25"/>
      <c r="P1627" s="437"/>
      <c r="Q1627" s="437"/>
      <c r="R1627" s="437"/>
      <c r="S1627" s="437"/>
      <c r="T1627" s="437"/>
    </row>
    <row r="1628" spans="1:20" s="697" customFormat="1" x14ac:dyDescent="0.2">
      <c r="A1628" s="437"/>
      <c r="B1628" s="414"/>
      <c r="C1628" s="892">
        <f t="shared" si="24"/>
        <v>9</v>
      </c>
      <c r="D1628" s="1880" t="str">
        <f t="shared" si="22"/>
        <v/>
      </c>
      <c r="E1628" s="1880"/>
      <c r="F1628" s="1880"/>
      <c r="G1628" s="1880"/>
      <c r="H1628" s="1880"/>
      <c r="I1628" s="442" t="str">
        <f t="shared" si="23"/>
        <v/>
      </c>
      <c r="J1628" s="442" t="str">
        <f t="shared" si="23"/>
        <v/>
      </c>
      <c r="K1628" s="442" t="str">
        <f t="shared" si="23"/>
        <v/>
      </c>
      <c r="L1628" s="442" t="str">
        <f t="shared" si="23"/>
        <v/>
      </c>
      <c r="M1628" s="442" t="str">
        <f t="shared" si="23"/>
        <v/>
      </c>
      <c r="N1628" s="414"/>
      <c r="O1628" s="25"/>
      <c r="P1628" s="437"/>
      <c r="Q1628" s="437"/>
      <c r="R1628" s="437"/>
      <c r="S1628" s="437"/>
      <c r="T1628" s="437"/>
    </row>
    <row r="1629" spans="1:20" s="697" customFormat="1" ht="13.5" thickBot="1" x14ac:dyDescent="0.25">
      <c r="A1629" s="437"/>
      <c r="B1629" s="414"/>
      <c r="C1629" s="895">
        <f t="shared" si="24"/>
        <v>10</v>
      </c>
      <c r="D1629" s="1960" t="str">
        <f t="shared" si="22"/>
        <v/>
      </c>
      <c r="E1629" s="1960"/>
      <c r="F1629" s="1960"/>
      <c r="G1629" s="1960"/>
      <c r="H1629" s="1960"/>
      <c r="I1629" s="896" t="str">
        <f t="shared" si="23"/>
        <v/>
      </c>
      <c r="J1629" s="896" t="str">
        <f t="shared" si="23"/>
        <v/>
      </c>
      <c r="K1629" s="896" t="str">
        <f t="shared" si="23"/>
        <v/>
      </c>
      <c r="L1629" s="896" t="str">
        <f t="shared" si="23"/>
        <v/>
      </c>
      <c r="M1629" s="896" t="str">
        <f t="shared" si="23"/>
        <v/>
      </c>
      <c r="N1629" s="414"/>
      <c r="O1629" s="25"/>
      <c r="P1629" s="437"/>
      <c r="Q1629" s="437"/>
      <c r="R1629" s="437"/>
      <c r="S1629" s="437"/>
      <c r="T1629" s="437"/>
    </row>
    <row r="1630" spans="1:20" s="697" customFormat="1" x14ac:dyDescent="0.2">
      <c r="A1630" s="437"/>
      <c r="B1630" s="414"/>
      <c r="C1630" s="892">
        <f t="shared" si="24"/>
        <v>11</v>
      </c>
      <c r="D1630" s="1883" t="str">
        <f t="shared" si="22"/>
        <v>Siltuma līmeņatzīmes apakšiekārta, OEP | bez OIM)</v>
      </c>
      <c r="E1630" s="1883"/>
      <c r="F1630" s="1883"/>
      <c r="G1630" s="1883"/>
      <c r="H1630" s="1883"/>
      <c r="I1630" s="897" t="str">
        <f t="shared" ref="I1630:M1639" si="25">IF(ISNUMBER(I1588),ROUND(I1588*I$1614*IF($M$1602=TRUE,0.8,1),0),"")</f>
        <v/>
      </c>
      <c r="J1630" s="897" t="str">
        <f t="shared" si="25"/>
        <v/>
      </c>
      <c r="K1630" s="897" t="str">
        <f t="shared" si="25"/>
        <v/>
      </c>
      <c r="L1630" s="897" t="str">
        <f t="shared" si="25"/>
        <v/>
      </c>
      <c r="M1630" s="897" t="str">
        <f t="shared" si="25"/>
        <v/>
      </c>
      <c r="N1630" s="414"/>
      <c r="O1630" s="25"/>
      <c r="P1630" s="437"/>
      <c r="Q1630" s="437"/>
      <c r="R1630" s="437"/>
      <c r="S1630" s="437"/>
      <c r="T1630" s="437"/>
    </row>
    <row r="1631" spans="1:20" s="697" customFormat="1" x14ac:dyDescent="0.2">
      <c r="A1631" s="437"/>
      <c r="B1631" s="414"/>
      <c r="C1631" s="892">
        <f t="shared" si="24"/>
        <v>12</v>
      </c>
      <c r="D1631" s="1880" t="str">
        <f t="shared" si="22"/>
        <v>Siltuma līmeņatzīmes apakšiekārta (bez OEP | bez OIM)</v>
      </c>
      <c r="E1631" s="1880"/>
      <c r="F1631" s="1880"/>
      <c r="G1631" s="1880"/>
      <c r="H1631" s="1880"/>
      <c r="I1631" s="442" t="str">
        <f t="shared" si="25"/>
        <v/>
      </c>
      <c r="J1631" s="442" t="str">
        <f t="shared" si="25"/>
        <v/>
      </c>
      <c r="K1631" s="442" t="str">
        <f t="shared" si="25"/>
        <v/>
      </c>
      <c r="L1631" s="442" t="str">
        <f t="shared" si="25"/>
        <v/>
      </c>
      <c r="M1631" s="442" t="str">
        <f t="shared" si="25"/>
        <v/>
      </c>
      <c r="N1631" s="414"/>
      <c r="O1631" s="25"/>
      <c r="P1631" s="437"/>
      <c r="Q1631" s="437"/>
      <c r="R1631" s="437"/>
      <c r="S1631" s="437"/>
      <c r="T1631" s="437"/>
    </row>
    <row r="1632" spans="1:20" s="697" customFormat="1" x14ac:dyDescent="0.2">
      <c r="A1632" s="437"/>
      <c r="B1632" s="414"/>
      <c r="C1632" s="892">
        <f t="shared" si="24"/>
        <v>13</v>
      </c>
      <c r="D1632" s="1880" t="str">
        <f t="shared" si="22"/>
        <v>Siltuma līmeņatzīmes apakšiekārta, OEP | OIM)</v>
      </c>
      <c r="E1632" s="1880"/>
      <c r="F1632" s="1880"/>
      <c r="G1632" s="1880"/>
      <c r="H1632" s="1880"/>
      <c r="I1632" s="442" t="str">
        <f t="shared" si="25"/>
        <v/>
      </c>
      <c r="J1632" s="442" t="str">
        <f t="shared" si="25"/>
        <v/>
      </c>
      <c r="K1632" s="442" t="str">
        <f t="shared" si="25"/>
        <v/>
      </c>
      <c r="L1632" s="442" t="str">
        <f t="shared" si="25"/>
        <v/>
      </c>
      <c r="M1632" s="442" t="str">
        <f t="shared" si="25"/>
        <v/>
      </c>
      <c r="N1632" s="414"/>
      <c r="O1632" s="25"/>
      <c r="P1632" s="437"/>
      <c r="Q1632" s="437"/>
      <c r="R1632" s="437"/>
      <c r="S1632" s="437"/>
      <c r="T1632" s="437"/>
    </row>
    <row r="1633" spans="1:20" s="697" customFormat="1" x14ac:dyDescent="0.2">
      <c r="A1633" s="437"/>
      <c r="B1633" s="414"/>
      <c r="C1633" s="892">
        <f t="shared" si="24"/>
        <v>14</v>
      </c>
      <c r="D1633" s="1880" t="str">
        <f t="shared" si="22"/>
        <v>Centralizētās siltumapgādes apakšiekārta</v>
      </c>
      <c r="E1633" s="1880"/>
      <c r="F1633" s="1880"/>
      <c r="G1633" s="1880"/>
      <c r="H1633" s="1880"/>
      <c r="I1633" s="442" t="str">
        <f t="shared" si="25"/>
        <v/>
      </c>
      <c r="J1633" s="442" t="str">
        <f t="shared" si="25"/>
        <v/>
      </c>
      <c r="K1633" s="442" t="str">
        <f t="shared" si="25"/>
        <v/>
      </c>
      <c r="L1633" s="442" t="str">
        <f t="shared" si="25"/>
        <v/>
      </c>
      <c r="M1633" s="442" t="str">
        <f t="shared" si="25"/>
        <v/>
      </c>
      <c r="N1633" s="414"/>
      <c r="O1633" s="25"/>
      <c r="P1633" s="437"/>
      <c r="Q1633" s="437"/>
      <c r="R1633" s="437"/>
      <c r="S1633" s="437"/>
      <c r="T1633" s="437"/>
    </row>
    <row r="1634" spans="1:20" s="697" customFormat="1" x14ac:dyDescent="0.2">
      <c r="A1634" s="437"/>
      <c r="B1634" s="414"/>
      <c r="C1634" s="892">
        <f t="shared" si="24"/>
        <v>15</v>
      </c>
      <c r="D1634" s="1880" t="str">
        <f t="shared" si="22"/>
        <v>Kurināmā līmeņatzīmes apakšiekārta (OEP | bez OIM)</v>
      </c>
      <c r="E1634" s="1880"/>
      <c r="F1634" s="1880"/>
      <c r="G1634" s="1880"/>
      <c r="H1634" s="1880"/>
      <c r="I1634" s="442" t="str">
        <f t="shared" si="25"/>
        <v/>
      </c>
      <c r="J1634" s="442" t="str">
        <f t="shared" si="25"/>
        <v/>
      </c>
      <c r="K1634" s="442" t="str">
        <f t="shared" si="25"/>
        <v/>
      </c>
      <c r="L1634" s="442" t="str">
        <f t="shared" si="25"/>
        <v/>
      </c>
      <c r="M1634" s="442" t="str">
        <f t="shared" si="25"/>
        <v/>
      </c>
      <c r="N1634" s="414"/>
      <c r="O1634" s="25"/>
      <c r="P1634" s="437"/>
      <c r="Q1634" s="437"/>
      <c r="R1634" s="437"/>
      <c r="S1634" s="437"/>
      <c r="T1634" s="437"/>
    </row>
    <row r="1635" spans="1:20" s="697" customFormat="1" x14ac:dyDescent="0.2">
      <c r="A1635" s="437"/>
      <c r="B1635" s="414"/>
      <c r="C1635" s="892">
        <f t="shared" si="24"/>
        <v>16</v>
      </c>
      <c r="D1635" s="1880" t="str">
        <f t="shared" si="22"/>
        <v>Kurināmā līmeņatzīmes apakšiekārta (bez OEP | bez OIM)</v>
      </c>
      <c r="E1635" s="1880"/>
      <c r="F1635" s="1880"/>
      <c r="G1635" s="1880"/>
      <c r="H1635" s="1880"/>
      <c r="I1635" s="442" t="str">
        <f t="shared" si="25"/>
        <v/>
      </c>
      <c r="J1635" s="442" t="str">
        <f t="shared" si="25"/>
        <v/>
      </c>
      <c r="K1635" s="442" t="str">
        <f t="shared" si="25"/>
        <v/>
      </c>
      <c r="L1635" s="442" t="str">
        <f t="shared" si="25"/>
        <v/>
      </c>
      <c r="M1635" s="442" t="str">
        <f t="shared" si="25"/>
        <v/>
      </c>
      <c r="N1635" s="414"/>
      <c r="O1635" s="25"/>
      <c r="P1635" s="437"/>
      <c r="Q1635" s="437"/>
      <c r="R1635" s="437"/>
      <c r="S1635" s="437"/>
      <c r="T1635" s="437"/>
    </row>
    <row r="1636" spans="1:20" s="697" customFormat="1" x14ac:dyDescent="0.2">
      <c r="A1636" s="437"/>
      <c r="B1636" s="414"/>
      <c r="C1636" s="892">
        <f t="shared" si="24"/>
        <v>17</v>
      </c>
      <c r="D1636" s="1880" t="str">
        <f t="shared" si="22"/>
        <v>Kurināmā līmeņatzīmes apakšiekārta (OEP | OIM)</v>
      </c>
      <c r="E1636" s="1880"/>
      <c r="F1636" s="1880"/>
      <c r="G1636" s="1880"/>
      <c r="H1636" s="1880"/>
      <c r="I1636" s="442" t="str">
        <f t="shared" si="25"/>
        <v/>
      </c>
      <c r="J1636" s="442" t="str">
        <f t="shared" si="25"/>
        <v/>
      </c>
      <c r="K1636" s="442" t="str">
        <f t="shared" si="25"/>
        <v/>
      </c>
      <c r="L1636" s="442" t="str">
        <f t="shared" si="25"/>
        <v/>
      </c>
      <c r="M1636" s="442" t="str">
        <f t="shared" si="25"/>
        <v/>
      </c>
      <c r="N1636" s="414"/>
      <c r="O1636" s="25"/>
      <c r="P1636" s="437"/>
      <c r="Q1636" s="437"/>
      <c r="R1636" s="437"/>
      <c r="S1636" s="437"/>
      <c r="T1636" s="437"/>
    </row>
    <row r="1637" spans="1:20" s="697" customFormat="1" x14ac:dyDescent="0.2">
      <c r="A1637" s="437"/>
      <c r="B1637" s="414"/>
      <c r="C1637" s="892">
        <f t="shared" si="24"/>
        <v>18</v>
      </c>
      <c r="D1637" s="1880" t="str">
        <f t="shared" si="22"/>
        <v>Procesa emisiju apakšiekārta (OEP | bez OIM)</v>
      </c>
      <c r="E1637" s="1880"/>
      <c r="F1637" s="1880"/>
      <c r="G1637" s="1880"/>
      <c r="H1637" s="1880"/>
      <c r="I1637" s="442" t="str">
        <f t="shared" si="25"/>
        <v/>
      </c>
      <c r="J1637" s="442" t="str">
        <f t="shared" si="25"/>
        <v/>
      </c>
      <c r="K1637" s="442" t="str">
        <f t="shared" si="25"/>
        <v/>
      </c>
      <c r="L1637" s="442" t="str">
        <f t="shared" si="25"/>
        <v/>
      </c>
      <c r="M1637" s="442" t="str">
        <f t="shared" si="25"/>
        <v/>
      </c>
      <c r="N1637" s="414"/>
      <c r="O1637" s="25"/>
      <c r="P1637" s="437"/>
      <c r="Q1637" s="437"/>
      <c r="R1637" s="437"/>
      <c r="S1637" s="437"/>
      <c r="T1637" s="437"/>
    </row>
    <row r="1638" spans="1:20" s="697" customFormat="1" x14ac:dyDescent="0.2">
      <c r="A1638" s="437"/>
      <c r="B1638" s="414"/>
      <c r="C1638" s="892">
        <f t="shared" si="24"/>
        <v>19</v>
      </c>
      <c r="D1638" s="1880" t="str">
        <f t="shared" si="22"/>
        <v>Procesa emisiju apakšiekārta (bez OEP | bez OIM)</v>
      </c>
      <c r="E1638" s="1880"/>
      <c r="F1638" s="1880"/>
      <c r="G1638" s="1880"/>
      <c r="H1638" s="1880"/>
      <c r="I1638" s="906" t="str">
        <f t="shared" si="25"/>
        <v/>
      </c>
      <c r="J1638" s="906" t="str">
        <f t="shared" si="25"/>
        <v/>
      </c>
      <c r="K1638" s="906" t="str">
        <f t="shared" si="25"/>
        <v/>
      </c>
      <c r="L1638" s="906" t="str">
        <f t="shared" si="25"/>
        <v/>
      </c>
      <c r="M1638" s="906" t="str">
        <f t="shared" si="25"/>
        <v/>
      </c>
      <c r="N1638" s="414"/>
      <c r="O1638" s="25"/>
      <c r="P1638" s="437"/>
      <c r="Q1638" s="437"/>
      <c r="R1638" s="437"/>
      <c r="S1638" s="437"/>
      <c r="T1638" s="437"/>
    </row>
    <row r="1639" spans="1:20" s="697" customFormat="1" ht="13.5" thickBot="1" x14ac:dyDescent="0.25">
      <c r="A1639" s="437"/>
      <c r="B1639" s="414"/>
      <c r="C1639" s="905">
        <f t="shared" si="24"/>
        <v>20</v>
      </c>
      <c r="D1639" s="1884" t="str">
        <f t="shared" si="22"/>
        <v>Procesa emisiju apakšiekārta (OEP | OIM)</v>
      </c>
      <c r="E1639" s="1884"/>
      <c r="F1639" s="1884"/>
      <c r="G1639" s="1884"/>
      <c r="H1639" s="1884"/>
      <c r="I1639" s="896" t="str">
        <f t="shared" si="25"/>
        <v/>
      </c>
      <c r="J1639" s="896" t="str">
        <f t="shared" si="25"/>
        <v/>
      </c>
      <c r="K1639" s="896" t="str">
        <f t="shared" si="25"/>
        <v/>
      </c>
      <c r="L1639" s="896" t="str">
        <f t="shared" si="25"/>
        <v/>
      </c>
      <c r="M1639" s="896" t="str">
        <f t="shared" si="25"/>
        <v/>
      </c>
      <c r="N1639" s="414"/>
      <c r="O1639" s="25"/>
      <c r="P1639" s="437"/>
      <c r="Q1639" s="437"/>
      <c r="R1639" s="437"/>
      <c r="S1639" s="437"/>
      <c r="T1639" s="437"/>
    </row>
    <row r="1640" spans="1:20" s="697" customFormat="1" x14ac:dyDescent="0.2">
      <c r="A1640" s="437"/>
      <c r="B1640" s="414"/>
      <c r="C1640" s="414"/>
      <c r="D1640" s="1959" t="str">
        <f>Translations!$B$1272</f>
        <v>Kopējais provizoriskais bezmaksas kvotu iedales apjoms</v>
      </c>
      <c r="E1640" s="1959"/>
      <c r="F1640" s="1959"/>
      <c r="G1640" s="1959"/>
      <c r="H1640" s="1959"/>
      <c r="I1640" s="898" t="str">
        <f>IF(COUNT(I1620:I1639)&gt;0,IF(SUM(I1620:I1639)&gt;0,SUM(I1620:I1639),0),"")</f>
        <v/>
      </c>
      <c r="J1640" s="898" t="str">
        <f>IF(COUNT(J1620:J1639)&gt;0,IF(SUM(J1620:J1639)&gt;0,SUM(J1620:J1639),0),"")</f>
        <v/>
      </c>
      <c r="K1640" s="898" t="str">
        <f>IF(COUNT(K1620:K1639)&gt;0,IF(SUM(K1620:K1639)&gt;0,SUM(K1620:K1639),0),"")</f>
        <v/>
      </c>
      <c r="L1640" s="898" t="str">
        <f>IF(COUNT(L1620:L1639)&gt;0,IF(SUM(L1620:L1639)&gt;0,SUM(L1620:L1639),0),"")</f>
        <v/>
      </c>
      <c r="M1640" s="898" t="str">
        <f>IF(COUNT(M1620:M1639)&gt;0,IF(SUM(M1620:M1639)&gt;0,SUM(M1620:M1639),0),"")</f>
        <v/>
      </c>
      <c r="N1640" s="414"/>
      <c r="O1640" s="25"/>
      <c r="P1640" s="437"/>
      <c r="Q1640" s="437"/>
      <c r="R1640" s="437"/>
      <c r="S1640" s="437"/>
      <c r="T1640" s="437"/>
    </row>
    <row r="1641" spans="1:20" ht="13.5" thickBot="1" x14ac:dyDescent="0.25">
      <c r="B1641" s="38"/>
      <c r="C1641" s="38"/>
      <c r="D1641" s="38"/>
      <c r="E1641" s="38"/>
      <c r="F1641" s="38"/>
      <c r="G1641" s="38"/>
      <c r="H1641" s="38"/>
      <c r="I1641" s="38"/>
      <c r="J1641" s="38"/>
      <c r="K1641" s="38"/>
      <c r="L1641" s="38"/>
      <c r="M1641" s="38"/>
      <c r="N1641" s="38"/>
      <c r="O1641" s="25"/>
    </row>
    <row r="1642" spans="1:20" s="731" customFormat="1" ht="25.5" customHeight="1" thickBot="1" x14ac:dyDescent="0.25">
      <c r="A1642" s="416"/>
      <c r="B1642" s="417"/>
      <c r="C1642" s="417"/>
      <c r="D1642" s="418"/>
      <c r="E1642" s="1933" t="str">
        <f>Translations!$B$1286</f>
        <v>Šeit attēlotie rezultāti nekādā gadījumā nav juridiski saistoši. Sk. atrunu sadaļas sākumā.</v>
      </c>
      <c r="F1642" s="1934"/>
      <c r="G1642" s="1934"/>
      <c r="H1642" s="1934"/>
      <c r="I1642" s="1934"/>
      <c r="J1642" s="1934"/>
      <c r="K1642" s="1934"/>
      <c r="L1642" s="1934"/>
      <c r="M1642" s="1934"/>
      <c r="N1642" s="1935"/>
      <c r="O1642" s="25"/>
      <c r="P1642" s="419"/>
      <c r="Q1642" s="416"/>
      <c r="R1642" s="416"/>
      <c r="S1642" s="416"/>
      <c r="T1642" s="416"/>
    </row>
    <row r="1643" spans="1:20" x14ac:dyDescent="0.2">
      <c r="B1643" s="38"/>
      <c r="C1643" s="38"/>
      <c r="D1643" s="38"/>
      <c r="E1643" s="38"/>
      <c r="F1643" s="38"/>
      <c r="G1643" s="38"/>
      <c r="H1643" s="38"/>
      <c r="I1643" s="38"/>
      <c r="J1643" s="38"/>
      <c r="K1643" s="38"/>
      <c r="L1643" s="38"/>
      <c r="M1643" s="38"/>
      <c r="N1643" s="38"/>
      <c r="O1643" s="25"/>
    </row>
    <row r="1644" spans="1:20" hidden="1" x14ac:dyDescent="0.2">
      <c r="A1644" s="20" t="s">
        <v>93</v>
      </c>
      <c r="B1644" s="38"/>
      <c r="C1644" s="38"/>
      <c r="D1644" s="229" t="s">
        <v>238</v>
      </c>
      <c r="E1644" s="214"/>
      <c r="F1644" s="214"/>
      <c r="G1644" s="214"/>
      <c r="H1644" s="214"/>
      <c r="I1644" s="214"/>
      <c r="J1644" s="38"/>
      <c r="K1644" s="38"/>
      <c r="L1644" s="38"/>
      <c r="M1644" s="38"/>
      <c r="N1644" s="38"/>
      <c r="O1644" s="25"/>
    </row>
    <row r="1645" spans="1:20" x14ac:dyDescent="0.2">
      <c r="B1645" s="38"/>
      <c r="C1645" s="38"/>
      <c r="D1645" s="38"/>
      <c r="E1645" s="38"/>
      <c r="F1645" s="38"/>
      <c r="G1645" s="38"/>
      <c r="H1645" s="38"/>
      <c r="I1645" s="38"/>
      <c r="J1645" s="38"/>
      <c r="K1645" s="38"/>
      <c r="L1645" s="38"/>
      <c r="M1645" s="38"/>
      <c r="N1645" s="38"/>
      <c r="O1645" s="25"/>
    </row>
    <row r="1646" spans="1:20" hidden="1" x14ac:dyDescent="0.2">
      <c r="A1646" s="20" t="s">
        <v>93</v>
      </c>
      <c r="B1646" s="20" t="s">
        <v>336</v>
      </c>
      <c r="C1646" s="20" t="s">
        <v>336</v>
      </c>
      <c r="D1646" s="20" t="s">
        <v>336</v>
      </c>
      <c r="E1646" s="20" t="s">
        <v>336</v>
      </c>
      <c r="F1646" s="20" t="s">
        <v>336</v>
      </c>
      <c r="G1646" s="20" t="s">
        <v>336</v>
      </c>
      <c r="H1646" s="20" t="s">
        <v>336</v>
      </c>
      <c r="I1646" s="20" t="s">
        <v>336</v>
      </c>
      <c r="J1646" s="20" t="s">
        <v>336</v>
      </c>
      <c r="K1646" s="20" t="s">
        <v>336</v>
      </c>
      <c r="L1646" s="20" t="s">
        <v>336</v>
      </c>
      <c r="M1646" s="20" t="s">
        <v>336</v>
      </c>
      <c r="N1646" s="20" t="s">
        <v>336</v>
      </c>
      <c r="O1646" s="20" t="s">
        <v>336</v>
      </c>
      <c r="P1646" s="20" t="s">
        <v>336</v>
      </c>
      <c r="Q1646" s="20" t="s">
        <v>336</v>
      </c>
      <c r="R1646" s="20" t="s">
        <v>336</v>
      </c>
      <c r="S1646" s="20" t="s">
        <v>336</v>
      </c>
      <c r="T1646" s="20" t="s">
        <v>336</v>
      </c>
    </row>
    <row r="1647" spans="1:20" hidden="1" x14ac:dyDescent="0.2">
      <c r="A1647" s="20" t="s">
        <v>93</v>
      </c>
    </row>
    <row r="1648" spans="1:20" ht="13.5" hidden="1" thickBot="1" x14ac:dyDescent="0.25">
      <c r="A1648" s="20" t="s">
        <v>93</v>
      </c>
      <c r="D1648" s="19" t="s">
        <v>337</v>
      </c>
    </row>
    <row r="1649" spans="1:15" hidden="1" x14ac:dyDescent="0.2">
      <c r="A1649" s="20" t="s">
        <v>93</v>
      </c>
      <c r="E1649" s="180" t="s">
        <v>227</v>
      </c>
      <c r="F1649" s="84"/>
      <c r="G1649" s="84"/>
      <c r="H1649" s="84"/>
      <c r="I1649" s="84"/>
      <c r="J1649" s="84"/>
      <c r="K1649" s="84"/>
      <c r="L1649" s="84"/>
      <c r="M1649" s="84"/>
      <c r="N1649" s="86"/>
    </row>
    <row r="1650" spans="1:15" hidden="1" x14ac:dyDescent="0.2">
      <c r="A1650" s="20" t="s">
        <v>93</v>
      </c>
      <c r="E1650" s="119" t="s">
        <v>340</v>
      </c>
      <c r="F1650" s="41"/>
      <c r="G1650" s="41"/>
      <c r="H1650" s="41"/>
      <c r="I1650" s="170">
        <v>1</v>
      </c>
      <c r="J1650" s="170">
        <v>2</v>
      </c>
      <c r="K1650" s="170">
        <v>3</v>
      </c>
      <c r="L1650" s="170">
        <v>4</v>
      </c>
      <c r="M1650" s="170">
        <v>5</v>
      </c>
      <c r="N1650" s="173"/>
    </row>
    <row r="1651" spans="1:15" hidden="1" x14ac:dyDescent="0.2">
      <c r="A1651" s="20" t="s">
        <v>93</v>
      </c>
      <c r="E1651" s="174" t="s">
        <v>457</v>
      </c>
      <c r="F1651" s="41"/>
      <c r="G1651" s="41"/>
      <c r="H1651" s="41"/>
      <c r="I1651" s="170">
        <f>INDEX(EUconst_ReportingYears,I1650)</f>
        <v>2014</v>
      </c>
      <c r="J1651" s="170">
        <f>INDEX(EUconst_ReportingYears,J1650)</f>
        <v>2015</v>
      </c>
      <c r="K1651" s="170">
        <f>INDEX(EUconst_ReportingYears,K1650)</f>
        <v>2016</v>
      </c>
      <c r="L1651" s="170">
        <f>INDEX(EUconst_ReportingYears,L1650)</f>
        <v>2017</v>
      </c>
      <c r="M1651" s="170">
        <f>INDEX(EUconst_ReportingYears,M1650)</f>
        <v>2018</v>
      </c>
      <c r="N1651" s="173"/>
    </row>
    <row r="1652" spans="1:15" hidden="1" x14ac:dyDescent="0.2">
      <c r="A1652" s="20" t="s">
        <v>93</v>
      </c>
      <c r="E1652" s="174" t="s">
        <v>456</v>
      </c>
      <c r="F1652" s="171"/>
      <c r="G1652" s="171"/>
      <c r="H1652" s="171"/>
      <c r="I1652" s="172">
        <f>IF(CNTR_BaselinePeriod=EUconst_NA,I1651,INDEX(EUconst_ReportingYears,I1650)+(CNTR_BaselinePeriod-1)*5)</f>
        <v>2019</v>
      </c>
      <c r="J1652" s="172">
        <f>IF(CNTR_BaselinePeriod=EUconst_NA,J1651,INDEX(EUconst_ReportingYears,J1650)+(CNTR_BaselinePeriod-1)*5)</f>
        <v>2020</v>
      </c>
      <c r="K1652" s="172">
        <f>IF(CNTR_BaselinePeriod=EUconst_NA,K1651,INDEX(EUconst_ReportingYears,K1650)+(CNTR_BaselinePeriod-1)*5)</f>
        <v>2021</v>
      </c>
      <c r="L1652" s="172">
        <f>IF(CNTR_BaselinePeriod=EUconst_NA,L1651,INDEX(EUconst_ReportingYears,L1650)+(CNTR_BaselinePeriod-1)*5)</f>
        <v>2022</v>
      </c>
      <c r="M1652" s="172">
        <f>IF(CNTR_BaselinePeriod=EUconst_NA,M1651,INDEX(EUconst_ReportingYears,M1650)+(CNTR_BaselinePeriod-1)*5)</f>
        <v>2023</v>
      </c>
      <c r="N1652" s="175"/>
      <c r="O1652" s="38"/>
    </row>
    <row r="1653" spans="1:15" hidden="1" x14ac:dyDescent="0.2">
      <c r="A1653" s="20" t="s">
        <v>93</v>
      </c>
      <c r="E1653" s="174" t="s">
        <v>226</v>
      </c>
      <c r="F1653" s="171"/>
      <c r="G1653" s="171"/>
      <c r="H1653" s="171"/>
      <c r="I1653" s="172">
        <v>1</v>
      </c>
      <c r="J1653" s="172">
        <v>1</v>
      </c>
      <c r="K1653" s="172">
        <v>1</v>
      </c>
      <c r="L1653" s="172">
        <v>1</v>
      </c>
      <c r="M1653" s="172">
        <v>1</v>
      </c>
      <c r="N1653" s="175"/>
    </row>
    <row r="1654" spans="1:15" hidden="1" x14ac:dyDescent="0.2">
      <c r="A1654" s="20" t="s">
        <v>93</v>
      </c>
      <c r="E1654" s="174" t="s">
        <v>224</v>
      </c>
      <c r="F1654" s="171"/>
      <c r="G1654" s="171"/>
      <c r="H1654" s="171"/>
      <c r="I1654" s="171" t="b">
        <f>(I1653=CNTR_BaselinePeriod)</f>
        <v>0</v>
      </c>
      <c r="J1654" s="171" t="b">
        <f>(J1653=CNTR_BaselinePeriod)</f>
        <v>0</v>
      </c>
      <c r="K1654" s="171" t="b">
        <f>(K1653=CNTR_BaselinePeriod)</f>
        <v>0</v>
      </c>
      <c r="L1654" s="171" t="b">
        <f>(L1653=CNTR_BaselinePeriod)</f>
        <v>0</v>
      </c>
      <c r="M1654" s="171" t="b">
        <f>(M1653=CNTR_BaselinePeriod)</f>
        <v>0</v>
      </c>
      <c r="N1654" s="176"/>
    </row>
    <row r="1655" spans="1:15" ht="13.5" hidden="1" thickBot="1" x14ac:dyDescent="0.25">
      <c r="A1655" s="20" t="s">
        <v>93</v>
      </c>
      <c r="E1655" s="177" t="s">
        <v>225</v>
      </c>
      <c r="F1655" s="178"/>
      <c r="G1655" s="178"/>
      <c r="H1655" s="178"/>
      <c r="I1655" s="178">
        <f>INDEX(CNTR_BaslineYearRelevant,I1650)</f>
        <v>0</v>
      </c>
      <c r="J1655" s="178">
        <f>INDEX(CNTR_BaslineYearRelevant,J1650)</f>
        <v>0</v>
      </c>
      <c r="K1655" s="178">
        <f>INDEX(CNTR_BaslineYearRelevant,K1650)</f>
        <v>0</v>
      </c>
      <c r="L1655" s="178">
        <f>INDEX(CNTR_BaslineYearRelevant,L1650)</f>
        <v>0</v>
      </c>
      <c r="M1655" s="178">
        <f>INDEX(CNTR_BaslineYearRelevant,M1650)</f>
        <v>0</v>
      </c>
      <c r="N1655" s="179"/>
    </row>
    <row r="1656" spans="1:15" hidden="1" x14ac:dyDescent="0.2">
      <c r="A1656" s="20" t="s">
        <v>93</v>
      </c>
    </row>
    <row r="1657" spans="1:15" hidden="1" x14ac:dyDescent="0.2">
      <c r="A1657" s="20" t="s">
        <v>93</v>
      </c>
    </row>
    <row r="1658" spans="1:15" hidden="1" x14ac:dyDescent="0.2">
      <c r="A1658" s="20" t="s">
        <v>93</v>
      </c>
    </row>
  </sheetData>
  <sheetCalcPr fullCalcOnLoad="1"/>
  <sheetProtection sheet="1" objects="1" scenarios="1" formatCells="0" formatColumns="0" formatRows="0"/>
  <mergeCells count="1046">
    <mergeCell ref="E1437:G1437"/>
    <mergeCell ref="E1438:G1438"/>
    <mergeCell ref="E1469:G1469"/>
    <mergeCell ref="E1470:G1470"/>
    <mergeCell ref="E1411:G1411"/>
    <mergeCell ref="E1466:G1466"/>
    <mergeCell ref="E1467:G1467"/>
    <mergeCell ref="D1415:H1415"/>
    <mergeCell ref="E1320:G1320"/>
    <mergeCell ref="E1362:G1362"/>
    <mergeCell ref="E1363:G1363"/>
    <mergeCell ref="E1364:G1364"/>
    <mergeCell ref="E1365:G1365"/>
    <mergeCell ref="E1366:G1366"/>
    <mergeCell ref="E1356:G1356"/>
    <mergeCell ref="E1358:G1358"/>
    <mergeCell ref="E1325:G1325"/>
    <mergeCell ref="E1326:G1326"/>
    <mergeCell ref="E1317:G1317"/>
    <mergeCell ref="E1318:G1318"/>
    <mergeCell ref="E1319:G1319"/>
    <mergeCell ref="E1276:G1276"/>
    <mergeCell ref="E1278:G1278"/>
    <mergeCell ref="E1307:G1307"/>
    <mergeCell ref="E1310:G1310"/>
    <mergeCell ref="E1283:G1283"/>
    <mergeCell ref="E1236:G1236"/>
    <mergeCell ref="E1237:G1237"/>
    <mergeCell ref="E1238:G1238"/>
    <mergeCell ref="E1239:G1239"/>
    <mergeCell ref="E1316:G1316"/>
    <mergeCell ref="E1281:G1281"/>
    <mergeCell ref="E1273:G1273"/>
    <mergeCell ref="E1272:G1272"/>
    <mergeCell ref="E1280:G1280"/>
    <mergeCell ref="E112:G112"/>
    <mergeCell ref="E1185:M1185"/>
    <mergeCell ref="E1186:G1186"/>
    <mergeCell ref="E1188:G1188"/>
    <mergeCell ref="E1189:G1189"/>
    <mergeCell ref="E1168:G1168"/>
    <mergeCell ref="E1169:G1169"/>
    <mergeCell ref="E1170:G1170"/>
    <mergeCell ref="E1171:G1171"/>
    <mergeCell ref="E1172:G1172"/>
    <mergeCell ref="E1191:G1191"/>
    <mergeCell ref="E1193:G1193"/>
    <mergeCell ref="E1174:G1174"/>
    <mergeCell ref="E1176:G1176"/>
    <mergeCell ref="E1179:G1179"/>
    <mergeCell ref="E1180:G1180"/>
    <mergeCell ref="E1182:G1182"/>
    <mergeCell ref="E1183:G1183"/>
    <mergeCell ref="E1173:G1173"/>
    <mergeCell ref="E1160:G1160"/>
    <mergeCell ref="E1162:G1162"/>
    <mergeCell ref="E1163:G1163"/>
    <mergeCell ref="E1165:G1165"/>
    <mergeCell ref="E1166:G1166"/>
    <mergeCell ref="E1167:G1167"/>
    <mergeCell ref="E1152:G1152"/>
    <mergeCell ref="E1153:G1153"/>
    <mergeCell ref="E1154:G1154"/>
    <mergeCell ref="E1156:G1156"/>
    <mergeCell ref="E1157:G1157"/>
    <mergeCell ref="E1159:G1159"/>
    <mergeCell ref="I1128:N1128"/>
    <mergeCell ref="E1139:G1139"/>
    <mergeCell ref="E1146:G1146"/>
    <mergeCell ref="E1148:G1148"/>
    <mergeCell ref="E1149:G1149"/>
    <mergeCell ref="E1151:G1151"/>
    <mergeCell ref="E1117:G1117"/>
    <mergeCell ref="E1119:G1119"/>
    <mergeCell ref="E1120:G1120"/>
    <mergeCell ref="E1122:G1122"/>
    <mergeCell ref="E1124:G1124"/>
    <mergeCell ref="D1128:H1128"/>
    <mergeCell ref="E1110:G1110"/>
    <mergeCell ref="E1113:G1113"/>
    <mergeCell ref="E1114:G1114"/>
    <mergeCell ref="E1116:M1116"/>
    <mergeCell ref="E1111:G1111"/>
    <mergeCell ref="E1105:G1105"/>
    <mergeCell ref="E1101:G1101"/>
    <mergeCell ref="E1098:G1098"/>
    <mergeCell ref="E1099:G1099"/>
    <mergeCell ref="E1100:G1100"/>
    <mergeCell ref="E1104:G1104"/>
    <mergeCell ref="E1107:G1107"/>
    <mergeCell ref="E1084:G1084"/>
    <mergeCell ref="E1080:G1080"/>
    <mergeCell ref="E1082:G1082"/>
    <mergeCell ref="E1083:G1083"/>
    <mergeCell ref="E1090:G1090"/>
    <mergeCell ref="E1091:G1091"/>
    <mergeCell ref="E953:G953"/>
    <mergeCell ref="E956:G956"/>
    <mergeCell ref="E955:G955"/>
    <mergeCell ref="I990:N990"/>
    <mergeCell ref="E1001:G1001"/>
    <mergeCell ref="E958:G958"/>
    <mergeCell ref="E959:G959"/>
    <mergeCell ref="E960:G960"/>
    <mergeCell ref="E962:G962"/>
    <mergeCell ref="E963:G963"/>
    <mergeCell ref="E897:G897"/>
    <mergeCell ref="E898:G898"/>
    <mergeCell ref="I921:N921"/>
    <mergeCell ref="E939:G939"/>
    <mergeCell ref="E941:G941"/>
    <mergeCell ref="E942:G942"/>
    <mergeCell ref="E903:G903"/>
    <mergeCell ref="E906:G906"/>
    <mergeCell ref="E909:M909"/>
    <mergeCell ref="E910:G910"/>
    <mergeCell ref="E889:G889"/>
    <mergeCell ref="E890:G890"/>
    <mergeCell ref="E891:G891"/>
    <mergeCell ref="E893:G893"/>
    <mergeCell ref="E896:G896"/>
    <mergeCell ref="E894:G894"/>
    <mergeCell ref="E895:G895"/>
    <mergeCell ref="E892:G892"/>
    <mergeCell ref="D852:H852"/>
    <mergeCell ref="I852:N852"/>
    <mergeCell ref="E870:G870"/>
    <mergeCell ref="E873:G873"/>
    <mergeCell ref="E875:G875"/>
    <mergeCell ref="E848:G848"/>
    <mergeCell ref="E863:G863"/>
    <mergeCell ref="E872:G872"/>
    <mergeCell ref="E841:G841"/>
    <mergeCell ref="E834:G834"/>
    <mergeCell ref="E835:G835"/>
    <mergeCell ref="E837:G837"/>
    <mergeCell ref="E838:G838"/>
    <mergeCell ref="E844:G844"/>
    <mergeCell ref="E814:G814"/>
    <mergeCell ref="E811:G811"/>
    <mergeCell ref="E812:G812"/>
    <mergeCell ref="E821:G821"/>
    <mergeCell ref="E822:G822"/>
    <mergeCell ref="E823:G823"/>
    <mergeCell ref="E815:G815"/>
    <mergeCell ref="E817:G817"/>
    <mergeCell ref="E818:G818"/>
    <mergeCell ref="E820:G820"/>
    <mergeCell ref="E771:M771"/>
    <mergeCell ref="I783:N783"/>
    <mergeCell ref="E772:G772"/>
    <mergeCell ref="E774:G774"/>
    <mergeCell ref="E775:G775"/>
    <mergeCell ref="E777:G777"/>
    <mergeCell ref="E735:G735"/>
    <mergeCell ref="E737:G737"/>
    <mergeCell ref="E738:G738"/>
    <mergeCell ref="E739:G739"/>
    <mergeCell ref="E762:G762"/>
    <mergeCell ref="E749:G749"/>
    <mergeCell ref="E751:G751"/>
    <mergeCell ref="E752:G752"/>
    <mergeCell ref="E757:G757"/>
    <mergeCell ref="E758:G758"/>
    <mergeCell ref="E710:G710"/>
    <mergeCell ref="D714:H714"/>
    <mergeCell ref="I714:N714"/>
    <mergeCell ref="E746:G746"/>
    <mergeCell ref="E753:G753"/>
    <mergeCell ref="E754:G754"/>
    <mergeCell ref="E740:G740"/>
    <mergeCell ref="E743:G743"/>
    <mergeCell ref="E745:G745"/>
    <mergeCell ref="E748:G748"/>
    <mergeCell ref="I645:N645"/>
    <mergeCell ref="E656:G656"/>
    <mergeCell ref="E670:G670"/>
    <mergeCell ref="E684:G684"/>
    <mergeCell ref="E686:G686"/>
    <mergeCell ref="E687:G687"/>
    <mergeCell ref="D645:H645"/>
    <mergeCell ref="E663:G663"/>
    <mergeCell ref="E665:G665"/>
    <mergeCell ref="E666:G666"/>
    <mergeCell ref="E634:G634"/>
    <mergeCell ref="E637:G637"/>
    <mergeCell ref="E639:G639"/>
    <mergeCell ref="E641:G641"/>
    <mergeCell ref="E627:G627"/>
    <mergeCell ref="E630:G630"/>
    <mergeCell ref="E636:G636"/>
    <mergeCell ref="E613:G613"/>
    <mergeCell ref="E614:G614"/>
    <mergeCell ref="E605:G605"/>
    <mergeCell ref="E617:G617"/>
    <mergeCell ref="E624:G624"/>
    <mergeCell ref="E633:M633"/>
    <mergeCell ref="E601:G601"/>
    <mergeCell ref="E604:G604"/>
    <mergeCell ref="E607:G607"/>
    <mergeCell ref="D490:E490"/>
    <mergeCell ref="F490:N490"/>
    <mergeCell ref="E245:G245"/>
    <mergeCell ref="E273:G273"/>
    <mergeCell ref="E596:G596"/>
    <mergeCell ref="E587:G587"/>
    <mergeCell ref="E558:G558"/>
    <mergeCell ref="E62:F62"/>
    <mergeCell ref="G62:H62"/>
    <mergeCell ref="I62:J62"/>
    <mergeCell ref="K62:L62"/>
    <mergeCell ref="E63:F63"/>
    <mergeCell ref="G63:H63"/>
    <mergeCell ref="M26:N26"/>
    <mergeCell ref="M27:N27"/>
    <mergeCell ref="M28:N28"/>
    <mergeCell ref="M29:N29"/>
    <mergeCell ref="L42:N42"/>
    <mergeCell ref="E35:H35"/>
    <mergeCell ref="I34:K34"/>
    <mergeCell ref="L34:N34"/>
    <mergeCell ref="L38:N38"/>
    <mergeCell ref="E34:H34"/>
    <mergeCell ref="E568:G568"/>
    <mergeCell ref="F27:L27"/>
    <mergeCell ref="F28:L28"/>
    <mergeCell ref="F29:L29"/>
    <mergeCell ref="M62:N62"/>
    <mergeCell ref="L39:N39"/>
    <mergeCell ref="E68:N68"/>
    <mergeCell ref="E73:L73"/>
    <mergeCell ref="E48:N48"/>
    <mergeCell ref="E49:N49"/>
    <mergeCell ref="M1479:N1479"/>
    <mergeCell ref="E1603:N1603"/>
    <mergeCell ref="E1609:L1609"/>
    <mergeCell ref="E1215:G1215"/>
    <mergeCell ref="F1547:N1547"/>
    <mergeCell ref="F1548:N1548"/>
    <mergeCell ref="E1443:G1443"/>
    <mergeCell ref="E1224:G1224"/>
    <mergeCell ref="E1225:G1225"/>
    <mergeCell ref="E1226:G1226"/>
    <mergeCell ref="E1569:H1569"/>
    <mergeCell ref="E1220:G1220"/>
    <mergeCell ref="E1221:G1221"/>
    <mergeCell ref="E40:H40"/>
    <mergeCell ref="E42:H42"/>
    <mergeCell ref="I42:K42"/>
    <mergeCell ref="I63:J63"/>
    <mergeCell ref="F103:N103"/>
    <mergeCell ref="E93:G93"/>
    <mergeCell ref="E621:G621"/>
    <mergeCell ref="D1577:H1577"/>
    <mergeCell ref="E1567:H1567"/>
    <mergeCell ref="E1573:H1573"/>
    <mergeCell ref="E1610:L1610"/>
    <mergeCell ref="E594:G594"/>
    <mergeCell ref="E1440:G1440"/>
    <mergeCell ref="E622:G622"/>
    <mergeCell ref="E682:G682"/>
    <mergeCell ref="E742:G742"/>
    <mergeCell ref="E610:G610"/>
    <mergeCell ref="E1607:N1607"/>
    <mergeCell ref="D1590:H1590"/>
    <mergeCell ref="D1591:H1591"/>
    <mergeCell ref="F1546:N1546"/>
    <mergeCell ref="E1544:N1544"/>
    <mergeCell ref="F1545:N1545"/>
    <mergeCell ref="D1585:H1585"/>
    <mergeCell ref="D1582:H1582"/>
    <mergeCell ref="D1583:H1583"/>
    <mergeCell ref="E1557:N1557"/>
    <mergeCell ref="D1594:H1594"/>
    <mergeCell ref="D1579:H1579"/>
    <mergeCell ref="D1580:H1580"/>
    <mergeCell ref="F1551:N1551"/>
    <mergeCell ref="D1519:H1519"/>
    <mergeCell ref="I1519:L1519"/>
    <mergeCell ref="F1549:N1549"/>
    <mergeCell ref="E1560:N1560"/>
    <mergeCell ref="E1561:N1561"/>
    <mergeCell ref="E1566:H1566"/>
    <mergeCell ref="E1559:K1559"/>
    <mergeCell ref="E1495:G1495"/>
    <mergeCell ref="D1555:N1555"/>
    <mergeCell ref="F1541:N1541"/>
    <mergeCell ref="F1542:N1542"/>
    <mergeCell ref="E1556:N1556"/>
    <mergeCell ref="F1550:N1550"/>
    <mergeCell ref="E1540:N1540"/>
    <mergeCell ref="M1499:N1499"/>
    <mergeCell ref="E1515:G1515"/>
    <mergeCell ref="D1638:H1638"/>
    <mergeCell ref="D1619:H1619"/>
    <mergeCell ref="E1606:N1606"/>
    <mergeCell ref="D1629:H1629"/>
    <mergeCell ref="D1637:H1637"/>
    <mergeCell ref="D1631:H1631"/>
    <mergeCell ref="D1632:H1632"/>
    <mergeCell ref="D1636:H1636"/>
    <mergeCell ref="E1613:H1613"/>
    <mergeCell ref="E1614:H1614"/>
    <mergeCell ref="E559:G559"/>
    <mergeCell ref="E561:G561"/>
    <mergeCell ref="D1553:N1553"/>
    <mergeCell ref="D1587:H1587"/>
    <mergeCell ref="D1598:H1598"/>
    <mergeCell ref="E565:G565"/>
    <mergeCell ref="D1586:H1586"/>
    <mergeCell ref="D1584:H1584"/>
    <mergeCell ref="D1588:H1588"/>
    <mergeCell ref="E562:G562"/>
    <mergeCell ref="D1640:H1640"/>
    <mergeCell ref="E525:G525"/>
    <mergeCell ref="E527:G527"/>
    <mergeCell ref="E538:G538"/>
    <mergeCell ref="E531:G531"/>
    <mergeCell ref="E544:G544"/>
    <mergeCell ref="E545:G545"/>
    <mergeCell ref="D1624:H1624"/>
    <mergeCell ref="E539:G539"/>
    <mergeCell ref="D1589:H1589"/>
    <mergeCell ref="E169:G169"/>
    <mergeCell ref="E220:G220"/>
    <mergeCell ref="E227:G227"/>
    <mergeCell ref="H227:N227"/>
    <mergeCell ref="E192:G192"/>
    <mergeCell ref="E206:G206"/>
    <mergeCell ref="E180:G180"/>
    <mergeCell ref="E196:G196"/>
    <mergeCell ref="E199:G199"/>
    <mergeCell ref="E209:G209"/>
    <mergeCell ref="E167:G167"/>
    <mergeCell ref="E175:G175"/>
    <mergeCell ref="D1639:H1639"/>
    <mergeCell ref="D1593:H1593"/>
    <mergeCell ref="D1620:H1620"/>
    <mergeCell ref="D1621:H1621"/>
    <mergeCell ref="D1622:H1622"/>
    <mergeCell ref="E234:G234"/>
    <mergeCell ref="E247:G247"/>
    <mergeCell ref="E242:G242"/>
    <mergeCell ref="E272:G272"/>
    <mergeCell ref="F494:N494"/>
    <mergeCell ref="E279:G279"/>
    <mergeCell ref="E280:G280"/>
    <mergeCell ref="E285:N285"/>
    <mergeCell ref="E265:G265"/>
    <mergeCell ref="E266:G266"/>
    <mergeCell ref="E302:G302"/>
    <mergeCell ref="E304:N304"/>
    <mergeCell ref="E290:G290"/>
    <mergeCell ref="E176:G176"/>
    <mergeCell ref="E184:G184"/>
    <mergeCell ref="E185:G185"/>
    <mergeCell ref="E181:G181"/>
    <mergeCell ref="D268:N268"/>
    <mergeCell ref="E260:G260"/>
    <mergeCell ref="E197:G197"/>
    <mergeCell ref="L214:N214"/>
    <mergeCell ref="E214:K214"/>
    <mergeCell ref="E218:G218"/>
    <mergeCell ref="E232:G232"/>
    <mergeCell ref="E203:G203"/>
    <mergeCell ref="E194:G194"/>
    <mergeCell ref="E195:G195"/>
    <mergeCell ref="E200:G200"/>
    <mergeCell ref="E201:G201"/>
    <mergeCell ref="E202:G202"/>
    <mergeCell ref="E205:G205"/>
    <mergeCell ref="E207:G207"/>
    <mergeCell ref="E251:G251"/>
    <mergeCell ref="E233:G233"/>
    <mergeCell ref="L226:N226"/>
    <mergeCell ref="E243:G243"/>
    <mergeCell ref="E236:H236"/>
    <mergeCell ref="E231:G231"/>
    <mergeCell ref="E240:G240"/>
    <mergeCell ref="E241:G241"/>
    <mergeCell ref="H215:N215"/>
    <mergeCell ref="E230:G230"/>
    <mergeCell ref="E403:G403"/>
    <mergeCell ref="E244:G244"/>
    <mergeCell ref="E270:N270"/>
    <mergeCell ref="E278:N278"/>
    <mergeCell ref="E250:G250"/>
    <mergeCell ref="E222:G222"/>
    <mergeCell ref="E221:G221"/>
    <mergeCell ref="E264:G264"/>
    <mergeCell ref="E550:G550"/>
    <mergeCell ref="E535:G535"/>
    <mergeCell ref="E547:G547"/>
    <mergeCell ref="D489:E489"/>
    <mergeCell ref="E542:G542"/>
    <mergeCell ref="E405:N405"/>
    <mergeCell ref="E530:G530"/>
    <mergeCell ref="D505:N505"/>
    <mergeCell ref="E533:G533"/>
    <mergeCell ref="F497:N497"/>
    <mergeCell ref="E536:G536"/>
    <mergeCell ref="E528:G528"/>
    <mergeCell ref="F502:N502"/>
    <mergeCell ref="D212:N212"/>
    <mergeCell ref="E215:G215"/>
    <mergeCell ref="E226:K226"/>
    <mergeCell ref="E224:H224"/>
    <mergeCell ref="E217:G217"/>
    <mergeCell ref="E289:G289"/>
    <mergeCell ref="E518:G518"/>
    <mergeCell ref="E144:G144"/>
    <mergeCell ref="E555:G555"/>
    <mergeCell ref="E219:G219"/>
    <mergeCell ref="E170:G170"/>
    <mergeCell ref="E171:G171"/>
    <mergeCell ref="E172:G172"/>
    <mergeCell ref="E210:G210"/>
    <mergeCell ref="D502:E502"/>
    <mergeCell ref="E287:G287"/>
    <mergeCell ref="E546:G546"/>
    <mergeCell ref="E135:G135"/>
    <mergeCell ref="E166:G166"/>
    <mergeCell ref="E134:G134"/>
    <mergeCell ref="E146:G146"/>
    <mergeCell ref="E190:G190"/>
    <mergeCell ref="E162:L162"/>
    <mergeCell ref="E182:G182"/>
    <mergeCell ref="E164:G164"/>
    <mergeCell ref="E165:G165"/>
    <mergeCell ref="E189:G189"/>
    <mergeCell ref="E139:G139"/>
    <mergeCell ref="E132:G132"/>
    <mergeCell ref="E129:G129"/>
    <mergeCell ref="E128:G128"/>
    <mergeCell ref="E119:G119"/>
    <mergeCell ref="D488:N488"/>
    <mergeCell ref="E126:G126"/>
    <mergeCell ref="E145:G145"/>
    <mergeCell ref="E142:G142"/>
    <mergeCell ref="E143:G143"/>
    <mergeCell ref="E553:G553"/>
    <mergeCell ref="D495:E495"/>
    <mergeCell ref="D498:E498"/>
    <mergeCell ref="F498:N498"/>
    <mergeCell ref="D497:E497"/>
    <mergeCell ref="E541:G541"/>
    <mergeCell ref="F500:N500"/>
    <mergeCell ref="D500:E500"/>
    <mergeCell ref="E532:G532"/>
    <mergeCell ref="F499:N499"/>
    <mergeCell ref="E3:F3"/>
    <mergeCell ref="G3:H3"/>
    <mergeCell ref="E1442:G1442"/>
    <mergeCell ref="M1415:N1415"/>
    <mergeCell ref="E1431:G1431"/>
    <mergeCell ref="E1434:G1434"/>
    <mergeCell ref="E1433:G1433"/>
    <mergeCell ref="I1415:L1415"/>
    <mergeCell ref="E1435:G1435"/>
    <mergeCell ref="E1436:G1436"/>
    <mergeCell ref="K2:L2"/>
    <mergeCell ref="E4:F4"/>
    <mergeCell ref="M2:N2"/>
    <mergeCell ref="D491:E491"/>
    <mergeCell ref="D46:N46"/>
    <mergeCell ref="E87:G87"/>
    <mergeCell ref="E84:G84"/>
    <mergeCell ref="I3:J3"/>
    <mergeCell ref="K3:L3"/>
    <mergeCell ref="E85:G85"/>
    <mergeCell ref="G4:H4"/>
    <mergeCell ref="I4:J4"/>
    <mergeCell ref="K4:L4"/>
    <mergeCell ref="M4:N4"/>
    <mergeCell ref="M23:N23"/>
    <mergeCell ref="E38:H38"/>
    <mergeCell ref="I38:K38"/>
    <mergeCell ref="F24:L24"/>
    <mergeCell ref="F25:L25"/>
    <mergeCell ref="F26:L26"/>
    <mergeCell ref="B2:D4"/>
    <mergeCell ref="G2:H2"/>
    <mergeCell ref="E156:G156"/>
    <mergeCell ref="I2:J2"/>
    <mergeCell ref="E101:N101"/>
    <mergeCell ref="M3:N3"/>
    <mergeCell ref="I41:K41"/>
    <mergeCell ref="E92:G92"/>
    <mergeCell ref="E94:G94"/>
    <mergeCell ref="I39:K39"/>
    <mergeCell ref="E1642:N1642"/>
    <mergeCell ref="D494:E494"/>
    <mergeCell ref="D493:E493"/>
    <mergeCell ref="F106:N106"/>
    <mergeCell ref="F107:N107"/>
    <mergeCell ref="E131:G131"/>
    <mergeCell ref="E286:G286"/>
    <mergeCell ref="D496:E496"/>
    <mergeCell ref="F493:N493"/>
    <mergeCell ref="E465:N465"/>
    <mergeCell ref="E147:G147"/>
    <mergeCell ref="F102:N102"/>
    <mergeCell ref="E91:G91"/>
    <mergeCell ref="D98:N98"/>
    <mergeCell ref="E120:G120"/>
    <mergeCell ref="E133:G133"/>
    <mergeCell ref="E140:G140"/>
    <mergeCell ref="E141:G141"/>
    <mergeCell ref="E122:G122"/>
    <mergeCell ref="E138:G138"/>
    <mergeCell ref="E37:H37"/>
    <mergeCell ref="I37:K37"/>
    <mergeCell ref="L37:N37"/>
    <mergeCell ref="F108:N108"/>
    <mergeCell ref="D81:N81"/>
    <mergeCell ref="E83:G83"/>
    <mergeCell ref="E88:G88"/>
    <mergeCell ref="F105:N105"/>
    <mergeCell ref="D51:N51"/>
    <mergeCell ref="E39:H39"/>
    <mergeCell ref="F109:N109"/>
    <mergeCell ref="E127:G127"/>
    <mergeCell ref="E110:N110"/>
    <mergeCell ref="M63:N63"/>
    <mergeCell ref="K63:L63"/>
    <mergeCell ref="E53:N53"/>
    <mergeCell ref="F104:N104"/>
    <mergeCell ref="E90:G90"/>
    <mergeCell ref="E86:G86"/>
    <mergeCell ref="E114:G114"/>
    <mergeCell ref="L41:N41"/>
    <mergeCell ref="E125:G125"/>
    <mergeCell ref="E116:G116"/>
    <mergeCell ref="E115:G115"/>
    <mergeCell ref="L35:N35"/>
    <mergeCell ref="E36:H36"/>
    <mergeCell ref="I36:K36"/>
    <mergeCell ref="L36:N36"/>
    <mergeCell ref="E100:N100"/>
    <mergeCell ref="E89:G89"/>
    <mergeCell ref="L40:N40"/>
    <mergeCell ref="I40:K40"/>
    <mergeCell ref="E41:H41"/>
    <mergeCell ref="D10:N10"/>
    <mergeCell ref="D31:N31"/>
    <mergeCell ref="E32:H32"/>
    <mergeCell ref="I32:K32"/>
    <mergeCell ref="L32:N32"/>
    <mergeCell ref="H14:L14"/>
    <mergeCell ref="H15:L15"/>
    <mergeCell ref="M24:N24"/>
    <mergeCell ref="M25:N25"/>
    <mergeCell ref="H12:I12"/>
    <mergeCell ref="M12:N12"/>
    <mergeCell ref="H13:L13"/>
    <mergeCell ref="E58:N58"/>
    <mergeCell ref="E33:H33"/>
    <mergeCell ref="I33:K33"/>
    <mergeCell ref="L33:N33"/>
    <mergeCell ref="I35:K35"/>
    <mergeCell ref="E123:G123"/>
    <mergeCell ref="E121:G121"/>
    <mergeCell ref="E117:G117"/>
    <mergeCell ref="E118:G118"/>
    <mergeCell ref="E254:G254"/>
    <mergeCell ref="E157:G157"/>
    <mergeCell ref="E151:G151"/>
    <mergeCell ref="E153:G153"/>
    <mergeCell ref="E124:G124"/>
    <mergeCell ref="E130:G130"/>
    <mergeCell ref="E255:G255"/>
    <mergeCell ref="E150:G150"/>
    <mergeCell ref="E149:G149"/>
    <mergeCell ref="E191:G191"/>
    <mergeCell ref="E177:G177"/>
    <mergeCell ref="E256:G256"/>
    <mergeCell ref="E152:G152"/>
    <mergeCell ref="E155:G155"/>
    <mergeCell ref="E178:G178"/>
    <mergeCell ref="E187:L187"/>
    <mergeCell ref="E257:G257"/>
    <mergeCell ref="E258:G258"/>
    <mergeCell ref="E263:G263"/>
    <mergeCell ref="E262:G262"/>
    <mergeCell ref="E261:G261"/>
    <mergeCell ref="E259:G259"/>
    <mergeCell ref="E275:N275"/>
    <mergeCell ref="E276:G276"/>
    <mergeCell ref="E292:N292"/>
    <mergeCell ref="E293:G293"/>
    <mergeCell ref="E295:N295"/>
    <mergeCell ref="E296:G296"/>
    <mergeCell ref="E282:G282"/>
    <mergeCell ref="E288:G288"/>
    <mergeCell ref="E283:G283"/>
    <mergeCell ref="E281:G281"/>
    <mergeCell ref="E422:N422"/>
    <mergeCell ref="E423:G423"/>
    <mergeCell ref="E398:G398"/>
    <mergeCell ref="E298:N298"/>
    <mergeCell ref="E391:G391"/>
    <mergeCell ref="E392:G392"/>
    <mergeCell ref="E394:N394"/>
    <mergeCell ref="E395:G395"/>
    <mergeCell ref="E300:G300"/>
    <mergeCell ref="E301:G301"/>
    <mergeCell ref="E312:G312"/>
    <mergeCell ref="E313:G313"/>
    <mergeCell ref="E482:G482"/>
    <mergeCell ref="E406:G406"/>
    <mergeCell ref="E407:G407"/>
    <mergeCell ref="E415:G415"/>
    <mergeCell ref="E416:G416"/>
    <mergeCell ref="E417:G417"/>
    <mergeCell ref="E419:N419"/>
    <mergeCell ref="E420:G420"/>
    <mergeCell ref="E306:G306"/>
    <mergeCell ref="E307:G307"/>
    <mergeCell ref="E308:G308"/>
    <mergeCell ref="E309:G309"/>
    <mergeCell ref="E310:G310"/>
    <mergeCell ref="E311:G311"/>
    <mergeCell ref="E314:G314"/>
    <mergeCell ref="E315:G315"/>
    <mergeCell ref="E316:G316"/>
    <mergeCell ref="E318:N318"/>
    <mergeCell ref="E319:G319"/>
    <mergeCell ref="E321:N321"/>
    <mergeCell ref="E322:G322"/>
    <mergeCell ref="E386:G386"/>
    <mergeCell ref="E331:G331"/>
    <mergeCell ref="E332:G332"/>
    <mergeCell ref="E333:G333"/>
    <mergeCell ref="E334:G334"/>
    <mergeCell ref="E342:G342"/>
    <mergeCell ref="E344:N344"/>
    <mergeCell ref="E345:G345"/>
    <mergeCell ref="E347:N347"/>
    <mergeCell ref="E324:N324"/>
    <mergeCell ref="E325:G325"/>
    <mergeCell ref="E327:N327"/>
    <mergeCell ref="E328:G328"/>
    <mergeCell ref="E384:G384"/>
    <mergeCell ref="E385:G385"/>
    <mergeCell ref="E329:G329"/>
    <mergeCell ref="E330:G330"/>
    <mergeCell ref="E348:G348"/>
    <mergeCell ref="E336:N336"/>
    <mergeCell ref="E339:G339"/>
    <mergeCell ref="E341:G341"/>
    <mergeCell ref="E356:G356"/>
    <mergeCell ref="E357:G357"/>
    <mergeCell ref="E355:G355"/>
    <mergeCell ref="E350:N350"/>
    <mergeCell ref="E351:G351"/>
    <mergeCell ref="E352:G352"/>
    <mergeCell ref="E353:G353"/>
    <mergeCell ref="E354:G354"/>
    <mergeCell ref="E414:G414"/>
    <mergeCell ref="E408:G408"/>
    <mergeCell ref="E409:G409"/>
    <mergeCell ref="E359:N359"/>
    <mergeCell ref="D378:N378"/>
    <mergeCell ref="E383:G383"/>
    <mergeCell ref="E410:G410"/>
    <mergeCell ref="E412:N412"/>
    <mergeCell ref="E413:G413"/>
    <mergeCell ref="E397:G397"/>
    <mergeCell ref="E361:G361"/>
    <mergeCell ref="E362:G362"/>
    <mergeCell ref="E364:N364"/>
    <mergeCell ref="E365:G365"/>
    <mergeCell ref="E367:N367"/>
    <mergeCell ref="D371:N371"/>
    <mergeCell ref="E369:G369"/>
    <mergeCell ref="E380:N380"/>
    <mergeCell ref="E381:G381"/>
    <mergeCell ref="E382:G382"/>
    <mergeCell ref="E390:G390"/>
    <mergeCell ref="E402:N402"/>
    <mergeCell ref="E396:G396"/>
    <mergeCell ref="E387:G387"/>
    <mergeCell ref="E388:G388"/>
    <mergeCell ref="E389:G389"/>
    <mergeCell ref="E400:G400"/>
    <mergeCell ref="E424:G424"/>
    <mergeCell ref="E425:G425"/>
    <mergeCell ref="E426:G426"/>
    <mergeCell ref="E478:G478"/>
    <mergeCell ref="E427:G427"/>
    <mergeCell ref="E428:G428"/>
    <mergeCell ref="E429:G429"/>
    <mergeCell ref="E430:G430"/>
    <mergeCell ref="E431:G431"/>
    <mergeCell ref="E432:G432"/>
    <mergeCell ref="E433:G433"/>
    <mergeCell ref="E434:G434"/>
    <mergeCell ref="E436:N436"/>
    <mergeCell ref="E437:G437"/>
    <mergeCell ref="E438:G438"/>
    <mergeCell ref="E477:G477"/>
    <mergeCell ref="E439:G439"/>
    <mergeCell ref="E440:G440"/>
    <mergeCell ref="E443:G443"/>
    <mergeCell ref="E444:G444"/>
    <mergeCell ref="E459:G459"/>
    <mergeCell ref="E445:G445"/>
    <mergeCell ref="E447:N447"/>
    <mergeCell ref="E448:G448"/>
    <mergeCell ref="E450:N450"/>
    <mergeCell ref="E451:G451"/>
    <mergeCell ref="E452:G452"/>
    <mergeCell ref="E469:G469"/>
    <mergeCell ref="E470:G470"/>
    <mergeCell ref="E474:K474"/>
    <mergeCell ref="D472:N472"/>
    <mergeCell ref="E453:G453"/>
    <mergeCell ref="E454:G454"/>
    <mergeCell ref="E455:G455"/>
    <mergeCell ref="E456:G456"/>
    <mergeCell ref="E457:G457"/>
    <mergeCell ref="E458:G458"/>
    <mergeCell ref="E460:G460"/>
    <mergeCell ref="E461:G461"/>
    <mergeCell ref="E462:G462"/>
    <mergeCell ref="E463:G463"/>
    <mergeCell ref="E466:G466"/>
    <mergeCell ref="E468:N468"/>
    <mergeCell ref="L474:M474"/>
    <mergeCell ref="D486:N486"/>
    <mergeCell ref="D492:E492"/>
    <mergeCell ref="F492:N492"/>
    <mergeCell ref="E475:N475"/>
    <mergeCell ref="F489:N489"/>
    <mergeCell ref="E481:G481"/>
    <mergeCell ref="E479:G479"/>
    <mergeCell ref="F491:N491"/>
    <mergeCell ref="E480:G480"/>
    <mergeCell ref="E551:G551"/>
    <mergeCell ref="E552:G552"/>
    <mergeCell ref="D1199:H1199"/>
    <mergeCell ref="I1199:L1199"/>
    <mergeCell ref="M1199:N1199"/>
    <mergeCell ref="E618:G618"/>
    <mergeCell ref="E619:G619"/>
    <mergeCell ref="E631:G631"/>
    <mergeCell ref="E615:G615"/>
    <mergeCell ref="D576:H576"/>
    <mergeCell ref="E1223:G1223"/>
    <mergeCell ref="E1230:G1230"/>
    <mergeCell ref="E1232:G1232"/>
    <mergeCell ref="E1233:G1233"/>
    <mergeCell ref="E1234:G1234"/>
    <mergeCell ref="E1227:G1227"/>
    <mergeCell ref="E1228:G1228"/>
    <mergeCell ref="E1235:G1235"/>
    <mergeCell ref="E1218:G1218"/>
    <mergeCell ref="E1312:G1312"/>
    <mergeCell ref="E1313:G1313"/>
    <mergeCell ref="E1241:G1241"/>
    <mergeCell ref="D1245:H1245"/>
    <mergeCell ref="E1279:G1279"/>
    <mergeCell ref="E1268:G1268"/>
    <mergeCell ref="E1240:G1240"/>
    <mergeCell ref="E1222:G1222"/>
    <mergeCell ref="D1337:H1337"/>
    <mergeCell ref="E1261:G1261"/>
    <mergeCell ref="E1353:G1353"/>
    <mergeCell ref="E1274:G1274"/>
    <mergeCell ref="E1315:G1315"/>
    <mergeCell ref="E1287:G1287"/>
    <mergeCell ref="E1286:G1286"/>
    <mergeCell ref="E1271:G1271"/>
    <mergeCell ref="E1266:G1266"/>
    <mergeCell ref="E1270:G1270"/>
    <mergeCell ref="E1376:G1376"/>
    <mergeCell ref="E1377:G1377"/>
    <mergeCell ref="I1383:L1383"/>
    <mergeCell ref="E1399:G1399"/>
    <mergeCell ref="E1372:G1372"/>
    <mergeCell ref="E1368:G1368"/>
    <mergeCell ref="E1379:G1379"/>
    <mergeCell ref="E1375:G1375"/>
    <mergeCell ref="E1378:G1378"/>
    <mergeCell ref="M1245:N1245"/>
    <mergeCell ref="E1264:G1264"/>
    <mergeCell ref="I1245:L1245"/>
    <mergeCell ref="E1403:G1403"/>
    <mergeCell ref="E1269:G1269"/>
    <mergeCell ref="I1337:L1337"/>
    <mergeCell ref="E1284:G1284"/>
    <mergeCell ref="M1383:N1383"/>
    <mergeCell ref="E1373:G1373"/>
    <mergeCell ref="E1374:G1374"/>
    <mergeCell ref="M1337:N1337"/>
    <mergeCell ref="E1267:G1267"/>
    <mergeCell ref="E1282:G1282"/>
    <mergeCell ref="E1314:G1314"/>
    <mergeCell ref="E1371:G1371"/>
    <mergeCell ref="E1361:G1361"/>
    <mergeCell ref="E1285:G1285"/>
    <mergeCell ref="E1322:G1322"/>
    <mergeCell ref="E1324:G1324"/>
    <mergeCell ref="E1359:G1359"/>
    <mergeCell ref="E549:G549"/>
    <mergeCell ref="D503:E503"/>
    <mergeCell ref="F503:N503"/>
    <mergeCell ref="F495:N495"/>
    <mergeCell ref="F501:N501"/>
    <mergeCell ref="F496:N496"/>
    <mergeCell ref="D507:H507"/>
    <mergeCell ref="I507:N507"/>
    <mergeCell ref="D499:E499"/>
    <mergeCell ref="E548:G548"/>
    <mergeCell ref="I576:N576"/>
    <mergeCell ref="E600:G600"/>
    <mergeCell ref="E602:G602"/>
    <mergeCell ref="E620:G620"/>
    <mergeCell ref="E628:G628"/>
    <mergeCell ref="E608:G608"/>
    <mergeCell ref="E616:G616"/>
    <mergeCell ref="E597:G597"/>
    <mergeCell ref="E599:G599"/>
    <mergeCell ref="E611:G611"/>
    <mergeCell ref="E668:G668"/>
    <mergeCell ref="E669:G669"/>
    <mergeCell ref="E671:G671"/>
    <mergeCell ref="E673:G673"/>
    <mergeCell ref="E674:G674"/>
    <mergeCell ref="E676:G676"/>
    <mergeCell ref="E677:G677"/>
    <mergeCell ref="E679:G679"/>
    <mergeCell ref="E680:G680"/>
    <mergeCell ref="E683:G683"/>
    <mergeCell ref="E685:G685"/>
    <mergeCell ref="E688:G688"/>
    <mergeCell ref="E689:G689"/>
    <mergeCell ref="E691:G691"/>
    <mergeCell ref="E690:G690"/>
    <mergeCell ref="E693:G693"/>
    <mergeCell ref="E696:G696"/>
    <mergeCell ref="E697:G697"/>
    <mergeCell ref="E699:G699"/>
    <mergeCell ref="E700:G700"/>
    <mergeCell ref="E702:M702"/>
    <mergeCell ref="E725:G725"/>
    <mergeCell ref="E732:G732"/>
    <mergeCell ref="E734:G734"/>
    <mergeCell ref="E703:G703"/>
    <mergeCell ref="E705:G705"/>
    <mergeCell ref="E706:G706"/>
    <mergeCell ref="E708:G708"/>
    <mergeCell ref="E759:G759"/>
    <mergeCell ref="E760:G760"/>
    <mergeCell ref="E755:G755"/>
    <mergeCell ref="E779:G779"/>
    <mergeCell ref="D783:H783"/>
    <mergeCell ref="E756:G756"/>
    <mergeCell ref="E765:G765"/>
    <mergeCell ref="E766:G766"/>
    <mergeCell ref="E768:G768"/>
    <mergeCell ref="E769:G769"/>
    <mergeCell ref="E794:G794"/>
    <mergeCell ref="E803:G803"/>
    <mergeCell ref="E808:G808"/>
    <mergeCell ref="E809:G809"/>
    <mergeCell ref="E801:G801"/>
    <mergeCell ref="E804:G804"/>
    <mergeCell ref="E806:G806"/>
    <mergeCell ref="E807:G807"/>
    <mergeCell ref="E824:G824"/>
    <mergeCell ref="E825:G825"/>
    <mergeCell ref="E826:G826"/>
    <mergeCell ref="E827:G827"/>
    <mergeCell ref="E843:G843"/>
    <mergeCell ref="E846:G846"/>
    <mergeCell ref="E828:G828"/>
    <mergeCell ref="E829:G829"/>
    <mergeCell ref="E831:G831"/>
    <mergeCell ref="E840:M840"/>
    <mergeCell ref="E876:G876"/>
    <mergeCell ref="E877:G877"/>
    <mergeCell ref="E878:G878"/>
    <mergeCell ref="E880:G880"/>
    <mergeCell ref="E900:G900"/>
    <mergeCell ref="E881:G881"/>
    <mergeCell ref="E883:G883"/>
    <mergeCell ref="E884:G884"/>
    <mergeCell ref="E886:G886"/>
    <mergeCell ref="E887:G887"/>
    <mergeCell ref="E912:G912"/>
    <mergeCell ref="E913:G913"/>
    <mergeCell ref="E904:G904"/>
    <mergeCell ref="E907:G907"/>
    <mergeCell ref="E915:G915"/>
    <mergeCell ref="E917:G917"/>
    <mergeCell ref="D921:H921"/>
    <mergeCell ref="E932:G932"/>
    <mergeCell ref="E952:G952"/>
    <mergeCell ref="E946:G946"/>
    <mergeCell ref="E947:G947"/>
    <mergeCell ref="E949:G949"/>
    <mergeCell ref="E950:G950"/>
    <mergeCell ref="E944:G944"/>
    <mergeCell ref="E945:G945"/>
    <mergeCell ref="E965:G965"/>
    <mergeCell ref="E966:G966"/>
    <mergeCell ref="E961:G961"/>
    <mergeCell ref="E964:G964"/>
    <mergeCell ref="E967:G967"/>
    <mergeCell ref="E969:G969"/>
    <mergeCell ref="E972:G972"/>
    <mergeCell ref="E973:G973"/>
    <mergeCell ref="E975:G975"/>
    <mergeCell ref="E976:G976"/>
    <mergeCell ref="E979:G979"/>
    <mergeCell ref="E978:M978"/>
    <mergeCell ref="E981:G981"/>
    <mergeCell ref="E982:G982"/>
    <mergeCell ref="E984:G984"/>
    <mergeCell ref="E986:G986"/>
    <mergeCell ref="D990:H990"/>
    <mergeCell ref="E1014:G1014"/>
    <mergeCell ref="E1008:G1008"/>
    <mergeCell ref="E1015:G1015"/>
    <mergeCell ref="E1010:G1010"/>
    <mergeCell ref="E1011:G1011"/>
    <mergeCell ref="E1013:G1013"/>
    <mergeCell ref="E1016:G1016"/>
    <mergeCell ref="E1018:G1018"/>
    <mergeCell ref="E1019:G1019"/>
    <mergeCell ref="E1022:G1022"/>
    <mergeCell ref="E1025:G1025"/>
    <mergeCell ref="E1021:G1021"/>
    <mergeCell ref="E1024:G1024"/>
    <mergeCell ref="E1028:G1028"/>
    <mergeCell ref="E1027:G1027"/>
    <mergeCell ref="E1030:G1030"/>
    <mergeCell ref="E1029:G1029"/>
    <mergeCell ref="E1031:G1031"/>
    <mergeCell ref="E1036:G1036"/>
    <mergeCell ref="E1038:G1038"/>
    <mergeCell ref="E1034:G1034"/>
    <mergeCell ref="E1035:G1035"/>
    <mergeCell ref="E1032:G1032"/>
    <mergeCell ref="E1033:G1033"/>
    <mergeCell ref="E1045:G1045"/>
    <mergeCell ref="E1048:G1048"/>
    <mergeCell ref="E1077:G1077"/>
    <mergeCell ref="E1079:G1079"/>
    <mergeCell ref="E1042:G1042"/>
    <mergeCell ref="E1041:G1041"/>
    <mergeCell ref="D1059:H1059"/>
    <mergeCell ref="E1070:G1070"/>
    <mergeCell ref="E1044:G1044"/>
    <mergeCell ref="E1047:M1047"/>
    <mergeCell ref="E1050:G1050"/>
    <mergeCell ref="E1053:G1053"/>
    <mergeCell ref="E1055:G1055"/>
    <mergeCell ref="I1059:N1059"/>
    <mergeCell ref="E1051:G1051"/>
    <mergeCell ref="E1103:G1103"/>
    <mergeCell ref="E1102:G1102"/>
    <mergeCell ref="E1087:G1087"/>
    <mergeCell ref="E1088:G1088"/>
    <mergeCell ref="E1085:G1085"/>
    <mergeCell ref="E253:G253"/>
    <mergeCell ref="E148:G148"/>
    <mergeCell ref="D238:N238"/>
    <mergeCell ref="D160:N160"/>
    <mergeCell ref="E252:G252"/>
    <mergeCell ref="E154:G154"/>
    <mergeCell ref="E158:G158"/>
    <mergeCell ref="E174:G174"/>
    <mergeCell ref="E246:G246"/>
    <mergeCell ref="E229:G229"/>
    <mergeCell ref="E441:G441"/>
    <mergeCell ref="E442:G442"/>
    <mergeCell ref="D1291:H1291"/>
    <mergeCell ref="I1291:L1291"/>
    <mergeCell ref="M1291:N1291"/>
    <mergeCell ref="E1093:G1093"/>
    <mergeCell ref="E1094:G1094"/>
    <mergeCell ref="E1096:G1096"/>
    <mergeCell ref="E1097:G1097"/>
    <mergeCell ref="E1216:G1216"/>
    <mergeCell ref="E1608:N1608"/>
    <mergeCell ref="E1408:G1408"/>
    <mergeCell ref="E1327:G1327"/>
    <mergeCell ref="E1328:G1328"/>
    <mergeCell ref="E1329:G1329"/>
    <mergeCell ref="E1330:G1330"/>
    <mergeCell ref="E1331:G1331"/>
    <mergeCell ref="E1332:G1332"/>
    <mergeCell ref="E1405:G1405"/>
    <mergeCell ref="E1406:G1406"/>
    <mergeCell ref="F1543:N1543"/>
    <mergeCell ref="D1634:H1634"/>
    <mergeCell ref="D1635:H1635"/>
    <mergeCell ref="D1630:H1630"/>
    <mergeCell ref="D1595:H1595"/>
    <mergeCell ref="D1596:H1596"/>
    <mergeCell ref="D1597:H1597"/>
    <mergeCell ref="D1627:H1627"/>
    <mergeCell ref="D1628:H1628"/>
    <mergeCell ref="D1623:H1623"/>
    <mergeCell ref="E1333:G1333"/>
    <mergeCell ref="D1633:H1633"/>
    <mergeCell ref="E1568:N1568"/>
    <mergeCell ref="D1581:H1581"/>
    <mergeCell ref="D1578:H1578"/>
    <mergeCell ref="D1499:H1499"/>
    <mergeCell ref="I1499:L1499"/>
    <mergeCell ref="M1519:N1519"/>
    <mergeCell ref="E1535:G1535"/>
    <mergeCell ref="E1562:N1562"/>
    <mergeCell ref="E1360:G1360"/>
    <mergeCell ref="E1617:N1617"/>
    <mergeCell ref="D1625:H1625"/>
    <mergeCell ref="D1626:H1626"/>
    <mergeCell ref="E564:M564"/>
    <mergeCell ref="E567:G567"/>
    <mergeCell ref="D1592:H1592"/>
    <mergeCell ref="E1468:G1468"/>
    <mergeCell ref="E1472:G1472"/>
    <mergeCell ref="E1474:G1474"/>
    <mergeCell ref="E1404:G1404"/>
    <mergeCell ref="D1479:H1479"/>
    <mergeCell ref="I1479:L1479"/>
    <mergeCell ref="E1262:G1262"/>
    <mergeCell ref="E1308:G1308"/>
    <mergeCell ref="E1354:G1354"/>
    <mergeCell ref="E1465:G1465"/>
    <mergeCell ref="D1447:H1447"/>
    <mergeCell ref="E1410:G1410"/>
    <mergeCell ref="D1383:H1383"/>
    <mergeCell ref="E96:G96"/>
    <mergeCell ref="E1475:G1475"/>
    <mergeCell ref="E570:G570"/>
    <mergeCell ref="E572:G572"/>
    <mergeCell ref="I1447:L1447"/>
    <mergeCell ref="M1447:N1447"/>
    <mergeCell ref="E1463:G1463"/>
    <mergeCell ref="E1370:G1370"/>
    <mergeCell ref="E1402:G1402"/>
    <mergeCell ref="E1401:G1401"/>
  </mergeCells>
  <phoneticPr fontId="34" type="noConversion"/>
  <conditionalFormatting sqref="E48">
    <cfRule type="cellIs" dxfId="190" priority="539" stopIfTrue="1" operator="equal">
      <formula>EUconst_ERR_Mandatory_ef</formula>
    </cfRule>
  </conditionalFormatting>
  <conditionalFormatting sqref="E49">
    <cfRule type="cellIs" dxfId="189" priority="540" stopIfTrue="1" operator="equal">
      <formula>EUconst_ERR_Mandatory_g</formula>
    </cfRule>
  </conditionalFormatting>
  <conditionalFormatting sqref="I115:M135 I138:M158">
    <cfRule type="expression" dxfId="188" priority="530" stopIfTrue="1">
      <formula>I115=EUconst_NA</formula>
    </cfRule>
  </conditionalFormatting>
  <conditionalFormatting sqref="I1409:M1410 I518:M518 I525:M563 I565:M566 I250:M266">
    <cfRule type="expression" dxfId="187" priority="524" stopIfTrue="1">
      <formula>I250=0</formula>
    </cfRule>
  </conditionalFormatting>
  <conditionalFormatting sqref="I558:M558">
    <cfRule type="expression" dxfId="186" priority="511" stopIfTrue="1">
      <formula>I558=0</formula>
    </cfRule>
  </conditionalFormatting>
  <conditionalFormatting sqref="I559:M559 I561:M563">
    <cfRule type="expression" dxfId="185" priority="510" stopIfTrue="1">
      <formula>I559=0</formula>
    </cfRule>
  </conditionalFormatting>
  <conditionalFormatting sqref="I525:M525">
    <cfRule type="expression" dxfId="184" priority="507" stopIfTrue="1">
      <formula>I525=EUconst_NA</formula>
    </cfRule>
  </conditionalFormatting>
  <conditionalFormatting sqref="I1229:M1230">
    <cfRule type="expression" dxfId="183" priority="502" stopIfTrue="1">
      <formula>I1229=0</formula>
    </cfRule>
  </conditionalFormatting>
  <conditionalFormatting sqref="I1220:M1221">
    <cfRule type="expression" dxfId="182" priority="501" stopIfTrue="1">
      <formula>I1220=0</formula>
    </cfRule>
  </conditionalFormatting>
  <conditionalFormatting sqref="I1218:M1218">
    <cfRule type="expression" dxfId="181" priority="499" stopIfTrue="1">
      <formula>I1218=EUconst_NA</formula>
    </cfRule>
    <cfRule type="expression" dxfId="180" priority="500" stopIfTrue="1">
      <formula>I1218=0</formula>
    </cfRule>
  </conditionalFormatting>
  <conditionalFormatting sqref="I1231:M1241">
    <cfRule type="expression" dxfId="179" priority="498" stopIfTrue="1">
      <formula>I1231=0</formula>
    </cfRule>
  </conditionalFormatting>
  <conditionalFormatting sqref="I1222:M1223">
    <cfRule type="expression" dxfId="178" priority="497" stopIfTrue="1">
      <formula>I1222=0</formula>
    </cfRule>
  </conditionalFormatting>
  <conditionalFormatting sqref="I1275:M1276">
    <cfRule type="expression" dxfId="177" priority="496" stopIfTrue="1">
      <formula>I1275=0</formula>
    </cfRule>
  </conditionalFormatting>
  <conditionalFormatting sqref="I1266:M1267">
    <cfRule type="expression" dxfId="176" priority="495" stopIfTrue="1">
      <formula>I1266=0</formula>
    </cfRule>
  </conditionalFormatting>
  <conditionalFormatting sqref="I1264:M1264">
    <cfRule type="expression" dxfId="175" priority="493" stopIfTrue="1">
      <formula>I1264=EUconst_NA</formula>
    </cfRule>
    <cfRule type="expression" dxfId="174" priority="494" stopIfTrue="1">
      <formula>I1264=0</formula>
    </cfRule>
  </conditionalFormatting>
  <conditionalFormatting sqref="I1277:M1287">
    <cfRule type="expression" dxfId="173" priority="492" stopIfTrue="1">
      <formula>I1277=0</formula>
    </cfRule>
  </conditionalFormatting>
  <conditionalFormatting sqref="I1268:M1269">
    <cfRule type="expression" dxfId="172" priority="491" stopIfTrue="1">
      <formula>I1268=0</formula>
    </cfRule>
  </conditionalFormatting>
  <conditionalFormatting sqref="I1367:M1368">
    <cfRule type="expression" dxfId="171" priority="490" stopIfTrue="1">
      <formula>I1367=0</formula>
    </cfRule>
  </conditionalFormatting>
  <conditionalFormatting sqref="I1358:M1359">
    <cfRule type="expression" dxfId="170" priority="489" stopIfTrue="1">
      <formula>I1358=0</formula>
    </cfRule>
  </conditionalFormatting>
  <conditionalFormatting sqref="I1356:M1356">
    <cfRule type="expression" dxfId="169" priority="487" stopIfTrue="1">
      <formula>I1356=EUconst_NA</formula>
    </cfRule>
    <cfRule type="expression" dxfId="168" priority="488" stopIfTrue="1">
      <formula>I1356=0</formula>
    </cfRule>
  </conditionalFormatting>
  <conditionalFormatting sqref="I1369:M1379">
    <cfRule type="expression" dxfId="167" priority="486" stopIfTrue="1">
      <formula>I1369=0</formula>
    </cfRule>
  </conditionalFormatting>
  <conditionalFormatting sqref="I1360:M1361">
    <cfRule type="expression" dxfId="166" priority="485" stopIfTrue="1">
      <formula>I1360=0</formula>
    </cfRule>
  </conditionalFormatting>
  <conditionalFormatting sqref="I1407:M1408">
    <cfRule type="expression" dxfId="165" priority="484" stopIfTrue="1">
      <formula>I1407=0</formula>
    </cfRule>
  </conditionalFormatting>
  <conditionalFormatting sqref="I1401:M1402">
    <cfRule type="expression" dxfId="164" priority="483" stopIfTrue="1">
      <formula>I1401=0</formula>
    </cfRule>
  </conditionalFormatting>
  <conditionalFormatting sqref="I1399:M1399">
    <cfRule type="expression" dxfId="163" priority="481" stopIfTrue="1">
      <formula>I1399=EUconst_NA</formula>
    </cfRule>
    <cfRule type="expression" dxfId="162" priority="482" stopIfTrue="1">
      <formula>I1399=0</formula>
    </cfRule>
  </conditionalFormatting>
  <conditionalFormatting sqref="I1403:M1404">
    <cfRule type="expression" dxfId="161" priority="479" stopIfTrue="1">
      <formula>I1403=0</formula>
    </cfRule>
  </conditionalFormatting>
  <conditionalFormatting sqref="I1441:M1442">
    <cfRule type="expression" dxfId="160" priority="478" stopIfTrue="1">
      <formula>I1441=0</formula>
    </cfRule>
  </conditionalFormatting>
  <conditionalFormatting sqref="I1439:M1440">
    <cfRule type="expression" dxfId="159" priority="477" stopIfTrue="1">
      <formula>I1439=0</formula>
    </cfRule>
  </conditionalFormatting>
  <conditionalFormatting sqref="I1433:M1434">
    <cfRule type="expression" dxfId="158" priority="476" stopIfTrue="1">
      <formula>I1433=0</formula>
    </cfRule>
  </conditionalFormatting>
  <conditionalFormatting sqref="I1431:M1431">
    <cfRule type="expression" dxfId="157" priority="474" stopIfTrue="1">
      <formula>I1431=EUconst_NA</formula>
    </cfRule>
    <cfRule type="expression" dxfId="156" priority="475" stopIfTrue="1">
      <formula>I1431=0</formula>
    </cfRule>
  </conditionalFormatting>
  <conditionalFormatting sqref="I1435:M1436">
    <cfRule type="expression" dxfId="155" priority="473" stopIfTrue="1">
      <formula>I1435=0</formula>
    </cfRule>
  </conditionalFormatting>
  <conditionalFormatting sqref="I1495:M1495">
    <cfRule type="expression" dxfId="154" priority="468" stopIfTrue="1">
      <formula>I1495=EUconst_NA</formula>
    </cfRule>
    <cfRule type="expression" dxfId="153" priority="469" stopIfTrue="1">
      <formula>I1495=0</formula>
    </cfRule>
  </conditionalFormatting>
  <conditionalFormatting sqref="I1515:M1515">
    <cfRule type="expression" dxfId="152" priority="465" stopIfTrue="1">
      <formula>I1515=EUconst_NA</formula>
    </cfRule>
    <cfRule type="expression" dxfId="151" priority="466" stopIfTrue="1">
      <formula>I1515=0</formula>
    </cfRule>
  </conditionalFormatting>
  <conditionalFormatting sqref="I1613:M1613">
    <cfRule type="expression" dxfId="150" priority="464" stopIfTrue="1">
      <formula>NOT(ISBLANK(I1613))</formula>
    </cfRule>
  </conditionalFormatting>
  <conditionalFormatting sqref="I1215:M1215">
    <cfRule type="expression" dxfId="149" priority="463" stopIfTrue="1">
      <formula>I1215=0</formula>
    </cfRule>
  </conditionalFormatting>
  <conditionalFormatting sqref="I1217:M1217">
    <cfRule type="expression" dxfId="148" priority="462" stopIfTrue="1">
      <formula>I1217=0</formula>
    </cfRule>
  </conditionalFormatting>
  <conditionalFormatting sqref="I1263:M1263">
    <cfRule type="expression" dxfId="147" priority="460" stopIfTrue="1">
      <formula>I1263=0</formula>
    </cfRule>
  </conditionalFormatting>
  <conditionalFormatting sqref="I1355:M1355">
    <cfRule type="expression" dxfId="146" priority="458" stopIfTrue="1">
      <formula>I1355=0</formula>
    </cfRule>
  </conditionalFormatting>
  <conditionalFormatting sqref="I518:M518">
    <cfRule type="expression" dxfId="145" priority="411" stopIfTrue="1">
      <formula>I518=0</formula>
    </cfRule>
  </conditionalFormatting>
  <conditionalFormatting sqref="I1411:M1411">
    <cfRule type="expression" dxfId="144" priority="401" stopIfTrue="1">
      <formula>I1411=0</formula>
    </cfRule>
  </conditionalFormatting>
  <conditionalFormatting sqref="I1443:M1443">
    <cfRule type="expression" dxfId="143" priority="400" stopIfTrue="1">
      <formula>I1443=0</formula>
    </cfRule>
  </conditionalFormatting>
  <conditionalFormatting sqref="I1307:M1307">
    <cfRule type="expression" dxfId="142" priority="318" stopIfTrue="1">
      <formula>I1307=0</formula>
    </cfRule>
  </conditionalFormatting>
  <conditionalFormatting sqref="I1309:M1309">
    <cfRule type="expression" dxfId="141" priority="337" stopIfTrue="1">
      <formula>I1309=0</formula>
    </cfRule>
  </conditionalFormatting>
  <conditionalFormatting sqref="I1473:M1474">
    <cfRule type="expression" dxfId="140" priority="336" stopIfTrue="1">
      <formula>I1473=0</formula>
    </cfRule>
  </conditionalFormatting>
  <conditionalFormatting sqref="I1321:M1322">
    <cfRule type="expression" dxfId="139" priority="344" stopIfTrue="1">
      <formula>I1321=0</formula>
    </cfRule>
  </conditionalFormatting>
  <conditionalFormatting sqref="I1312:M1313">
    <cfRule type="expression" dxfId="138" priority="343" stopIfTrue="1">
      <formula>I1312=0</formula>
    </cfRule>
  </conditionalFormatting>
  <conditionalFormatting sqref="I627:M627">
    <cfRule type="expression" dxfId="137" priority="132" stopIfTrue="1">
      <formula>I627=0</formula>
    </cfRule>
  </conditionalFormatting>
  <conditionalFormatting sqref="I1467:M1468">
    <cfRule type="expression" dxfId="136" priority="331" stopIfTrue="1">
      <formula>I1467=0</formula>
    </cfRule>
  </conditionalFormatting>
  <conditionalFormatting sqref="I1323:M1333">
    <cfRule type="expression" dxfId="135" priority="340" stopIfTrue="1">
      <formula>I1323=0</formula>
    </cfRule>
  </conditionalFormatting>
  <conditionalFormatting sqref="I639:M639">
    <cfRule type="expression" dxfId="134" priority="128" stopIfTrue="1">
      <formula>I639=0</formula>
    </cfRule>
  </conditionalFormatting>
  <conditionalFormatting sqref="I570:M570">
    <cfRule type="expression" dxfId="133" priority="327" stopIfTrue="1">
      <formula>I570=0</formula>
    </cfRule>
  </conditionalFormatting>
  <conditionalFormatting sqref="I572:M572">
    <cfRule type="expression" dxfId="132" priority="326" stopIfTrue="1">
      <formula>I572=0</formula>
    </cfRule>
  </conditionalFormatting>
  <conditionalFormatting sqref="I1471:M1472">
    <cfRule type="expression" dxfId="131" priority="335" stopIfTrue="1">
      <formula>I1471=0</formula>
    </cfRule>
  </conditionalFormatting>
  <conditionalFormatting sqref="I1465:M1466">
    <cfRule type="expression" dxfId="130" priority="334" stopIfTrue="1">
      <formula>I1465=0</formula>
    </cfRule>
  </conditionalFormatting>
  <conditionalFormatting sqref="I628:M628 I630:M632">
    <cfRule type="expression" dxfId="129" priority="131" stopIfTrue="1">
      <formula>I628=0</formula>
    </cfRule>
  </conditionalFormatting>
  <conditionalFormatting sqref="I1475:M1475">
    <cfRule type="expression" dxfId="128" priority="330" stopIfTrue="1">
      <formula>I1475=0</formula>
    </cfRule>
  </conditionalFormatting>
  <conditionalFormatting sqref="I1314:M1315">
    <cfRule type="expression" dxfId="127" priority="339" stopIfTrue="1">
      <formula>I1314=0</formula>
    </cfRule>
  </conditionalFormatting>
  <conditionalFormatting sqref="I1353:M1353">
    <cfRule type="expression" dxfId="126" priority="316" stopIfTrue="1">
      <formula>I1353=0</formula>
    </cfRule>
  </conditionalFormatting>
  <conditionalFormatting sqref="I571:M571">
    <cfRule type="expression" dxfId="125" priority="325" stopIfTrue="1">
      <formula>I571=0</formula>
    </cfRule>
  </conditionalFormatting>
  <conditionalFormatting sqref="I567:M567 I569:M569">
    <cfRule type="expression" dxfId="124" priority="324" stopIfTrue="1">
      <formula>I567=0</formula>
    </cfRule>
  </conditionalFormatting>
  <conditionalFormatting sqref="I1216:M1216">
    <cfRule type="expression" dxfId="123" priority="323" stopIfTrue="1">
      <formula>I1216=0</formula>
    </cfRule>
  </conditionalFormatting>
  <conditionalFormatting sqref="I1261:M1261">
    <cfRule type="expression" dxfId="122" priority="320" stopIfTrue="1">
      <formula>I1261=0</formula>
    </cfRule>
  </conditionalFormatting>
  <conditionalFormatting sqref="I1262:M1262">
    <cfRule type="expression" dxfId="121" priority="319" stopIfTrue="1">
      <formula>I1262=0</formula>
    </cfRule>
  </conditionalFormatting>
  <conditionalFormatting sqref="I1308:M1308">
    <cfRule type="expression" dxfId="120" priority="317" stopIfTrue="1">
      <formula>I1308=0</formula>
    </cfRule>
  </conditionalFormatting>
  <conditionalFormatting sqref="I640:M640">
    <cfRule type="expression" dxfId="119" priority="126" stopIfTrue="1">
      <formula>I640=0</formula>
    </cfRule>
  </conditionalFormatting>
  <conditionalFormatting sqref="I568:M568">
    <cfRule type="expression" dxfId="118" priority="314" stopIfTrue="1">
      <formula>I568=0</formula>
    </cfRule>
  </conditionalFormatting>
  <conditionalFormatting sqref="I594:M632 I634:M635">
    <cfRule type="expression" dxfId="117" priority="133" stopIfTrue="1">
      <formula>I594=0</formula>
    </cfRule>
  </conditionalFormatting>
  <conditionalFormatting sqref="I641:M641">
    <cfRule type="expression" dxfId="116" priority="127" stopIfTrue="1">
      <formula>I641=0</formula>
    </cfRule>
  </conditionalFormatting>
  <conditionalFormatting sqref="I1354:M1354">
    <cfRule type="expression" dxfId="115" priority="315" stopIfTrue="1">
      <formula>I1354=0</formula>
    </cfRule>
  </conditionalFormatting>
  <conditionalFormatting sqref="I637:M637">
    <cfRule type="expression" dxfId="114" priority="124" stopIfTrue="1">
      <formula>I637=0</formula>
    </cfRule>
  </conditionalFormatting>
  <conditionalFormatting sqref="I636:M636 I638:M638">
    <cfRule type="expression" dxfId="113" priority="125" stopIfTrue="1">
      <formula>I636=0</formula>
    </cfRule>
  </conditionalFormatting>
  <conditionalFormatting sqref="I1310:M1310">
    <cfRule type="expression" dxfId="112" priority="341" stopIfTrue="1">
      <formula>I1310=EUconst_NA</formula>
    </cfRule>
    <cfRule type="expression" dxfId="111" priority="342" stopIfTrue="1">
      <formula>I1310=0</formula>
    </cfRule>
  </conditionalFormatting>
  <conditionalFormatting sqref="I1463:M1463">
    <cfRule type="expression" dxfId="110" priority="332" stopIfTrue="1">
      <formula>I1463=EUconst_NA</formula>
    </cfRule>
    <cfRule type="expression" dxfId="109" priority="333" stopIfTrue="1">
      <formula>I1463=0</formula>
    </cfRule>
  </conditionalFormatting>
  <conditionalFormatting sqref="I1535:M1535">
    <cfRule type="expression" dxfId="108" priority="328" stopIfTrue="1">
      <formula>I1535=EUconst_NA</formula>
    </cfRule>
    <cfRule type="expression" dxfId="107" priority="329" stopIfTrue="1">
      <formula>I1535=0</formula>
    </cfRule>
  </conditionalFormatting>
  <conditionalFormatting sqref="I594:M594">
    <cfRule type="expression" dxfId="106" priority="130" stopIfTrue="1">
      <formula>I594=EUconst_NA</formula>
    </cfRule>
  </conditionalFormatting>
  <conditionalFormatting sqref="I663:M701 I703:M704">
    <cfRule type="expression" dxfId="105" priority="123" stopIfTrue="1">
      <formula>I663=0</formula>
    </cfRule>
  </conditionalFormatting>
  <conditionalFormatting sqref="I696:M696">
    <cfRule type="expression" dxfId="104" priority="122" stopIfTrue="1">
      <formula>I696=0</formula>
    </cfRule>
  </conditionalFormatting>
  <conditionalFormatting sqref="I697:M697 I699:M701">
    <cfRule type="expression" dxfId="103" priority="121" stopIfTrue="1">
      <formula>I697=0</formula>
    </cfRule>
  </conditionalFormatting>
  <conditionalFormatting sqref="I663:M663">
    <cfRule type="expression" dxfId="102" priority="120" stopIfTrue="1">
      <formula>I663=EUconst_NA</formula>
    </cfRule>
  </conditionalFormatting>
  <conditionalFormatting sqref="I708:M708">
    <cfRule type="expression" dxfId="101" priority="118" stopIfTrue="1">
      <formula>I708=0</formula>
    </cfRule>
  </conditionalFormatting>
  <conditionalFormatting sqref="I710:M710">
    <cfRule type="expression" dxfId="100" priority="117" stopIfTrue="1">
      <formula>I710=0</formula>
    </cfRule>
  </conditionalFormatting>
  <conditionalFormatting sqref="I709:M709">
    <cfRule type="expression" dxfId="99" priority="116" stopIfTrue="1">
      <formula>I709=0</formula>
    </cfRule>
  </conditionalFormatting>
  <conditionalFormatting sqref="I705:M705 I707:M707">
    <cfRule type="expression" dxfId="98" priority="115" stopIfTrue="1">
      <formula>I705=0</formula>
    </cfRule>
  </conditionalFormatting>
  <conditionalFormatting sqref="I706:M706">
    <cfRule type="expression" dxfId="97" priority="114" stopIfTrue="1">
      <formula>I706=0</formula>
    </cfRule>
  </conditionalFormatting>
  <conditionalFormatting sqref="I732:M770 I772:M773">
    <cfRule type="expression" dxfId="96" priority="113" stopIfTrue="1">
      <formula>I732=0</formula>
    </cfRule>
  </conditionalFormatting>
  <conditionalFormatting sqref="I765:M765">
    <cfRule type="expression" dxfId="95" priority="112" stopIfTrue="1">
      <formula>I765=0</formula>
    </cfRule>
  </conditionalFormatting>
  <conditionalFormatting sqref="I766:M766 I768:M770">
    <cfRule type="expression" dxfId="94" priority="111" stopIfTrue="1">
      <formula>I766=0</formula>
    </cfRule>
  </conditionalFormatting>
  <conditionalFormatting sqref="I732:M732">
    <cfRule type="expression" dxfId="93" priority="110" stopIfTrue="1">
      <formula>I732=EUconst_NA</formula>
    </cfRule>
  </conditionalFormatting>
  <conditionalFormatting sqref="I777:M777">
    <cfRule type="expression" dxfId="92" priority="108" stopIfTrue="1">
      <formula>I777=0</formula>
    </cfRule>
  </conditionalFormatting>
  <conditionalFormatting sqref="I779:M779">
    <cfRule type="expression" dxfId="91" priority="107" stopIfTrue="1">
      <formula>I779=0</formula>
    </cfRule>
  </conditionalFormatting>
  <conditionalFormatting sqref="I778:M778">
    <cfRule type="expression" dxfId="90" priority="106" stopIfTrue="1">
      <formula>I778=0</formula>
    </cfRule>
  </conditionalFormatting>
  <conditionalFormatting sqref="I774:M774 I776:M776">
    <cfRule type="expression" dxfId="89" priority="105" stopIfTrue="1">
      <formula>I774=0</formula>
    </cfRule>
  </conditionalFormatting>
  <conditionalFormatting sqref="I775:M775">
    <cfRule type="expression" dxfId="88" priority="104" stopIfTrue="1">
      <formula>I775=0</formula>
    </cfRule>
  </conditionalFormatting>
  <conditionalFormatting sqref="I801:M839 I841:M842">
    <cfRule type="expression" dxfId="87" priority="103" stopIfTrue="1">
      <formula>I801=0</formula>
    </cfRule>
  </conditionalFormatting>
  <conditionalFormatting sqref="I834:M834">
    <cfRule type="expression" dxfId="86" priority="102" stopIfTrue="1">
      <formula>I834=0</formula>
    </cfRule>
  </conditionalFormatting>
  <conditionalFormatting sqref="I835:M835 I837:M839">
    <cfRule type="expression" dxfId="85" priority="101" stopIfTrue="1">
      <formula>I835=0</formula>
    </cfRule>
  </conditionalFormatting>
  <conditionalFormatting sqref="I801:M801">
    <cfRule type="expression" dxfId="84" priority="100" stopIfTrue="1">
      <formula>I801=EUconst_NA</formula>
    </cfRule>
  </conditionalFormatting>
  <conditionalFormatting sqref="I846:M846">
    <cfRule type="expression" dxfId="83" priority="98" stopIfTrue="1">
      <formula>I846=0</formula>
    </cfRule>
  </conditionalFormatting>
  <conditionalFormatting sqref="I848:M848">
    <cfRule type="expression" dxfId="82" priority="97" stopIfTrue="1">
      <formula>I848=0</formula>
    </cfRule>
  </conditionalFormatting>
  <conditionalFormatting sqref="I847:M847">
    <cfRule type="expression" dxfId="81" priority="96" stopIfTrue="1">
      <formula>I847=0</formula>
    </cfRule>
  </conditionalFormatting>
  <conditionalFormatting sqref="I843:M843 I845:M845">
    <cfRule type="expression" dxfId="80" priority="95" stopIfTrue="1">
      <formula>I843=0</formula>
    </cfRule>
  </conditionalFormatting>
  <conditionalFormatting sqref="I844:M844">
    <cfRule type="expression" dxfId="79" priority="94" stopIfTrue="1">
      <formula>I844=0</formula>
    </cfRule>
  </conditionalFormatting>
  <conditionalFormatting sqref="I870:M908 I910:M911">
    <cfRule type="expression" dxfId="78" priority="93" stopIfTrue="1">
      <formula>I870=0</formula>
    </cfRule>
  </conditionalFormatting>
  <conditionalFormatting sqref="I903:M903">
    <cfRule type="expression" dxfId="77" priority="92" stopIfTrue="1">
      <formula>I903=0</formula>
    </cfRule>
  </conditionalFormatting>
  <conditionalFormatting sqref="I904:M904 I906:M908">
    <cfRule type="expression" dxfId="76" priority="91" stopIfTrue="1">
      <formula>I904=0</formula>
    </cfRule>
  </conditionalFormatting>
  <conditionalFormatting sqref="I870:M870">
    <cfRule type="expression" dxfId="75" priority="90" stopIfTrue="1">
      <formula>I870=EUconst_NA</formula>
    </cfRule>
  </conditionalFormatting>
  <conditionalFormatting sqref="I915:M915">
    <cfRule type="expression" dxfId="74" priority="88" stopIfTrue="1">
      <formula>I915=0</formula>
    </cfRule>
  </conditionalFormatting>
  <conditionalFormatting sqref="I917:M917">
    <cfRule type="expression" dxfId="73" priority="87" stopIfTrue="1">
      <formula>I917=0</formula>
    </cfRule>
  </conditionalFormatting>
  <conditionalFormatting sqref="I916:M916">
    <cfRule type="expression" dxfId="72" priority="86" stopIfTrue="1">
      <formula>I916=0</formula>
    </cfRule>
  </conditionalFormatting>
  <conditionalFormatting sqref="I912:M912 I914:M914">
    <cfRule type="expression" dxfId="71" priority="85" stopIfTrue="1">
      <formula>I912=0</formula>
    </cfRule>
  </conditionalFormatting>
  <conditionalFormatting sqref="I913:M913">
    <cfRule type="expression" dxfId="70" priority="84" stopIfTrue="1">
      <formula>I913=0</formula>
    </cfRule>
  </conditionalFormatting>
  <conditionalFormatting sqref="I939:M977 I979:M980">
    <cfRule type="expression" dxfId="69" priority="83" stopIfTrue="1">
      <formula>I939=0</formula>
    </cfRule>
  </conditionalFormatting>
  <conditionalFormatting sqref="I972:M972">
    <cfRule type="expression" dxfId="68" priority="82" stopIfTrue="1">
      <formula>I972=0</formula>
    </cfRule>
  </conditionalFormatting>
  <conditionalFormatting sqref="I973:M973 I975:M977">
    <cfRule type="expression" dxfId="67" priority="81" stopIfTrue="1">
      <formula>I973=0</formula>
    </cfRule>
  </conditionalFormatting>
  <conditionalFormatting sqref="I939:M939">
    <cfRule type="expression" dxfId="66" priority="80" stopIfTrue="1">
      <formula>I939=EUconst_NA</formula>
    </cfRule>
  </conditionalFormatting>
  <conditionalFormatting sqref="I984:M984">
    <cfRule type="expression" dxfId="65" priority="78" stopIfTrue="1">
      <formula>I984=0</formula>
    </cfRule>
  </conditionalFormatting>
  <conditionalFormatting sqref="I986:M986">
    <cfRule type="expression" dxfId="64" priority="77" stopIfTrue="1">
      <formula>I986=0</formula>
    </cfRule>
  </conditionalFormatting>
  <conditionalFormatting sqref="I985:M985">
    <cfRule type="expression" dxfId="63" priority="76" stopIfTrue="1">
      <formula>I985=0</formula>
    </cfRule>
  </conditionalFormatting>
  <conditionalFormatting sqref="I981:M981 I983:M983">
    <cfRule type="expression" dxfId="62" priority="75" stopIfTrue="1">
      <formula>I981=0</formula>
    </cfRule>
  </conditionalFormatting>
  <conditionalFormatting sqref="I982:M982">
    <cfRule type="expression" dxfId="61" priority="74" stopIfTrue="1">
      <formula>I982=0</formula>
    </cfRule>
  </conditionalFormatting>
  <conditionalFormatting sqref="I1008:M1046 I1048:M1049">
    <cfRule type="expression" dxfId="60" priority="73" stopIfTrue="1">
      <formula>I1008=0</formula>
    </cfRule>
  </conditionalFormatting>
  <conditionalFormatting sqref="I1041:M1041">
    <cfRule type="expression" dxfId="59" priority="72" stopIfTrue="1">
      <formula>I1041=0</formula>
    </cfRule>
  </conditionalFormatting>
  <conditionalFormatting sqref="I1042:M1042 I1044:M1046">
    <cfRule type="expression" dxfId="58" priority="71" stopIfTrue="1">
      <formula>I1042=0</formula>
    </cfRule>
  </conditionalFormatting>
  <conditionalFormatting sqref="I1008:M1008">
    <cfRule type="expression" dxfId="57" priority="70" stopIfTrue="1">
      <formula>I1008=EUconst_NA</formula>
    </cfRule>
  </conditionalFormatting>
  <conditionalFormatting sqref="I1053:M1053">
    <cfRule type="expression" dxfId="56" priority="68" stopIfTrue="1">
      <formula>I1053=0</formula>
    </cfRule>
  </conditionalFormatting>
  <conditionalFormatting sqref="I1055:M1055">
    <cfRule type="expression" dxfId="55" priority="67" stopIfTrue="1">
      <formula>I1055=0</formula>
    </cfRule>
  </conditionalFormatting>
  <conditionalFormatting sqref="I1054:M1054">
    <cfRule type="expression" dxfId="54" priority="66" stopIfTrue="1">
      <formula>I1054=0</formula>
    </cfRule>
  </conditionalFormatting>
  <conditionalFormatting sqref="I1050:M1050 I1052:M1052">
    <cfRule type="expression" dxfId="53" priority="65" stopIfTrue="1">
      <formula>I1050=0</formula>
    </cfRule>
  </conditionalFormatting>
  <conditionalFormatting sqref="I1051:M1051">
    <cfRule type="expression" dxfId="52" priority="64" stopIfTrue="1">
      <formula>I1051=0</formula>
    </cfRule>
  </conditionalFormatting>
  <conditionalFormatting sqref="I1077:M1115 I1117:M1118">
    <cfRule type="expression" dxfId="51" priority="63" stopIfTrue="1">
      <formula>I1077=0</formula>
    </cfRule>
  </conditionalFormatting>
  <conditionalFormatting sqref="I1110:M1110">
    <cfRule type="expression" dxfId="50" priority="62" stopIfTrue="1">
      <formula>I1110=0</formula>
    </cfRule>
  </conditionalFormatting>
  <conditionalFormatting sqref="I1111:M1111 I1113:M1115">
    <cfRule type="expression" dxfId="49" priority="61" stopIfTrue="1">
      <formula>I1111=0</formula>
    </cfRule>
  </conditionalFormatting>
  <conditionalFormatting sqref="I1077:M1077">
    <cfRule type="expression" dxfId="48" priority="60" stopIfTrue="1">
      <formula>I1077=EUconst_NA</formula>
    </cfRule>
  </conditionalFormatting>
  <conditionalFormatting sqref="I1122:M1122">
    <cfRule type="expression" dxfId="47" priority="58" stopIfTrue="1">
      <formula>I1122=0</formula>
    </cfRule>
  </conditionalFormatting>
  <conditionalFormatting sqref="I1124:M1124">
    <cfRule type="expression" dxfId="46" priority="57" stopIfTrue="1">
      <formula>I1124=0</formula>
    </cfRule>
  </conditionalFormatting>
  <conditionalFormatting sqref="I1123:M1123">
    <cfRule type="expression" dxfId="45" priority="56" stopIfTrue="1">
      <formula>I1123=0</formula>
    </cfRule>
  </conditionalFormatting>
  <conditionalFormatting sqref="I1119:M1119 I1121:M1121">
    <cfRule type="expression" dxfId="44" priority="55" stopIfTrue="1">
      <formula>I1119=0</formula>
    </cfRule>
  </conditionalFormatting>
  <conditionalFormatting sqref="I1120:M1120">
    <cfRule type="expression" dxfId="43" priority="54" stopIfTrue="1">
      <formula>I1120=0</formula>
    </cfRule>
  </conditionalFormatting>
  <conditionalFormatting sqref="I1189:M1189">
    <cfRule type="expression" dxfId="42" priority="44" stopIfTrue="1">
      <formula>I1189=0</formula>
    </cfRule>
  </conditionalFormatting>
  <conditionalFormatting sqref="I1146:M1184 I1186:M1187">
    <cfRule type="expression" dxfId="41" priority="53" stopIfTrue="1">
      <formula>I1146=0</formula>
    </cfRule>
  </conditionalFormatting>
  <conditionalFormatting sqref="I1179:M1179">
    <cfRule type="expression" dxfId="40" priority="52" stopIfTrue="1">
      <formula>I1179=0</formula>
    </cfRule>
  </conditionalFormatting>
  <conditionalFormatting sqref="I1180:M1180 I1182:M1184">
    <cfRule type="expression" dxfId="39" priority="51" stopIfTrue="1">
      <formula>I1180=0</formula>
    </cfRule>
  </conditionalFormatting>
  <conditionalFormatting sqref="I1146:M1146">
    <cfRule type="expression" dxfId="38" priority="50" stopIfTrue="1">
      <formula>I1146=EUconst_NA</formula>
    </cfRule>
  </conditionalFormatting>
  <conditionalFormatting sqref="I1191:M1191">
    <cfRule type="expression" dxfId="37" priority="48" stopIfTrue="1">
      <formula>I1191=0</formula>
    </cfRule>
  </conditionalFormatting>
  <conditionalFormatting sqref="I1193:M1193">
    <cfRule type="expression" dxfId="36" priority="47" stopIfTrue="1">
      <formula>I1193=0</formula>
    </cfRule>
  </conditionalFormatting>
  <conditionalFormatting sqref="I1192:M1192">
    <cfRule type="expression" dxfId="35" priority="46" stopIfTrue="1">
      <formula>I1192=0</formula>
    </cfRule>
  </conditionalFormatting>
  <conditionalFormatting sqref="I1188:M1188 I1190:M1190">
    <cfRule type="expression" dxfId="34" priority="45" stopIfTrue="1">
      <formula>I1188=0</formula>
    </cfRule>
  </conditionalFormatting>
  <conditionalFormatting sqref="I92:M93">
    <cfRule type="expression" dxfId="33" priority="43" stopIfTrue="1">
      <formula>$S92</formula>
    </cfRule>
  </conditionalFormatting>
  <conditionalFormatting sqref="I587:M587">
    <cfRule type="expression" dxfId="32" priority="42" stopIfTrue="1">
      <formula>I587=0</formula>
    </cfRule>
  </conditionalFormatting>
  <conditionalFormatting sqref="I587:M587">
    <cfRule type="expression" dxfId="31" priority="41" stopIfTrue="1">
      <formula>I587=0</formula>
    </cfRule>
  </conditionalFormatting>
  <conditionalFormatting sqref="I656:M656">
    <cfRule type="expression" dxfId="30" priority="40" stopIfTrue="1">
      <formula>I656=0</formula>
    </cfRule>
  </conditionalFormatting>
  <conditionalFormatting sqref="I656:M656">
    <cfRule type="expression" dxfId="29" priority="39" stopIfTrue="1">
      <formula>I656=0</formula>
    </cfRule>
  </conditionalFormatting>
  <conditionalFormatting sqref="I725:M725">
    <cfRule type="expression" dxfId="28" priority="38" stopIfTrue="1">
      <formula>I725=0</formula>
    </cfRule>
  </conditionalFormatting>
  <conditionalFormatting sqref="I725:M725">
    <cfRule type="expression" dxfId="27" priority="37" stopIfTrue="1">
      <formula>I725=0</formula>
    </cfRule>
  </conditionalFormatting>
  <conditionalFormatting sqref="I794:M794">
    <cfRule type="expression" dxfId="26" priority="36" stopIfTrue="1">
      <formula>I794=0</formula>
    </cfRule>
  </conditionalFormatting>
  <conditionalFormatting sqref="I794:M794">
    <cfRule type="expression" dxfId="25" priority="35" stopIfTrue="1">
      <formula>I794=0</formula>
    </cfRule>
  </conditionalFormatting>
  <conditionalFormatting sqref="I863:M863">
    <cfRule type="expression" dxfId="24" priority="34" stopIfTrue="1">
      <formula>I863=0</formula>
    </cfRule>
  </conditionalFormatting>
  <conditionalFormatting sqref="I863:M863">
    <cfRule type="expression" dxfId="23" priority="33" stopIfTrue="1">
      <formula>I863=0</formula>
    </cfRule>
  </conditionalFormatting>
  <conditionalFormatting sqref="I932:M932">
    <cfRule type="expression" dxfId="22" priority="32" stopIfTrue="1">
      <formula>I932=0</formula>
    </cfRule>
  </conditionalFormatting>
  <conditionalFormatting sqref="I932:M932">
    <cfRule type="expression" dxfId="21" priority="31" stopIfTrue="1">
      <formula>I932=0</formula>
    </cfRule>
  </conditionalFormatting>
  <conditionalFormatting sqref="I1001:M1001">
    <cfRule type="expression" dxfId="20" priority="30" stopIfTrue="1">
      <formula>I1001=0</formula>
    </cfRule>
  </conditionalFormatting>
  <conditionalFormatting sqref="I1001:M1001">
    <cfRule type="expression" dxfId="19" priority="29" stopIfTrue="1">
      <formula>I1001=0</formula>
    </cfRule>
  </conditionalFormatting>
  <conditionalFormatting sqref="I1070:M1070">
    <cfRule type="expression" dxfId="18" priority="28" stopIfTrue="1">
      <formula>I1070=0</formula>
    </cfRule>
  </conditionalFormatting>
  <conditionalFormatting sqref="I1070:M1070">
    <cfRule type="expression" dxfId="17" priority="27" stopIfTrue="1">
      <formula>I1070=0</formula>
    </cfRule>
  </conditionalFormatting>
  <conditionalFormatting sqref="I1139:M1139">
    <cfRule type="expression" dxfId="16" priority="26" stopIfTrue="1">
      <formula>I1139=0</formula>
    </cfRule>
  </conditionalFormatting>
  <conditionalFormatting sqref="I1139:M1139">
    <cfRule type="expression" dxfId="15" priority="25" stopIfTrue="1">
      <formula>I1139=0</formula>
    </cfRule>
  </conditionalFormatting>
  <conditionalFormatting sqref="I1224:M1225">
    <cfRule type="expression" dxfId="14" priority="24" stopIfTrue="1">
      <formula>I1224=0</formula>
    </cfRule>
  </conditionalFormatting>
  <conditionalFormatting sqref="I1226:M1227">
    <cfRule type="expression" dxfId="13" priority="23" stopIfTrue="1">
      <formula>I1226=0</formula>
    </cfRule>
  </conditionalFormatting>
  <conditionalFormatting sqref="I1228:M1228">
    <cfRule type="expression" dxfId="12" priority="22" stopIfTrue="1">
      <formula>I1228=0</formula>
    </cfRule>
  </conditionalFormatting>
  <conditionalFormatting sqref="I1405:M1406">
    <cfRule type="expression" dxfId="11" priority="12" stopIfTrue="1">
      <formula>I1405=0</formula>
    </cfRule>
  </conditionalFormatting>
  <conditionalFormatting sqref="I1437:M1438">
    <cfRule type="expression" dxfId="10" priority="11" stopIfTrue="1">
      <formula>I1437=0</formula>
    </cfRule>
  </conditionalFormatting>
  <conditionalFormatting sqref="I1469:M1470">
    <cfRule type="expression" dxfId="9" priority="10" stopIfTrue="1">
      <formula>I1469=0</formula>
    </cfRule>
  </conditionalFormatting>
  <conditionalFormatting sqref="I1270:M1271">
    <cfRule type="expression" dxfId="8" priority="9" stopIfTrue="1">
      <formula>I1270=0</formula>
    </cfRule>
  </conditionalFormatting>
  <conditionalFormatting sqref="I1272:M1273">
    <cfRule type="expression" dxfId="7" priority="8" stopIfTrue="1">
      <formula>I1272=0</formula>
    </cfRule>
  </conditionalFormatting>
  <conditionalFormatting sqref="I1274:M1274">
    <cfRule type="expression" dxfId="6" priority="7" stopIfTrue="1">
      <formula>I1274=0</formula>
    </cfRule>
  </conditionalFormatting>
  <conditionalFormatting sqref="I1316:M1317">
    <cfRule type="expression" dxfId="5" priority="6" stopIfTrue="1">
      <formula>I1316=0</formula>
    </cfRule>
  </conditionalFormatting>
  <conditionalFormatting sqref="I1318:M1319">
    <cfRule type="expression" dxfId="4" priority="5" stopIfTrue="1">
      <formula>I1318=0</formula>
    </cfRule>
  </conditionalFormatting>
  <conditionalFormatting sqref="I1320:M1320">
    <cfRule type="expression" dxfId="3" priority="4" stopIfTrue="1">
      <formula>I1320=0</formula>
    </cfRule>
  </conditionalFormatting>
  <conditionalFormatting sqref="I1362:M1363">
    <cfRule type="expression" dxfId="2" priority="3" stopIfTrue="1">
      <formula>I1362=0</formula>
    </cfRule>
  </conditionalFormatting>
  <conditionalFormatting sqref="I1364:M1365">
    <cfRule type="expression" dxfId="1" priority="2" stopIfTrue="1">
      <formula>I1364=0</formula>
    </cfRule>
  </conditionalFormatting>
  <conditionalFormatting sqref="I1366:M1366">
    <cfRule type="expression" dxfId="0" priority="1" stopIfTrue="1">
      <formula>I1366=0</formula>
    </cfRule>
  </conditionalFormatting>
  <dataValidations count="2">
    <dataValidation type="decimal" allowBlank="1" showInputMessage="1" showErrorMessage="1" errorTitle="Incorrect Value" error="0 &lt; CCF &lt; 1_x000a_The value of the cross-sectoral correction factor must be between 0 and 100%." sqref="I1613:M1613">
      <formula1>0</formula1>
      <formula2>1</formula2>
    </dataValidation>
    <dataValidation type="list" allowBlank="1" showInputMessage="1" showErrorMessage="1" sqref="L1559">
      <formula1>EUconst_MinOrMaxOrActual</formula1>
    </dataValidation>
  </dataValidations>
  <hyperlinks>
    <hyperlink ref="G2:H2" location="JUMP_TOC_Home" display="Table of contents"/>
    <hyperlink ref="I2:J2" location="JUMP_J_Top" display="Previous sheet"/>
    <hyperlink ref="E4:F4" location="JUMP_K_Bottom" display="End of sheet"/>
    <hyperlink ref="E3:F3" location="JUMP_K_Top" display="Top of sheet"/>
    <hyperlink ref="E1642:N1642" location="JUMP_K_V_Disclaimer" display="The results displayed here are by no means legally binding. Please see disclaimer in the introduction of this section."/>
    <hyperlink ref="G3:H3" location="JUMP_K_I" display="Installation data"/>
    <hyperlink ref="I3:J3" location="JUMP_K_II" display="Baseline Period &amp; Eligibility"/>
    <hyperlink ref="K3:L3" location="JUMP_K_III" display="Emissions &amp; Energy Flows"/>
    <hyperlink ref="M3:N3" location="JUMP_K_IV" display="Sub-installation Data"/>
    <hyperlink ref="G4:H4" location="JUMP_K_V" display="Preliminary allocation"/>
  </hyperlinks>
  <pageMargins left="0.78740157480314965" right="0.78740157480314965" top="0.78740157480314965" bottom="0.78740157480314965" header="0.51181102362204722" footer="0.51181102362204722"/>
  <pageSetup paperSize="9" scale="64" fitToHeight="30" orientation="portrait" r:id="rId1"/>
  <headerFooter alignWithMargins="0">
    <oddHeader>&amp;L&amp;F; &amp;A&amp;R&amp;D; &amp;T</oddHeader>
    <oddFooter>&amp;C&amp;P / &amp;N</oddFooter>
  </headerFooter>
  <rowBreaks count="10" manualBreakCount="10">
    <brk id="78" min="2" max="13" man="1"/>
    <brk id="158" min="2" max="13" man="1"/>
    <brk id="237" min="2" max="13" man="1"/>
    <brk id="335" min="2" max="13" man="1"/>
    <brk id="434" min="2" max="13" man="1"/>
    <brk id="483" min="2" max="13" man="1"/>
    <brk id="574" min="2" max="13" man="1"/>
    <brk id="1197" min="2" max="13" man="1"/>
    <brk id="1335" min="2" max="13" man="1"/>
    <brk id="1537" min="2" max="1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tabColor indexed="12"/>
    <pageSetUpPr fitToPage="1"/>
  </sheetPr>
  <dimension ref="A1:AF278"/>
  <sheetViews>
    <sheetView zoomScaleNormal="100" workbookViewId="0">
      <selection activeCell="B2" sqref="B2"/>
    </sheetView>
  </sheetViews>
  <sheetFormatPr defaultColWidth="11.42578125" defaultRowHeight="12.75" x14ac:dyDescent="0.2"/>
  <cols>
    <col min="1" max="1" width="34.42578125" style="213" customWidth="1"/>
    <col min="2" max="16384" width="11.42578125" style="213"/>
  </cols>
  <sheetData>
    <row r="1" spans="1:18" x14ac:dyDescent="0.2">
      <c r="A1" s="253" t="str">
        <f>Translations!$B$340</f>
        <v>Nosaukums</v>
      </c>
      <c r="B1" s="253" t="str">
        <f>Translations!$B$1287</f>
        <v>Konstante</v>
      </c>
      <c r="C1" s="253" t="str">
        <f>Translations!$B$1288</f>
        <v>Citas konstantes</v>
      </c>
      <c r="D1" s="254"/>
      <c r="E1" s="254"/>
      <c r="F1" s="254"/>
      <c r="G1" s="254"/>
      <c r="H1" s="254"/>
    </row>
    <row r="2" spans="1:18" x14ac:dyDescent="0.2">
      <c r="A2" s="438" t="s">
        <v>559</v>
      </c>
      <c r="B2" s="998" t="b">
        <v>0</v>
      </c>
    </row>
    <row r="3" spans="1:18" x14ac:dyDescent="0.2">
      <c r="A3" s="213" t="s">
        <v>335</v>
      </c>
      <c r="B3" s="255">
        <v>2014</v>
      </c>
      <c r="C3" s="255">
        <v>2015</v>
      </c>
      <c r="D3" s="255">
        <v>2016</v>
      </c>
      <c r="E3" s="255">
        <v>2017</v>
      </c>
      <c r="F3" s="255">
        <v>2018</v>
      </c>
    </row>
    <row r="4" spans="1:18" x14ac:dyDescent="0.2">
      <c r="A4" s="576" t="s">
        <v>478</v>
      </c>
      <c r="B4" s="255">
        <v>2014</v>
      </c>
      <c r="C4" s="255">
        <v>2015</v>
      </c>
      <c r="D4" s="255">
        <v>2016</v>
      </c>
      <c r="E4" s="255">
        <v>2017</v>
      </c>
      <c r="F4" s="255">
        <v>2018</v>
      </c>
      <c r="G4" s="255">
        <v>2019</v>
      </c>
      <c r="H4" s="255">
        <v>2020</v>
      </c>
      <c r="I4" s="255">
        <v>2021</v>
      </c>
      <c r="J4" s="255">
        <v>2022</v>
      </c>
      <c r="K4" s="255">
        <v>2023</v>
      </c>
      <c r="L4" s="255">
        <v>2024</v>
      </c>
      <c r="M4" s="255">
        <v>2025</v>
      </c>
      <c r="N4" s="255">
        <v>2026</v>
      </c>
      <c r="O4" s="255">
        <v>2027</v>
      </c>
      <c r="P4" s="255">
        <v>2028</v>
      </c>
      <c r="Q4" s="255">
        <v>2029</v>
      </c>
      <c r="R4" s="255">
        <v>2030</v>
      </c>
    </row>
    <row r="5" spans="1:18" x14ac:dyDescent="0.2">
      <c r="A5" s="213" t="s">
        <v>358</v>
      </c>
      <c r="B5" s="255" t="s">
        <v>451</v>
      </c>
      <c r="C5" s="255" t="s">
        <v>452</v>
      </c>
      <c r="D5" s="214"/>
      <c r="E5" s="214"/>
      <c r="F5" s="214"/>
      <c r="G5" s="214"/>
    </row>
    <row r="6" spans="1:18" x14ac:dyDescent="0.2">
      <c r="A6" s="213" t="s">
        <v>389</v>
      </c>
      <c r="B6" s="255" t="b">
        <v>1</v>
      </c>
      <c r="C6" s="255" t="b">
        <v>0</v>
      </c>
    </row>
    <row r="7" spans="1:18" x14ac:dyDescent="0.2">
      <c r="A7" s="213" t="s">
        <v>390</v>
      </c>
      <c r="B7" s="255" t="b">
        <v>1</v>
      </c>
      <c r="C7" s="255" t="b">
        <v>0</v>
      </c>
      <c r="D7" s="256" t="str">
        <f>EUconst_NA</f>
        <v>NA</v>
      </c>
    </row>
    <row r="8" spans="1:18" x14ac:dyDescent="0.2">
      <c r="A8" s="213" t="s">
        <v>10</v>
      </c>
      <c r="B8" s="255" t="str">
        <f>Translations!$B$1289</f>
        <v>Absolūtās vērtības</v>
      </c>
      <c r="C8" s="255" t="str">
        <f>Translations!$B$1290</f>
        <v>Procenti</v>
      </c>
    </row>
    <row r="9" spans="1:18" x14ac:dyDescent="0.2">
      <c r="A9" s="213" t="s">
        <v>84</v>
      </c>
      <c r="B9" s="255" t="str">
        <f>Translations!$B$1291</f>
        <v>NA</v>
      </c>
    </row>
    <row r="10" spans="1:18" x14ac:dyDescent="0.2">
      <c r="A10" s="213" t="s">
        <v>18</v>
      </c>
      <c r="B10" s="255" t="str">
        <f>Translations!$B$1292</f>
        <v>ESK</v>
      </c>
    </row>
    <row r="11" spans="1:18" x14ac:dyDescent="0.2">
      <c r="A11" s="213" t="s">
        <v>199</v>
      </c>
      <c r="B11" s="255" t="str">
        <f>Translations!$B$1196</f>
        <v>Vienība</v>
      </c>
    </row>
    <row r="12" spans="1:18" x14ac:dyDescent="0.2">
      <c r="A12" s="213" t="s">
        <v>195</v>
      </c>
      <c r="B12" s="255" t="str">
        <f>Translations!$B$1293</f>
        <v>Mēnesis</v>
      </c>
    </row>
    <row r="13" spans="1:18" x14ac:dyDescent="0.2">
      <c r="A13" s="213" t="s">
        <v>356</v>
      </c>
      <c r="B13" s="255" t="str">
        <f>Translations!$B$1294</f>
        <v>Kurināmais</v>
      </c>
    </row>
    <row r="14" spans="1:18" x14ac:dyDescent="0.2">
      <c r="A14" s="213" t="s">
        <v>38</v>
      </c>
      <c r="B14" s="255" t="str">
        <f>Translations!$B$1295</f>
        <v>Līmeņatzīme</v>
      </c>
    </row>
    <row r="15" spans="1:18" x14ac:dyDescent="0.2">
      <c r="A15" s="213" t="s">
        <v>196</v>
      </c>
      <c r="B15" s="255" t="str">
        <f>Translations!$B$1296</f>
        <v>Apakšiekārta ar produkta līmeņatzīmi</v>
      </c>
    </row>
    <row r="16" spans="1:18" x14ac:dyDescent="0.2">
      <c r="A16" s="213" t="s">
        <v>27</v>
      </c>
      <c r="B16" s="255" t="str">
        <f>Translations!$B$1297</f>
        <v>Alternatīva apakšiekārta</v>
      </c>
    </row>
    <row r="17" spans="1:7" x14ac:dyDescent="0.2">
      <c r="A17" s="217" t="s">
        <v>319</v>
      </c>
      <c r="B17" s="255" t="str">
        <f>Translations!$B$1298</f>
        <v>gads</v>
      </c>
    </row>
    <row r="18" spans="1:7" x14ac:dyDescent="0.2">
      <c r="A18" s="217" t="s">
        <v>321</v>
      </c>
      <c r="B18" s="255" t="str">
        <f>Translations!$B$1299</f>
        <v>tonnas</v>
      </c>
    </row>
    <row r="19" spans="1:7" x14ac:dyDescent="0.2">
      <c r="A19" s="217" t="s">
        <v>87</v>
      </c>
      <c r="B19" s="255" t="s">
        <v>85</v>
      </c>
    </row>
    <row r="20" spans="1:7" x14ac:dyDescent="0.2">
      <c r="A20" s="217" t="s">
        <v>200</v>
      </c>
      <c r="B20" s="255" t="s">
        <v>201</v>
      </c>
    </row>
    <row r="21" spans="1:7" x14ac:dyDescent="0.2">
      <c r="A21" s="217" t="s">
        <v>88</v>
      </c>
      <c r="B21" s="255" t="s">
        <v>86</v>
      </c>
      <c r="C21" s="217"/>
      <c r="D21" s="217"/>
      <c r="E21" s="217"/>
      <c r="F21" s="217"/>
      <c r="G21" s="217"/>
    </row>
    <row r="22" spans="1:7" x14ac:dyDescent="0.2">
      <c r="A22" s="217" t="s">
        <v>206</v>
      </c>
      <c r="B22" s="255" t="s">
        <v>207</v>
      </c>
      <c r="C22" s="217"/>
      <c r="D22" s="217"/>
      <c r="E22" s="217"/>
      <c r="F22" s="217"/>
      <c r="G22" s="217"/>
    </row>
    <row r="23" spans="1:7" x14ac:dyDescent="0.2">
      <c r="A23" s="217" t="s">
        <v>208</v>
      </c>
      <c r="B23" s="255" t="s">
        <v>209</v>
      </c>
      <c r="C23" s="217"/>
      <c r="D23" s="217"/>
      <c r="E23" s="217"/>
      <c r="F23" s="217"/>
      <c r="G23" s="217"/>
    </row>
    <row r="24" spans="1:7" x14ac:dyDescent="0.2">
      <c r="A24" s="217" t="s">
        <v>45</v>
      </c>
      <c r="B24" s="255" t="str">
        <f>EUconst_TJ&amp;" / "&amp;EUconst_Year</f>
        <v>TJ / gads</v>
      </c>
    </row>
    <row r="25" spans="1:7" x14ac:dyDescent="0.2">
      <c r="A25" s="217" t="s">
        <v>202</v>
      </c>
      <c r="B25" s="255" t="s">
        <v>203</v>
      </c>
    </row>
    <row r="26" spans="1:7" x14ac:dyDescent="0.2">
      <c r="A26" s="217" t="s">
        <v>39</v>
      </c>
      <c r="B26" s="255" t="str">
        <f>EUconst_MWh&amp;" / "&amp;EUconst_Year</f>
        <v>MWh / gads</v>
      </c>
    </row>
    <row r="27" spans="1:7" x14ac:dyDescent="0.2">
      <c r="A27" s="217" t="s">
        <v>204</v>
      </c>
      <c r="B27" s="255" t="s">
        <v>205</v>
      </c>
    </row>
    <row r="28" spans="1:7" x14ac:dyDescent="0.2">
      <c r="A28" s="217" t="s">
        <v>40</v>
      </c>
      <c r="B28" s="255" t="str">
        <f>EUconst_t&amp;" / "&amp;EUconst_Year</f>
        <v>t / gads</v>
      </c>
    </row>
    <row r="29" spans="1:7" x14ac:dyDescent="0.2">
      <c r="A29" s="217" t="s">
        <v>19</v>
      </c>
      <c r="B29" s="255" t="str">
        <f>EUconst_EUA&amp;" / "&amp;EUconst_Year</f>
        <v>ESK / gads</v>
      </c>
    </row>
    <row r="30" spans="1:7" x14ac:dyDescent="0.2">
      <c r="A30" s="217" t="s">
        <v>20</v>
      </c>
      <c r="B30" s="255" t="str">
        <f>EUconst_EUA&amp;" / "&amp;EUconst_t</f>
        <v>ESK / t</v>
      </c>
    </row>
    <row r="31" spans="1:7" x14ac:dyDescent="0.2">
      <c r="A31" s="217" t="s">
        <v>41</v>
      </c>
      <c r="B31" s="255" t="str">
        <f>EUconst_GJ&amp;" / "&amp;EUconst_t</f>
        <v>GJ / t</v>
      </c>
    </row>
    <row r="32" spans="1:7" x14ac:dyDescent="0.2">
      <c r="A32" s="217" t="s">
        <v>357</v>
      </c>
      <c r="B32" s="255" t="str">
        <f>EUconst_GJ&amp;" / "&amp;EUconst_Year</f>
        <v>GJ / gads</v>
      </c>
    </row>
    <row r="33" spans="1:8" x14ac:dyDescent="0.2">
      <c r="A33" s="217" t="s">
        <v>42</v>
      </c>
      <c r="B33" s="255" t="str">
        <f>EUconst_tCO2&amp;" / "&amp;EUconst_TJ</f>
        <v>t CO2 / TJ</v>
      </c>
    </row>
    <row r="34" spans="1:8" x14ac:dyDescent="0.2">
      <c r="A34" s="217" t="s">
        <v>43</v>
      </c>
      <c r="B34" s="255" t="str">
        <f>EUconst_tCO2&amp;" / "&amp;EUconst_Year</f>
        <v>t CO2 / gads</v>
      </c>
    </row>
    <row r="35" spans="1:8" x14ac:dyDescent="0.2">
      <c r="A35" s="217" t="s">
        <v>44</v>
      </c>
      <c r="B35" s="255" t="str">
        <f>EUconst_tCO2&amp;" / "&amp;EUconst_t</f>
        <v>t CO2 / t</v>
      </c>
    </row>
    <row r="36" spans="1:8" x14ac:dyDescent="0.2">
      <c r="A36" s="217" t="s">
        <v>46</v>
      </c>
      <c r="B36" s="255" t="str">
        <f>EUconst_tN2O&amp;" / "&amp;EUconst_Year</f>
        <v>t N2O / gads</v>
      </c>
    </row>
    <row r="37" spans="1:8" x14ac:dyDescent="0.2">
      <c r="A37" s="217" t="s">
        <v>47</v>
      </c>
      <c r="B37" s="255" t="str">
        <f>Translations!$B$1744</f>
        <v>t CO2 ekv. / t N2O</v>
      </c>
    </row>
    <row r="38" spans="1:8" x14ac:dyDescent="0.2">
      <c r="A38" s="217" t="s">
        <v>48</v>
      </c>
      <c r="B38" s="255" t="str">
        <f>EUconst_tCO2e&amp;"/"&amp;EUconst_Year</f>
        <v>t CO2e/gads</v>
      </c>
    </row>
    <row r="39" spans="1:8" x14ac:dyDescent="0.2">
      <c r="A39" s="217" t="s">
        <v>49</v>
      </c>
      <c r="B39" s="255" t="str">
        <f>EUconst_tCO2e&amp;"/"&amp;EUconst_t</f>
        <v>t CO2e/t</v>
      </c>
    </row>
    <row r="40" spans="1:8" x14ac:dyDescent="0.2">
      <c r="A40" s="217" t="s">
        <v>210</v>
      </c>
      <c r="B40" s="255" t="str">
        <f>Translations!$B$1300</f>
        <v>vai</v>
      </c>
    </row>
    <row r="41" spans="1:8" x14ac:dyDescent="0.2">
      <c r="A41" s="217" t="s">
        <v>50</v>
      </c>
      <c r="B41" s="255" t="str">
        <f>"% "&amp;EUconst_Or&amp;" "&amp;EUconst_TJpa</f>
        <v>% vai TJ / gads</v>
      </c>
    </row>
    <row r="42" spans="1:8" x14ac:dyDescent="0.2">
      <c r="A42" s="217" t="s">
        <v>51</v>
      </c>
      <c r="B42" s="255" t="str">
        <f>"% "&amp;EUconst_Or&amp;" "&amp;EUconst_MWhpa</f>
        <v>% vai MWh / gads</v>
      </c>
    </row>
    <row r="43" spans="1:8" x14ac:dyDescent="0.2">
      <c r="A43" s="217" t="s">
        <v>52</v>
      </c>
      <c r="B43" s="255" t="str">
        <f>"% "&amp;EUconst_Or&amp;" "&amp;EUconst_tCO2pa</f>
        <v>% vai t CO2 / gads</v>
      </c>
    </row>
    <row r="44" spans="1:8" x14ac:dyDescent="0.2">
      <c r="A44" s="217" t="s">
        <v>222</v>
      </c>
      <c r="B44" s="255" t="str">
        <f>Translations!$B$240</f>
        <v>ETS aptverta iekārta</v>
      </c>
      <c r="C44" s="588" t="str">
        <f>Translations!$B$1745</f>
        <v>Sadzīves atkritumu incinerācijas iekārta</v>
      </c>
      <c r="D44" s="255" t="str">
        <f>Translations!$B$241</f>
        <v>ETS neietilpstoša iekārta</v>
      </c>
      <c r="E44" s="255" t="str">
        <f>Translations!$B$242</f>
        <v>Iekārta, kurā tiek ražota slāpekļskābe</v>
      </c>
      <c r="F44" s="255" t="str">
        <f>Translations!$B$243</f>
        <v>Siltuma sadales tīkls</v>
      </c>
      <c r="G44" s="217"/>
      <c r="H44" s="217"/>
    </row>
    <row r="45" spans="1:8" x14ac:dyDescent="0.2">
      <c r="A45" s="217" t="s">
        <v>223</v>
      </c>
      <c r="B45" s="255" t="str">
        <f>Translations!$B$249</f>
        <v>Izmērāmais siltums</v>
      </c>
      <c r="C45" s="255" t="str">
        <f>Translations!$B$250</f>
        <v>Atlikumgāze</v>
      </c>
      <c r="D45" s="588" t="str">
        <f>Translations!$B$1301</f>
        <v>pārvietotais CO2</v>
      </c>
      <c r="E45" s="588" t="str">
        <f>Translations!$B$1302</f>
        <v>Starpprodukti</v>
      </c>
      <c r="F45" s="217"/>
      <c r="G45" s="217"/>
    </row>
    <row r="46" spans="1:8" x14ac:dyDescent="0.2">
      <c r="A46" s="217" t="s">
        <v>412</v>
      </c>
      <c r="B46" s="255" t="str">
        <f>Translations!$B$1303</f>
        <v>Siltums</v>
      </c>
      <c r="C46" s="255" t="str">
        <f>Translations!$B$250</f>
        <v>Atlikumgāze</v>
      </c>
      <c r="D46" s="255" t="s">
        <v>413</v>
      </c>
      <c r="E46" s="217"/>
      <c r="F46" s="217"/>
      <c r="G46" s="217"/>
    </row>
    <row r="47" spans="1:8" x14ac:dyDescent="0.2">
      <c r="A47" s="217" t="s">
        <v>411</v>
      </c>
      <c r="B47" s="20" t="str">
        <f>Translations!$B$1304</f>
        <v>Imports</v>
      </c>
      <c r="C47" s="20" t="str">
        <f>Translations!$B$1305</f>
        <v>Eksports</v>
      </c>
      <c r="D47" s="217"/>
      <c r="E47" s="217"/>
      <c r="F47" s="217"/>
      <c r="G47" s="217"/>
    </row>
    <row r="48" spans="1:8" x14ac:dyDescent="0.2">
      <c r="A48" s="217" t="s">
        <v>215</v>
      </c>
      <c r="B48" s="255" t="str">
        <f>Translations!$B$1306</f>
        <v>Iekārtā</v>
      </c>
      <c r="C48" s="217"/>
      <c r="D48" s="217"/>
      <c r="E48" s="217"/>
      <c r="F48" s="217"/>
      <c r="G48" s="217"/>
    </row>
    <row r="49" spans="1:10" x14ac:dyDescent="0.2">
      <c r="A49" s="217" t="s">
        <v>216</v>
      </c>
      <c r="B49" s="255" t="str">
        <f>Translations!$B$1307</f>
        <v>Preču ražošana</v>
      </c>
      <c r="C49" s="255" t="str">
        <f>Translations!$B$1308</f>
        <v>mehāniskā enerģija</v>
      </c>
      <c r="D49" s="255" t="str">
        <f>Translations!$B$1309</f>
        <v>siltumapgāde</v>
      </c>
      <c r="E49" s="255" t="str">
        <f>Translations!$B$1310</f>
        <v>aukstumapgāde</v>
      </c>
      <c r="F49" s="255" t="str">
        <f>Translations!$B$1311</f>
        <v>nav zināms</v>
      </c>
      <c r="G49" s="217"/>
    </row>
    <row r="50" spans="1:10" x14ac:dyDescent="0.2">
      <c r="A50" s="217" t="s">
        <v>7</v>
      </c>
      <c r="B50" s="255" t="str">
        <f>Translations!$B$1307</f>
        <v>Preču ražošana</v>
      </c>
      <c r="C50" s="255" t="str">
        <f>Translations!$B$1308</f>
        <v>mehāniskā enerģija</v>
      </c>
      <c r="D50" s="255" t="str">
        <f>Translations!$B$1309</f>
        <v>siltumapgāde</v>
      </c>
      <c r="E50" s="255" t="str">
        <f>Translations!$B$1310</f>
        <v>aukstumapgāde</v>
      </c>
      <c r="F50" s="217"/>
    </row>
    <row r="51" spans="1:10" x14ac:dyDescent="0.2">
      <c r="A51" s="217" t="s">
        <v>371</v>
      </c>
      <c r="B51" s="20" t="s">
        <v>372</v>
      </c>
      <c r="C51" s="20" t="str">
        <f>Translations!$B$1312</f>
        <v>PFC</v>
      </c>
      <c r="D51" s="588" t="str">
        <f>Translations!$B$1313</f>
        <v>CO2 (atlikumgāze pēc korekcijas)</v>
      </c>
      <c r="E51" s="255" t="str">
        <f>Translations!$B$1314</f>
        <v>metāla savienojumu reducēšana</v>
      </c>
      <c r="F51" s="255" t="str">
        <f>Translations!$B$1315</f>
        <v>piemaisījumu atdalīšana</v>
      </c>
      <c r="G51" s="255" t="str">
        <f>Translations!$B$1316</f>
        <v>karbonātu sadalīšana</v>
      </c>
      <c r="H51" s="255" t="str">
        <f>Translations!$B$1317</f>
        <v>ķīmiskā sintēze</v>
      </c>
      <c r="I51" s="255" t="str">
        <f>Translations!$B$1318</f>
        <v>oglekli saturoši materiāli</v>
      </c>
      <c r="J51" s="255" t="str">
        <f>Translations!$B$1319</f>
        <v>pusmetālu oksīdu un nemetālu oksīdu reducēšana</v>
      </c>
    </row>
    <row r="52" spans="1:10" x14ac:dyDescent="0.2">
      <c r="A52" s="217" t="s">
        <v>360</v>
      </c>
      <c r="B52" s="871">
        <f>U268</f>
        <v>31.15</v>
      </c>
      <c r="C52" s="19"/>
      <c r="D52" s="217"/>
      <c r="E52" s="217"/>
      <c r="F52" s="217"/>
      <c r="G52" s="217"/>
    </row>
    <row r="53" spans="1:10" x14ac:dyDescent="0.2">
      <c r="A53" s="217" t="s">
        <v>361</v>
      </c>
      <c r="B53" s="20">
        <v>0.3</v>
      </c>
      <c r="C53" s="19"/>
      <c r="D53" s="217"/>
      <c r="E53" s="217"/>
      <c r="F53" s="217"/>
      <c r="G53" s="217"/>
    </row>
    <row r="54" spans="1:10" x14ac:dyDescent="0.2">
      <c r="A54" s="217" t="s">
        <v>369</v>
      </c>
      <c r="B54" s="871">
        <f>U272</f>
        <v>28.05</v>
      </c>
      <c r="C54" s="19"/>
      <c r="D54" s="217"/>
      <c r="E54" s="217"/>
      <c r="F54" s="217"/>
      <c r="G54" s="217"/>
    </row>
    <row r="55" spans="1:10" x14ac:dyDescent="0.2">
      <c r="A55" s="217" t="s">
        <v>547</v>
      </c>
      <c r="B55" s="806">
        <v>3.0000000000000001E-3</v>
      </c>
      <c r="C55" s="806">
        <v>2.5000000000000001E-2</v>
      </c>
      <c r="D55" s="217"/>
      <c r="E55" s="217"/>
      <c r="F55" s="217"/>
      <c r="G55" s="217"/>
    </row>
    <row r="56" spans="1:10" x14ac:dyDescent="0.2">
      <c r="A56" s="217" t="s">
        <v>245</v>
      </c>
      <c r="B56" s="20" t="str">
        <f>Translations!$B$1320</f>
        <v>relev.</v>
      </c>
      <c r="C56" s="19"/>
      <c r="D56" s="217"/>
      <c r="E56" s="217"/>
      <c r="F56" s="217"/>
      <c r="G56" s="217"/>
    </row>
    <row r="57" spans="1:10" x14ac:dyDescent="0.2">
      <c r="A57" s="217" t="s">
        <v>246</v>
      </c>
      <c r="B57" s="20" t="str">
        <f>Translations!$B$1321</f>
        <v>nav relev.</v>
      </c>
      <c r="C57" s="19"/>
      <c r="D57" s="217"/>
      <c r="E57" s="217"/>
      <c r="F57" s="217"/>
      <c r="G57" s="217"/>
    </row>
    <row r="58" spans="1:10" x14ac:dyDescent="0.2">
      <c r="A58" s="217" t="s">
        <v>409</v>
      </c>
      <c r="B58" s="20" t="str">
        <f>EUconst_Relevant</f>
        <v>relev.</v>
      </c>
      <c r="C58" s="20" t="str">
        <f>EUconst_NotRelevant</f>
        <v>nav relev.</v>
      </c>
      <c r="D58" s="217"/>
      <c r="E58" s="217"/>
      <c r="F58" s="217"/>
      <c r="G58" s="217"/>
    </row>
    <row r="59" spans="1:10" x14ac:dyDescent="0.2">
      <c r="A59" s="217" t="s">
        <v>410</v>
      </c>
      <c r="B59" s="20" t="str">
        <f>Translations!$B$1322</f>
        <v>Oglekļa emisiju pārvirze</v>
      </c>
      <c r="C59" s="20" t="str">
        <f>Translations!$B$1323</f>
        <v>oglekļa emisiju pārvirzes riskam nav pakļauts</v>
      </c>
      <c r="D59" s="217"/>
      <c r="E59" s="217"/>
      <c r="F59" s="217"/>
      <c r="G59" s="217"/>
    </row>
    <row r="60" spans="1:10" x14ac:dyDescent="0.2">
      <c r="A60" s="217" t="s">
        <v>247</v>
      </c>
      <c r="B60" s="20" t="str">
        <f>"1000Nm3/"&amp;EUconst_Year</f>
        <v>1000Nm3/gads</v>
      </c>
      <c r="C60" s="19"/>
      <c r="D60" s="217"/>
      <c r="E60" s="217"/>
      <c r="F60" s="217"/>
      <c r="G60" s="217"/>
    </row>
    <row r="61" spans="1:10" x14ac:dyDescent="0.2">
      <c r="A61" s="217" t="s">
        <v>248</v>
      </c>
      <c r="B61" s="20" t="str">
        <f>EUconst_tpa</f>
        <v>t / gads</v>
      </c>
      <c r="C61" s="20" t="str">
        <f>B60</f>
        <v>1000Nm3/gads</v>
      </c>
      <c r="D61" s="217"/>
      <c r="E61" s="217"/>
      <c r="F61" s="217"/>
      <c r="G61" s="217"/>
    </row>
    <row r="62" spans="1:10" x14ac:dyDescent="0.2">
      <c r="A62" s="217" t="s">
        <v>250</v>
      </c>
      <c r="B62" s="20" t="str">
        <f>EUconst_GJpt</f>
        <v>GJ / t</v>
      </c>
      <c r="C62" s="20" t="str">
        <f>Translations!$B$1324</f>
        <v>GJ/1000 Nm3</v>
      </c>
      <c r="D62" s="217"/>
      <c r="E62" s="217"/>
      <c r="F62" s="217"/>
      <c r="G62" s="217"/>
    </row>
    <row r="63" spans="1:10" x14ac:dyDescent="0.2">
      <c r="A63" s="217" t="s">
        <v>9</v>
      </c>
      <c r="B63" s="20" t="str">
        <f>EUconst_tCO2pTJ</f>
        <v>t CO2 / TJ</v>
      </c>
      <c r="C63" s="20" t="str">
        <f>B64</f>
        <v>t CO2/1000Nm3</v>
      </c>
      <c r="D63" s="255" t="str">
        <f>EUconst_tCO2pt</f>
        <v>t CO2 / t</v>
      </c>
      <c r="G63" s="217"/>
      <c r="H63" s="217"/>
    </row>
    <row r="64" spans="1:10" x14ac:dyDescent="0.2">
      <c r="A64" s="217" t="s">
        <v>382</v>
      </c>
      <c r="B64" s="20" t="str">
        <f>EUconst_tCO2 &amp; "/1000Nm3"</f>
        <v>t CO2/1000Nm3</v>
      </c>
      <c r="C64" s="20"/>
      <c r="D64" s="255"/>
      <c r="G64" s="217"/>
      <c r="H64" s="217"/>
    </row>
    <row r="65" spans="1:7" x14ac:dyDescent="0.2">
      <c r="A65" s="217" t="s">
        <v>251</v>
      </c>
      <c r="B65" s="20" t="str">
        <f>EUconst_GJ&amp;" / "&amp;EUconst_Unit</f>
        <v>GJ / Vienība</v>
      </c>
      <c r="C65" s="19"/>
      <c r="D65" s="217"/>
      <c r="E65" s="217"/>
      <c r="F65" s="217"/>
      <c r="G65" s="217"/>
    </row>
    <row r="66" spans="1:7" x14ac:dyDescent="0.2">
      <c r="A66" s="217" t="s">
        <v>326</v>
      </c>
      <c r="B66" s="20" t="str">
        <f>"MNm3/"&amp;EUconst_Year</f>
        <v>MNm3/gads</v>
      </c>
      <c r="C66" s="19"/>
      <c r="D66" s="217"/>
      <c r="E66" s="217"/>
      <c r="F66" s="217"/>
      <c r="G66" s="217"/>
    </row>
    <row r="67" spans="1:7" x14ac:dyDescent="0.2">
      <c r="A67" s="217" t="s">
        <v>187</v>
      </c>
      <c r="B67" s="20" t="str">
        <f>"CWT / "&amp;EUconst_Year</f>
        <v>CWT / gads</v>
      </c>
      <c r="C67" s="19"/>
      <c r="D67" s="217"/>
      <c r="E67" s="217"/>
      <c r="F67" s="217"/>
      <c r="G67" s="217"/>
    </row>
    <row r="68" spans="1:7" x14ac:dyDescent="0.2">
      <c r="A68" s="217" t="s">
        <v>74</v>
      </c>
      <c r="B68" s="20" t="str">
        <f>Translations!$B$1325</f>
        <v>kvotas</v>
      </c>
      <c r="C68" s="19"/>
      <c r="D68" s="217"/>
      <c r="E68" s="217"/>
      <c r="F68" s="217"/>
      <c r="G68" s="217"/>
    </row>
    <row r="69" spans="1:7" x14ac:dyDescent="0.2">
      <c r="A69" s="217" t="s">
        <v>414</v>
      </c>
      <c r="B69" s="20" t="str">
        <f>Translations!$B$1326</f>
        <v>Šīs iekārtas operators apstiprina, ka iekārta nevar pretendēt uz bezmaksas kvotu iedali saskaņā ES ETS direktīvas 10.a pantu kā pastāvoša iekārta.</v>
      </c>
      <c r="C69" s="217"/>
      <c r="D69" s="217"/>
      <c r="E69" s="217"/>
      <c r="F69" s="217"/>
    </row>
    <row r="70" spans="1:7" x14ac:dyDescent="0.2">
      <c r="A70" s="217" t="s">
        <v>415</v>
      </c>
      <c r="B70" s="20" t="str">
        <f>Translations!$B$1327</f>
        <v>Šīs iekārtas operators apstiprina, ka ar šo tiek iesniegts pieteikums uz bezmaksas kvotu iedali saskaņā ES ETS direktīvas 10.a pantu.</v>
      </c>
      <c r="C70" s="217"/>
      <c r="D70" s="217"/>
      <c r="E70" s="217"/>
      <c r="F70" s="217"/>
    </row>
    <row r="71" spans="1:7" x14ac:dyDescent="0.2">
      <c r="A71" s="217" t="s">
        <v>92</v>
      </c>
      <c r="B71" s="20" t="str">
        <f>Translations!$B$1328</f>
        <v>Šīs iekārtas operators apstiprina, ka kompetentā iestāde un Eiropas Komisija drīkst šo ziņojumu izmantot.</v>
      </c>
      <c r="C71" s="217"/>
      <c r="D71" s="217"/>
      <c r="E71" s="217"/>
      <c r="F71" s="217"/>
    </row>
    <row r="72" spans="1:7" x14ac:dyDescent="0.2">
      <c r="A72" s="217" t="s">
        <v>152</v>
      </c>
      <c r="B72" s="20" t="s">
        <v>149</v>
      </c>
      <c r="C72" s="19"/>
      <c r="D72" s="217"/>
      <c r="E72" s="217"/>
      <c r="F72" s="217"/>
      <c r="G72" s="217"/>
    </row>
    <row r="73" spans="1:7" x14ac:dyDescent="0.2">
      <c r="A73" s="584" t="s">
        <v>507</v>
      </c>
      <c r="B73" s="437" t="s">
        <v>508</v>
      </c>
      <c r="C73" s="19"/>
      <c r="D73" s="217"/>
      <c r="E73" s="217"/>
      <c r="F73" s="217"/>
      <c r="G73" s="217"/>
    </row>
    <row r="74" spans="1:7" x14ac:dyDescent="0.2">
      <c r="A74" s="217" t="s">
        <v>153</v>
      </c>
      <c r="B74" s="20" t="s">
        <v>150</v>
      </c>
      <c r="C74" s="19"/>
      <c r="D74" s="217"/>
      <c r="E74" s="217"/>
      <c r="F74" s="217"/>
      <c r="G74" s="217"/>
    </row>
    <row r="75" spans="1:7" x14ac:dyDescent="0.2">
      <c r="A75" s="217" t="s">
        <v>154</v>
      </c>
      <c r="B75" s="20" t="s">
        <v>151</v>
      </c>
      <c r="C75" s="19"/>
      <c r="D75" s="217"/>
      <c r="E75" s="217"/>
      <c r="F75" s="217"/>
      <c r="G75" s="217"/>
    </row>
    <row r="76" spans="1:7" x14ac:dyDescent="0.2">
      <c r="A76" s="217" t="s">
        <v>155</v>
      </c>
      <c r="B76" s="20" t="s">
        <v>157</v>
      </c>
      <c r="C76" s="19"/>
      <c r="D76" s="217"/>
      <c r="E76" s="217"/>
      <c r="F76" s="217"/>
      <c r="G76" s="217"/>
    </row>
    <row r="77" spans="1:7" x14ac:dyDescent="0.2">
      <c r="A77" s="217" t="s">
        <v>156</v>
      </c>
      <c r="B77" s="20" t="s">
        <v>158</v>
      </c>
      <c r="C77" s="19"/>
      <c r="D77" s="217"/>
      <c r="E77" s="217"/>
      <c r="F77" s="217"/>
      <c r="G77" s="217"/>
    </row>
    <row r="78" spans="1:7" x14ac:dyDescent="0.2">
      <c r="A78" s="217" t="s">
        <v>230</v>
      </c>
      <c r="B78" s="20" t="s">
        <v>231</v>
      </c>
      <c r="C78" s="19"/>
      <c r="D78" s="217"/>
      <c r="E78" s="217"/>
      <c r="F78" s="217"/>
      <c r="G78" s="217"/>
    </row>
    <row r="79" spans="1:7" x14ac:dyDescent="0.2">
      <c r="A79" s="217" t="s">
        <v>36</v>
      </c>
      <c r="B79" s="20" t="s">
        <v>35</v>
      </c>
      <c r="C79" s="19"/>
      <c r="D79" s="217"/>
      <c r="E79" s="217"/>
      <c r="F79" s="217"/>
      <c r="G79" s="217"/>
    </row>
    <row r="80" spans="1:7" x14ac:dyDescent="0.2">
      <c r="A80" s="217" t="s">
        <v>232</v>
      </c>
      <c r="B80" s="20" t="s">
        <v>233</v>
      </c>
      <c r="C80" s="19"/>
      <c r="D80" s="217"/>
      <c r="E80" s="217"/>
      <c r="F80" s="217"/>
      <c r="G80" s="217"/>
    </row>
    <row r="81" spans="1:32" x14ac:dyDescent="0.2">
      <c r="A81" s="584" t="s">
        <v>555</v>
      </c>
      <c r="B81" s="437" t="s">
        <v>557</v>
      </c>
      <c r="C81" s="19"/>
      <c r="D81" s="217"/>
      <c r="E81" s="217"/>
      <c r="F81" s="217"/>
      <c r="G81" s="217"/>
    </row>
    <row r="82" spans="1:32" x14ac:dyDescent="0.2">
      <c r="A82" s="584" t="s">
        <v>556</v>
      </c>
      <c r="B82" s="437" t="s">
        <v>558</v>
      </c>
      <c r="C82" s="19"/>
      <c r="D82" s="217"/>
      <c r="E82" s="217"/>
      <c r="F82" s="217"/>
      <c r="G82" s="217"/>
    </row>
    <row r="83" spans="1:32" x14ac:dyDescent="0.2">
      <c r="A83" s="217" t="s">
        <v>67</v>
      </c>
      <c r="B83" s="20" t="s">
        <v>68</v>
      </c>
      <c r="C83" s="19"/>
      <c r="D83" s="217"/>
      <c r="E83" s="217"/>
      <c r="F83" s="217"/>
      <c r="G83" s="217"/>
    </row>
    <row r="84" spans="1:32" x14ac:dyDescent="0.2">
      <c r="A84" s="217" t="s">
        <v>69</v>
      </c>
      <c r="B84" s="20" t="s">
        <v>70</v>
      </c>
      <c r="C84" s="19"/>
      <c r="D84" s="217"/>
      <c r="E84" s="217"/>
      <c r="F84" s="217"/>
      <c r="G84" s="217"/>
    </row>
    <row r="85" spans="1:32" x14ac:dyDescent="0.2">
      <c r="A85" s="217" t="s">
        <v>71</v>
      </c>
      <c r="B85" s="20" t="s">
        <v>72</v>
      </c>
      <c r="C85" s="19"/>
      <c r="D85" s="217"/>
      <c r="E85" s="217"/>
      <c r="F85" s="217"/>
      <c r="G85" s="217"/>
    </row>
    <row r="86" spans="1:32" x14ac:dyDescent="0.2">
      <c r="A86" s="217" t="s">
        <v>22</v>
      </c>
      <c r="B86" s="20" t="s">
        <v>23</v>
      </c>
      <c r="C86" s="19"/>
      <c r="D86" s="217"/>
      <c r="E86" s="217"/>
      <c r="F86" s="217"/>
      <c r="G86" s="217"/>
    </row>
    <row r="87" spans="1:32" x14ac:dyDescent="0.2">
      <c r="A87" s="217" t="s">
        <v>395</v>
      </c>
      <c r="B87" s="20" t="s">
        <v>396</v>
      </c>
      <c r="C87" s="19"/>
      <c r="D87" s="217"/>
      <c r="E87" s="217"/>
      <c r="F87" s="217"/>
      <c r="G87" s="217"/>
    </row>
    <row r="88" spans="1:32" x14ac:dyDescent="0.2">
      <c r="A88" s="217" t="s">
        <v>491</v>
      </c>
      <c r="B88" s="437" t="s">
        <v>492</v>
      </c>
      <c r="C88" s="19"/>
      <c r="D88" s="217"/>
      <c r="E88" s="217"/>
      <c r="F88" s="217"/>
      <c r="G88" s="217"/>
    </row>
    <row r="89" spans="1:32" x14ac:dyDescent="0.2">
      <c r="A89" s="217" t="s">
        <v>260</v>
      </c>
      <c r="B89" s="20" t="str">
        <f>Translations!$B$1329</f>
        <v>nepilnīgi!</v>
      </c>
      <c r="C89" s="19"/>
      <c r="D89" s="217"/>
      <c r="E89" s="217"/>
      <c r="F89" s="217"/>
      <c r="G89" s="217"/>
    </row>
    <row r="90" spans="1:32" x14ac:dyDescent="0.2">
      <c r="A90" s="217" t="s">
        <v>148</v>
      </c>
      <c r="B90" s="20" t="str">
        <f>Translations!$B$1330</f>
        <v>negatīva!</v>
      </c>
      <c r="C90" s="19"/>
      <c r="D90" s="217"/>
      <c r="E90" s="217"/>
      <c r="F90" s="217"/>
      <c r="G90" s="217"/>
    </row>
    <row r="91" spans="1:32" x14ac:dyDescent="0.2">
      <c r="A91" s="217" t="s">
        <v>381</v>
      </c>
      <c r="B91" s="20" t="str">
        <f>Translations!$B$1331</f>
        <v>nesaskanīgas!</v>
      </c>
      <c r="C91" s="19"/>
      <c r="D91" s="217"/>
      <c r="E91" s="217"/>
      <c r="F91" s="217"/>
      <c r="G91" s="217"/>
    </row>
    <row r="92" spans="1:32" x14ac:dyDescent="0.2">
      <c r="A92" s="213" t="s">
        <v>263</v>
      </c>
      <c r="B92" s="255" t="str">
        <f>Translations!$B$1332</f>
        <v>O.K.</v>
      </c>
    </row>
    <row r="93" spans="1:32" x14ac:dyDescent="0.2">
      <c r="A93" s="213" t="s">
        <v>198</v>
      </c>
      <c r="B93" s="255" t="str">
        <f>Translations!$B$1333</f>
        <v>Trūkst datuma!</v>
      </c>
    </row>
    <row r="94" spans="1:32" x14ac:dyDescent="0.2">
      <c r="A94" s="576" t="s">
        <v>630</v>
      </c>
      <c r="B94" s="588" t="s">
        <v>639</v>
      </c>
    </row>
    <row r="95" spans="1:32" x14ac:dyDescent="0.2">
      <c r="A95" s="217" t="s">
        <v>294</v>
      </c>
      <c r="B95" s="20" t="str">
        <f>Translations!$B$1334</f>
        <v>ETS neaptverts izmērāmais siltums</v>
      </c>
      <c r="C95" s="19"/>
      <c r="D95" s="217"/>
      <c r="E95" s="217"/>
      <c r="F95" s="217"/>
      <c r="G95" s="217"/>
    </row>
    <row r="96" spans="1:32" x14ac:dyDescent="0.2">
      <c r="A96" s="217" t="s">
        <v>301</v>
      </c>
      <c r="B96" s="20" t="str">
        <f>Translations!$B$1335</f>
        <v>Austrija</v>
      </c>
      <c r="C96" s="20" t="str">
        <f>Translations!$B$1336</f>
        <v>Beļģija</v>
      </c>
      <c r="D96" s="255" t="str">
        <f>Translations!$B$1337</f>
        <v>Bulgārija</v>
      </c>
      <c r="E96" s="255" t="str">
        <f>Translations!$B$1338</f>
        <v>Kipra</v>
      </c>
      <c r="F96" s="519" t="str">
        <f>Translations!$B$1339</f>
        <v>Horvātija</v>
      </c>
      <c r="G96" s="255" t="str">
        <f>Translations!$B$1746</f>
        <v>Čehija</v>
      </c>
      <c r="H96" s="255" t="str">
        <f>Translations!$B$1341</f>
        <v>Dānija</v>
      </c>
      <c r="I96" s="255" t="str">
        <f>Translations!$B$1342</f>
        <v>Igaunija</v>
      </c>
      <c r="J96" s="255" t="str">
        <f>Translations!$B$1343</f>
        <v>Somija</v>
      </c>
      <c r="K96" s="255" t="str">
        <f>Translations!$B$1344</f>
        <v>Francija</v>
      </c>
      <c r="L96" s="255" t="str">
        <f>Translations!$B$1345</f>
        <v>Vācija</v>
      </c>
      <c r="M96" s="255" t="str">
        <f>Translations!$B$1346</f>
        <v>Grieķija</v>
      </c>
      <c r="N96" s="255" t="str">
        <f>Translations!$B$1347</f>
        <v>Ungārija</v>
      </c>
      <c r="O96" s="255" t="str">
        <f>Translations!$B$1348</f>
        <v>Islande</v>
      </c>
      <c r="P96" s="255" t="str">
        <f>Translations!$B$1349</f>
        <v>Īrija</v>
      </c>
      <c r="Q96" s="255" t="str">
        <f>Translations!$B$1350</f>
        <v>Itālija</v>
      </c>
      <c r="R96" s="255" t="str">
        <f>Translations!$B$1351</f>
        <v>Latvija</v>
      </c>
      <c r="S96" s="255" t="str">
        <f>Translations!$B$1352</f>
        <v>Lihtenšteina</v>
      </c>
      <c r="T96" s="255" t="str">
        <f>Translations!$B$1353</f>
        <v>Lietuva</v>
      </c>
      <c r="U96" s="255" t="str">
        <f>Translations!$B$1354</f>
        <v>Luksemburga</v>
      </c>
      <c r="V96" s="255" t="str">
        <f>Translations!$B$1355</f>
        <v>Malta</v>
      </c>
      <c r="W96" s="255" t="str">
        <f>Translations!$B$1356</f>
        <v>Nīderlande</v>
      </c>
      <c r="X96" s="255" t="str">
        <f>Translations!$B$1357</f>
        <v>Norvēģija</v>
      </c>
      <c r="Y96" s="255" t="str">
        <f>Translations!$B$1358</f>
        <v>Polija</v>
      </c>
      <c r="Z96" s="255" t="str">
        <f>Translations!$B$1359</f>
        <v>Portugāle</v>
      </c>
      <c r="AA96" s="255" t="str">
        <f>Translations!$B$1360</f>
        <v>Rumānija</v>
      </c>
      <c r="AB96" s="255" t="str">
        <f>Translations!$B$1361</f>
        <v>Slovākija</v>
      </c>
      <c r="AC96" s="255" t="str">
        <f>Translations!$B$1362</f>
        <v>Slovēnija</v>
      </c>
      <c r="AD96" s="255" t="str">
        <f>Translations!$B$1363</f>
        <v>Spānija</v>
      </c>
      <c r="AE96" s="255" t="str">
        <f>Translations!$B$1364</f>
        <v>Zviedrija</v>
      </c>
      <c r="AF96" s="255" t="str">
        <f>Translations!$B$1365</f>
        <v>Apvienotā Karaliste</v>
      </c>
    </row>
    <row r="97" spans="1:32" x14ac:dyDescent="0.2">
      <c r="A97" s="217" t="s">
        <v>659</v>
      </c>
      <c r="B97" s="20" t="str">
        <f>D96</f>
        <v>Bulgārija</v>
      </c>
      <c r="C97" s="20" t="str">
        <f>G96</f>
        <v>Čehija</v>
      </c>
      <c r="D97" s="255" t="str">
        <f>R96</f>
        <v>Latvija</v>
      </c>
      <c r="E97" s="255" t="str">
        <f>Y96</f>
        <v>Polija</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row>
    <row r="98" spans="1:32" x14ac:dyDescent="0.2">
      <c r="A98" s="217" t="s">
        <v>302</v>
      </c>
      <c r="B98" s="20" t="str">
        <f>Translations!$B$1366</f>
        <v>AT</v>
      </c>
      <c r="C98" s="20" t="str">
        <f>Translations!$B$1367</f>
        <v>BE</v>
      </c>
      <c r="D98" s="255" t="str">
        <f>Translations!$B$1368</f>
        <v>BG</v>
      </c>
      <c r="E98" s="255" t="str">
        <f>Translations!$B$1369</f>
        <v>CY</v>
      </c>
      <c r="F98" s="519" t="str">
        <f>Translations!$B$1370</f>
        <v>HR</v>
      </c>
      <c r="G98" s="255" t="str">
        <f>Translations!$B$1371</f>
        <v>CZ</v>
      </c>
      <c r="H98" s="255" t="str">
        <f>Translations!$B$1372</f>
        <v>DK</v>
      </c>
      <c r="I98" s="255" t="str">
        <f>Translations!$B$1373</f>
        <v>EE</v>
      </c>
      <c r="J98" s="255" t="str">
        <f>Translations!$B$1374</f>
        <v>FI</v>
      </c>
      <c r="K98" s="255" t="str">
        <f>Translations!$B$1375</f>
        <v>FR</v>
      </c>
      <c r="L98" s="255" t="str">
        <f>Translations!$B$1376</f>
        <v>DE</v>
      </c>
      <c r="M98" s="255" t="str">
        <f>Translations!$B$1377</f>
        <v>EL</v>
      </c>
      <c r="N98" s="255" t="str">
        <f>Translations!$B$1378</f>
        <v>HU</v>
      </c>
      <c r="O98" s="255" t="str">
        <f>Translations!$B$1379</f>
        <v>IS</v>
      </c>
      <c r="P98" s="255" t="str">
        <f>Translations!$B$1380</f>
        <v>IE</v>
      </c>
      <c r="Q98" s="255" t="str">
        <f>Translations!$B$1381</f>
        <v>IT</v>
      </c>
      <c r="R98" s="255" t="str">
        <f>Translations!$B$1382</f>
        <v>LV</v>
      </c>
      <c r="S98" s="255" t="str">
        <f>Translations!$B$1383</f>
        <v>LI</v>
      </c>
      <c r="T98" s="255" t="str">
        <f>Translations!$B$1384</f>
        <v>LT</v>
      </c>
      <c r="U98" s="255" t="str">
        <f>Translations!$B$1385</f>
        <v>LU</v>
      </c>
      <c r="V98" s="255" t="str">
        <f>Translations!$B$1386</f>
        <v>MT</v>
      </c>
      <c r="W98" s="255" t="str">
        <f>Translations!$B$1387</f>
        <v>NL</v>
      </c>
      <c r="X98" s="255" t="str">
        <f>Translations!$B$1388</f>
        <v>NO</v>
      </c>
      <c r="Y98" s="255" t="str">
        <f>Translations!$B$1389</f>
        <v>PL</v>
      </c>
      <c r="Z98" s="255" t="str">
        <f>Translations!$B$1390</f>
        <v>PT</v>
      </c>
      <c r="AA98" s="255" t="str">
        <f>Translations!$B$1391</f>
        <v>RO</v>
      </c>
      <c r="AB98" s="255" t="str">
        <f>Translations!$B$1392</f>
        <v>SK</v>
      </c>
      <c r="AC98" s="255" t="str">
        <f>Translations!$B$1393</f>
        <v>SI</v>
      </c>
      <c r="AD98" s="255" t="str">
        <f>Translations!$B$1394</f>
        <v>ES</v>
      </c>
      <c r="AE98" s="255" t="str">
        <f>Translations!$B$1395</f>
        <v>SE</v>
      </c>
      <c r="AF98" s="255" t="str">
        <f>Translations!$B$1396</f>
        <v>UK</v>
      </c>
    </row>
    <row r="99" spans="1:32" x14ac:dyDescent="0.2">
      <c r="A99" s="587" t="s">
        <v>517</v>
      </c>
      <c r="B99" s="20" t="str">
        <f>Translations!$B$1366</f>
        <v>AT</v>
      </c>
      <c r="C99" s="20" t="str">
        <f>Translations!$B$1367</f>
        <v>BE</v>
      </c>
      <c r="D99" s="20" t="str">
        <f>Translations!$B$1368</f>
        <v>BG</v>
      </c>
      <c r="E99" s="20" t="str">
        <f>Translations!$B$1369</f>
        <v>CY</v>
      </c>
      <c r="F99" s="20" t="str">
        <f>Translations!$B$1370</f>
        <v>HR</v>
      </c>
      <c r="G99" s="20" t="str">
        <f>Translations!$B$1371</f>
        <v>CZ</v>
      </c>
      <c r="H99" s="20" t="str">
        <f>Translations!$B$1372</f>
        <v>DK</v>
      </c>
      <c r="I99" s="20" t="str">
        <f>Translations!$B$1373</f>
        <v>EE</v>
      </c>
      <c r="J99" s="20" t="str">
        <f>Translations!$B$1374</f>
        <v>FI</v>
      </c>
      <c r="K99" s="20" t="str">
        <f>Translations!$B$1375</f>
        <v>FR</v>
      </c>
      <c r="L99" s="20" t="str">
        <f>Translations!$B$1376</f>
        <v>DE</v>
      </c>
      <c r="M99" s="20" t="str">
        <f>Translations!$B$1397</f>
        <v>GR</v>
      </c>
      <c r="N99" s="20" t="str">
        <f>Translations!$B$1378</f>
        <v>HU</v>
      </c>
      <c r="O99" s="20" t="str">
        <f>Translations!$B$1379</f>
        <v>IS</v>
      </c>
      <c r="P99" s="20" t="str">
        <f>Translations!$B$1380</f>
        <v>IE</v>
      </c>
      <c r="Q99" s="20" t="str">
        <f>Translations!$B$1381</f>
        <v>IT</v>
      </c>
      <c r="R99" s="20" t="str">
        <f>Translations!$B$1382</f>
        <v>LV</v>
      </c>
      <c r="S99" s="20" t="str">
        <f>Translations!$B$1383</f>
        <v>LI</v>
      </c>
      <c r="T99" s="20" t="str">
        <f>Translations!$B$1384</f>
        <v>LT</v>
      </c>
      <c r="U99" s="20" t="str">
        <f>Translations!$B$1385</f>
        <v>LU</v>
      </c>
      <c r="V99" s="20" t="str">
        <f>Translations!$B$1386</f>
        <v>MT</v>
      </c>
      <c r="W99" s="20" t="str">
        <f>Translations!$B$1387</f>
        <v>NL</v>
      </c>
      <c r="X99" s="20" t="str">
        <f>Translations!$B$1388</f>
        <v>NO</v>
      </c>
      <c r="Y99" s="20" t="str">
        <f>Translations!$B$1389</f>
        <v>PL</v>
      </c>
      <c r="Z99" s="20" t="str">
        <f>Translations!$B$1390</f>
        <v>PT</v>
      </c>
      <c r="AA99" s="20" t="str">
        <f>Translations!$B$1391</f>
        <v>RO</v>
      </c>
      <c r="AB99" s="20" t="str">
        <f>Translations!$B$1392</f>
        <v>SK</v>
      </c>
      <c r="AC99" s="20" t="str">
        <f>Translations!$B$1393</f>
        <v>SI</v>
      </c>
      <c r="AD99" s="20" t="str">
        <f>Translations!$B$1394</f>
        <v>ES</v>
      </c>
      <c r="AE99" s="20" t="str">
        <f>Translations!$B$1395</f>
        <v>SE</v>
      </c>
      <c r="AF99" s="20" t="str">
        <f>Translations!$B$1398</f>
        <v>GB</v>
      </c>
    </row>
    <row r="100" spans="1:32" x14ac:dyDescent="0.2">
      <c r="A100" s="217" t="s">
        <v>345</v>
      </c>
      <c r="B100" s="437" t="str">
        <f>Translations!$B$1399</f>
        <v>Uz a), b) un d) jautājumu jāatbild obligāti!</v>
      </c>
      <c r="C100" s="19"/>
      <c r="D100" s="217"/>
      <c r="E100" s="217"/>
      <c r="F100" s="217"/>
      <c r="G100" s="217"/>
    </row>
    <row r="101" spans="1:32" x14ac:dyDescent="0.2">
      <c r="A101" s="217" t="s">
        <v>261</v>
      </c>
      <c r="B101" s="437" t="str">
        <f>Translations!$B$1747</f>
        <v>Obligāti jāapstiprina A lapas II sadaļas 1. punkts!</v>
      </c>
      <c r="C101" s="19"/>
      <c r="D101" s="217"/>
      <c r="E101" s="217"/>
      <c r="F101" s="217"/>
      <c r="G101" s="217"/>
    </row>
    <row r="102" spans="1:32" x14ac:dyDescent="0.2">
      <c r="A102" s="217" t="s">
        <v>344</v>
      </c>
      <c r="B102" s="437" t="str">
        <f>Translations!$B$1401</f>
        <v>Obligāti jāatbild uz jautājumu A lapas II sadaļas 1. punkta g) apakšpunktā!</v>
      </c>
      <c r="C102" s="19"/>
      <c r="D102" s="217"/>
      <c r="E102" s="217"/>
      <c r="F102" s="217"/>
      <c r="G102" s="217"/>
    </row>
    <row r="103" spans="1:32" x14ac:dyDescent="0.2">
      <c r="A103" s="217" t="s">
        <v>348</v>
      </c>
      <c r="B103" s="20" t="str">
        <f>Translations!$B$1402</f>
        <v>Vismaz vienas apakšiekārtas nosaukums ir ievadīts vairāk nekā vienu reizi. Izlabojiet!</v>
      </c>
      <c r="C103" s="19"/>
      <c r="D103" s="217"/>
      <c r="E103" s="217"/>
      <c r="F103" s="217"/>
      <c r="G103" s="217"/>
    </row>
    <row r="104" spans="1:32" x14ac:dyDescent="0.2">
      <c r="A104" s="217" t="s">
        <v>349</v>
      </c>
      <c r="B104" s="20" t="str">
        <f>Translations!$B$1403</f>
        <v>III sadaļas 1. vai 2. punktā jāizvēlas vismaz viena apakšiekārta!</v>
      </c>
      <c r="C104" s="19"/>
      <c r="D104" s="217"/>
      <c r="E104" s="217"/>
      <c r="F104" s="217"/>
      <c r="G104" s="217"/>
    </row>
    <row r="105" spans="1:32" x14ac:dyDescent="0.2">
      <c r="A105" s="217" t="s">
        <v>350</v>
      </c>
      <c r="B105" s="20" t="str">
        <f>Translations!$B$1404</f>
        <v>Par katru apakšiekārtu norādiet, vai tā ir vai nav relevanta!</v>
      </c>
      <c r="C105" s="19"/>
      <c r="D105" s="217"/>
      <c r="E105" s="217"/>
      <c r="F105" s="217"/>
      <c r="G105" s="217"/>
    </row>
    <row r="106" spans="1:32" x14ac:dyDescent="0.2">
      <c r="A106" s="217" t="s">
        <v>353</v>
      </c>
      <c r="B106" s="20" t="str">
        <f>Translations!$B$1405</f>
        <v>Ievadiet informāciju b) un c) punktā!</v>
      </c>
      <c r="C106" s="19"/>
      <c r="D106" s="217"/>
      <c r="E106" s="217"/>
      <c r="F106" s="217"/>
      <c r="G106" s="217"/>
    </row>
    <row r="107" spans="1:32" x14ac:dyDescent="0.2">
      <c r="A107" s="217" t="s">
        <v>354</v>
      </c>
      <c r="B107" s="20" t="str">
        <f>Translations!$B$1406</f>
        <v>Ievadiet detalizētus avota plūsmas datus, sākot ar II sadaļu!</v>
      </c>
      <c r="C107" s="19"/>
      <c r="D107" s="217"/>
      <c r="E107" s="217"/>
      <c r="F107" s="217"/>
      <c r="G107" s="217"/>
    </row>
    <row r="108" spans="1:32" x14ac:dyDescent="0.2">
      <c r="A108" s="584" t="s">
        <v>355</v>
      </c>
      <c r="B108" s="20" t="str">
        <f>Translations!$B$1407</f>
        <v>Turpiniet ievadīt emisiju kopapjomus lapas “D_Emissions” I sadaļas 2. punktā!</v>
      </c>
      <c r="C108" s="19"/>
      <c r="D108" s="217"/>
      <c r="E108" s="217"/>
      <c r="F108" s="217"/>
      <c r="G108" s="217"/>
    </row>
    <row r="109" spans="1:32" x14ac:dyDescent="0.2">
      <c r="A109" s="217" t="s">
        <v>189</v>
      </c>
      <c r="B109" s="20" t="str">
        <f>Translations!$B$1408</f>
        <v>Ievadiet datus arī E lapas II sadaļas 4. punktā!</v>
      </c>
      <c r="C109" s="19"/>
      <c r="D109" s="217"/>
      <c r="E109" s="217"/>
      <c r="F109" s="217"/>
      <c r="G109" s="217"/>
    </row>
    <row r="110" spans="1:32" x14ac:dyDescent="0.2">
      <c r="A110" s="217" t="s">
        <v>188</v>
      </c>
      <c r="B110" s="20" t="str">
        <f>Translations!$B$1409</f>
        <v>Ievadiet datus arī D lapas II sadaļas 3. punkta a) apakšpunktā!</v>
      </c>
      <c r="C110" s="19"/>
      <c r="D110" s="217"/>
      <c r="E110" s="217"/>
      <c r="F110" s="217"/>
      <c r="G110" s="217"/>
    </row>
    <row r="111" spans="1:32" x14ac:dyDescent="0.2">
      <c r="A111" s="438" t="s">
        <v>552</v>
      </c>
      <c r="B111" s="437" t="str">
        <f>Translations!$B$1410</f>
        <v>ERR_AttrEmBM_ </v>
      </c>
      <c r="C111" s="19"/>
      <c r="D111" s="217"/>
      <c r="E111" s="217"/>
      <c r="F111" s="217"/>
      <c r="G111" s="217"/>
    </row>
    <row r="112" spans="1:32" x14ac:dyDescent="0.2">
      <c r="A112" s="217" t="s">
        <v>377</v>
      </c>
      <c r="B112" s="20" t="str">
        <f>Translations!$B$1411</f>
        <v xml:space="preserve">Sīki norādījumi par datu ievadi šajā rīkā ir pieejami pirmajā vietā, kur parādās šis rīks. </v>
      </c>
      <c r="C112" s="19"/>
      <c r="D112" s="217"/>
      <c r="E112" s="217"/>
      <c r="F112" s="217"/>
      <c r="G112" s="217"/>
    </row>
    <row r="113" spans="1:16" x14ac:dyDescent="0.2">
      <c r="A113" s="438" t="s">
        <v>562</v>
      </c>
      <c r="B113" s="437" t="str">
        <f>Translations!$B$1412</f>
        <v>Emisiju attiecinājums uz apakšiekārtām ir atrodams kopsavilkuma lapā.</v>
      </c>
      <c r="C113" s="19"/>
      <c r="D113" s="217"/>
      <c r="E113" s="217"/>
      <c r="F113" s="217"/>
      <c r="G113" s="217"/>
    </row>
    <row r="114" spans="1:16" x14ac:dyDescent="0.2">
      <c r="A114" s="217" t="s">
        <v>378</v>
      </c>
      <c r="B114" s="20" t="str">
        <f>Translations!$B$1413</f>
        <v>Pārejiet pie lapas “F_ProductBM”!</v>
      </c>
      <c r="C114" s="19"/>
      <c r="D114" s="217"/>
      <c r="E114" s="217"/>
      <c r="F114" s="217"/>
      <c r="G114" s="217"/>
    </row>
    <row r="115" spans="1:16" x14ac:dyDescent="0.2">
      <c r="A115" s="217" t="s">
        <v>379</v>
      </c>
      <c r="B115" s="20" t="str">
        <f>Translations!$B$1414</f>
        <v>Pārejiet pie E lapas II sadaļas 2. punkta.</v>
      </c>
      <c r="C115" s="19"/>
      <c r="D115" s="217"/>
      <c r="E115" s="217"/>
      <c r="F115" s="217"/>
      <c r="G115" s="217"/>
    </row>
    <row r="116" spans="1:16" x14ac:dyDescent="0.2">
      <c r="A116" s="217" t="s">
        <v>380</v>
      </c>
      <c r="B116" s="20" t="str">
        <f>Translations!$B$1415</f>
        <v>Pārejiet pie nākamajiem punktiem.</v>
      </c>
      <c r="C116" s="19"/>
      <c r="D116" s="217"/>
      <c r="E116" s="217"/>
      <c r="F116" s="217"/>
      <c r="G116" s="217"/>
    </row>
    <row r="117" spans="1:16" x14ac:dyDescent="0.2">
      <c r="A117" s="217" t="s">
        <v>191</v>
      </c>
      <c r="B117" s="20" t="str">
        <f>Translations!$B$1416</f>
        <v>Izmantojiet elektroenerģijas apmaināmības rīku (zemāk).</v>
      </c>
      <c r="C117" s="19"/>
      <c r="D117" s="217"/>
      <c r="E117" s="217"/>
      <c r="F117" s="217"/>
      <c r="G117" s="217"/>
    </row>
    <row r="118" spans="1:16" x14ac:dyDescent="0.2">
      <c r="A118" s="217" t="s">
        <v>193</v>
      </c>
      <c r="B118" s="20" t="str">
        <f>Translations!$B$1417</f>
        <v>Pārejiet pie d) punkta.</v>
      </c>
      <c r="C118" s="19"/>
      <c r="D118" s="217"/>
      <c r="E118" s="217"/>
      <c r="F118" s="217"/>
      <c r="G118" s="217"/>
    </row>
    <row r="119" spans="1:16" x14ac:dyDescent="0.2">
      <c r="A119" s="217" t="s">
        <v>194</v>
      </c>
      <c r="B119" s="20" t="str">
        <f>Translations!$B$1418</f>
        <v>Ja jūsu iekārtai tas nav relevanti, pārejiet pie nākamajiem punktiem.</v>
      </c>
      <c r="C119" s="19"/>
      <c r="D119" s="217"/>
      <c r="E119" s="217"/>
      <c r="F119" s="217"/>
      <c r="G119" s="217"/>
    </row>
    <row r="120" spans="1:16" x14ac:dyDescent="0.2">
      <c r="A120" s="217" t="s">
        <v>197</v>
      </c>
      <c r="B120" s="20" t="str">
        <f>Translations!$B$1419</f>
        <v>Datumiem jābūt pieaugošā secībā!</v>
      </c>
      <c r="C120" s="19"/>
      <c r="D120" s="217"/>
      <c r="E120" s="217"/>
      <c r="F120" s="217"/>
      <c r="G120" s="217"/>
    </row>
    <row r="121" spans="1:16" x14ac:dyDescent="0.2">
      <c r="A121" s="217" t="s">
        <v>300</v>
      </c>
      <c r="B121" s="437" t="s">
        <v>642</v>
      </c>
      <c r="C121" s="19"/>
      <c r="D121" s="217"/>
      <c r="E121" s="217"/>
      <c r="F121" s="217"/>
      <c r="G121" s="217"/>
    </row>
    <row r="122" spans="1:16" x14ac:dyDescent="0.2">
      <c r="A122" s="584" t="s">
        <v>28</v>
      </c>
      <c r="B122" s="20" t="str">
        <f>Translations!$B$1421</f>
        <v>Ievadiet datus šajā sadaļā!</v>
      </c>
      <c r="C122" s="19"/>
      <c r="D122" s="217"/>
      <c r="E122" s="217"/>
      <c r="F122" s="217"/>
      <c r="G122" s="217"/>
    </row>
    <row r="123" spans="1:16" x14ac:dyDescent="0.2">
      <c r="A123" s="217" t="s">
        <v>29</v>
      </c>
      <c r="B123" s="20" t="str">
        <f>Translations!$B$1422</f>
        <v>Turpiniet ar nākamo apakšiekārtu!</v>
      </c>
      <c r="C123" s="19"/>
      <c r="D123" s="217"/>
      <c r="E123" s="217"/>
      <c r="F123" s="217"/>
      <c r="G123" s="217"/>
    </row>
    <row r="124" spans="1:16" x14ac:dyDescent="0.2">
      <c r="A124" s="217" t="s">
        <v>34</v>
      </c>
      <c r="B124" s="20" t="str">
        <f>Translations!$B$1423</f>
        <v>Lai atgrieztos lapā “F_ProductBM”, noklikšķiniet šeit.</v>
      </c>
      <c r="C124" s="19"/>
      <c r="D124" s="217"/>
      <c r="E124" s="217"/>
      <c r="F124" s="217"/>
      <c r="G124" s="217"/>
    </row>
    <row r="125" spans="1:16" x14ac:dyDescent="0.2">
      <c r="A125" s="217" t="s">
        <v>54</v>
      </c>
      <c r="B125" s="20" t="str">
        <f>Translations!$B$1424</f>
        <v>Turpiniet ievadīt datus c) un d) punktā!</v>
      </c>
      <c r="C125" s="19"/>
      <c r="D125" s="217"/>
      <c r="E125" s="217"/>
      <c r="F125" s="217"/>
      <c r="G125" s="217"/>
    </row>
    <row r="126" spans="1:16" x14ac:dyDescent="0.2">
      <c r="A126" s="217" t="s">
        <v>55</v>
      </c>
      <c r="B126" s="20" t="str">
        <f>Translations!$B$1425</f>
        <v>Turpiniet ar e) punktu!</v>
      </c>
      <c r="C126" s="19"/>
      <c r="D126" s="217"/>
      <c r="E126" s="217"/>
      <c r="F126" s="217"/>
      <c r="G126" s="217"/>
    </row>
    <row r="127" spans="1:16" x14ac:dyDescent="0.2">
      <c r="A127" s="438" t="s">
        <v>423</v>
      </c>
      <c r="B127" s="437" t="s">
        <v>422</v>
      </c>
      <c r="C127" s="19"/>
      <c r="D127" s="19"/>
      <c r="E127" s="19"/>
      <c r="F127" s="19"/>
      <c r="G127" s="19"/>
      <c r="H127" s="19"/>
      <c r="I127" s="19"/>
      <c r="J127" s="19"/>
      <c r="K127" s="19"/>
      <c r="L127" s="19"/>
      <c r="M127" s="19"/>
      <c r="N127" s="19"/>
      <c r="O127" s="19"/>
      <c r="P127" s="19"/>
    </row>
    <row r="128" spans="1:16" x14ac:dyDescent="0.2">
      <c r="A128" s="438" t="s">
        <v>563</v>
      </c>
      <c r="B128" s="437" t="s">
        <v>564</v>
      </c>
      <c r="C128" s="19"/>
      <c r="D128" s="19"/>
      <c r="E128" s="19"/>
      <c r="F128" s="19"/>
      <c r="G128" s="19"/>
      <c r="H128" s="19"/>
      <c r="I128" s="19"/>
      <c r="J128" s="19"/>
      <c r="K128" s="19"/>
      <c r="L128" s="19"/>
      <c r="M128" s="19"/>
      <c r="N128" s="19"/>
      <c r="O128" s="19"/>
      <c r="P128" s="19"/>
    </row>
    <row r="129" spans="1:16" x14ac:dyDescent="0.2">
      <c r="A129" s="438" t="s">
        <v>662</v>
      </c>
      <c r="B129" s="437" t="s">
        <v>663</v>
      </c>
      <c r="C129" s="19"/>
      <c r="D129" s="19"/>
      <c r="E129" s="19"/>
      <c r="F129" s="19"/>
      <c r="G129" s="19"/>
      <c r="H129" s="19"/>
      <c r="I129" s="19"/>
      <c r="J129" s="19"/>
      <c r="K129" s="19"/>
      <c r="L129" s="19"/>
      <c r="M129" s="19"/>
      <c r="N129" s="19"/>
      <c r="O129" s="19"/>
      <c r="P129" s="19"/>
    </row>
    <row r="130" spans="1:16" x14ac:dyDescent="0.2">
      <c r="A130" s="438" t="s">
        <v>665</v>
      </c>
      <c r="B130" s="437" t="s">
        <v>664</v>
      </c>
      <c r="C130" s="19"/>
      <c r="D130" s="19"/>
      <c r="E130" s="19"/>
      <c r="F130" s="19"/>
      <c r="G130" s="19"/>
      <c r="H130" s="19"/>
      <c r="I130" s="19"/>
      <c r="J130" s="19"/>
      <c r="K130" s="19"/>
      <c r="L130" s="19"/>
      <c r="M130" s="19"/>
      <c r="N130" s="19"/>
      <c r="O130" s="19"/>
      <c r="P130" s="19"/>
    </row>
    <row r="131" spans="1:16" x14ac:dyDescent="0.2">
      <c r="A131" s="438" t="s">
        <v>666</v>
      </c>
      <c r="B131" s="437" t="s">
        <v>668</v>
      </c>
      <c r="C131" s="19"/>
      <c r="D131" s="19"/>
      <c r="E131" s="19"/>
      <c r="F131" s="19"/>
      <c r="G131" s="19"/>
      <c r="H131" s="19"/>
      <c r="I131" s="19"/>
      <c r="J131" s="19"/>
      <c r="K131" s="19"/>
      <c r="L131" s="19"/>
      <c r="M131" s="19"/>
      <c r="N131" s="19"/>
      <c r="O131" s="19"/>
      <c r="P131" s="19"/>
    </row>
    <row r="132" spans="1:16" x14ac:dyDescent="0.2">
      <c r="A132" s="438" t="s">
        <v>667</v>
      </c>
      <c r="B132" s="437" t="s">
        <v>669</v>
      </c>
      <c r="C132" s="19"/>
      <c r="D132" s="19"/>
      <c r="E132" s="19"/>
      <c r="F132" s="19"/>
      <c r="G132" s="19"/>
      <c r="H132" s="19"/>
      <c r="I132" s="19"/>
      <c r="J132" s="19"/>
      <c r="K132" s="19"/>
      <c r="L132" s="19"/>
      <c r="M132" s="19"/>
      <c r="N132" s="19"/>
      <c r="O132" s="19"/>
      <c r="P132" s="19"/>
    </row>
    <row r="133" spans="1:16" x14ac:dyDescent="0.2">
      <c r="A133" s="438" t="s">
        <v>670</v>
      </c>
      <c r="B133" s="437" t="s">
        <v>671</v>
      </c>
      <c r="C133" s="19"/>
      <c r="D133" s="19"/>
      <c r="E133" s="19"/>
      <c r="F133" s="19"/>
      <c r="G133" s="19"/>
      <c r="H133" s="19"/>
      <c r="I133" s="19"/>
      <c r="J133" s="19"/>
      <c r="K133" s="19"/>
      <c r="L133" s="19"/>
      <c r="M133" s="19"/>
      <c r="N133" s="19"/>
      <c r="O133" s="19"/>
      <c r="P133" s="19"/>
    </row>
    <row r="134" spans="1:16" x14ac:dyDescent="0.2">
      <c r="A134" s="438" t="s">
        <v>602</v>
      </c>
      <c r="B134" s="437" t="s">
        <v>603</v>
      </c>
      <c r="C134" s="19"/>
      <c r="D134" s="217"/>
      <c r="E134" s="217"/>
      <c r="F134" s="217"/>
      <c r="G134" s="217"/>
    </row>
    <row r="135" spans="1:16" x14ac:dyDescent="0.2">
      <c r="A135" s="438" t="s">
        <v>645</v>
      </c>
      <c r="B135" s="437" t="s">
        <v>646</v>
      </c>
      <c r="C135" s="19"/>
      <c r="D135" s="217"/>
      <c r="E135" s="217"/>
      <c r="F135" s="217"/>
      <c r="G135" s="217"/>
    </row>
    <row r="136" spans="1:16" x14ac:dyDescent="0.2">
      <c r="A136" s="438" t="s">
        <v>419</v>
      </c>
      <c r="B136" s="437" t="s">
        <v>417</v>
      </c>
      <c r="C136" s="19"/>
      <c r="D136" s="217"/>
      <c r="E136" s="217"/>
      <c r="F136" s="217"/>
      <c r="G136" s="217"/>
    </row>
    <row r="137" spans="1:16" x14ac:dyDescent="0.2">
      <c r="A137" s="438" t="s">
        <v>427</v>
      </c>
      <c r="B137" s="437" t="s">
        <v>426</v>
      </c>
      <c r="C137" s="19"/>
      <c r="D137" s="217"/>
      <c r="E137" s="217"/>
      <c r="F137" s="217"/>
      <c r="G137" s="217"/>
    </row>
    <row r="138" spans="1:16" x14ac:dyDescent="0.2">
      <c r="A138" s="438" t="s">
        <v>518</v>
      </c>
      <c r="B138" s="437" t="s">
        <v>519</v>
      </c>
      <c r="C138" s="19"/>
      <c r="D138" s="217"/>
      <c r="E138" s="217"/>
      <c r="F138" s="217"/>
      <c r="G138" s="217"/>
    </row>
    <row r="139" spans="1:16" x14ac:dyDescent="0.2">
      <c r="A139" s="438" t="s">
        <v>566</v>
      </c>
      <c r="B139" s="437" t="s">
        <v>567</v>
      </c>
      <c r="C139" s="19"/>
      <c r="D139" s="217"/>
      <c r="E139" s="217"/>
      <c r="F139" s="217"/>
      <c r="G139" s="217"/>
    </row>
    <row r="140" spans="1:16" x14ac:dyDescent="0.2">
      <c r="A140" s="438" t="s">
        <v>523</v>
      </c>
      <c r="B140" s="437" t="s">
        <v>524</v>
      </c>
      <c r="C140" s="19"/>
      <c r="D140" s="217"/>
      <c r="E140" s="217"/>
      <c r="F140" s="217"/>
      <c r="G140" s="217"/>
    </row>
    <row r="141" spans="1:16" x14ac:dyDescent="0.2">
      <c r="A141" s="438" t="s">
        <v>568</v>
      </c>
      <c r="B141" s="437" t="s">
        <v>569</v>
      </c>
      <c r="C141" s="19"/>
      <c r="D141" s="217"/>
      <c r="E141" s="217"/>
      <c r="F141" s="217"/>
      <c r="G141" s="217"/>
    </row>
    <row r="142" spans="1:16" x14ac:dyDescent="0.2">
      <c r="A142" s="438" t="s">
        <v>520</v>
      </c>
      <c r="B142" s="437" t="s">
        <v>521</v>
      </c>
      <c r="C142" s="19"/>
      <c r="D142" s="217"/>
      <c r="E142" s="217"/>
      <c r="F142" s="217"/>
      <c r="G142" s="217"/>
    </row>
    <row r="143" spans="1:16" x14ac:dyDescent="0.2">
      <c r="A143" s="438" t="s">
        <v>570</v>
      </c>
      <c r="B143" s="437" t="s">
        <v>571</v>
      </c>
      <c r="C143" s="19"/>
      <c r="D143" s="217"/>
      <c r="E143" s="217"/>
      <c r="F143" s="217"/>
      <c r="G143" s="217"/>
    </row>
    <row r="144" spans="1:16" x14ac:dyDescent="0.2">
      <c r="A144" s="438" t="s">
        <v>434</v>
      </c>
      <c r="B144" s="437" t="s">
        <v>437</v>
      </c>
      <c r="C144" s="19"/>
      <c r="D144" s="217"/>
      <c r="E144" s="217"/>
      <c r="F144" s="217"/>
      <c r="G144" s="217"/>
    </row>
    <row r="145" spans="1:7" x14ac:dyDescent="0.2">
      <c r="A145" s="438" t="s">
        <v>435</v>
      </c>
      <c r="B145" s="437" t="s">
        <v>436</v>
      </c>
      <c r="C145" s="19"/>
      <c r="D145" s="217"/>
      <c r="E145" s="217"/>
      <c r="F145" s="217"/>
      <c r="G145" s="217"/>
    </row>
    <row r="146" spans="1:7" x14ac:dyDescent="0.2">
      <c r="A146" s="438" t="s">
        <v>420</v>
      </c>
      <c r="B146" s="437" t="s">
        <v>418</v>
      </c>
      <c r="C146" s="19"/>
      <c r="D146" s="217"/>
      <c r="E146" s="217"/>
      <c r="F146" s="217"/>
      <c r="G146" s="217"/>
    </row>
    <row r="147" spans="1:7" x14ac:dyDescent="0.2">
      <c r="A147" s="438" t="s">
        <v>424</v>
      </c>
      <c r="B147" s="437" t="s">
        <v>425</v>
      </c>
      <c r="C147" s="19"/>
      <c r="D147" s="217"/>
      <c r="E147" s="217"/>
      <c r="F147" s="217"/>
      <c r="G147" s="217"/>
    </row>
    <row r="148" spans="1:7" x14ac:dyDescent="0.2">
      <c r="A148" s="438" t="s">
        <v>428</v>
      </c>
      <c r="B148" s="437" t="s">
        <v>429</v>
      </c>
      <c r="C148" s="19"/>
      <c r="D148" s="217"/>
      <c r="E148" s="217"/>
      <c r="F148" s="217"/>
      <c r="G148" s="217"/>
    </row>
    <row r="149" spans="1:7" x14ac:dyDescent="0.2">
      <c r="A149" s="438" t="s">
        <v>430</v>
      </c>
      <c r="B149" s="437" t="s">
        <v>431</v>
      </c>
      <c r="C149" s="19"/>
      <c r="D149" s="217"/>
      <c r="E149" s="217"/>
      <c r="F149" s="217"/>
      <c r="G149" s="217"/>
    </row>
    <row r="150" spans="1:7" x14ac:dyDescent="0.2">
      <c r="A150" s="438" t="s">
        <v>473</v>
      </c>
      <c r="B150" s="437" t="s">
        <v>474</v>
      </c>
      <c r="C150" s="19"/>
      <c r="D150" s="217"/>
      <c r="E150" s="217"/>
      <c r="F150" s="217"/>
      <c r="G150" s="217"/>
    </row>
    <row r="151" spans="1:7" x14ac:dyDescent="0.2">
      <c r="A151" s="438" t="s">
        <v>475</v>
      </c>
      <c r="B151" s="437" t="s">
        <v>476</v>
      </c>
      <c r="C151" s="19"/>
      <c r="D151" s="217"/>
      <c r="E151" s="217"/>
      <c r="F151" s="217"/>
      <c r="G151" s="217"/>
    </row>
    <row r="152" spans="1:7" x14ac:dyDescent="0.2">
      <c r="A152" s="438" t="s">
        <v>432</v>
      </c>
      <c r="B152" s="437" t="s">
        <v>433</v>
      </c>
      <c r="C152" s="19"/>
      <c r="D152" s="217"/>
      <c r="E152" s="217"/>
      <c r="F152" s="217"/>
      <c r="G152" s="217"/>
    </row>
    <row r="153" spans="1:7" x14ac:dyDescent="0.2">
      <c r="A153" s="438" t="s">
        <v>534</v>
      </c>
      <c r="B153" s="437" t="s">
        <v>535</v>
      </c>
      <c r="C153" s="19"/>
      <c r="D153" s="217"/>
      <c r="E153" s="217"/>
      <c r="F153" s="217"/>
      <c r="G153" s="217"/>
    </row>
    <row r="154" spans="1:7" x14ac:dyDescent="0.2">
      <c r="A154" s="438" t="s">
        <v>449</v>
      </c>
      <c r="B154" s="437" t="s">
        <v>565</v>
      </c>
      <c r="C154" s="19"/>
      <c r="D154" s="217"/>
      <c r="E154" s="217"/>
      <c r="F154" s="217"/>
      <c r="G154" s="217"/>
    </row>
    <row r="155" spans="1:7" x14ac:dyDescent="0.2">
      <c r="A155" s="438" t="s">
        <v>583</v>
      </c>
      <c r="B155" s="437" t="s">
        <v>586</v>
      </c>
      <c r="C155" s="19"/>
      <c r="D155" s="217"/>
      <c r="E155" s="217"/>
      <c r="F155" s="217"/>
      <c r="G155" s="217"/>
    </row>
    <row r="156" spans="1:7" x14ac:dyDescent="0.2">
      <c r="A156" s="438" t="s">
        <v>584</v>
      </c>
      <c r="B156" s="437" t="s">
        <v>587</v>
      </c>
      <c r="C156" s="19"/>
      <c r="D156" s="217"/>
      <c r="E156" s="217"/>
      <c r="F156" s="217"/>
      <c r="G156" s="217"/>
    </row>
    <row r="157" spans="1:7" x14ac:dyDescent="0.2">
      <c r="A157" s="438" t="s">
        <v>585</v>
      </c>
      <c r="B157" s="437" t="s">
        <v>588</v>
      </c>
      <c r="C157" s="19"/>
      <c r="D157" s="217"/>
      <c r="E157" s="217"/>
      <c r="F157" s="217"/>
      <c r="G157" s="217"/>
    </row>
    <row r="158" spans="1:7" x14ac:dyDescent="0.2">
      <c r="A158" s="438" t="s">
        <v>591</v>
      </c>
      <c r="B158" s="437" t="s">
        <v>589</v>
      </c>
      <c r="C158" s="19"/>
      <c r="D158" s="217"/>
      <c r="E158" s="217"/>
      <c r="F158" s="217"/>
      <c r="G158" s="217"/>
    </row>
    <row r="159" spans="1:7" x14ac:dyDescent="0.2">
      <c r="A159" s="438" t="s">
        <v>592</v>
      </c>
      <c r="B159" s="437" t="s">
        <v>590</v>
      </c>
      <c r="C159" s="19"/>
      <c r="D159" s="217"/>
      <c r="E159" s="217"/>
      <c r="F159" s="217"/>
      <c r="G159" s="217"/>
    </row>
    <row r="160" spans="1:7" x14ac:dyDescent="0.2">
      <c r="A160" s="438" t="s">
        <v>503</v>
      </c>
      <c r="B160" s="437" t="s">
        <v>501</v>
      </c>
      <c r="C160" s="19"/>
      <c r="D160" s="217"/>
      <c r="E160" s="217"/>
      <c r="F160" s="217"/>
      <c r="G160" s="217"/>
    </row>
    <row r="161" spans="1:11" x14ac:dyDescent="0.2">
      <c r="A161" s="438" t="s">
        <v>504</v>
      </c>
      <c r="B161" s="437" t="s">
        <v>502</v>
      </c>
      <c r="C161" s="19"/>
      <c r="D161" s="217"/>
      <c r="E161" s="217"/>
      <c r="F161" s="217"/>
      <c r="G161" s="217"/>
    </row>
    <row r="162" spans="1:11" x14ac:dyDescent="0.2">
      <c r="A162" s="438" t="s">
        <v>650</v>
      </c>
      <c r="B162" s="437" t="s">
        <v>653</v>
      </c>
      <c r="C162" s="19"/>
      <c r="D162" s="217"/>
      <c r="E162" s="217"/>
      <c r="F162" s="217"/>
      <c r="G162" s="217"/>
    </row>
    <row r="163" spans="1:11" x14ac:dyDescent="0.2">
      <c r="A163" s="438" t="s">
        <v>651</v>
      </c>
      <c r="B163" s="437" t="s">
        <v>652</v>
      </c>
      <c r="C163" s="19"/>
      <c r="D163" s="217"/>
      <c r="E163" s="217"/>
      <c r="F163" s="217"/>
      <c r="G163" s="217"/>
    </row>
    <row r="164" spans="1:11" x14ac:dyDescent="0.2">
      <c r="A164" s="438" t="s">
        <v>575</v>
      </c>
      <c r="B164" s="437" t="s">
        <v>577</v>
      </c>
      <c r="C164" s="19"/>
      <c r="D164" s="217"/>
      <c r="E164" s="217"/>
      <c r="F164" s="217"/>
      <c r="G164" s="217"/>
    </row>
    <row r="165" spans="1:11" x14ac:dyDescent="0.2">
      <c r="A165" s="438" t="s">
        <v>576</v>
      </c>
      <c r="B165" s="437" t="s">
        <v>578</v>
      </c>
      <c r="C165" s="19"/>
      <c r="D165" s="217"/>
      <c r="E165" s="217"/>
      <c r="F165" s="217"/>
      <c r="G165" s="217"/>
    </row>
    <row r="166" spans="1:11" x14ac:dyDescent="0.2">
      <c r="A166" s="438" t="s">
        <v>505</v>
      </c>
      <c r="B166" s="437" t="s">
        <v>506</v>
      </c>
      <c r="C166" s="19"/>
      <c r="D166" s="217"/>
      <c r="E166" s="217"/>
      <c r="F166" s="217"/>
      <c r="G166" s="217"/>
    </row>
    <row r="167" spans="1:11" x14ac:dyDescent="0.2">
      <c r="A167" s="438" t="s">
        <v>537</v>
      </c>
      <c r="B167" s="437" t="s">
        <v>538</v>
      </c>
      <c r="C167" s="19"/>
      <c r="D167" s="217"/>
      <c r="E167" s="217"/>
      <c r="F167" s="217"/>
      <c r="G167" s="217"/>
    </row>
    <row r="168" spans="1:11" x14ac:dyDescent="0.2">
      <c r="A168" s="438" t="s">
        <v>638</v>
      </c>
      <c r="B168" s="437" t="s">
        <v>638</v>
      </c>
      <c r="C168" s="19"/>
      <c r="D168" s="217"/>
      <c r="E168" s="217"/>
      <c r="F168" s="217"/>
      <c r="G168" s="217"/>
    </row>
    <row r="169" spans="1:11" x14ac:dyDescent="0.2">
      <c r="A169" s="438" t="s">
        <v>453</v>
      </c>
      <c r="B169" s="255" t="str">
        <f>EUconst_tCO2&amp;" / "&amp;EUconst_MWh</f>
        <v>t CO2 / MWh</v>
      </c>
      <c r="C169" s="19"/>
      <c r="D169" s="217"/>
      <c r="E169" s="217"/>
      <c r="F169" s="217"/>
      <c r="G169" s="217"/>
    </row>
    <row r="170" spans="1:11" x14ac:dyDescent="0.2">
      <c r="A170" s="438" t="s">
        <v>454</v>
      </c>
      <c r="B170" s="20">
        <v>56.1</v>
      </c>
      <c r="C170" s="19"/>
      <c r="D170" s="217"/>
      <c r="E170" s="217"/>
      <c r="F170" s="217"/>
      <c r="G170" s="217"/>
    </row>
    <row r="171" spans="1:11" x14ac:dyDescent="0.2">
      <c r="A171" s="438" t="s">
        <v>533</v>
      </c>
      <c r="B171" s="20">
        <v>0.66700000000000004</v>
      </c>
      <c r="C171" s="19"/>
      <c r="D171" s="217"/>
      <c r="E171" s="217"/>
      <c r="F171" s="217"/>
      <c r="G171" s="217"/>
    </row>
    <row r="172" spans="1:11" x14ac:dyDescent="0.2">
      <c r="A172" s="438" t="s">
        <v>482</v>
      </c>
      <c r="B172" s="585">
        <v>0.3</v>
      </c>
      <c r="C172" s="585">
        <v>0.3</v>
      </c>
      <c r="D172" s="585">
        <v>0.3</v>
      </c>
      <c r="E172" s="585">
        <v>0.3</v>
      </c>
      <c r="F172" s="585">
        <v>0.3</v>
      </c>
      <c r="G172" s="585">
        <v>0.3</v>
      </c>
      <c r="H172" s="585">
        <f>G172-25%*$G$173</f>
        <v>0.22499999999999998</v>
      </c>
      <c r="I172" s="585">
        <f>H172-25%*$G$173</f>
        <v>0.14999999999999997</v>
      </c>
      <c r="J172" s="585">
        <f>I172-25%*$G$173</f>
        <v>7.4999999999999969E-2</v>
      </c>
      <c r="K172" s="585">
        <f>J172-25%*$G$173</f>
        <v>0</v>
      </c>
    </row>
    <row r="173" spans="1:11" x14ac:dyDescent="0.2">
      <c r="A173" s="438" t="s">
        <v>483</v>
      </c>
      <c r="B173" s="585">
        <v>0.3</v>
      </c>
      <c r="C173" s="585">
        <v>0.3</v>
      </c>
      <c r="D173" s="585">
        <v>0.3</v>
      </c>
      <c r="E173" s="585">
        <v>0.3</v>
      </c>
      <c r="F173" s="585">
        <v>0.3</v>
      </c>
      <c r="G173" s="585">
        <v>0.3</v>
      </c>
      <c r="H173" s="585">
        <v>0.3</v>
      </c>
      <c r="I173" s="585">
        <v>0.3</v>
      </c>
      <c r="J173" s="585">
        <v>0.3</v>
      </c>
      <c r="K173" s="585">
        <v>0.3</v>
      </c>
    </row>
    <row r="174" spans="1:11" x14ac:dyDescent="0.2">
      <c r="A174" s="438" t="s">
        <v>626</v>
      </c>
      <c r="B174" s="585">
        <v>1</v>
      </c>
      <c r="C174" s="585">
        <v>1</v>
      </c>
      <c r="D174" s="585">
        <v>1</v>
      </c>
      <c r="E174" s="585">
        <v>1</v>
      </c>
      <c r="F174" s="585">
        <v>1</v>
      </c>
      <c r="G174" s="585">
        <v>0.97499999999999998</v>
      </c>
      <c r="H174" s="585">
        <v>0.95</v>
      </c>
      <c r="I174" s="585">
        <v>0.9</v>
      </c>
      <c r="J174" s="585">
        <v>0.77500000000000002</v>
      </c>
      <c r="K174" s="585">
        <v>0.51500000000000001</v>
      </c>
    </row>
    <row r="175" spans="1:11" x14ac:dyDescent="0.2">
      <c r="A175" s="438" t="s">
        <v>608</v>
      </c>
      <c r="B175" s="588" t="str">
        <f>Translations!$B$1426</f>
        <v>Minimums</v>
      </c>
      <c r="C175" s="588" t="str">
        <f>Translations!$B$178</f>
        <v>Maksimums</v>
      </c>
      <c r="D175" s="588" t="str">
        <f>Translations!$B$1427</f>
        <v>Faktiski</v>
      </c>
      <c r="E175" s="585"/>
      <c r="F175" s="585"/>
      <c r="G175" s="585"/>
      <c r="H175" s="585"/>
      <c r="I175" s="585"/>
      <c r="J175" s="585"/>
      <c r="K175" s="585"/>
    </row>
    <row r="176" spans="1:11" x14ac:dyDescent="0.2">
      <c r="A176" s="438" t="s">
        <v>621</v>
      </c>
      <c r="B176" s="1053">
        <f>62.3*(1-14*2.5%)</f>
        <v>40.49499999999999</v>
      </c>
      <c r="C176" s="217"/>
      <c r="D176" s="217"/>
      <c r="E176" s="217"/>
      <c r="F176" s="217"/>
      <c r="G176" s="217"/>
      <c r="H176" s="217"/>
      <c r="I176" s="217"/>
      <c r="J176" s="217"/>
      <c r="K176" s="217"/>
    </row>
    <row r="177" spans="1:13" x14ac:dyDescent="0.2">
      <c r="A177" s="438" t="s">
        <v>622</v>
      </c>
      <c r="B177" s="1053">
        <f>56.1*(1-14*2.5%)</f>
        <v>36.464999999999996</v>
      </c>
      <c r="C177" s="217"/>
      <c r="D177" s="217"/>
      <c r="E177" s="217"/>
      <c r="F177" s="217"/>
      <c r="G177" s="217"/>
    </row>
    <row r="178" spans="1:13" x14ac:dyDescent="0.2">
      <c r="A178" s="217"/>
      <c r="B178" s="217"/>
      <c r="C178" s="217"/>
      <c r="D178" s="217"/>
      <c r="E178" s="217"/>
      <c r="F178" s="217"/>
      <c r="G178" s="217"/>
    </row>
    <row r="179" spans="1:13" s="257" customFormat="1" x14ac:dyDescent="0.2">
      <c r="A179" s="257" t="str">
        <f>Translations!$B$1428</f>
        <v>Darbību saraksts</v>
      </c>
      <c r="B179" s="1014" t="s">
        <v>615</v>
      </c>
      <c r="C179" s="1014"/>
      <c r="D179" s="1014"/>
      <c r="E179" s="1014"/>
      <c r="F179" s="1014"/>
      <c r="G179" s="1014"/>
      <c r="H179" s="1014" t="s">
        <v>616</v>
      </c>
    </row>
    <row r="180" spans="1:13" s="222" customFormat="1" x14ac:dyDescent="0.2">
      <c r="A180" s="258" t="str">
        <f>Translations!$B$1429</f>
        <v>Darbības numurs</v>
      </c>
      <c r="B180" s="258" t="str">
        <f>Translations!$B$1430</f>
        <v>Darbība (ETS direktīvas I pielikums)</v>
      </c>
      <c r="C180" s="258"/>
      <c r="D180" s="258"/>
      <c r="E180" s="258"/>
      <c r="F180" s="258"/>
      <c r="G180" s="258"/>
      <c r="H180" s="258"/>
      <c r="I180" s="258"/>
      <c r="J180" s="26" t="s">
        <v>673</v>
      </c>
      <c r="K180" s="258"/>
      <c r="L180" s="258"/>
      <c r="M180" s="258"/>
    </row>
    <row r="181" spans="1:13" s="219" customFormat="1" x14ac:dyDescent="0.2">
      <c r="A181" s="219">
        <v>1</v>
      </c>
      <c r="B181" s="258" t="str">
        <f>IF(LEN(H181)&gt;250,LEFT(H181,250),H181)</f>
        <v>Kurināmā sadedzināšana iekārtās ar kopējo nominālo siltumspēju [nominālo ievadīto siltumjaudu], kas pārsniedz 20 MW (izņemot iekārtas bīstamo atkritumu vai sadzīves atkritumu sadedzināšanai [incinerēšanai])</v>
      </c>
      <c r="D181" s="222"/>
      <c r="H181" s="258" t="str">
        <f>Translations!$B$1431</f>
        <v>Kurināmā sadedzināšana iekārtās ar kopējo nominālo siltumspēju [nominālo ievadīto siltumjaudu], kas pārsniedz 20 MW (izņemot iekārtas bīstamo atkritumu vai sadzīves atkritumu sadedzināšanai [incinerēšanai])</v>
      </c>
      <c r="J181" s="219" t="b">
        <v>1</v>
      </c>
    </row>
    <row r="182" spans="1:13" s="222" customFormat="1" x14ac:dyDescent="0.2">
      <c r="A182" s="222">
        <v>2</v>
      </c>
      <c r="B182" s="258" t="str">
        <f t="shared" ref="B182:B208" si="0">IF(LEN(H182)&gt;250,LEFT(H182,250),H182)</f>
        <v xml:space="preserve">Naftas rafinēšana </v>
      </c>
      <c r="H182" s="259" t="str">
        <f>Translations!$B$1748</f>
        <v xml:space="preserve">Naftas rafinēšana </v>
      </c>
      <c r="J182" s="219" t="b">
        <v>1</v>
      </c>
    </row>
    <row r="183" spans="1:13" s="222" customFormat="1" x14ac:dyDescent="0.2">
      <c r="A183" s="222">
        <v>3</v>
      </c>
      <c r="B183" s="258" t="str">
        <f t="shared" si="0"/>
        <v xml:space="preserve">Koksa ražošana </v>
      </c>
      <c r="H183" s="259" t="str">
        <f>Translations!$B$1433</f>
        <v xml:space="preserve">Koksa ražošana </v>
      </c>
      <c r="J183" s="222" t="b">
        <v>0</v>
      </c>
    </row>
    <row r="184" spans="1:13" s="222" customFormat="1" x14ac:dyDescent="0.2">
      <c r="A184" s="222">
        <v>4</v>
      </c>
      <c r="B184" s="258" t="str">
        <f t="shared" si="0"/>
        <v xml:space="preserve">Metāla rūdas (tostarp sēra rūdas [sulfīdrūdas]) apdedzināšana vai saķepināšana [aglomerēšana], tostarp granulēšana </v>
      </c>
      <c r="H184" s="259" t="str">
        <f>Translations!$B$1434</f>
        <v xml:space="preserve">Metāla rūdas (tostarp sēra rūdas [sulfīdrūdas]) apdedzināšana vai saķepināšana [aglomerēšana], tostarp granulēšana </v>
      </c>
      <c r="J184" s="222" t="b">
        <v>0</v>
      </c>
    </row>
    <row r="185" spans="1:13" s="222" customFormat="1" x14ac:dyDescent="0.2">
      <c r="A185" s="222">
        <v>5</v>
      </c>
      <c r="B185" s="258" t="str">
        <f t="shared" si="0"/>
        <v xml:space="preserve">Dzelzs vai tērauda ražošana (primārā vai sekundārā), arī ar nepārtraukto liešanu, kopējai jaudai pārsniedzot 2,5 tonnas stundā </v>
      </c>
      <c r="H185" s="259" t="str">
        <f>Translations!$B$1749</f>
        <v xml:space="preserve">Dzelzs vai tērauda ražošana (primārā vai sekundārā), arī ar nepārtraukto liešanu, kopējai jaudai pārsniedzot 2,5 tonnas stundā </v>
      </c>
      <c r="J185" s="222" t="b">
        <v>0</v>
      </c>
    </row>
    <row r="186" spans="1:13" s="222" customFormat="1" x14ac:dyDescent="0.2">
      <c r="A186" s="222">
        <v>6</v>
      </c>
      <c r="B186" s="258" t="str">
        <f t="shared" si="0"/>
        <v>Melno metālu (tostarp ferosakausējumu) ražošana vai pārstrāde, kurā tiek izmantotas sadedzināšanas vienības [sadedzināšanas bloki], kuru kopējā nominālā siltumspēja [nominālā ievadītā siltumjauda] ir lielāka par 20 MW. Pārstrādē cita starpā tiek izma</v>
      </c>
      <c r="H186" s="259" t="str">
        <f>Translations!$B$1436</f>
        <v>Melno metālu (tostarp ferosakausējumu) ražošana vai pārstrāde, kurā tiek izmantotas sadedzināšanas vienības [sadedzināšanas bloki], kuru kopējā nominālā siltumspēja [nominālā ievadītā siltumjauda] ir lielāka par 20 MW. Pārstrādē cita starpā tiek izmantoti velmēšanas stāvi, tvaika pārkarsētāji [starppārkarsētāji], atlaidināšanas krāsnis, kaltuvju, lietuvju, pārklājumu un kodināšanas iekārtas</v>
      </c>
      <c r="J186" s="219" t="b">
        <v>1</v>
      </c>
    </row>
    <row r="187" spans="1:13" s="222" customFormat="1" x14ac:dyDescent="0.2">
      <c r="A187" s="222">
        <v>7</v>
      </c>
      <c r="B187" s="258" t="str">
        <f t="shared" si="0"/>
        <v>Primārā alumīnija vai alumīnija oksīda ražošana</v>
      </c>
      <c r="H187" s="259" t="str">
        <f>Translations!$B$1750</f>
        <v>Primārā alumīnija vai alumīnija oksīda ražošana</v>
      </c>
      <c r="J187" s="222" t="b">
        <v>0</v>
      </c>
    </row>
    <row r="188" spans="1:13" s="222" customFormat="1" x14ac:dyDescent="0.2">
      <c r="A188" s="222">
        <v>8</v>
      </c>
      <c r="B188" s="258" t="str">
        <f t="shared" si="0"/>
        <v>Sekundārā alumīnija ražošana, kurā tiek izmantotas sadedzināšanas vienības [sadedzināšanas bloki], kuru kopējā nominālā siltumspēja [nominālā ievadītā siltumjauda] ir lielāka par 20 MW</v>
      </c>
      <c r="H188" s="259" t="str">
        <f>Translations!$B$1438</f>
        <v>Sekundārā alumīnija ražošana, kurā tiek izmantotas sadedzināšanas vienības [sadedzināšanas bloki], kuru kopējā nominālā siltumspēja [nominālā ievadītā siltumjauda] ir lielāka par 20 MW</v>
      </c>
      <c r="J188" s="219" t="b">
        <v>1</v>
      </c>
    </row>
    <row r="189" spans="1:13" s="222" customFormat="1" x14ac:dyDescent="0.2">
      <c r="A189" s="222">
        <v>9</v>
      </c>
      <c r="B189" s="258" t="str">
        <f t="shared" si="0"/>
        <v>Krāsaino metālu ražošana vai pārstrāde, tostarp sakausējumu ražošana, rafinēšana, liešana u. c., kurā izmantojamo sadedzināšanas vienību [sadedzināšanas bloku] kopējā nominālā siltumspēja [nominālā ievadītā siltumjauda] (tostarp kurināmo siltumspēja,</v>
      </c>
      <c r="H189" s="259" t="str">
        <f>Translations!$B$1439</f>
        <v>Krāsaino metālu ražošana vai pārstrāde, tostarp sakausējumu ražošana, rafinēšana, liešana u. c., kurā izmantojamo sadedzināšanas vienību [sadedzināšanas bloku] kopējā nominālā siltumspēja [nominālā ievadītā siltumjauda] (tostarp kurināmo siltumspēja, kurus izmanto kā reducējošus aģentus [ieskaitot kurināmos, kurus izmanto par reducētājiem]) ir lielāka par 20 MW</v>
      </c>
      <c r="J189" s="219" t="b">
        <v>1</v>
      </c>
    </row>
    <row r="190" spans="1:13" s="222" customFormat="1" x14ac:dyDescent="0.2">
      <c r="A190" s="222">
        <v>10</v>
      </c>
      <c r="B190" s="258" t="str">
        <f t="shared" si="0"/>
        <v xml:space="preserve">Cementa klinkera ražošana rotācijas krāsnīs ar ražošanas jaudu, kura lielāka par 500 tonnām dienā, vai citu veidu krāsnīs, kuru jauda ir lielāka par 50 tonnām dienā </v>
      </c>
      <c r="H190" s="259" t="str">
        <f>Translations!$B$1440</f>
        <v xml:space="preserve">Cementa klinkera ražošana rotācijas krāsnīs ar ražošanas jaudu, kura lielāka par 500 tonnām dienā, vai citu veidu krāsnīs, kuru jauda ir lielāka par 50 tonnām dienā </v>
      </c>
      <c r="J190" s="222" t="b">
        <v>0</v>
      </c>
    </row>
    <row r="191" spans="1:13" s="222" customFormat="1" x14ac:dyDescent="0.2">
      <c r="A191" s="222">
        <v>11</v>
      </c>
      <c r="B191" s="258" t="str">
        <f t="shared" si="0"/>
        <v xml:space="preserve">Kaļķu ražošana, kā arī dolomīta vai magnezīta apdedzināšana [kalcinēšana] rotācijas krāsnīs vai citu veidu krāsnīs, kuru jauda ir lielāka par 50 tonnām dienā </v>
      </c>
      <c r="H191" s="259" t="str">
        <f>Translations!$B$1441</f>
        <v xml:space="preserve">Kaļķu ražošana, kā arī dolomīta vai magnezīta apdedzināšana [kalcinēšana] rotācijas krāsnīs vai citu veidu krāsnīs, kuru jauda ir lielāka par 50 tonnām dienā </v>
      </c>
      <c r="J191" s="222" t="b">
        <v>0</v>
      </c>
    </row>
    <row r="192" spans="1:13" s="222" customFormat="1" x14ac:dyDescent="0.2">
      <c r="A192" s="222">
        <v>12</v>
      </c>
      <c r="B192" s="258" t="str">
        <f t="shared" si="0"/>
        <v xml:space="preserve">Stikla, tostarp stikla šķiedras, ražošana iekārtās ar kausēšanas jaudu, kas pārsniedz 20 tonnas dienā </v>
      </c>
      <c r="H192" s="259" t="str">
        <f>Translations!$B$1442</f>
        <v xml:space="preserve">Stikla, tostarp stikla šķiedras, ražošana iekārtās ar kausēšanas jaudu, kas pārsniedz 20 tonnas dienā </v>
      </c>
      <c r="J192" s="222" t="b">
        <v>0</v>
      </c>
    </row>
    <row r="193" spans="1:10" s="222" customFormat="1" x14ac:dyDescent="0.2">
      <c r="A193" s="222">
        <v>13</v>
      </c>
      <c r="B193" s="258" t="str">
        <f t="shared" si="0"/>
        <v xml:space="preserve">Apdedzinātu keramikas izstrādājumu ražošana, jo īpaši kārniņu, ķieģeļu, ugunsizturīgo [karstumizturīgo] ķieģeļu, flīžu, keramikas vai porcelāna ražošana ar jaudu virs 75 tonnām dienā </v>
      </c>
      <c r="H193" s="259" t="str">
        <f>Translations!$B$1443</f>
        <v xml:space="preserve">Apdedzinātu keramikas izstrādājumu ražošana, jo īpaši kārniņu, ķieģeļu, ugunsizturīgo [karstumizturīgo] ķieģeļu, flīžu, keramikas vai porcelāna ražošana ar jaudu virs 75 tonnām dienā </v>
      </c>
      <c r="J193" s="222" t="b">
        <v>0</v>
      </c>
    </row>
    <row r="194" spans="1:10" s="222" customFormat="1" x14ac:dyDescent="0.2">
      <c r="A194" s="222">
        <v>14</v>
      </c>
      <c r="B194" s="258" t="str">
        <f t="shared" si="0"/>
        <v xml:space="preserve">Minerālvates izolācijas materiālu ražošana, izmantojot stiklu, akmeni vai izdedžus [sārņus], ar kausēšanas jaudu virs 20 tonnām dienā </v>
      </c>
      <c r="H194" s="259" t="str">
        <f>Translations!$B$1444</f>
        <v xml:space="preserve">Minerālvates izolācijas materiālu ražošana, izmantojot stiklu, akmeni vai izdedžus [sārņus], ar kausēšanas jaudu virs 20 tonnām dienā </v>
      </c>
      <c r="J194" s="222" t="b">
        <v>0</v>
      </c>
    </row>
    <row r="195" spans="1:10" s="222" customFormat="1" x14ac:dyDescent="0.2">
      <c r="A195" s="222">
        <v>15</v>
      </c>
      <c r="B195" s="258" t="str">
        <f t="shared" si="0"/>
        <v>Ģipša žāvēšana vai apdedzināšana vai ģipškartona sausā apmetuma plātņu un citu ģipša izstrādājumu ražošana, ja apdedzinātā ģipša vai žāvētā sekundārā ģipša ražošanas jauda pārsniedz 20 tonnas dienā</v>
      </c>
      <c r="H195" s="259" t="str">
        <f>Translations!$B$1751</f>
        <v>Ģipša žāvēšana vai apdedzināšana vai ģipškartona sausā apmetuma plātņu un citu ģipša izstrādājumu ražošana, ja apdedzinātā ģipša vai žāvētā sekundārā ģipša ražošanas jauda pārsniedz 20 tonnas dienā</v>
      </c>
      <c r="J195" s="222" t="b">
        <v>0</v>
      </c>
    </row>
    <row r="196" spans="1:10" s="222" customFormat="1" x14ac:dyDescent="0.2">
      <c r="A196" s="222">
        <v>16</v>
      </c>
      <c r="B196" s="258" t="str">
        <f t="shared" si="0"/>
        <v xml:space="preserve">Celulozes [pulpas] ražošana no koksnes vai citiem šķiedrainiem materiāliem </v>
      </c>
      <c r="H196" s="259" t="str">
        <f>Translations!$B$1446</f>
        <v xml:space="preserve">Celulozes [pulpas] ražošana no koksnes vai citiem šķiedrainiem materiāliem </v>
      </c>
      <c r="J196" s="222" t="b">
        <v>0</v>
      </c>
    </row>
    <row r="197" spans="1:10" s="222" customFormat="1" x14ac:dyDescent="0.2">
      <c r="A197" s="222">
        <v>17</v>
      </c>
      <c r="B197" s="258" t="str">
        <f t="shared" si="0"/>
        <v xml:space="preserve">Papīra vai kartona ražošana, ražošanas jaudai pārsniedzot 20 tonnas dienā </v>
      </c>
      <c r="H197" s="259" t="str">
        <f>Translations!$B$1447</f>
        <v xml:space="preserve">Papīra vai kartona ražošana, ražošanas jaudai pārsniedzot 20 tonnas dienā </v>
      </c>
      <c r="J197" s="222" t="b">
        <v>0</v>
      </c>
    </row>
    <row r="198" spans="1:10" s="222" customFormat="1" x14ac:dyDescent="0.2">
      <c r="A198" s="222">
        <v>18</v>
      </c>
      <c r="B198" s="258" t="str">
        <f t="shared" si="0"/>
        <v>Tehniskā oglekļa ražošana, karbonizējot tādus organiskās vielas saturošus materiālus kā nafta, gudrons, krekinga un pārtvaices atlikumi, ja ražošanas jauda pārsniedz 50 tonnas dienā</v>
      </c>
      <c r="H198" s="259" t="str">
        <f>Translations!$B$1752</f>
        <v>Tehniskā oglekļa ražošana, karbonizējot tādus organiskās vielas saturošus materiālus kā nafta, gudrons, krekinga un pārtvaices atlikumi, ja ražošanas jauda pārsniedz 50 tonnas dienā</v>
      </c>
      <c r="J198" s="222" t="b">
        <v>0</v>
      </c>
    </row>
    <row r="199" spans="1:10" s="222" customFormat="1" x14ac:dyDescent="0.2">
      <c r="A199" s="222">
        <v>19</v>
      </c>
      <c r="B199" s="258" t="str">
        <f t="shared" si="0"/>
        <v xml:space="preserve">Slāpekļskābes ražošana </v>
      </c>
      <c r="H199" s="259" t="str">
        <f>Translations!$B$1449</f>
        <v xml:space="preserve">Slāpekļskābes ražošana </v>
      </c>
      <c r="J199" s="222" t="b">
        <v>0</v>
      </c>
    </row>
    <row r="200" spans="1:10" s="222" customFormat="1" x14ac:dyDescent="0.2">
      <c r="A200" s="222">
        <v>20</v>
      </c>
      <c r="B200" s="258" t="str">
        <f t="shared" si="0"/>
        <v xml:space="preserve">Adipīnskābes ražošana </v>
      </c>
      <c r="H200" s="259" t="str">
        <f>Translations!$B$1450</f>
        <v xml:space="preserve">Adipīnskābes ražošana </v>
      </c>
      <c r="J200" s="222" t="b">
        <v>0</v>
      </c>
    </row>
    <row r="201" spans="1:10" s="222" customFormat="1" x14ac:dyDescent="0.2">
      <c r="A201" s="222">
        <v>21</v>
      </c>
      <c r="B201" s="258" t="str">
        <f t="shared" si="0"/>
        <v>Glioksāla un glioksālskābes ražošana</v>
      </c>
      <c r="H201" s="259" t="str">
        <f>Translations!$B$1451</f>
        <v>Glioksāla un glioksālskābes ražošana</v>
      </c>
      <c r="J201" s="222" t="b">
        <v>0</v>
      </c>
    </row>
    <row r="202" spans="1:10" s="222" customFormat="1" x14ac:dyDescent="0.2">
      <c r="A202" s="222">
        <v>22</v>
      </c>
      <c r="B202" s="258" t="str">
        <f t="shared" si="0"/>
        <v xml:space="preserve">Amonjaka ražošana </v>
      </c>
      <c r="H202" s="259" t="str">
        <f>Translations!$B$1452</f>
        <v xml:space="preserve">Amonjaka ražošana </v>
      </c>
      <c r="J202" s="222" t="b">
        <v>0</v>
      </c>
    </row>
    <row r="203" spans="1:10" s="222" customFormat="1" x14ac:dyDescent="0.2">
      <c r="A203" s="222">
        <v>23</v>
      </c>
      <c r="B203" s="258" t="str">
        <f t="shared" si="0"/>
        <v xml:space="preserve">Organisko ķīmisko vielu [ķimikāliju] lielapjoma ražošana krekinga, reforminga [riforminga], daļējas vai pilnīgas oksidēšanas vai līdzīgos procesos ar ražošanas jaudu, kas pārsniedz 100 tonnas dienā </v>
      </c>
      <c r="H203" s="259" t="str">
        <f>Translations!$B$1453</f>
        <v xml:space="preserve">Organisko ķīmisko vielu [ķimikāliju] lielapjoma ražošana krekinga, reforminga [riforminga], daļējas vai pilnīgas oksidēšanas vai līdzīgos procesos ar ražošanas jaudu, kas pārsniedz 100 tonnas dienā </v>
      </c>
      <c r="J203" s="222" t="b">
        <v>0</v>
      </c>
    </row>
    <row r="204" spans="1:10" s="222" customFormat="1" x14ac:dyDescent="0.2">
      <c r="A204" s="222">
        <v>24</v>
      </c>
      <c r="B204" s="258" t="str">
        <f t="shared" si="0"/>
        <v>Ūdeņraža (H2) un sintēzes gāzes ražošana, ja ražošanas jauda pārsniedz 5 tonnas dienā</v>
      </c>
      <c r="H204" s="259" t="str">
        <f>Translations!$B$1753</f>
        <v>Ūdeņraža (H2) un sintēzes gāzes ražošana, ja ražošanas jauda pārsniedz 5 tonnas dienā</v>
      </c>
      <c r="J204" s="222" t="b">
        <v>0</v>
      </c>
    </row>
    <row r="205" spans="1:10" s="222" customFormat="1" x14ac:dyDescent="0.2">
      <c r="A205" s="222">
        <v>25</v>
      </c>
      <c r="B205" s="258" t="str">
        <f t="shared" si="0"/>
        <v xml:space="preserve">Nātrija karbonāta (Na2CO3) un nātrija bikarbonāta (NaHCO3) ražošana </v>
      </c>
      <c r="H205" s="259" t="str">
        <f>Translations!$B$1455</f>
        <v xml:space="preserve">Nātrija karbonāta (Na2CO3) un nātrija bikarbonāta (NaHCO3) ražošana </v>
      </c>
      <c r="J205" s="222" t="b">
        <v>0</v>
      </c>
    </row>
    <row r="206" spans="1:10" s="222" customFormat="1" x14ac:dyDescent="0.2">
      <c r="A206" s="222">
        <v>26</v>
      </c>
      <c r="B206" s="258" t="str">
        <f t="shared" si="0"/>
        <v>Siltumnīcas efektu izraisošo gāzu [siltumnīcefekta gāzu] uztveršana no iekārtām, uz kurām attiecas šī direktīva, lai tās transportētu un uzglabātu ģeoloģiskās uzglabāšanas krātuvēs, kas atļautas saskaņā ar Direktīvu 2009/31/EK</v>
      </c>
      <c r="H206" s="259" t="str">
        <f>Translations!$B$1456</f>
        <v>Siltumnīcas efektu izraisošo gāzu [siltumnīcefekta gāzu] uztveršana no iekārtām, uz kurām attiecas šī direktīva, lai tās transportētu un uzglabātu ģeoloģiskās uzglabāšanas krātuvēs, kas atļautas saskaņā ar Direktīvu 2009/31/EK</v>
      </c>
      <c r="J206" s="222" t="b">
        <v>0</v>
      </c>
    </row>
    <row r="207" spans="1:10" s="222" customFormat="1" x14ac:dyDescent="0.2">
      <c r="A207" s="222">
        <v>27</v>
      </c>
      <c r="B207" s="258" t="str">
        <f t="shared" si="0"/>
        <v>Siltumnīcefekta gāzu transportēšana uz ģeoloģiskās uzglabāšanas vietu, kas saņēmusi atļauju saskaņā ar Direktīvu 2009/31/EK, izņemot tās emisijas, ko aptver kāda cita darbība saskaņā ar šo direktīvu</v>
      </c>
      <c r="H207" s="259" t="str">
        <f>Translations!$B$1754</f>
        <v>Siltumnīcefekta gāzu transportēšana uz ģeoloģiskās uzglabāšanas vietu, kas saņēmusi atļauju saskaņā ar Direktīvu 2009/31/EK, izņemot tās emisijas, ko aptver kāda cita darbība saskaņā ar šo direktīvu</v>
      </c>
      <c r="J207" s="222" t="b">
        <v>0</v>
      </c>
    </row>
    <row r="208" spans="1:10" s="222" customFormat="1" x14ac:dyDescent="0.2">
      <c r="A208" s="222">
        <v>28</v>
      </c>
      <c r="B208" s="258" t="str">
        <f t="shared" si="0"/>
        <v>Siltumnīcas efektu izraisošo gāzu [siltumnīcefekta gāzu] ģeoloģiska uzglabāšana krātuvēs, kas atļautas saskaņā ar Direktīvu 2009/31/EK</v>
      </c>
      <c r="H208" s="259" t="str">
        <f>Translations!$B$1458</f>
        <v>Siltumnīcas efektu izraisošo gāzu [siltumnīcefekta gāzu] ģeoloģiska uzglabāšana krātuvēs, kas atļautas saskaņā ar Direktīvu 2009/31/EK</v>
      </c>
      <c r="J208" s="222" t="b">
        <v>0</v>
      </c>
    </row>
    <row r="209" spans="1:23" s="222" customFormat="1" x14ac:dyDescent="0.2"/>
    <row r="210" spans="1:23" s="257" customFormat="1" x14ac:dyDescent="0.2">
      <c r="A210" s="257" t="str">
        <f>Translations!$B$1459</f>
        <v>Līmeņatzīmju saraksts</v>
      </c>
    </row>
    <row r="211" spans="1:23" s="228" customFormat="1" ht="51.75" thickBot="1" x14ac:dyDescent="0.25">
      <c r="A211" s="487" t="str">
        <f>Translations!$B$1430</f>
        <v>Darbība (ETS direktīvas I pielikums)</v>
      </c>
      <c r="B211" s="487" t="str">
        <f>Translations!$B$1429</f>
        <v>Darbības numurs</v>
      </c>
      <c r="C211" s="487" t="s">
        <v>657</v>
      </c>
      <c r="D211" s="487" t="str">
        <f>Translations!$B$1206</f>
        <v>LA Nr.</v>
      </c>
      <c r="E211" s="487" t="str">
        <f>Translations!$B$1460</f>
        <v>altern. LA Nr.</v>
      </c>
      <c r="F211" s="487" t="str">
        <f>Translations!$B$1461</f>
        <v>Produkta līmeņatzīme</v>
      </c>
      <c r="G211" s="487" t="str">
        <f>Translations!$B$1196</f>
        <v>Vienība</v>
      </c>
      <c r="H211" s="487" t="str">
        <f>Translations!$B$1462</f>
        <v>Oglekļa emisiju pārvirze?</v>
      </c>
      <c r="I211" s="813" t="str">
        <f>Translations!$B$1612</f>
        <v>OIM?</v>
      </c>
      <c r="J211" s="487" t="str">
        <f>Translations!$B$1463</f>
        <v>Elektroenerģijas apmaināmība</v>
      </c>
      <c r="K211" s="487" t="str">
        <f>Translations!$B$1464</f>
        <v>Message regarding special reporting</v>
      </c>
      <c r="L211" s="488" t="str">
        <f>Translations!$B$1465</f>
        <v>Jump indicator</v>
      </c>
      <c r="M211" s="486" t="str">
        <f>Translations!$B$1466</f>
        <v>Izņemot CWT?</v>
      </c>
      <c r="N211" s="486" t="str">
        <f>Translations!$B$1467</f>
        <v>Pulpa</v>
      </c>
      <c r="O211" s="486" t="str">
        <f>Translations!$B$1468</f>
        <v>LA vērtība (2013–2020)</v>
      </c>
      <c r="P211" s="486" t="s">
        <v>548</v>
      </c>
      <c r="Q211" s="486" t="s">
        <v>549</v>
      </c>
      <c r="R211" s="1004" t="s">
        <v>561</v>
      </c>
      <c r="S211" s="813" t="str">
        <f>Translations!$B$1469</f>
        <v>Līmeņatzīmes vērtība (ESK/t, maks.)</v>
      </c>
      <c r="T211" s="813" t="str">
        <f>Translations!$B$1470</f>
        <v>Līmeņatzīmes vērtība (ESK/t, min.)</v>
      </c>
      <c r="U211" s="813" t="str">
        <f>Translations!$B$1471</f>
        <v>Līmeņatzīmes vērtība (ESK/t, fakt.)</v>
      </c>
      <c r="V211" s="813" t="s">
        <v>640</v>
      </c>
      <c r="W211" s="813" t="s">
        <v>672</v>
      </c>
    </row>
    <row r="212" spans="1:23" x14ac:dyDescent="0.2">
      <c r="A212" s="489" t="str">
        <f>VLOOKUP(B212,$A$181:$B$208,2,0)</f>
        <v xml:space="preserve">Naftas rafinēšana </v>
      </c>
      <c r="B212" s="490">
        <v>2</v>
      </c>
      <c r="C212" s="490">
        <v>1</v>
      </c>
      <c r="D212" s="490">
        <f>C212+0.1*IF(I212,2,1)</f>
        <v>1.1000000000000001</v>
      </c>
      <c r="E212" s="491" t="str">
        <f t="shared" ref="E212:E243" si="1">CONCATENATE(TEXT(B212,"00"),".",TEXT(D212,"00,0"))</f>
        <v>02.01,1</v>
      </c>
      <c r="F212" s="490" t="str">
        <f>Translations!$B$1472</f>
        <v>Rafinētavu produkti</v>
      </c>
      <c r="G212" s="490" t="str">
        <f>Translations!$B$1473</f>
        <v>CWT</v>
      </c>
      <c r="H212" s="490" t="b">
        <v>1</v>
      </c>
      <c r="I212" s="490" t="b">
        <v>0</v>
      </c>
      <c r="J212" s="490" t="b">
        <v>1</v>
      </c>
      <c r="K212" s="490" t="str">
        <f>Translations!$B$1474</f>
        <v>Lai aprēķinātu vēsturiskos darbības līmeņus, izmantojiet CWT rīku lapā “SpecialBM”.</v>
      </c>
      <c r="L212" s="492" t="str">
        <f>"#JUMP_H_I"</f>
        <v>#JUMP_H_I</v>
      </c>
      <c r="M212" s="490" t="b">
        <v>0</v>
      </c>
      <c r="N212" s="490" t="b">
        <v>0</v>
      </c>
      <c r="O212" s="495">
        <v>2.9499999999999998E-2</v>
      </c>
      <c r="P212" s="496">
        <f t="shared" ref="P212:P244" si="2">INDEX(EUconst_BM_ARR_Range,1)</f>
        <v>3.0000000000000001E-3</v>
      </c>
      <c r="Q212" s="1002">
        <f t="shared" ref="Q212:Q243" si="3">IF(AND(D212=4,CNTR_BaselinePeriod=1),INDEX(EUconst_BM_ARR_Range,1),INDEX(EUconst_BM_ARR_Range,2))</f>
        <v>2.5000000000000001E-2</v>
      </c>
      <c r="R212" s="1048"/>
      <c r="S212" s="1003">
        <f t="shared" ref="S212:S244" si="4">$O212*(1-P212*(15+(IF(CNTR_BaselinePeriod=EUconst_NA,1,CNTR_BaselinePeriod)-1)*5))</f>
        <v>2.7729999999999998E-2</v>
      </c>
      <c r="T212" s="520">
        <f t="shared" ref="T212:T244" si="5">$O212*(1-Q212*(15+(IF(CNTR_BaselinePeriod=EUconst_NA,1,CNTR_BaselinePeriod)-1)*5))</f>
        <v>1.4749999999999999E-2</v>
      </c>
      <c r="U212" s="1049"/>
      <c r="V212" s="1049"/>
      <c r="W212" s="1192">
        <v>3.4200000000000001E-2</v>
      </c>
    </row>
    <row r="213" spans="1:23" x14ac:dyDescent="0.2">
      <c r="A213" s="489" t="str">
        <f t="shared" ref="A213:A264" si="6">VLOOKUP(B213,$A$181:$B$208,2,0)</f>
        <v xml:space="preserve">Koksa ražošana </v>
      </c>
      <c r="B213" s="490">
        <v>3</v>
      </c>
      <c r="C213" s="490">
        <f t="shared" ref="C213:C218" si="7">C212+1</f>
        <v>2</v>
      </c>
      <c r="D213" s="490">
        <f t="shared" ref="D213:D264" si="8">C213+0.1*IF(I213,2,1)</f>
        <v>2.1</v>
      </c>
      <c r="E213" s="491" t="str">
        <f t="shared" si="1"/>
        <v>03.02,1</v>
      </c>
      <c r="F213" s="490" t="str">
        <f>Translations!$B$1475</f>
        <v>Kokss</v>
      </c>
      <c r="G213" s="490" t="str">
        <f t="shared" ref="G213:G238" si="9">EUconst_Tons</f>
        <v>tonnas</v>
      </c>
      <c r="H213" s="490" t="b">
        <v>1</v>
      </c>
      <c r="I213" s="490" t="b">
        <v>0</v>
      </c>
      <c r="J213" s="490" t="b">
        <v>0</v>
      </c>
      <c r="K213" s="490" t="str">
        <f>""</f>
        <v/>
      </c>
      <c r="L213" s="492" t="str">
        <f>""</f>
        <v/>
      </c>
      <c r="M213" s="490" t="b">
        <v>1</v>
      </c>
      <c r="N213" s="490" t="b">
        <v>0</v>
      </c>
      <c r="O213" s="495">
        <v>0.28599999999999998</v>
      </c>
      <c r="P213" s="496">
        <f t="shared" si="2"/>
        <v>3.0000000000000001E-3</v>
      </c>
      <c r="Q213" s="1002">
        <f t="shared" si="3"/>
        <v>2.5000000000000001E-2</v>
      </c>
      <c r="R213" s="1050"/>
      <c r="S213" s="1003">
        <f t="shared" si="4"/>
        <v>0.26883999999999997</v>
      </c>
      <c r="T213" s="520">
        <f t="shared" si="5"/>
        <v>0.14299999999999999</v>
      </c>
      <c r="U213" s="1049"/>
      <c r="V213" s="1049"/>
      <c r="W213" s="1192">
        <v>0.29559999999999997</v>
      </c>
    </row>
    <row r="214" spans="1:23" x14ac:dyDescent="0.2">
      <c r="A214" s="489" t="str">
        <f t="shared" si="6"/>
        <v xml:space="preserve">Metāla rūdas (tostarp sēra rūdas [sulfīdrūdas]) apdedzināšana vai saķepināšana [aglomerēšana], tostarp granulēšana </v>
      </c>
      <c r="B214" s="490">
        <v>4</v>
      </c>
      <c r="C214" s="490">
        <f t="shared" si="7"/>
        <v>3</v>
      </c>
      <c r="D214" s="490">
        <f t="shared" si="8"/>
        <v>3.2</v>
      </c>
      <c r="E214" s="491" t="str">
        <f t="shared" si="1"/>
        <v>04.03,2</v>
      </c>
      <c r="F214" s="1025" t="str">
        <f>Translations!$B$1755</f>
        <v>Aglomerēta dzelzsrūda</v>
      </c>
      <c r="G214" s="490" t="str">
        <f t="shared" si="9"/>
        <v>tonnas</v>
      </c>
      <c r="H214" s="490" t="b">
        <v>1</v>
      </c>
      <c r="I214" s="490" t="b">
        <v>1</v>
      </c>
      <c r="J214" s="490" t="b">
        <v>0</v>
      </c>
      <c r="K214" s="490" t="str">
        <f>""</f>
        <v/>
      </c>
      <c r="L214" s="492" t="str">
        <f>""</f>
        <v/>
      </c>
      <c r="M214" s="490" t="b">
        <v>1</v>
      </c>
      <c r="N214" s="490" t="b">
        <v>0</v>
      </c>
      <c r="O214" s="495">
        <v>0.17100000000000001</v>
      </c>
      <c r="P214" s="496">
        <f t="shared" si="2"/>
        <v>3.0000000000000001E-3</v>
      </c>
      <c r="Q214" s="1002">
        <f t="shared" si="3"/>
        <v>2.5000000000000001E-2</v>
      </c>
      <c r="R214" s="1050"/>
      <c r="S214" s="1003">
        <f t="shared" si="4"/>
        <v>0.16073999999999999</v>
      </c>
      <c r="T214" s="520">
        <f t="shared" si="5"/>
        <v>8.5500000000000007E-2</v>
      </c>
      <c r="U214" s="1049"/>
      <c r="V214" s="1049"/>
      <c r="W214" s="1192">
        <v>0.27789999999999998</v>
      </c>
    </row>
    <row r="215" spans="1:23" x14ac:dyDescent="0.2">
      <c r="A215" s="489" t="str">
        <f t="shared" si="6"/>
        <v xml:space="preserve">Dzelzs vai tērauda ražošana (primārā vai sekundārā), arī ar nepārtraukto liešanu, kopējai jaudai pārsniedzot 2,5 tonnas stundā </v>
      </c>
      <c r="B215" s="490">
        <v>5</v>
      </c>
      <c r="C215" s="490">
        <f t="shared" si="7"/>
        <v>4</v>
      </c>
      <c r="D215" s="490">
        <f t="shared" si="8"/>
        <v>4.2</v>
      </c>
      <c r="E215" s="491" t="str">
        <f t="shared" si="1"/>
        <v>05.04,2</v>
      </c>
      <c r="F215" s="490" t="str">
        <f>Translations!$B$1477</f>
        <v>Karstais metāls</v>
      </c>
      <c r="G215" s="490" t="str">
        <f t="shared" si="9"/>
        <v>tonnas</v>
      </c>
      <c r="H215" s="490" t="b">
        <v>1</v>
      </c>
      <c r="I215" s="490" t="b">
        <v>1</v>
      </c>
      <c r="J215" s="490" t="b">
        <v>0</v>
      </c>
      <c r="K215" s="490" t="str">
        <f>""</f>
        <v/>
      </c>
      <c r="L215" s="492" t="str">
        <f>""</f>
        <v/>
      </c>
      <c r="M215" s="490" t="b">
        <v>1</v>
      </c>
      <c r="N215" s="490" t="b">
        <v>0</v>
      </c>
      <c r="O215" s="495">
        <v>1.3280000000000001</v>
      </c>
      <c r="P215" s="496">
        <f t="shared" si="2"/>
        <v>3.0000000000000001E-3</v>
      </c>
      <c r="Q215" s="1002">
        <f t="shared" si="3"/>
        <v>2.5000000000000001E-2</v>
      </c>
      <c r="R215" s="1050"/>
      <c r="S215" s="1003">
        <f t="shared" si="4"/>
        <v>1.2483200000000001</v>
      </c>
      <c r="T215" s="520">
        <f t="shared" si="5"/>
        <v>0.66400000000000003</v>
      </c>
      <c r="U215" s="1049"/>
      <c r="V215" s="1049"/>
      <c r="W215" s="1192">
        <v>1.5215000000000001</v>
      </c>
    </row>
    <row r="216" spans="1:23" x14ac:dyDescent="0.2">
      <c r="A216" s="489" t="str">
        <f t="shared" si="6"/>
        <v xml:space="preserve">Dzelzs vai tērauda ražošana (primārā vai sekundārā), arī ar nepārtraukto liešanu, kopējai jaudai pārsniedzot 2,5 tonnas stundā </v>
      </c>
      <c r="B216" s="490">
        <v>5</v>
      </c>
      <c r="C216" s="490">
        <f t="shared" si="7"/>
        <v>5</v>
      </c>
      <c r="D216" s="490">
        <f t="shared" si="8"/>
        <v>5.2</v>
      </c>
      <c r="E216" s="491" t="str">
        <f t="shared" si="1"/>
        <v>05.05,2</v>
      </c>
      <c r="F216" s="490" t="str">
        <f>Translations!$B$1478</f>
        <v>Elektriskā loka krāšņu oglekļa tērauds</v>
      </c>
      <c r="G216" s="490" t="str">
        <f t="shared" si="9"/>
        <v>tonnas</v>
      </c>
      <c r="H216" s="490" t="b">
        <v>1</v>
      </c>
      <c r="I216" s="490" t="b">
        <v>1</v>
      </c>
      <c r="J216" s="490" t="b">
        <v>1</v>
      </c>
      <c r="K216" s="490" t="str">
        <f>""</f>
        <v/>
      </c>
      <c r="L216" s="492" t="str">
        <f>""</f>
        <v/>
      </c>
      <c r="M216" s="490" t="b">
        <v>1</v>
      </c>
      <c r="N216" s="490" t="b">
        <v>0</v>
      </c>
      <c r="O216" s="495">
        <v>0.28299999999999997</v>
      </c>
      <c r="P216" s="496">
        <f t="shared" si="2"/>
        <v>3.0000000000000001E-3</v>
      </c>
      <c r="Q216" s="1002">
        <f t="shared" si="3"/>
        <v>2.5000000000000001E-2</v>
      </c>
      <c r="R216" s="1050"/>
      <c r="S216" s="1003">
        <f t="shared" si="4"/>
        <v>0.26601999999999998</v>
      </c>
      <c r="T216" s="520">
        <f t="shared" si="5"/>
        <v>0.14149999999999999</v>
      </c>
      <c r="U216" s="1049"/>
      <c r="V216" s="1049"/>
      <c r="W216" s="1192">
        <v>0.37630000000000002</v>
      </c>
    </row>
    <row r="217" spans="1:23" x14ac:dyDescent="0.2">
      <c r="A217" s="489" t="str">
        <f t="shared" si="6"/>
        <v xml:space="preserve">Dzelzs vai tērauda ražošana (primārā vai sekundārā), arī ar nepārtraukto liešanu, kopējai jaudai pārsniedzot 2,5 tonnas stundā </v>
      </c>
      <c r="B217" s="490">
        <v>5</v>
      </c>
      <c r="C217" s="490">
        <f t="shared" si="7"/>
        <v>6</v>
      </c>
      <c r="D217" s="490">
        <f t="shared" si="8"/>
        <v>6.2</v>
      </c>
      <c r="E217" s="491" t="str">
        <f t="shared" si="1"/>
        <v>05.06,2</v>
      </c>
      <c r="F217" s="490" t="str">
        <f>Translations!$B$1479</f>
        <v>Elektriskā loka krāšņu augstleģētais tērauds</v>
      </c>
      <c r="G217" s="490" t="str">
        <f t="shared" si="9"/>
        <v>tonnas</v>
      </c>
      <c r="H217" s="490" t="b">
        <v>1</v>
      </c>
      <c r="I217" s="490" t="b">
        <v>1</v>
      </c>
      <c r="J217" s="490" t="b">
        <v>1</v>
      </c>
      <c r="K217" s="490" t="str">
        <f>""</f>
        <v/>
      </c>
      <c r="L217" s="492" t="str">
        <f>""</f>
        <v/>
      </c>
      <c r="M217" s="490" t="b">
        <v>1</v>
      </c>
      <c r="N217" s="490" t="b">
        <v>0</v>
      </c>
      <c r="O217" s="495">
        <v>0.35199999999999998</v>
      </c>
      <c r="P217" s="496">
        <f t="shared" si="2"/>
        <v>3.0000000000000001E-3</v>
      </c>
      <c r="Q217" s="1002">
        <f t="shared" si="3"/>
        <v>2.5000000000000001E-2</v>
      </c>
      <c r="R217" s="1050"/>
      <c r="S217" s="1003">
        <f t="shared" si="4"/>
        <v>0.33087999999999995</v>
      </c>
      <c r="T217" s="520">
        <f t="shared" si="5"/>
        <v>0.17599999999999999</v>
      </c>
      <c r="U217" s="1049"/>
      <c r="V217" s="1049"/>
      <c r="W217" s="1192">
        <v>0.44030000000000002</v>
      </c>
    </row>
    <row r="218" spans="1:23" x14ac:dyDescent="0.2">
      <c r="A218" s="489" t="str">
        <f t="shared" si="6"/>
        <v>Melno metālu (tostarp ferosakausējumu) ražošana vai pārstrāde, kurā tiek izmantotas sadedzināšanas vienības [sadedzināšanas bloki], kuru kopējā nominālā siltumspēja [nominālā ievadītā siltumjauda] ir lielāka par 20 MW. Pārstrādē cita starpā tiek izma</v>
      </c>
      <c r="B218" s="490">
        <v>6</v>
      </c>
      <c r="C218" s="490">
        <f t="shared" si="7"/>
        <v>7</v>
      </c>
      <c r="D218" s="490">
        <f t="shared" si="8"/>
        <v>7.2</v>
      </c>
      <c r="E218" s="491" t="str">
        <f t="shared" si="1"/>
        <v>06.07,2</v>
      </c>
      <c r="F218" s="581" t="str">
        <f>Translations!$B$1756</f>
        <v>Dzelzs liešana, OIM</v>
      </c>
      <c r="G218" s="490" t="str">
        <f t="shared" si="9"/>
        <v>tonnas</v>
      </c>
      <c r="H218" s="490" t="b">
        <v>1</v>
      </c>
      <c r="I218" s="490" t="b">
        <v>1</v>
      </c>
      <c r="J218" s="490" t="b">
        <v>1</v>
      </c>
      <c r="K218" s="490" t="str">
        <f>""</f>
        <v/>
      </c>
      <c r="L218" s="492" t="str">
        <f>""</f>
        <v/>
      </c>
      <c r="M218" s="490" t="b">
        <v>1</v>
      </c>
      <c r="N218" s="490" t="b">
        <v>0</v>
      </c>
      <c r="O218" s="495">
        <v>0.32500000000000001</v>
      </c>
      <c r="P218" s="496">
        <f t="shared" si="2"/>
        <v>3.0000000000000001E-3</v>
      </c>
      <c r="Q218" s="1002">
        <f t="shared" si="3"/>
        <v>2.5000000000000001E-2</v>
      </c>
      <c r="R218" s="1050"/>
      <c r="S218" s="1003">
        <f t="shared" si="4"/>
        <v>0.30549999999999999</v>
      </c>
      <c r="T218" s="520">
        <f t="shared" si="5"/>
        <v>0.16250000000000001</v>
      </c>
      <c r="U218" s="1049"/>
      <c r="V218" s="1049"/>
      <c r="W218" s="1192">
        <v>0.47239999999999999</v>
      </c>
    </row>
    <row r="219" spans="1:23" x14ac:dyDescent="0.2">
      <c r="A219" s="489" t="str">
        <f>VLOOKUP(B219,$A$181:$B$208,2,0)</f>
        <v>Melno metālu (tostarp ferosakausējumu) ražošana vai pārstrāde, kurā tiek izmantotas sadedzināšanas vienības [sadedzināšanas bloki], kuru kopējā nominālā siltumspēja [nominālā ievadītā siltumjauda] ir lielāka par 20 MW. Pārstrādē cita starpā tiek izma</v>
      </c>
      <c r="B219" s="490">
        <v>6</v>
      </c>
      <c r="C219" s="490">
        <v>7</v>
      </c>
      <c r="D219" s="490">
        <f t="shared" si="8"/>
        <v>7.1</v>
      </c>
      <c r="E219" s="491" t="str">
        <f t="shared" si="1"/>
        <v>06.07,1</v>
      </c>
      <c r="F219" s="581" t="str">
        <f>Translations!$B$1757</f>
        <v>Dzelzs liešana, bez OIM</v>
      </c>
      <c r="G219" s="490" t="str">
        <f t="shared" si="9"/>
        <v>tonnas</v>
      </c>
      <c r="H219" s="490" t="b">
        <v>1</v>
      </c>
      <c r="I219" s="490" t="b">
        <v>0</v>
      </c>
      <c r="J219" s="490" t="b">
        <v>1</v>
      </c>
      <c r="K219" s="490" t="str">
        <f>""</f>
        <v/>
      </c>
      <c r="L219" s="492" t="str">
        <f>""</f>
        <v/>
      </c>
      <c r="M219" s="490" t="b">
        <v>1</v>
      </c>
      <c r="N219" s="490" t="b">
        <v>0</v>
      </c>
      <c r="O219" s="495">
        <v>0.32500000000000001</v>
      </c>
      <c r="P219" s="496">
        <f t="shared" si="2"/>
        <v>3.0000000000000001E-3</v>
      </c>
      <c r="Q219" s="1002">
        <f t="shared" si="3"/>
        <v>2.5000000000000001E-2</v>
      </c>
      <c r="R219" s="1050"/>
      <c r="S219" s="1003">
        <f>$O219*(1-P219*(15+(IF(CNTR_BaselinePeriod=EUconst_NA,1,CNTR_BaselinePeriod)-1)*5))</f>
        <v>0.30549999999999999</v>
      </c>
      <c r="T219" s="520">
        <f>$O219*(1-Q219*(15+(IF(CNTR_BaselinePeriod=EUconst_NA,1,CNTR_BaselinePeriod)-1)*5))</f>
        <v>0.16250000000000001</v>
      </c>
      <c r="U219" s="1049"/>
      <c r="V219" s="1049"/>
      <c r="W219" s="1192">
        <v>0.47239999999999999</v>
      </c>
    </row>
    <row r="220" spans="1:23" x14ac:dyDescent="0.2">
      <c r="A220" s="489" t="str">
        <f t="shared" si="6"/>
        <v>Primārā alumīnija vai alumīnija oksīda ražošana</v>
      </c>
      <c r="B220" s="490">
        <v>7</v>
      </c>
      <c r="C220" s="490">
        <f>C218+1</f>
        <v>8</v>
      </c>
      <c r="D220" s="490">
        <f t="shared" si="8"/>
        <v>8.1</v>
      </c>
      <c r="E220" s="491" t="str">
        <f t="shared" si="1"/>
        <v>07.08,1</v>
      </c>
      <c r="F220" s="490" t="str">
        <f>Translations!$B$1481</f>
        <v>Priekšdedzināti anodi</v>
      </c>
      <c r="G220" s="490" t="str">
        <f t="shared" si="9"/>
        <v>tonnas</v>
      </c>
      <c r="H220" s="490" t="b">
        <v>1</v>
      </c>
      <c r="I220" s="490" t="b">
        <v>0</v>
      </c>
      <c r="J220" s="490" t="b">
        <v>0</v>
      </c>
      <c r="K220" s="490" t="str">
        <f>""</f>
        <v/>
      </c>
      <c r="L220" s="492" t="str">
        <f>""</f>
        <v/>
      </c>
      <c r="M220" s="490" t="b">
        <v>1</v>
      </c>
      <c r="N220" s="490" t="b">
        <v>0</v>
      </c>
      <c r="O220" s="495">
        <v>0.32400000000000001</v>
      </c>
      <c r="P220" s="496">
        <f t="shared" si="2"/>
        <v>3.0000000000000001E-3</v>
      </c>
      <c r="Q220" s="1002">
        <f t="shared" si="3"/>
        <v>2.5000000000000001E-2</v>
      </c>
      <c r="R220" s="1050"/>
      <c r="S220" s="1003">
        <f t="shared" si="4"/>
        <v>0.30456</v>
      </c>
      <c r="T220" s="520">
        <f t="shared" si="5"/>
        <v>0.16200000000000001</v>
      </c>
      <c r="U220" s="1049"/>
      <c r="V220" s="1049"/>
      <c r="W220" s="1192">
        <v>0.4582</v>
      </c>
    </row>
    <row r="221" spans="1:23" x14ac:dyDescent="0.2">
      <c r="A221" s="489" t="str">
        <f t="shared" si="6"/>
        <v>Primārā alumīnija vai alumīnija oksīda ražošana</v>
      </c>
      <c r="B221" s="490">
        <v>7</v>
      </c>
      <c r="C221" s="490">
        <f t="shared" ref="C221:C264" si="10">C220+1</f>
        <v>9</v>
      </c>
      <c r="D221" s="490">
        <f t="shared" si="8"/>
        <v>9.1999999999999993</v>
      </c>
      <c r="E221" s="491" t="str">
        <f t="shared" si="1"/>
        <v>07.09,2</v>
      </c>
      <c r="F221" s="490" t="str">
        <f>Translations!$B$1482</f>
        <v>[Primārais] alumīnijs</v>
      </c>
      <c r="G221" s="490" t="str">
        <f t="shared" si="9"/>
        <v>tonnas</v>
      </c>
      <c r="H221" s="490" t="b">
        <v>1</v>
      </c>
      <c r="I221" s="490" t="b">
        <v>1</v>
      </c>
      <c r="J221" s="490" t="b">
        <v>0</v>
      </c>
      <c r="K221" s="490" t="str">
        <f>""</f>
        <v/>
      </c>
      <c r="L221" s="492" t="str">
        <f>""</f>
        <v/>
      </c>
      <c r="M221" s="490" t="b">
        <v>1</v>
      </c>
      <c r="N221" s="490" t="b">
        <v>0</v>
      </c>
      <c r="O221" s="495">
        <v>1.514</v>
      </c>
      <c r="P221" s="496">
        <f t="shared" si="2"/>
        <v>3.0000000000000001E-3</v>
      </c>
      <c r="Q221" s="1002">
        <f t="shared" si="3"/>
        <v>2.5000000000000001E-2</v>
      </c>
      <c r="R221" s="1050"/>
      <c r="S221" s="1003">
        <f t="shared" si="4"/>
        <v>1.42316</v>
      </c>
      <c r="T221" s="520">
        <f t="shared" si="5"/>
        <v>0.75700000000000001</v>
      </c>
      <c r="U221" s="1049"/>
      <c r="V221" s="1049"/>
      <c r="W221" s="1192">
        <v>1.8279000000000001</v>
      </c>
    </row>
    <row r="222" spans="1:23" x14ac:dyDescent="0.2">
      <c r="A222" s="489" t="str">
        <f t="shared" si="6"/>
        <v xml:space="preserve">Cementa klinkera ražošana rotācijas krāsnīs ar ražošanas jaudu, kura lielāka par 500 tonnām dienā, vai citu veidu krāsnīs, kuru jauda ir lielāka par 50 tonnām dienā </v>
      </c>
      <c r="B222" s="490">
        <v>10</v>
      </c>
      <c r="C222" s="490">
        <f t="shared" si="10"/>
        <v>10</v>
      </c>
      <c r="D222" s="490">
        <f t="shared" si="8"/>
        <v>10.199999999999999</v>
      </c>
      <c r="E222" s="491" t="str">
        <f t="shared" si="1"/>
        <v>10.10,2</v>
      </c>
      <c r="F222" s="490" t="str">
        <f>Translations!$B$1483</f>
        <v>Pelēkā cementa klinkers</v>
      </c>
      <c r="G222" s="490" t="str">
        <f t="shared" si="9"/>
        <v>tonnas</v>
      </c>
      <c r="H222" s="490" t="b">
        <v>1</v>
      </c>
      <c r="I222" s="490" t="b">
        <v>1</v>
      </c>
      <c r="J222" s="490" t="b">
        <v>0</v>
      </c>
      <c r="K222" s="490" t="str">
        <f>""</f>
        <v/>
      </c>
      <c r="L222" s="492" t="str">
        <f>""</f>
        <v/>
      </c>
      <c r="M222" s="490" t="b">
        <v>1</v>
      </c>
      <c r="N222" s="490" t="b">
        <v>0</v>
      </c>
      <c r="O222" s="495">
        <v>0.76600000000000001</v>
      </c>
      <c r="P222" s="496">
        <f t="shared" si="2"/>
        <v>3.0000000000000001E-3</v>
      </c>
      <c r="Q222" s="1002">
        <f t="shared" si="3"/>
        <v>2.5000000000000001E-2</v>
      </c>
      <c r="R222" s="1050"/>
      <c r="S222" s="1003">
        <f t="shared" si="4"/>
        <v>0.72004000000000001</v>
      </c>
      <c r="T222" s="520">
        <f t="shared" si="5"/>
        <v>0.38300000000000001</v>
      </c>
      <c r="U222" s="1049"/>
      <c r="V222" s="1049"/>
      <c r="W222" s="1192">
        <v>0.85570000000000002</v>
      </c>
    </row>
    <row r="223" spans="1:23" x14ac:dyDescent="0.2">
      <c r="A223" s="489" t="str">
        <f t="shared" si="6"/>
        <v xml:space="preserve">Cementa klinkera ražošana rotācijas krāsnīs ar ražošanas jaudu, kura lielāka par 500 tonnām dienā, vai citu veidu krāsnīs, kuru jauda ir lielāka par 50 tonnām dienā </v>
      </c>
      <c r="B223" s="490">
        <v>10</v>
      </c>
      <c r="C223" s="490">
        <f t="shared" si="10"/>
        <v>11</v>
      </c>
      <c r="D223" s="490">
        <f t="shared" si="8"/>
        <v>11.2</v>
      </c>
      <c r="E223" s="491" t="str">
        <f t="shared" si="1"/>
        <v>10.11,2</v>
      </c>
      <c r="F223" s="490" t="str">
        <f>Translations!$B$1484</f>
        <v>Baltā cementa klinkers</v>
      </c>
      <c r="G223" s="490" t="str">
        <f t="shared" si="9"/>
        <v>tonnas</v>
      </c>
      <c r="H223" s="490" t="b">
        <v>1</v>
      </c>
      <c r="I223" s="490" t="b">
        <v>1</v>
      </c>
      <c r="J223" s="490" t="b">
        <v>0</v>
      </c>
      <c r="K223" s="490" t="str">
        <f>""</f>
        <v/>
      </c>
      <c r="L223" s="492" t="str">
        <f>""</f>
        <v/>
      </c>
      <c r="M223" s="490" t="b">
        <v>1</v>
      </c>
      <c r="N223" s="490" t="b">
        <v>0</v>
      </c>
      <c r="O223" s="495">
        <v>0.98699999999999999</v>
      </c>
      <c r="P223" s="496">
        <f t="shared" si="2"/>
        <v>3.0000000000000001E-3</v>
      </c>
      <c r="Q223" s="1002">
        <f t="shared" si="3"/>
        <v>2.5000000000000001E-2</v>
      </c>
      <c r="R223" s="1050"/>
      <c r="S223" s="1003">
        <f t="shared" si="4"/>
        <v>0.92777999999999994</v>
      </c>
      <c r="T223" s="520">
        <f t="shared" si="5"/>
        <v>0.49349999999999999</v>
      </c>
      <c r="U223" s="1049"/>
      <c r="V223" s="1049"/>
      <c r="W223" s="1192">
        <v>1.1807000000000001</v>
      </c>
    </row>
    <row r="224" spans="1:23" x14ac:dyDescent="0.2">
      <c r="A224" s="489" t="str">
        <f t="shared" si="6"/>
        <v xml:space="preserve">Kaļķu ražošana, kā arī dolomīta vai magnezīta apdedzināšana [kalcinēšana] rotācijas krāsnīs vai citu veidu krāsnīs, kuru jauda ir lielāka par 50 tonnām dienā </v>
      </c>
      <c r="B224" s="490">
        <v>11</v>
      </c>
      <c r="C224" s="490">
        <f t="shared" si="10"/>
        <v>12</v>
      </c>
      <c r="D224" s="490">
        <f t="shared" si="8"/>
        <v>12.1</v>
      </c>
      <c r="E224" s="491" t="str">
        <f t="shared" si="1"/>
        <v>11.12,1</v>
      </c>
      <c r="F224" s="490" t="str">
        <f>Translations!$B$984</f>
        <v>Kaļķi</v>
      </c>
      <c r="G224" s="490" t="str">
        <f t="shared" si="9"/>
        <v>tonnas</v>
      </c>
      <c r="H224" s="490" t="b">
        <v>1</v>
      </c>
      <c r="I224" s="490" t="b">
        <v>0</v>
      </c>
      <c r="J224" s="490" t="b">
        <v>0</v>
      </c>
      <c r="K224" s="490" t="str">
        <f>Translations!$B$1485</f>
        <v>Lai aprēķinātu vēsturiskos darbības līmeņus, izmantojiet kaļķiem domāto rīku lapā “SpecialBM”.</v>
      </c>
      <c r="L224" s="492" t="str">
        <f>"#JUMP_H_II"</f>
        <v>#JUMP_H_II</v>
      </c>
      <c r="M224" s="490" t="b">
        <v>1</v>
      </c>
      <c r="N224" s="490" t="b">
        <v>0</v>
      </c>
      <c r="O224" s="495">
        <v>0.95399999999999996</v>
      </c>
      <c r="P224" s="496">
        <f t="shared" si="2"/>
        <v>3.0000000000000001E-3</v>
      </c>
      <c r="Q224" s="1002">
        <f t="shared" si="3"/>
        <v>2.5000000000000001E-2</v>
      </c>
      <c r="R224" s="1050"/>
      <c r="S224" s="1003">
        <f t="shared" si="4"/>
        <v>0.89675999999999989</v>
      </c>
      <c r="T224" s="520">
        <f t="shared" si="5"/>
        <v>0.47699999999999998</v>
      </c>
      <c r="U224" s="1049"/>
      <c r="V224" s="1049"/>
      <c r="W224" s="1192">
        <v>1.1403000000000001</v>
      </c>
    </row>
    <row r="225" spans="1:23" x14ac:dyDescent="0.2">
      <c r="A225" s="489" t="str">
        <f t="shared" si="6"/>
        <v xml:space="preserve">Kaļķu ražošana, kā arī dolomīta vai magnezīta apdedzināšana [kalcinēšana] rotācijas krāsnīs vai citu veidu krāsnīs, kuru jauda ir lielāka par 50 tonnām dienā </v>
      </c>
      <c r="B225" s="490">
        <v>11</v>
      </c>
      <c r="C225" s="490">
        <f t="shared" si="10"/>
        <v>13</v>
      </c>
      <c r="D225" s="490">
        <f t="shared" si="8"/>
        <v>13.1</v>
      </c>
      <c r="E225" s="491" t="str">
        <f t="shared" si="1"/>
        <v>11.13,1</v>
      </c>
      <c r="F225" s="490" t="str">
        <f>Translations!$B$1001</f>
        <v>Dolomītkaļķi</v>
      </c>
      <c r="G225" s="490" t="str">
        <f t="shared" si="9"/>
        <v>tonnas</v>
      </c>
      <c r="H225" s="490" t="b">
        <v>1</v>
      </c>
      <c r="I225" s="490" t="b">
        <v>0</v>
      </c>
      <c r="J225" s="490" t="b">
        <v>0</v>
      </c>
      <c r="K225" s="490" t="str">
        <f>Translations!$B$1486</f>
        <v>Lai aprēķinātu vēsturiskos darbības līmeņus, izmantojiet dolomītkaļķiem domāto rīku lapā “SpecialBM”.</v>
      </c>
      <c r="L225" s="492" t="str">
        <f>"#JUMP_H_III"</f>
        <v>#JUMP_H_III</v>
      </c>
      <c r="M225" s="490" t="b">
        <v>1</v>
      </c>
      <c r="N225" s="490" t="b">
        <v>0</v>
      </c>
      <c r="O225" s="495">
        <v>1.0720000000000001</v>
      </c>
      <c r="P225" s="496">
        <f t="shared" si="2"/>
        <v>3.0000000000000001E-3</v>
      </c>
      <c r="Q225" s="1002">
        <f t="shared" si="3"/>
        <v>2.5000000000000001E-2</v>
      </c>
      <c r="R225" s="1050"/>
      <c r="S225" s="1003">
        <f t="shared" si="4"/>
        <v>1.0076799999999999</v>
      </c>
      <c r="T225" s="520">
        <f t="shared" si="5"/>
        <v>0.53600000000000003</v>
      </c>
      <c r="U225" s="1049"/>
      <c r="V225" s="1049"/>
      <c r="W225" s="1192">
        <v>1.2988</v>
      </c>
    </row>
    <row r="226" spans="1:23" x14ac:dyDescent="0.2">
      <c r="A226" s="489" t="str">
        <f t="shared" si="6"/>
        <v xml:space="preserve">Kaļķu ražošana, kā arī dolomīta vai magnezīta apdedzināšana [kalcinēšana] rotācijas krāsnīs vai citu veidu krāsnīs, kuru jauda ir lielāka par 50 tonnām dienā </v>
      </c>
      <c r="B226" s="490">
        <v>11</v>
      </c>
      <c r="C226" s="490">
        <f t="shared" si="10"/>
        <v>14</v>
      </c>
      <c r="D226" s="490">
        <f t="shared" si="8"/>
        <v>14.1</v>
      </c>
      <c r="E226" s="491" t="str">
        <f t="shared" si="1"/>
        <v>11.14,1</v>
      </c>
      <c r="F226" s="490" t="str">
        <f>Translations!$B$1487</f>
        <v>Pārdedzināti dolomītkaļķi</v>
      </c>
      <c r="G226" s="490" t="str">
        <f t="shared" si="9"/>
        <v>tonnas</v>
      </c>
      <c r="H226" s="490" t="b">
        <v>1</v>
      </c>
      <c r="I226" s="490" t="b">
        <v>0</v>
      </c>
      <c r="J226" s="490" t="b">
        <v>0</v>
      </c>
      <c r="K226" s="490" t="str">
        <f>""</f>
        <v/>
      </c>
      <c r="L226" s="492" t="str">
        <f>""</f>
        <v/>
      </c>
      <c r="M226" s="490" t="b">
        <v>1</v>
      </c>
      <c r="N226" s="490" t="b">
        <v>0</v>
      </c>
      <c r="O226" s="495">
        <v>1.4490000000000001</v>
      </c>
      <c r="P226" s="496">
        <f t="shared" si="2"/>
        <v>3.0000000000000001E-3</v>
      </c>
      <c r="Q226" s="1002">
        <f t="shared" si="3"/>
        <v>2.5000000000000001E-2</v>
      </c>
      <c r="R226" s="1050"/>
      <c r="S226" s="1003">
        <f t="shared" si="4"/>
        <v>1.36206</v>
      </c>
      <c r="T226" s="520">
        <f t="shared" si="5"/>
        <v>0.72450000000000003</v>
      </c>
      <c r="U226" s="1049"/>
      <c r="V226" s="1049"/>
      <c r="W226" s="1192">
        <v>1.577</v>
      </c>
    </row>
    <row r="227" spans="1:23" x14ac:dyDescent="0.2">
      <c r="A227" s="489" t="str">
        <f t="shared" si="6"/>
        <v xml:space="preserve">Stikla, tostarp stikla šķiedras, ražošana iekārtās ar kausēšanas jaudu, kas pārsniedz 20 tonnas dienā </v>
      </c>
      <c r="B227" s="490">
        <v>12</v>
      </c>
      <c r="C227" s="490">
        <f t="shared" si="10"/>
        <v>15</v>
      </c>
      <c r="D227" s="490">
        <f t="shared" si="8"/>
        <v>15.1</v>
      </c>
      <c r="E227" s="491" t="str">
        <f t="shared" si="1"/>
        <v>12.15,1</v>
      </c>
      <c r="F227" s="490" t="str">
        <f>Translations!$B$1488</f>
        <v>Pludinātais stikls</v>
      </c>
      <c r="G227" s="490" t="str">
        <f t="shared" si="9"/>
        <v>tonnas</v>
      </c>
      <c r="H227" s="490" t="b">
        <v>1</v>
      </c>
      <c r="I227" s="490" t="b">
        <v>0</v>
      </c>
      <c r="J227" s="490" t="b">
        <v>0</v>
      </c>
      <c r="K227" s="490" t="str">
        <f>""</f>
        <v/>
      </c>
      <c r="L227" s="492" t="str">
        <f>""</f>
        <v/>
      </c>
      <c r="M227" s="490" t="b">
        <v>1</v>
      </c>
      <c r="N227" s="490" t="b">
        <v>0</v>
      </c>
      <c r="O227" s="495">
        <v>0.45300000000000001</v>
      </c>
      <c r="P227" s="496">
        <f t="shared" si="2"/>
        <v>3.0000000000000001E-3</v>
      </c>
      <c r="Q227" s="1002">
        <f t="shared" si="3"/>
        <v>2.5000000000000001E-2</v>
      </c>
      <c r="R227" s="1050"/>
      <c r="S227" s="1003">
        <f t="shared" si="4"/>
        <v>0.42581999999999998</v>
      </c>
      <c r="T227" s="520">
        <f t="shared" si="5"/>
        <v>0.22650000000000001</v>
      </c>
      <c r="U227" s="1049"/>
      <c r="V227" s="1049"/>
      <c r="W227" s="1192">
        <v>0.5514</v>
      </c>
    </row>
    <row r="228" spans="1:23" x14ac:dyDescent="0.2">
      <c r="A228" s="489" t="str">
        <f t="shared" si="6"/>
        <v xml:space="preserve">Stikla, tostarp stikla šķiedras, ražošana iekārtās ar kausēšanas jaudu, kas pārsniedz 20 tonnas dienā </v>
      </c>
      <c r="B228" s="490">
        <v>12</v>
      </c>
      <c r="C228" s="490">
        <f t="shared" si="10"/>
        <v>16</v>
      </c>
      <c r="D228" s="490">
        <f t="shared" si="8"/>
        <v>16.100000000000001</v>
      </c>
      <c r="E228" s="491" t="str">
        <f t="shared" si="1"/>
        <v>12.16,1</v>
      </c>
      <c r="F228" s="490" t="str">
        <f>Translations!$B$1489</f>
        <v>Bezkrāsaina stikla pudeles un burkas</v>
      </c>
      <c r="G228" s="490" t="str">
        <f t="shared" si="9"/>
        <v>tonnas</v>
      </c>
      <c r="H228" s="490" t="b">
        <v>1</v>
      </c>
      <c r="I228" s="490" t="b">
        <v>0</v>
      </c>
      <c r="J228" s="490" t="b">
        <v>0</v>
      </c>
      <c r="K228" s="490" t="str">
        <f>""</f>
        <v/>
      </c>
      <c r="L228" s="492" t="str">
        <f>""</f>
        <v/>
      </c>
      <c r="M228" s="490" t="b">
        <v>1</v>
      </c>
      <c r="N228" s="490" t="b">
        <v>0</v>
      </c>
      <c r="O228" s="495">
        <v>0.38200000000000001</v>
      </c>
      <c r="P228" s="496">
        <f t="shared" si="2"/>
        <v>3.0000000000000001E-3</v>
      </c>
      <c r="Q228" s="1002">
        <f t="shared" si="3"/>
        <v>2.5000000000000001E-2</v>
      </c>
      <c r="R228" s="1050"/>
      <c r="S228" s="1003">
        <f t="shared" si="4"/>
        <v>0.35908000000000001</v>
      </c>
      <c r="T228" s="520">
        <f t="shared" si="5"/>
        <v>0.191</v>
      </c>
      <c r="U228" s="1049"/>
      <c r="V228" s="1049"/>
      <c r="W228" s="1192">
        <v>0.55159999999999998</v>
      </c>
    </row>
    <row r="229" spans="1:23" x14ac:dyDescent="0.2">
      <c r="A229" s="489" t="str">
        <f t="shared" si="6"/>
        <v xml:space="preserve">Stikla, tostarp stikla šķiedras, ražošana iekārtās ar kausēšanas jaudu, kas pārsniedz 20 tonnas dienā </v>
      </c>
      <c r="B229" s="490">
        <v>12</v>
      </c>
      <c r="C229" s="490">
        <f t="shared" si="10"/>
        <v>17</v>
      </c>
      <c r="D229" s="490">
        <f t="shared" si="8"/>
        <v>17.100000000000001</v>
      </c>
      <c r="E229" s="491" t="str">
        <f t="shared" si="1"/>
        <v>12.17,1</v>
      </c>
      <c r="F229" s="490" t="str">
        <f>Translations!$B$1490</f>
        <v>Krāsaina stikla pudeles un burkas</v>
      </c>
      <c r="G229" s="490" t="str">
        <f t="shared" si="9"/>
        <v>tonnas</v>
      </c>
      <c r="H229" s="490" t="b">
        <v>1</v>
      </c>
      <c r="I229" s="490" t="b">
        <v>0</v>
      </c>
      <c r="J229" s="490" t="b">
        <v>0</v>
      </c>
      <c r="K229" s="490" t="str">
        <f>""</f>
        <v/>
      </c>
      <c r="L229" s="492" t="str">
        <f>""</f>
        <v/>
      </c>
      <c r="M229" s="490" t="b">
        <v>1</v>
      </c>
      <c r="N229" s="490" t="b">
        <v>0</v>
      </c>
      <c r="O229" s="495">
        <v>0.30599999999999999</v>
      </c>
      <c r="P229" s="496">
        <f t="shared" si="2"/>
        <v>3.0000000000000001E-3</v>
      </c>
      <c r="Q229" s="1002">
        <f t="shared" si="3"/>
        <v>2.5000000000000001E-2</v>
      </c>
      <c r="R229" s="1050"/>
      <c r="S229" s="1003">
        <f t="shared" si="4"/>
        <v>0.28763999999999995</v>
      </c>
      <c r="T229" s="520">
        <f t="shared" si="5"/>
        <v>0.153</v>
      </c>
      <c r="U229" s="1049"/>
      <c r="V229" s="1049"/>
      <c r="W229" s="1192">
        <v>0.4511</v>
      </c>
    </row>
    <row r="230" spans="1:23" x14ac:dyDescent="0.2">
      <c r="A230" s="489" t="str">
        <f t="shared" si="6"/>
        <v xml:space="preserve">Stikla, tostarp stikla šķiedras, ražošana iekārtās ar kausēšanas jaudu, kas pārsniedz 20 tonnas dienā </v>
      </c>
      <c r="B230" s="490">
        <v>12</v>
      </c>
      <c r="C230" s="490">
        <f t="shared" si="10"/>
        <v>18</v>
      </c>
      <c r="D230" s="490">
        <f t="shared" si="8"/>
        <v>18.100000000000001</v>
      </c>
      <c r="E230" s="491" t="str">
        <f t="shared" si="1"/>
        <v>12.18,1</v>
      </c>
      <c r="F230" s="490" t="str">
        <f>Translations!$B$1491</f>
        <v>Nepārtrauktā pavediena stiklšķiedras produkti</v>
      </c>
      <c r="G230" s="490" t="str">
        <f t="shared" si="9"/>
        <v>tonnas</v>
      </c>
      <c r="H230" s="490" t="b">
        <v>1</v>
      </c>
      <c r="I230" s="490" t="b">
        <v>0</v>
      </c>
      <c r="J230" s="490" t="b">
        <v>0</v>
      </c>
      <c r="K230" s="490" t="str">
        <f>""</f>
        <v/>
      </c>
      <c r="L230" s="492" t="str">
        <f>""</f>
        <v/>
      </c>
      <c r="M230" s="490" t="b">
        <v>1</v>
      </c>
      <c r="N230" s="490" t="b">
        <v>0</v>
      </c>
      <c r="O230" s="495">
        <v>0.40600000000000003</v>
      </c>
      <c r="P230" s="496">
        <f t="shared" si="2"/>
        <v>3.0000000000000001E-3</v>
      </c>
      <c r="Q230" s="1002">
        <f t="shared" si="3"/>
        <v>2.5000000000000001E-2</v>
      </c>
      <c r="R230" s="1050"/>
      <c r="S230" s="1003">
        <f t="shared" si="4"/>
        <v>0.38163999999999998</v>
      </c>
      <c r="T230" s="520">
        <f t="shared" si="5"/>
        <v>0.20300000000000001</v>
      </c>
      <c r="U230" s="1049"/>
      <c r="V230" s="1049"/>
      <c r="W230" s="1192">
        <v>0.56469999999999998</v>
      </c>
    </row>
    <row r="231" spans="1:23" x14ac:dyDescent="0.2">
      <c r="A231" s="489" t="str">
        <f t="shared" si="6"/>
        <v xml:space="preserve">Apdedzinātu keramikas izstrādājumu ražošana, jo īpaši kārniņu, ķieģeļu, ugunsizturīgo [karstumizturīgo] ķieģeļu, flīžu, keramikas vai porcelāna ražošana ar jaudu virs 75 tonnām dienā </v>
      </c>
      <c r="B231" s="490">
        <v>13</v>
      </c>
      <c r="C231" s="490">
        <f t="shared" si="10"/>
        <v>19</v>
      </c>
      <c r="D231" s="490">
        <f t="shared" si="8"/>
        <v>19.100000000000001</v>
      </c>
      <c r="E231" s="491" t="str">
        <f t="shared" si="1"/>
        <v>13.19,1</v>
      </c>
      <c r="F231" s="490" t="str">
        <f>Translations!$B$1492</f>
        <v>Apšuvuma ķieģeļi</v>
      </c>
      <c r="G231" s="490" t="str">
        <f t="shared" si="9"/>
        <v>tonnas</v>
      </c>
      <c r="H231" s="490" t="b">
        <v>1</v>
      </c>
      <c r="I231" s="490" t="b">
        <v>0</v>
      </c>
      <c r="J231" s="490" t="b">
        <v>0</v>
      </c>
      <c r="K231" s="490" t="str">
        <f>""</f>
        <v/>
      </c>
      <c r="L231" s="492" t="str">
        <f>""</f>
        <v/>
      </c>
      <c r="M231" s="490" t="b">
        <v>1</v>
      </c>
      <c r="N231" s="490" t="b">
        <v>0</v>
      </c>
      <c r="O231" s="495">
        <v>0.13900000000000001</v>
      </c>
      <c r="P231" s="496">
        <f t="shared" si="2"/>
        <v>3.0000000000000001E-3</v>
      </c>
      <c r="Q231" s="1002">
        <f t="shared" si="3"/>
        <v>2.5000000000000001E-2</v>
      </c>
      <c r="R231" s="1050"/>
      <c r="S231" s="1003">
        <f t="shared" si="4"/>
        <v>0.13066</v>
      </c>
      <c r="T231" s="520">
        <f t="shared" si="5"/>
        <v>6.9500000000000006E-2</v>
      </c>
      <c r="U231" s="1049"/>
      <c r="V231" s="1049"/>
      <c r="W231" s="1192">
        <v>0.1961</v>
      </c>
    </row>
    <row r="232" spans="1:23" x14ac:dyDescent="0.2">
      <c r="A232" s="489" t="str">
        <f t="shared" si="6"/>
        <v xml:space="preserve">Apdedzinātu keramikas izstrādājumu ražošana, jo īpaši kārniņu, ķieģeļu, ugunsizturīgo [karstumizturīgo] ķieģeļu, flīžu, keramikas vai porcelāna ražošana ar jaudu virs 75 tonnām dienā </v>
      </c>
      <c r="B232" s="490">
        <v>13</v>
      </c>
      <c r="C232" s="490">
        <f t="shared" si="10"/>
        <v>20</v>
      </c>
      <c r="D232" s="490">
        <f t="shared" si="8"/>
        <v>20.100000000000001</v>
      </c>
      <c r="E232" s="491" t="str">
        <f t="shared" si="1"/>
        <v>13.20,1</v>
      </c>
      <c r="F232" s="490" t="str">
        <f>Translations!$B$1493</f>
        <v>Seguma ķieģeļi</v>
      </c>
      <c r="G232" s="490" t="str">
        <f t="shared" si="9"/>
        <v>tonnas</v>
      </c>
      <c r="H232" s="490" t="b">
        <v>1</v>
      </c>
      <c r="I232" s="490" t="b">
        <v>0</v>
      </c>
      <c r="J232" s="490" t="b">
        <v>0</v>
      </c>
      <c r="K232" s="490" t="str">
        <f>""</f>
        <v/>
      </c>
      <c r="L232" s="492" t="str">
        <f>""</f>
        <v/>
      </c>
      <c r="M232" s="490" t="b">
        <v>1</v>
      </c>
      <c r="N232" s="490" t="b">
        <v>0</v>
      </c>
      <c r="O232" s="495">
        <v>0.192</v>
      </c>
      <c r="P232" s="496">
        <f t="shared" si="2"/>
        <v>3.0000000000000001E-3</v>
      </c>
      <c r="Q232" s="1002">
        <f t="shared" si="3"/>
        <v>2.5000000000000001E-2</v>
      </c>
      <c r="R232" s="1050"/>
      <c r="S232" s="1003">
        <f t="shared" si="4"/>
        <v>0.18048</v>
      </c>
      <c r="T232" s="520">
        <f t="shared" si="5"/>
        <v>9.6000000000000002E-2</v>
      </c>
      <c r="U232" s="1049"/>
      <c r="V232" s="1049"/>
      <c r="W232" s="1192">
        <v>0.21529999999999999</v>
      </c>
    </row>
    <row r="233" spans="1:23" x14ac:dyDescent="0.2">
      <c r="A233" s="489" t="str">
        <f t="shared" si="6"/>
        <v xml:space="preserve">Apdedzinātu keramikas izstrādājumu ražošana, jo īpaši kārniņu, ķieģeļu, ugunsizturīgo [karstumizturīgo] ķieģeļu, flīžu, keramikas vai porcelāna ražošana ar jaudu virs 75 tonnām dienā </v>
      </c>
      <c r="B233" s="490">
        <v>13</v>
      </c>
      <c r="C233" s="490">
        <f t="shared" si="10"/>
        <v>21</v>
      </c>
      <c r="D233" s="490">
        <f t="shared" si="8"/>
        <v>21.1</v>
      </c>
      <c r="E233" s="491" t="str">
        <f t="shared" si="1"/>
        <v>13.21,1</v>
      </c>
      <c r="F233" s="490" t="str">
        <f>Translations!$B$1494</f>
        <v>Jumta kārniņi</v>
      </c>
      <c r="G233" s="490" t="str">
        <f t="shared" si="9"/>
        <v>tonnas</v>
      </c>
      <c r="H233" s="490" t="b">
        <v>1</v>
      </c>
      <c r="I233" s="490" t="b">
        <v>0</v>
      </c>
      <c r="J233" s="490" t="b">
        <v>0</v>
      </c>
      <c r="K233" s="490" t="str">
        <f>""</f>
        <v/>
      </c>
      <c r="L233" s="492" t="str">
        <f>""</f>
        <v/>
      </c>
      <c r="M233" s="490" t="b">
        <v>1</v>
      </c>
      <c r="N233" s="490" t="b">
        <v>0</v>
      </c>
      <c r="O233" s="495">
        <v>0.14399999999999999</v>
      </c>
      <c r="P233" s="496">
        <f t="shared" si="2"/>
        <v>3.0000000000000001E-3</v>
      </c>
      <c r="Q233" s="1002">
        <f t="shared" si="3"/>
        <v>2.5000000000000001E-2</v>
      </c>
      <c r="R233" s="1050"/>
      <c r="S233" s="1003">
        <f t="shared" si="4"/>
        <v>0.13535999999999998</v>
      </c>
      <c r="T233" s="520">
        <f t="shared" si="5"/>
        <v>7.1999999999999995E-2</v>
      </c>
      <c r="U233" s="1049"/>
      <c r="V233" s="1049"/>
      <c r="W233" s="1192">
        <v>0.2238</v>
      </c>
    </row>
    <row r="234" spans="1:23" x14ac:dyDescent="0.2">
      <c r="A234" s="489" t="str">
        <f t="shared" si="6"/>
        <v xml:space="preserve">Apdedzinātu keramikas izstrādājumu ražošana, jo īpaši kārniņu, ķieģeļu, ugunsizturīgo [karstumizturīgo] ķieģeļu, flīžu, keramikas vai porcelāna ražošana ar jaudu virs 75 tonnām dienā </v>
      </c>
      <c r="B234" s="490">
        <v>13</v>
      </c>
      <c r="C234" s="490">
        <f t="shared" si="10"/>
        <v>22</v>
      </c>
      <c r="D234" s="490">
        <f t="shared" si="8"/>
        <v>22.1</v>
      </c>
      <c r="E234" s="491" t="str">
        <f t="shared" si="1"/>
        <v>13.22,1</v>
      </c>
      <c r="F234" s="490" t="str">
        <f>Translations!$B$1495</f>
        <v>Izsmidzinot izžāvējams pulveris</v>
      </c>
      <c r="G234" s="490" t="str">
        <f t="shared" si="9"/>
        <v>tonnas</v>
      </c>
      <c r="H234" s="490" t="b">
        <v>1</v>
      </c>
      <c r="I234" s="490" t="b">
        <v>0</v>
      </c>
      <c r="J234" s="490" t="b">
        <v>0</v>
      </c>
      <c r="K234" s="490" t="str">
        <f>""</f>
        <v/>
      </c>
      <c r="L234" s="492" t="str">
        <f>""</f>
        <v/>
      </c>
      <c r="M234" s="490" t="b">
        <v>1</v>
      </c>
      <c r="N234" s="490" t="b">
        <v>0</v>
      </c>
      <c r="O234" s="495">
        <v>7.5999999999999998E-2</v>
      </c>
      <c r="P234" s="496">
        <f t="shared" si="2"/>
        <v>3.0000000000000001E-3</v>
      </c>
      <c r="Q234" s="1002">
        <f t="shared" si="3"/>
        <v>2.5000000000000001E-2</v>
      </c>
      <c r="R234" s="1050"/>
      <c r="S234" s="1003">
        <f t="shared" si="4"/>
        <v>7.143999999999999E-2</v>
      </c>
      <c r="T234" s="520">
        <f t="shared" si="5"/>
        <v>3.7999999999999999E-2</v>
      </c>
      <c r="U234" s="1049"/>
      <c r="V234" s="1049"/>
      <c r="W234" s="1192">
        <v>9.1899999999999996E-2</v>
      </c>
    </row>
    <row r="235" spans="1:23" x14ac:dyDescent="0.2">
      <c r="A235" s="489" t="str">
        <f t="shared" si="6"/>
        <v xml:space="preserve">Minerālvates izolācijas materiālu ražošana, izmantojot stiklu, akmeni vai izdedžus [sārņus], ar kausēšanas jaudu virs 20 tonnām dienā </v>
      </c>
      <c r="B235" s="490">
        <v>14</v>
      </c>
      <c r="C235" s="490">
        <f t="shared" si="10"/>
        <v>23</v>
      </c>
      <c r="D235" s="490">
        <f t="shared" si="8"/>
        <v>23.1</v>
      </c>
      <c r="E235" s="491" t="str">
        <f t="shared" si="1"/>
        <v>14.23,1</v>
      </c>
      <c r="F235" s="490" t="str">
        <f>Translations!$B$1496</f>
        <v>Minerālvate</v>
      </c>
      <c r="G235" s="490" t="str">
        <f t="shared" si="9"/>
        <v>tonnas</v>
      </c>
      <c r="H235" s="490" t="b">
        <v>1</v>
      </c>
      <c r="I235" s="490" t="b">
        <v>0</v>
      </c>
      <c r="J235" s="490" t="b">
        <v>1</v>
      </c>
      <c r="K235" s="490" t="str">
        <f>""</f>
        <v/>
      </c>
      <c r="L235" s="492" t="str">
        <f>""</f>
        <v/>
      </c>
      <c r="M235" s="490" t="b">
        <v>1</v>
      </c>
      <c r="N235" s="490" t="b">
        <v>0</v>
      </c>
      <c r="O235" s="495">
        <v>0.68200000000000005</v>
      </c>
      <c r="P235" s="496">
        <f t="shared" si="2"/>
        <v>3.0000000000000001E-3</v>
      </c>
      <c r="Q235" s="1002">
        <f t="shared" si="3"/>
        <v>2.5000000000000001E-2</v>
      </c>
      <c r="R235" s="1050"/>
      <c r="S235" s="1003">
        <f t="shared" si="4"/>
        <v>0.64107999999999998</v>
      </c>
      <c r="T235" s="520">
        <f t="shared" si="5"/>
        <v>0.34100000000000003</v>
      </c>
      <c r="U235" s="1049"/>
      <c r="V235" s="1049"/>
      <c r="W235" s="1192">
        <v>0.9798</v>
      </c>
    </row>
    <row r="236" spans="1:23" x14ac:dyDescent="0.2">
      <c r="A236" s="489" t="str">
        <f t="shared" si="6"/>
        <v>Ģipša žāvēšana vai apdedzināšana vai ģipškartona sausā apmetuma plātņu un citu ģipša izstrādājumu ražošana, ja apdedzinātā ģipša vai žāvētā sekundārā ģipša ražošanas jauda pārsniedz 20 tonnas dienā</v>
      </c>
      <c r="B236" s="490">
        <v>15</v>
      </c>
      <c r="C236" s="490">
        <f t="shared" si="10"/>
        <v>24</v>
      </c>
      <c r="D236" s="490">
        <f t="shared" si="8"/>
        <v>24.1</v>
      </c>
      <c r="E236" s="491" t="str">
        <f t="shared" si="1"/>
        <v>15.24,1</v>
      </c>
      <c r="F236" s="490" t="str">
        <f>Translations!$B$1497</f>
        <v>Ģipšmateriāls</v>
      </c>
      <c r="G236" s="490" t="str">
        <f t="shared" si="9"/>
        <v>tonnas</v>
      </c>
      <c r="H236" s="490" t="b">
        <v>1</v>
      </c>
      <c r="I236" s="490" t="b">
        <v>0</v>
      </c>
      <c r="J236" s="490" t="b">
        <v>0</v>
      </c>
      <c r="K236" s="490" t="str">
        <f>""</f>
        <v/>
      </c>
      <c r="L236" s="492" t="str">
        <f>""</f>
        <v/>
      </c>
      <c r="M236" s="490" t="b">
        <v>1</v>
      </c>
      <c r="N236" s="490" t="b">
        <v>0</v>
      </c>
      <c r="O236" s="495">
        <v>4.8000000000000001E-2</v>
      </c>
      <c r="P236" s="496">
        <f t="shared" si="2"/>
        <v>3.0000000000000001E-3</v>
      </c>
      <c r="Q236" s="1002">
        <f t="shared" si="3"/>
        <v>2.5000000000000001E-2</v>
      </c>
      <c r="R236" s="1050"/>
      <c r="S236" s="1003">
        <f t="shared" si="4"/>
        <v>4.512E-2</v>
      </c>
      <c r="T236" s="520">
        <f t="shared" si="5"/>
        <v>2.4E-2</v>
      </c>
      <c r="U236" s="1049"/>
      <c r="V236" s="1049"/>
      <c r="W236" s="1192">
        <v>6.5699999999999995E-2</v>
      </c>
    </row>
    <row r="237" spans="1:23" x14ac:dyDescent="0.2">
      <c r="A237" s="489" t="str">
        <f t="shared" si="6"/>
        <v>Ģipša žāvēšana vai apdedzināšana vai ģipškartona sausā apmetuma plātņu un citu ģipša izstrādājumu ražošana, ja apdedzinātā ģipša vai žāvētā sekundārā ģipša ražošanas jauda pārsniedz 20 tonnas dienā</v>
      </c>
      <c r="B237" s="490">
        <v>15</v>
      </c>
      <c r="C237" s="490">
        <f t="shared" si="10"/>
        <v>25</v>
      </c>
      <c r="D237" s="490">
        <f t="shared" si="8"/>
        <v>25.1</v>
      </c>
      <c r="E237" s="491" t="str">
        <f t="shared" si="1"/>
        <v>15.25,1</v>
      </c>
      <c r="F237" s="490" t="str">
        <f>Translations!$B$1498</f>
        <v>Žāvēts sekundārais ģipsis</v>
      </c>
      <c r="G237" s="490" t="str">
        <f t="shared" si="9"/>
        <v>tonnas</v>
      </c>
      <c r="H237" s="490" t="b">
        <v>1</v>
      </c>
      <c r="I237" s="490" t="b">
        <v>0</v>
      </c>
      <c r="J237" s="490" t="b">
        <v>0</v>
      </c>
      <c r="K237" s="490" t="str">
        <f>""</f>
        <v/>
      </c>
      <c r="L237" s="492" t="str">
        <f>""</f>
        <v/>
      </c>
      <c r="M237" s="490" t="b">
        <v>1</v>
      </c>
      <c r="N237" s="490" t="b">
        <v>0</v>
      </c>
      <c r="O237" s="495">
        <v>1.7000000000000001E-2</v>
      </c>
      <c r="P237" s="496">
        <f t="shared" si="2"/>
        <v>3.0000000000000001E-3</v>
      </c>
      <c r="Q237" s="1002">
        <f t="shared" si="3"/>
        <v>2.5000000000000001E-2</v>
      </c>
      <c r="R237" s="1050"/>
      <c r="S237" s="1003">
        <f t="shared" si="4"/>
        <v>1.5980000000000001E-2</v>
      </c>
      <c r="T237" s="520">
        <f t="shared" si="5"/>
        <v>8.5000000000000006E-3</v>
      </c>
      <c r="U237" s="1049"/>
      <c r="V237" s="1049"/>
      <c r="W237" s="1192">
        <v>2.8400000000000002E-2</v>
      </c>
    </row>
    <row r="238" spans="1:23" x14ac:dyDescent="0.2">
      <c r="A238" s="489" t="str">
        <f t="shared" si="6"/>
        <v>Ģipša žāvēšana vai apdedzināšana vai ģipškartona sausā apmetuma plātņu un citu ģipša izstrādājumu ražošana, ja apdedzinātā ģipša vai žāvētā sekundārā ģipša ražošanas jauda pārsniedz 20 tonnas dienā</v>
      </c>
      <c r="B238" s="490">
        <v>15</v>
      </c>
      <c r="C238" s="490">
        <f t="shared" si="10"/>
        <v>26</v>
      </c>
      <c r="D238" s="490">
        <f t="shared" si="8"/>
        <v>26.1</v>
      </c>
      <c r="E238" s="491" t="str">
        <f t="shared" si="1"/>
        <v>15.26,1</v>
      </c>
      <c r="F238" s="490" t="str">
        <f>Translations!$B$1499</f>
        <v>Ģipškartons</v>
      </c>
      <c r="G238" s="490" t="str">
        <f t="shared" si="9"/>
        <v>tonnas</v>
      </c>
      <c r="H238" s="490" t="b">
        <v>0</v>
      </c>
      <c r="I238" s="490" t="b">
        <v>0</v>
      </c>
      <c r="J238" s="490" t="b">
        <v>1</v>
      </c>
      <c r="K238" s="490" t="str">
        <f>""</f>
        <v/>
      </c>
      <c r="L238" s="492" t="str">
        <f>""</f>
        <v/>
      </c>
      <c r="M238" s="490" t="b">
        <v>1</v>
      </c>
      <c r="N238" s="490" t="b">
        <v>0</v>
      </c>
      <c r="O238" s="495">
        <v>0.13100000000000001</v>
      </c>
      <c r="P238" s="496">
        <f t="shared" si="2"/>
        <v>3.0000000000000001E-3</v>
      </c>
      <c r="Q238" s="1002">
        <f t="shared" si="3"/>
        <v>2.5000000000000001E-2</v>
      </c>
      <c r="R238" s="1050"/>
      <c r="S238" s="1003">
        <f t="shared" si="4"/>
        <v>0.12314</v>
      </c>
      <c r="T238" s="520">
        <f t="shared" si="5"/>
        <v>6.5500000000000003E-2</v>
      </c>
      <c r="U238" s="1049"/>
      <c r="V238" s="1049"/>
      <c r="W238" s="1192">
        <v>0.16200000000000001</v>
      </c>
    </row>
    <row r="239" spans="1:23" x14ac:dyDescent="0.2">
      <c r="A239" s="489" t="str">
        <f t="shared" si="6"/>
        <v xml:space="preserve">Celulozes [pulpas] ražošana no koksnes vai citiem šķiedrainiem materiāliem </v>
      </c>
      <c r="B239" s="490">
        <v>16</v>
      </c>
      <c r="C239" s="490">
        <f t="shared" si="10"/>
        <v>27</v>
      </c>
      <c r="D239" s="490">
        <f t="shared" si="8"/>
        <v>27.1</v>
      </c>
      <c r="E239" s="491" t="str">
        <f t="shared" si="1"/>
        <v>16.27,1</v>
      </c>
      <c r="F239" s="490" t="str">
        <f>Translations!$B$1500</f>
        <v>Īsšķiedras kraftpulpa</v>
      </c>
      <c r="G239" s="490" t="str">
        <f>Translations!$B$1501</f>
        <v>GSt</v>
      </c>
      <c r="H239" s="490" t="b">
        <v>1</v>
      </c>
      <c r="I239" s="490" t="b">
        <v>0</v>
      </c>
      <c r="J239" s="490" t="b">
        <v>0</v>
      </c>
      <c r="K239" s="493" t="str">
        <f>Translations!$B$1502</f>
        <v>Ievērojiet, ka uz integrētu pulpas un papīra ražošanu attiecas īpaši iedales noteikumi (FAR 16. panta 6. punkts).</v>
      </c>
      <c r="L239" s="492" t="str">
        <f>""</f>
        <v/>
      </c>
      <c r="M239" s="490" t="b">
        <v>1</v>
      </c>
      <c r="N239" s="490" t="b">
        <v>1</v>
      </c>
      <c r="O239" s="495">
        <v>0.12</v>
      </c>
      <c r="P239" s="496">
        <f t="shared" si="2"/>
        <v>3.0000000000000001E-3</v>
      </c>
      <c r="Q239" s="1002">
        <f t="shared" si="3"/>
        <v>2.5000000000000001E-2</v>
      </c>
      <c r="R239" s="1050"/>
      <c r="S239" s="1003">
        <f t="shared" si="4"/>
        <v>0.11279999999999998</v>
      </c>
      <c r="T239" s="520">
        <f t="shared" si="5"/>
        <v>0.06</v>
      </c>
      <c r="U239" s="1049"/>
      <c r="V239" s="1049"/>
      <c r="W239" s="1192">
        <v>0.129</v>
      </c>
    </row>
    <row r="240" spans="1:23" x14ac:dyDescent="0.2">
      <c r="A240" s="489" t="str">
        <f t="shared" si="6"/>
        <v xml:space="preserve">Celulozes [pulpas] ražošana no koksnes vai citiem šķiedrainiem materiāliem </v>
      </c>
      <c r="B240" s="490">
        <v>16</v>
      </c>
      <c r="C240" s="490">
        <f t="shared" si="10"/>
        <v>28</v>
      </c>
      <c r="D240" s="490">
        <f t="shared" si="8"/>
        <v>28.1</v>
      </c>
      <c r="E240" s="491" t="str">
        <f t="shared" si="1"/>
        <v>16.28,1</v>
      </c>
      <c r="F240" s="490" t="str">
        <f>Translations!$B$1503</f>
        <v>Garšķiedras kraftpulpa</v>
      </c>
      <c r="G240" s="490" t="str">
        <f>Translations!$B$1501</f>
        <v>GSt</v>
      </c>
      <c r="H240" s="490" t="b">
        <v>1</v>
      </c>
      <c r="I240" s="490" t="b">
        <v>0</v>
      </c>
      <c r="J240" s="490" t="b">
        <v>0</v>
      </c>
      <c r="K240" s="493" t="str">
        <f>Translations!$B$1502</f>
        <v>Ievērojiet, ka uz integrētu pulpas un papīra ražošanu attiecas īpaši iedales noteikumi (FAR 16. panta 6. punkts).</v>
      </c>
      <c r="L240" s="492" t="str">
        <f>""</f>
        <v/>
      </c>
      <c r="M240" s="490" t="b">
        <v>1</v>
      </c>
      <c r="N240" s="490" t="b">
        <v>1</v>
      </c>
      <c r="O240" s="495">
        <v>0.06</v>
      </c>
      <c r="P240" s="496">
        <f t="shared" si="2"/>
        <v>3.0000000000000001E-3</v>
      </c>
      <c r="Q240" s="1002">
        <f t="shared" si="3"/>
        <v>2.5000000000000001E-2</v>
      </c>
      <c r="R240" s="1050"/>
      <c r="S240" s="1003">
        <f t="shared" si="4"/>
        <v>5.6399999999999992E-2</v>
      </c>
      <c r="T240" s="520">
        <f t="shared" si="5"/>
        <v>0.03</v>
      </c>
      <c r="U240" s="1049"/>
      <c r="V240" s="1049"/>
      <c r="W240" s="1192">
        <v>0.1095</v>
      </c>
    </row>
    <row r="241" spans="1:23" x14ac:dyDescent="0.2">
      <c r="A241" s="489" t="str">
        <f t="shared" si="6"/>
        <v xml:space="preserve">Celulozes [pulpas] ražošana no koksnes vai citiem šķiedrainiem materiāliem </v>
      </c>
      <c r="B241" s="490">
        <v>16</v>
      </c>
      <c r="C241" s="490">
        <f t="shared" si="10"/>
        <v>29</v>
      </c>
      <c r="D241" s="490">
        <f t="shared" si="8"/>
        <v>29.1</v>
      </c>
      <c r="E241" s="491" t="str">
        <f t="shared" si="1"/>
        <v>16.29,1</v>
      </c>
      <c r="F241" s="490" t="str">
        <f>Translations!$B$1504</f>
        <v>Sulfītpulpa, termomehāniskā un mehāniskā pulpa</v>
      </c>
      <c r="G241" s="490" t="str">
        <f>Translations!$B$1501</f>
        <v>GSt</v>
      </c>
      <c r="H241" s="490" t="b">
        <v>1</v>
      </c>
      <c r="I241" s="490" t="b">
        <v>0</v>
      </c>
      <c r="J241" s="490" t="b">
        <v>0</v>
      </c>
      <c r="K241" s="493" t="str">
        <f>Translations!$B$1502</f>
        <v>Ievērojiet, ka uz integrētu pulpas un papīra ražošanu attiecas īpaši iedales noteikumi (FAR 16. panta 6. punkts).</v>
      </c>
      <c r="L241" s="492" t="str">
        <f>""</f>
        <v/>
      </c>
      <c r="M241" s="490" t="b">
        <v>1</v>
      </c>
      <c r="N241" s="490" t="b">
        <v>1</v>
      </c>
      <c r="O241" s="495">
        <v>0.02</v>
      </c>
      <c r="P241" s="496">
        <f t="shared" si="2"/>
        <v>3.0000000000000001E-3</v>
      </c>
      <c r="Q241" s="1002">
        <f t="shared" si="3"/>
        <v>2.5000000000000001E-2</v>
      </c>
      <c r="R241" s="1050"/>
      <c r="S241" s="1003">
        <f t="shared" si="4"/>
        <v>1.8800000000000001E-2</v>
      </c>
      <c r="T241" s="520">
        <f t="shared" si="5"/>
        <v>0.01</v>
      </c>
      <c r="U241" s="1049"/>
      <c r="V241" s="1049"/>
      <c r="W241" s="1192">
        <v>9.9099999999999994E-2</v>
      </c>
    </row>
    <row r="242" spans="1:23" x14ac:dyDescent="0.2">
      <c r="A242" s="489" t="str">
        <f t="shared" si="6"/>
        <v xml:space="preserve">Celulozes [pulpas] ražošana no koksnes vai citiem šķiedrainiem materiāliem </v>
      </c>
      <c r="B242" s="490">
        <v>16</v>
      </c>
      <c r="C242" s="490">
        <f t="shared" si="10"/>
        <v>30</v>
      </c>
      <c r="D242" s="490">
        <f t="shared" si="8"/>
        <v>30.1</v>
      </c>
      <c r="E242" s="491" t="str">
        <f t="shared" si="1"/>
        <v>16.30,1</v>
      </c>
      <c r="F242" s="490" t="str">
        <f>Translations!$B$1505</f>
        <v>Atgūta papīra pulpa</v>
      </c>
      <c r="G242" s="490" t="str">
        <f>Translations!$B$1501</f>
        <v>GSt</v>
      </c>
      <c r="H242" s="490" t="b">
        <v>1</v>
      </c>
      <c r="I242" s="490" t="b">
        <v>0</v>
      </c>
      <c r="J242" s="490" t="b">
        <v>0</v>
      </c>
      <c r="K242" s="490" t="str">
        <f>""</f>
        <v/>
      </c>
      <c r="L242" s="492" t="str">
        <f>""</f>
        <v/>
      </c>
      <c r="M242" s="490" t="b">
        <v>1</v>
      </c>
      <c r="N242" s="490" t="b">
        <v>0</v>
      </c>
      <c r="O242" s="495">
        <v>3.9E-2</v>
      </c>
      <c r="P242" s="496">
        <f t="shared" si="2"/>
        <v>3.0000000000000001E-3</v>
      </c>
      <c r="Q242" s="1002">
        <f t="shared" si="3"/>
        <v>2.5000000000000001E-2</v>
      </c>
      <c r="R242" s="1050"/>
      <c r="S242" s="1003">
        <f t="shared" si="4"/>
        <v>3.6659999999999998E-2</v>
      </c>
      <c r="T242" s="520">
        <f t="shared" si="5"/>
        <v>1.95E-2</v>
      </c>
      <c r="U242" s="1049"/>
      <c r="V242" s="1049"/>
      <c r="W242" s="1192">
        <v>3.1800000000000002E-2</v>
      </c>
    </row>
    <row r="243" spans="1:23" x14ac:dyDescent="0.2">
      <c r="A243" s="489" t="str">
        <f t="shared" si="6"/>
        <v xml:space="preserve">Papīra vai kartona ražošana, ražošanas jaudai pārsniedzot 20 tonnas dienā </v>
      </c>
      <c r="B243" s="490">
        <v>17</v>
      </c>
      <c r="C243" s="490">
        <f t="shared" si="10"/>
        <v>31</v>
      </c>
      <c r="D243" s="490">
        <f t="shared" si="8"/>
        <v>31.1</v>
      </c>
      <c r="E243" s="491" t="str">
        <f t="shared" si="1"/>
        <v>17.31,1</v>
      </c>
      <c r="F243" s="490" t="str">
        <f>Translations!$B$1506</f>
        <v>Avīžpapīrs</v>
      </c>
      <c r="G243" s="490" t="str">
        <f>Translations!$B$1501</f>
        <v>GSt</v>
      </c>
      <c r="H243" s="490" t="b">
        <v>1</v>
      </c>
      <c r="I243" s="490" t="b">
        <v>0</v>
      </c>
      <c r="J243" s="490" t="b">
        <v>0</v>
      </c>
      <c r="K243" s="490" t="str">
        <f>""</f>
        <v/>
      </c>
      <c r="L243" s="492" t="str">
        <f>""</f>
        <v/>
      </c>
      <c r="M243" s="490" t="b">
        <v>1</v>
      </c>
      <c r="N243" s="490" t="b">
        <v>0</v>
      </c>
      <c r="O243" s="495">
        <v>0.29799999999999999</v>
      </c>
      <c r="P243" s="496">
        <f t="shared" si="2"/>
        <v>3.0000000000000001E-3</v>
      </c>
      <c r="Q243" s="1002">
        <f t="shared" si="3"/>
        <v>2.5000000000000001E-2</v>
      </c>
      <c r="R243" s="1050"/>
      <c r="S243" s="1003">
        <f t="shared" si="4"/>
        <v>0.28011999999999998</v>
      </c>
      <c r="T243" s="520">
        <f t="shared" si="5"/>
        <v>0.14899999999999999</v>
      </c>
      <c r="U243" s="1049"/>
      <c r="V243" s="1049"/>
      <c r="W243" s="1192">
        <v>0.2475</v>
      </c>
    </row>
    <row r="244" spans="1:23" x14ac:dyDescent="0.2">
      <c r="A244" s="489" t="str">
        <f t="shared" si="6"/>
        <v xml:space="preserve">Papīra vai kartona ražošana, ražošanas jaudai pārsniedzot 20 tonnas dienā </v>
      </c>
      <c r="B244" s="490">
        <v>17</v>
      </c>
      <c r="C244" s="490">
        <f t="shared" si="10"/>
        <v>32</v>
      </c>
      <c r="D244" s="490">
        <f t="shared" si="8"/>
        <v>32.1</v>
      </c>
      <c r="E244" s="491" t="str">
        <f t="shared" ref="E244:E264" si="11">CONCATENATE(TEXT(B244,"00"),".",TEXT(D244,"00,0"))</f>
        <v>17.32,1</v>
      </c>
      <c r="F244" s="490" t="str">
        <f>Translations!$B$1507</f>
        <v>Augstvērtīgs nekrītots papīrs</v>
      </c>
      <c r="G244" s="490" t="str">
        <f>Translations!$B$1501</f>
        <v>GSt</v>
      </c>
      <c r="H244" s="490" t="b">
        <v>1</v>
      </c>
      <c r="I244" s="490" t="b">
        <v>0</v>
      </c>
      <c r="J244" s="490" t="b">
        <v>0</v>
      </c>
      <c r="K244" s="490" t="str">
        <f>""</f>
        <v/>
      </c>
      <c r="L244" s="492" t="str">
        <f>""</f>
        <v/>
      </c>
      <c r="M244" s="490" t="b">
        <v>1</v>
      </c>
      <c r="N244" s="490" t="b">
        <v>0</v>
      </c>
      <c r="O244" s="495">
        <v>0.318</v>
      </c>
      <c r="P244" s="496">
        <f t="shared" si="2"/>
        <v>3.0000000000000001E-3</v>
      </c>
      <c r="Q244" s="1002">
        <f t="shared" ref="Q244:Q264" si="12">IF(AND(D244=4,CNTR_BaselinePeriod=1),INDEX(EUconst_BM_ARR_Range,1),INDEX(EUconst_BM_ARR_Range,2))</f>
        <v>2.5000000000000001E-2</v>
      </c>
      <c r="R244" s="1050"/>
      <c r="S244" s="1003">
        <f t="shared" si="4"/>
        <v>0.29891999999999996</v>
      </c>
      <c r="T244" s="520">
        <f t="shared" si="5"/>
        <v>0.159</v>
      </c>
      <c r="U244" s="1049"/>
      <c r="V244" s="1049"/>
      <c r="W244" s="1192">
        <v>0.39379999999999998</v>
      </c>
    </row>
    <row r="245" spans="1:23" x14ac:dyDescent="0.2">
      <c r="A245" s="489" t="str">
        <f t="shared" si="6"/>
        <v xml:space="preserve">Papīra vai kartona ražošana, ražošanas jaudai pārsniedzot 20 tonnas dienā </v>
      </c>
      <c r="B245" s="490">
        <v>17</v>
      </c>
      <c r="C245" s="490">
        <f t="shared" si="10"/>
        <v>33</v>
      </c>
      <c r="D245" s="490">
        <f t="shared" si="8"/>
        <v>33.1</v>
      </c>
      <c r="E245" s="491" t="str">
        <f t="shared" si="11"/>
        <v>17.33,1</v>
      </c>
      <c r="F245" s="490" t="str">
        <f>Translations!$B$1508</f>
        <v>Augstvērtīgs krītpapīrs</v>
      </c>
      <c r="G245" s="490" t="str">
        <f>Translations!$B$1501</f>
        <v>GSt</v>
      </c>
      <c r="H245" s="490" t="b">
        <v>1</v>
      </c>
      <c r="I245" s="490" t="b">
        <v>0</v>
      </c>
      <c r="J245" s="490" t="b">
        <v>0</v>
      </c>
      <c r="K245" s="490" t="str">
        <f>""</f>
        <v/>
      </c>
      <c r="L245" s="492" t="str">
        <f>""</f>
        <v/>
      </c>
      <c r="M245" s="490" t="b">
        <v>1</v>
      </c>
      <c r="N245" s="490" t="b">
        <v>0</v>
      </c>
      <c r="O245" s="495">
        <v>0.318</v>
      </c>
      <c r="P245" s="496">
        <f t="shared" ref="P245:P264" si="13">INDEX(EUconst_BM_ARR_Range,1)</f>
        <v>3.0000000000000001E-3</v>
      </c>
      <c r="Q245" s="1002">
        <f t="shared" si="12"/>
        <v>2.5000000000000001E-2</v>
      </c>
      <c r="R245" s="1050"/>
      <c r="S245" s="1003">
        <f t="shared" ref="S245:S264" si="14">$O245*(1-P245*(15+(IF(CNTR_BaselinePeriod=EUconst_NA,1,CNTR_BaselinePeriod)-1)*5))</f>
        <v>0.29891999999999996</v>
      </c>
      <c r="T245" s="520">
        <f t="shared" ref="T245:T264" si="15">$O245*(1-Q245*(15+(IF(CNTR_BaselinePeriod=EUconst_NA,1,CNTR_BaselinePeriod)-1)*5))</f>
        <v>0.159</v>
      </c>
      <c r="U245" s="1049"/>
      <c r="V245" s="1049"/>
      <c r="W245" s="1192">
        <v>0.34179999999999999</v>
      </c>
    </row>
    <row r="246" spans="1:23" x14ac:dyDescent="0.2">
      <c r="A246" s="489" t="str">
        <f t="shared" si="6"/>
        <v xml:space="preserve">Papīra vai kartona ražošana, ražošanas jaudai pārsniedzot 20 tonnas dienā </v>
      </c>
      <c r="B246" s="490">
        <v>17</v>
      </c>
      <c r="C246" s="490">
        <f t="shared" si="10"/>
        <v>34</v>
      </c>
      <c r="D246" s="490">
        <f t="shared" si="8"/>
        <v>34.1</v>
      </c>
      <c r="E246" s="491" t="str">
        <f t="shared" si="11"/>
        <v>17.34,1</v>
      </c>
      <c r="F246" s="490" t="str">
        <f>Translations!$B$1509</f>
        <v>Salvešpapīrs</v>
      </c>
      <c r="G246" s="490" t="str">
        <f>EUconst_Tons</f>
        <v>tonnas</v>
      </c>
      <c r="H246" s="490" t="b">
        <v>1</v>
      </c>
      <c r="I246" s="490" t="b">
        <v>0</v>
      </c>
      <c r="J246" s="490" t="b">
        <v>0</v>
      </c>
      <c r="K246" s="490" t="str">
        <f>""</f>
        <v/>
      </c>
      <c r="L246" s="492" t="str">
        <f>""</f>
        <v/>
      </c>
      <c r="M246" s="490" t="b">
        <v>1</v>
      </c>
      <c r="N246" s="490" t="b">
        <v>0</v>
      </c>
      <c r="O246" s="495">
        <v>0.33400000000000002</v>
      </c>
      <c r="P246" s="496">
        <f t="shared" si="13"/>
        <v>3.0000000000000001E-3</v>
      </c>
      <c r="Q246" s="1002">
        <f t="shared" si="12"/>
        <v>2.5000000000000001E-2</v>
      </c>
      <c r="R246" s="1050"/>
      <c r="S246" s="1003">
        <f t="shared" si="14"/>
        <v>0.31396000000000002</v>
      </c>
      <c r="T246" s="520">
        <f t="shared" si="15"/>
        <v>0.16700000000000001</v>
      </c>
      <c r="U246" s="1049"/>
      <c r="V246" s="1049"/>
      <c r="W246" s="1192">
        <v>0.441</v>
      </c>
    </row>
    <row r="247" spans="1:23" x14ac:dyDescent="0.2">
      <c r="A247" s="489" t="str">
        <f t="shared" si="6"/>
        <v xml:space="preserve">Papīra vai kartona ražošana, ražošanas jaudai pārsniedzot 20 tonnas dienā </v>
      </c>
      <c r="B247" s="490">
        <v>17</v>
      </c>
      <c r="C247" s="490">
        <f t="shared" si="10"/>
        <v>35</v>
      </c>
      <c r="D247" s="490">
        <f t="shared" si="8"/>
        <v>35.1</v>
      </c>
      <c r="E247" s="491" t="str">
        <f t="shared" si="11"/>
        <v>17.35,1</v>
      </c>
      <c r="F247" s="490" t="str">
        <f>Translations!$B$1510</f>
        <v>Testlainers un gofrētais slāņpapīrs</v>
      </c>
      <c r="G247" s="490" t="str">
        <f>Translations!$B$1501</f>
        <v>GSt</v>
      </c>
      <c r="H247" s="490" t="b">
        <v>1</v>
      </c>
      <c r="I247" s="490" t="b">
        <v>0</v>
      </c>
      <c r="J247" s="490" t="b">
        <v>0</v>
      </c>
      <c r="K247" s="490" t="str">
        <f>""</f>
        <v/>
      </c>
      <c r="L247" s="492" t="str">
        <f>""</f>
        <v/>
      </c>
      <c r="M247" s="490" t="b">
        <v>1</v>
      </c>
      <c r="N247" s="490" t="b">
        <v>0</v>
      </c>
      <c r="O247" s="495">
        <v>0.248</v>
      </c>
      <c r="P247" s="496">
        <f t="shared" si="13"/>
        <v>3.0000000000000001E-3</v>
      </c>
      <c r="Q247" s="1002">
        <f t="shared" si="12"/>
        <v>2.5000000000000001E-2</v>
      </c>
      <c r="R247" s="1050"/>
      <c r="S247" s="1003">
        <f t="shared" si="14"/>
        <v>0.23311999999999999</v>
      </c>
      <c r="T247" s="520">
        <f t="shared" si="15"/>
        <v>0.124</v>
      </c>
      <c r="U247" s="1049"/>
      <c r="V247" s="1049"/>
      <c r="W247" s="1192">
        <v>0.3095</v>
      </c>
    </row>
    <row r="248" spans="1:23" x14ac:dyDescent="0.2">
      <c r="A248" s="489" t="str">
        <f t="shared" si="6"/>
        <v xml:space="preserve">Papīra vai kartona ražošana, ražošanas jaudai pārsniedzot 20 tonnas dienā </v>
      </c>
      <c r="B248" s="490">
        <v>17</v>
      </c>
      <c r="C248" s="490">
        <f t="shared" si="10"/>
        <v>36</v>
      </c>
      <c r="D248" s="490">
        <f t="shared" si="8"/>
        <v>36.1</v>
      </c>
      <c r="E248" s="491" t="str">
        <f t="shared" si="11"/>
        <v>17.36,1</v>
      </c>
      <c r="F248" s="490" t="str">
        <f>Translations!$B$1511</f>
        <v>Nekrītots kartons</v>
      </c>
      <c r="G248" s="490" t="str">
        <f>Translations!$B$1501</f>
        <v>GSt</v>
      </c>
      <c r="H248" s="490" t="b">
        <v>1</v>
      </c>
      <c r="I248" s="490" t="b">
        <v>0</v>
      </c>
      <c r="J248" s="490" t="b">
        <v>0</v>
      </c>
      <c r="K248" s="490" t="str">
        <f>""</f>
        <v/>
      </c>
      <c r="L248" s="492" t="str">
        <f>""</f>
        <v/>
      </c>
      <c r="M248" s="490" t="b">
        <v>1</v>
      </c>
      <c r="N248" s="490" t="b">
        <v>0</v>
      </c>
      <c r="O248" s="495">
        <v>0.23699999999999999</v>
      </c>
      <c r="P248" s="496">
        <f t="shared" si="13"/>
        <v>3.0000000000000001E-3</v>
      </c>
      <c r="Q248" s="1002">
        <f t="shared" si="12"/>
        <v>2.5000000000000001E-2</v>
      </c>
      <c r="R248" s="1050"/>
      <c r="S248" s="1003">
        <f t="shared" si="14"/>
        <v>0.22277999999999998</v>
      </c>
      <c r="T248" s="520">
        <f t="shared" si="15"/>
        <v>0.11849999999999999</v>
      </c>
      <c r="U248" s="1049"/>
      <c r="V248" s="1049"/>
      <c r="W248" s="1192">
        <v>0.2823</v>
      </c>
    </row>
    <row r="249" spans="1:23" x14ac:dyDescent="0.2">
      <c r="A249" s="489" t="str">
        <f t="shared" si="6"/>
        <v xml:space="preserve">Papīra vai kartona ražošana, ražošanas jaudai pārsniedzot 20 tonnas dienā </v>
      </c>
      <c r="B249" s="490">
        <v>17</v>
      </c>
      <c r="C249" s="490">
        <f t="shared" si="10"/>
        <v>37</v>
      </c>
      <c r="D249" s="490">
        <f t="shared" si="8"/>
        <v>37.1</v>
      </c>
      <c r="E249" s="491" t="str">
        <f t="shared" si="11"/>
        <v>17.37,1</v>
      </c>
      <c r="F249" s="490" t="str">
        <f>Translations!$B$1512</f>
        <v>Krītots kartons</v>
      </c>
      <c r="G249" s="490" t="str">
        <f>Translations!$B$1501</f>
        <v>GSt</v>
      </c>
      <c r="H249" s="490" t="b">
        <v>1</v>
      </c>
      <c r="I249" s="490" t="b">
        <v>0</v>
      </c>
      <c r="J249" s="490" t="b">
        <v>0</v>
      </c>
      <c r="K249" s="490" t="str">
        <f>""</f>
        <v/>
      </c>
      <c r="L249" s="492" t="str">
        <f>""</f>
        <v/>
      </c>
      <c r="M249" s="490" t="b">
        <v>1</v>
      </c>
      <c r="N249" s="490" t="b">
        <v>0</v>
      </c>
      <c r="O249" s="495">
        <v>0.27300000000000002</v>
      </c>
      <c r="P249" s="496">
        <f t="shared" si="13"/>
        <v>3.0000000000000001E-3</v>
      </c>
      <c r="Q249" s="1002">
        <f t="shared" si="12"/>
        <v>2.5000000000000001E-2</v>
      </c>
      <c r="R249" s="1050"/>
      <c r="S249" s="1003">
        <f t="shared" si="14"/>
        <v>0.25662000000000001</v>
      </c>
      <c r="T249" s="520">
        <f t="shared" si="15"/>
        <v>0.13650000000000001</v>
      </c>
      <c r="U249" s="1049"/>
      <c r="V249" s="1049"/>
      <c r="W249" s="1192">
        <v>0.27579999999999999</v>
      </c>
    </row>
    <row r="250" spans="1:23" x14ac:dyDescent="0.2">
      <c r="A250" s="489" t="str">
        <f t="shared" si="6"/>
        <v>Tehniskā oglekļa ražošana, karbonizējot tādus organiskās vielas saturošus materiālus kā nafta, gudrons, krekinga un pārtvaices atlikumi, ja ražošanas jauda pārsniedz 50 tonnas dienā</v>
      </c>
      <c r="B250" s="490">
        <v>18</v>
      </c>
      <c r="C250" s="490">
        <f t="shared" si="10"/>
        <v>38</v>
      </c>
      <c r="D250" s="490">
        <f t="shared" si="8"/>
        <v>38.1</v>
      </c>
      <c r="E250" s="491" t="str">
        <f t="shared" si="11"/>
        <v>18.38,1</v>
      </c>
      <c r="F250" s="490" t="str">
        <f>Translations!$B$1513</f>
        <v>Tehniskais ogleklis</v>
      </c>
      <c r="G250" s="490" t="str">
        <f>EUconst_Tons</f>
        <v>tonnas</v>
      </c>
      <c r="H250" s="490" t="b">
        <v>1</v>
      </c>
      <c r="I250" s="490" t="b">
        <v>0</v>
      </c>
      <c r="J250" s="490" t="b">
        <v>1</v>
      </c>
      <c r="K250" s="490" t="str">
        <f>""</f>
        <v/>
      </c>
      <c r="L250" s="492" t="str">
        <f>""</f>
        <v/>
      </c>
      <c r="M250" s="490" t="b">
        <v>1</v>
      </c>
      <c r="N250" s="490" t="b">
        <v>0</v>
      </c>
      <c r="O250" s="495">
        <v>1.954</v>
      </c>
      <c r="P250" s="496">
        <f t="shared" si="13"/>
        <v>3.0000000000000001E-3</v>
      </c>
      <c r="Q250" s="1002">
        <f t="shared" si="12"/>
        <v>2.5000000000000001E-2</v>
      </c>
      <c r="R250" s="1050"/>
      <c r="S250" s="1003">
        <f t="shared" si="14"/>
        <v>1.8367599999999999</v>
      </c>
      <c r="T250" s="520">
        <f t="shared" si="15"/>
        <v>0.97699999999999998</v>
      </c>
      <c r="U250" s="1049"/>
      <c r="V250" s="1049"/>
      <c r="W250" s="1192">
        <v>2.1937000000000002</v>
      </c>
    </row>
    <row r="251" spans="1:23" x14ac:dyDescent="0.2">
      <c r="A251" s="489" t="str">
        <f t="shared" si="6"/>
        <v xml:space="preserve">Slāpekļskābes ražošana </v>
      </c>
      <c r="B251" s="490">
        <v>19</v>
      </c>
      <c r="C251" s="490">
        <f t="shared" si="10"/>
        <v>39</v>
      </c>
      <c r="D251" s="490">
        <f t="shared" si="8"/>
        <v>39.200000000000003</v>
      </c>
      <c r="E251" s="491" t="str">
        <f t="shared" si="11"/>
        <v>19.39,2</v>
      </c>
      <c r="F251" s="490" t="str">
        <f>Translations!$B$1514</f>
        <v>Slāpekļskābe</v>
      </c>
      <c r="G251" s="490" t="str">
        <f>EUconst_Tons</f>
        <v>tonnas</v>
      </c>
      <c r="H251" s="490" t="b">
        <v>1</v>
      </c>
      <c r="I251" s="490" t="b">
        <v>1</v>
      </c>
      <c r="J251" s="490" t="b">
        <v>0</v>
      </c>
      <c r="K251" s="493" t="str">
        <f>Translations!$B$1515</f>
        <v>Izmērāms siltums, kas piegādāts citām apakšiekārtām, uzskatāms par siltumu no ETS neaptvertiem avotiem.</v>
      </c>
      <c r="L251" s="492" t="str">
        <f>""</f>
        <v/>
      </c>
      <c r="M251" s="490" t="b">
        <v>1</v>
      </c>
      <c r="N251" s="490" t="b">
        <v>0</v>
      </c>
      <c r="O251" s="495">
        <v>0.30199999999999999</v>
      </c>
      <c r="P251" s="496">
        <f t="shared" si="13"/>
        <v>3.0000000000000001E-3</v>
      </c>
      <c r="Q251" s="1002">
        <f t="shared" si="12"/>
        <v>2.5000000000000001E-2</v>
      </c>
      <c r="R251" s="1050"/>
      <c r="S251" s="1003">
        <f t="shared" si="14"/>
        <v>0.28387999999999997</v>
      </c>
      <c r="T251" s="520">
        <f t="shared" si="15"/>
        <v>0.151</v>
      </c>
      <c r="U251" s="1049"/>
      <c r="V251" s="1049"/>
      <c r="W251" s="1192">
        <v>0.3427</v>
      </c>
    </row>
    <row r="252" spans="1:23" x14ac:dyDescent="0.2">
      <c r="A252" s="489" t="str">
        <f t="shared" si="6"/>
        <v xml:space="preserve">Adipīnskābes ražošana </v>
      </c>
      <c r="B252" s="490">
        <v>20</v>
      </c>
      <c r="C252" s="490">
        <f t="shared" si="10"/>
        <v>40</v>
      </c>
      <c r="D252" s="490">
        <f t="shared" si="8"/>
        <v>40.1</v>
      </c>
      <c r="E252" s="491" t="str">
        <f t="shared" si="11"/>
        <v>20.40,1</v>
      </c>
      <c r="F252" s="490" t="str">
        <f>Translations!$B$1516</f>
        <v>Adipīnskābe</v>
      </c>
      <c r="G252" s="490" t="str">
        <f>EUconst_Tons</f>
        <v>tonnas</v>
      </c>
      <c r="H252" s="490" t="b">
        <v>1</v>
      </c>
      <c r="I252" s="490" t="b">
        <v>0</v>
      </c>
      <c r="J252" s="490" t="b">
        <v>0</v>
      </c>
      <c r="K252" s="490" t="str">
        <f>""</f>
        <v/>
      </c>
      <c r="L252" s="492" t="str">
        <f>""</f>
        <v/>
      </c>
      <c r="M252" s="490" t="b">
        <v>1</v>
      </c>
      <c r="N252" s="490" t="b">
        <v>0</v>
      </c>
      <c r="O252" s="495">
        <v>2.79</v>
      </c>
      <c r="P252" s="496">
        <f t="shared" si="13"/>
        <v>3.0000000000000001E-3</v>
      </c>
      <c r="Q252" s="1002">
        <f t="shared" si="12"/>
        <v>2.5000000000000001E-2</v>
      </c>
      <c r="R252" s="1050"/>
      <c r="S252" s="1003">
        <f t="shared" si="14"/>
        <v>2.6225999999999998</v>
      </c>
      <c r="T252" s="520">
        <f t="shared" si="15"/>
        <v>1.395</v>
      </c>
      <c r="U252" s="1049"/>
      <c r="V252" s="1049"/>
      <c r="W252" s="1192">
        <v>1.492</v>
      </c>
    </row>
    <row r="253" spans="1:23" x14ac:dyDescent="0.2">
      <c r="A253" s="489" t="str">
        <f t="shared" si="6"/>
        <v xml:space="preserve">Amonjaka ražošana </v>
      </c>
      <c r="B253" s="490">
        <v>22</v>
      </c>
      <c r="C253" s="490">
        <f t="shared" si="10"/>
        <v>41</v>
      </c>
      <c r="D253" s="490">
        <f t="shared" si="8"/>
        <v>41.2</v>
      </c>
      <c r="E253" s="491" t="str">
        <f t="shared" si="11"/>
        <v>22.41,2</v>
      </c>
      <c r="F253" s="490" t="str">
        <f>Translations!$B$1517</f>
        <v>Amonjaks</v>
      </c>
      <c r="G253" s="490" t="str">
        <f>EUconst_Tons</f>
        <v>tonnas</v>
      </c>
      <c r="H253" s="490" t="b">
        <v>1</v>
      </c>
      <c r="I253" s="490" t="b">
        <v>1</v>
      </c>
      <c r="J253" s="490" t="b">
        <v>1</v>
      </c>
      <c r="K253" s="490" t="str">
        <f>""</f>
        <v/>
      </c>
      <c r="L253" s="492" t="str">
        <f>""</f>
        <v/>
      </c>
      <c r="M253" s="490" t="b">
        <v>1</v>
      </c>
      <c r="N253" s="490" t="b">
        <v>0</v>
      </c>
      <c r="O253" s="495">
        <v>1.619</v>
      </c>
      <c r="P253" s="496">
        <f t="shared" si="13"/>
        <v>3.0000000000000001E-3</v>
      </c>
      <c r="Q253" s="1002">
        <f t="shared" si="12"/>
        <v>2.5000000000000001E-2</v>
      </c>
      <c r="R253" s="1050"/>
      <c r="S253" s="1003">
        <f t="shared" si="14"/>
        <v>1.52186</v>
      </c>
      <c r="T253" s="520">
        <f t="shared" si="15"/>
        <v>0.8095</v>
      </c>
      <c r="U253" s="1049"/>
      <c r="V253" s="1049"/>
      <c r="W253" s="1192">
        <v>2.0627</v>
      </c>
    </row>
    <row r="254" spans="1:23" x14ac:dyDescent="0.2">
      <c r="A254" s="489" t="str">
        <f t="shared" si="6"/>
        <v xml:space="preserve">Organisko ķīmisko vielu [ķimikāliju] lielapjoma ražošana krekinga, reforminga [riforminga], daļējas vai pilnīgas oksidēšanas vai līdzīgos procesos ar ražošanas jaudu, kas pārsniedz 100 tonnas dienā </v>
      </c>
      <c r="B254" s="490">
        <v>23</v>
      </c>
      <c r="C254" s="490">
        <f t="shared" si="10"/>
        <v>42</v>
      </c>
      <c r="D254" s="490">
        <f t="shared" si="8"/>
        <v>42.1</v>
      </c>
      <c r="E254" s="491" t="str">
        <f t="shared" si="11"/>
        <v>23.42,1</v>
      </c>
      <c r="F254" s="490" t="str">
        <f>Translations!$B$1015</f>
        <v>Tvaika krekings</v>
      </c>
      <c r="G254" s="490" t="str">
        <f>EUconst_Tons</f>
        <v>tonnas</v>
      </c>
      <c r="H254" s="490" t="b">
        <v>1</v>
      </c>
      <c r="I254" s="490" t="b">
        <v>0</v>
      </c>
      <c r="J254" s="490" t="b">
        <v>1</v>
      </c>
      <c r="K254" s="490" t="str">
        <f>Translations!$B$1518</f>
        <v>Lai aprēķinātu vēsturiskos darbības līmeņus un provizorisko iedales apjomu, izmantojiet tvaika krekingam domāto rīku lapā “SpecialBM”.</v>
      </c>
      <c r="L254" s="492" t="str">
        <f>"#JUMP_H_IV"</f>
        <v>#JUMP_H_IV</v>
      </c>
      <c r="M254" s="490" t="b">
        <v>1</v>
      </c>
      <c r="N254" s="490" t="b">
        <v>0</v>
      </c>
      <c r="O254" s="495">
        <v>0.70199999999999996</v>
      </c>
      <c r="P254" s="496">
        <f t="shared" si="13"/>
        <v>3.0000000000000001E-3</v>
      </c>
      <c r="Q254" s="1002">
        <f t="shared" si="12"/>
        <v>2.5000000000000001E-2</v>
      </c>
      <c r="R254" s="1050"/>
      <c r="S254" s="1003">
        <f t="shared" si="14"/>
        <v>0.65987999999999991</v>
      </c>
      <c r="T254" s="520">
        <f t="shared" si="15"/>
        <v>0.35099999999999998</v>
      </c>
      <c r="U254" s="1049"/>
      <c r="V254" s="1049"/>
      <c r="W254" s="1192">
        <v>1.0101</v>
      </c>
    </row>
    <row r="255" spans="1:23" x14ac:dyDescent="0.2">
      <c r="A255" s="489" t="str">
        <f t="shared" si="6"/>
        <v xml:space="preserve">Organisko ķīmisko vielu [ķimikāliju] lielapjoma ražošana krekinga, reforminga [riforminga], daļējas vai pilnīgas oksidēšanas vai līdzīgos procesos ar ražošanas jaudu, kas pārsniedz 100 tonnas dienā </v>
      </c>
      <c r="B255" s="490">
        <v>23</v>
      </c>
      <c r="C255" s="490">
        <f t="shared" si="10"/>
        <v>43</v>
      </c>
      <c r="D255" s="490">
        <f t="shared" si="8"/>
        <v>43.1</v>
      </c>
      <c r="E255" s="491" t="str">
        <f t="shared" si="11"/>
        <v>23.43,1</v>
      </c>
      <c r="F255" s="490" t="str">
        <f>Translations!$B$1519</f>
        <v>Aromātiskie savienojumi</v>
      </c>
      <c r="G255" s="490" t="str">
        <f>Translations!$B$1473</f>
        <v>CWT</v>
      </c>
      <c r="H255" s="490" t="b">
        <v>1</v>
      </c>
      <c r="I255" s="490" t="b">
        <v>0</v>
      </c>
      <c r="J255" s="490" t="b">
        <v>1</v>
      </c>
      <c r="K255" s="490" t="str">
        <f>Translations!$B$1474</f>
        <v>Lai aprēķinātu vēsturiskos darbības līmeņus, izmantojiet CWT rīku lapā “SpecialBM”.</v>
      </c>
      <c r="L255" s="492" t="str">
        <f>"#JUMP_H_V"</f>
        <v>#JUMP_H_V</v>
      </c>
      <c r="M255" s="490" t="b">
        <v>0</v>
      </c>
      <c r="N255" s="490" t="b">
        <v>0</v>
      </c>
      <c r="O255" s="495">
        <v>2.9499999999999998E-2</v>
      </c>
      <c r="P255" s="496">
        <f t="shared" si="13"/>
        <v>3.0000000000000001E-3</v>
      </c>
      <c r="Q255" s="1002">
        <f t="shared" si="12"/>
        <v>2.5000000000000001E-2</v>
      </c>
      <c r="R255" s="1050"/>
      <c r="S255" s="1003">
        <f t="shared" si="14"/>
        <v>2.7729999999999998E-2</v>
      </c>
      <c r="T255" s="520">
        <f t="shared" si="15"/>
        <v>1.4749999999999999E-2</v>
      </c>
      <c r="U255" s="1049"/>
      <c r="V255" s="1049"/>
      <c r="W255" s="1192">
        <v>4.4900000000000002E-2</v>
      </c>
    </row>
    <row r="256" spans="1:23" x14ac:dyDescent="0.2">
      <c r="A256" s="489" t="str">
        <f t="shared" si="6"/>
        <v xml:space="preserve">Organisko ķīmisko vielu [ķimikāliju] lielapjoma ražošana krekinga, reforminga [riforminga], daļējas vai pilnīgas oksidēšanas vai līdzīgos procesos ar ražošanas jaudu, kas pārsniedz 100 tonnas dienā </v>
      </c>
      <c r="B256" s="490">
        <v>23</v>
      </c>
      <c r="C256" s="490">
        <f t="shared" si="10"/>
        <v>44</v>
      </c>
      <c r="D256" s="490">
        <f t="shared" si="8"/>
        <v>44.1</v>
      </c>
      <c r="E256" s="491" t="str">
        <f t="shared" si="11"/>
        <v>23.44,1</v>
      </c>
      <c r="F256" s="490" t="str">
        <f>Translations!$B$1520</f>
        <v>Stirols</v>
      </c>
      <c r="G256" s="490" t="str">
        <f t="shared" ref="G256:G264" si="16">EUconst_Tons</f>
        <v>tonnas</v>
      </c>
      <c r="H256" s="490" t="b">
        <v>1</v>
      </c>
      <c r="I256" s="490" t="b">
        <v>0</v>
      </c>
      <c r="J256" s="490" t="b">
        <v>1</v>
      </c>
      <c r="K256" s="490" t="str">
        <f>""</f>
        <v/>
      </c>
      <c r="L256" s="492" t="str">
        <f>""</f>
        <v/>
      </c>
      <c r="M256" s="490" t="b">
        <v>1</v>
      </c>
      <c r="N256" s="490" t="b">
        <v>0</v>
      </c>
      <c r="O256" s="495">
        <v>0.52700000000000002</v>
      </c>
      <c r="P256" s="496">
        <f t="shared" si="13"/>
        <v>3.0000000000000001E-3</v>
      </c>
      <c r="Q256" s="1002">
        <f t="shared" si="12"/>
        <v>2.5000000000000001E-2</v>
      </c>
      <c r="R256" s="1050"/>
      <c r="S256" s="1003">
        <f t="shared" si="14"/>
        <v>0.49537999999999999</v>
      </c>
      <c r="T256" s="520">
        <f t="shared" si="15"/>
        <v>0.26350000000000001</v>
      </c>
      <c r="U256" s="1049"/>
      <c r="V256" s="1049"/>
      <c r="W256" s="1192">
        <v>0.70109999999999995</v>
      </c>
    </row>
    <row r="257" spans="1:23" x14ac:dyDescent="0.2">
      <c r="A257" s="489" t="str">
        <f t="shared" si="6"/>
        <v xml:space="preserve">Organisko ķīmisko vielu [ķimikāliju] lielapjoma ražošana krekinga, reforminga [riforminga], daļējas vai pilnīgas oksidēšanas vai līdzīgos procesos ar ražošanas jaudu, kas pārsniedz 100 tonnas dienā </v>
      </c>
      <c r="B257" s="490">
        <v>23</v>
      </c>
      <c r="C257" s="490">
        <f t="shared" si="10"/>
        <v>45</v>
      </c>
      <c r="D257" s="490">
        <f t="shared" si="8"/>
        <v>45.1</v>
      </c>
      <c r="E257" s="491" t="str">
        <f t="shared" si="11"/>
        <v>23.45,1</v>
      </c>
      <c r="F257" s="490" t="str">
        <f>Translations!$B$1521</f>
        <v>Fenols/acetons</v>
      </c>
      <c r="G257" s="490" t="str">
        <f t="shared" si="16"/>
        <v>tonnas</v>
      </c>
      <c r="H257" s="490" t="b">
        <v>1</v>
      </c>
      <c r="I257" s="490" t="b">
        <v>0</v>
      </c>
      <c r="J257" s="490" t="b">
        <v>0</v>
      </c>
      <c r="K257" s="490" t="str">
        <f>""</f>
        <v/>
      </c>
      <c r="L257" s="492" t="str">
        <f>""</f>
        <v/>
      </c>
      <c r="M257" s="490" t="b">
        <v>1</v>
      </c>
      <c r="N257" s="490" t="b">
        <v>0</v>
      </c>
      <c r="O257" s="495">
        <v>0.26600000000000001</v>
      </c>
      <c r="P257" s="496">
        <f t="shared" si="13"/>
        <v>3.0000000000000001E-3</v>
      </c>
      <c r="Q257" s="1002">
        <f t="shared" si="12"/>
        <v>2.5000000000000001E-2</v>
      </c>
      <c r="R257" s="1050"/>
      <c r="S257" s="1003">
        <f t="shared" si="14"/>
        <v>0.25003999999999998</v>
      </c>
      <c r="T257" s="520">
        <f t="shared" si="15"/>
        <v>0.13300000000000001</v>
      </c>
      <c r="U257" s="1049"/>
      <c r="V257" s="1049"/>
      <c r="W257" s="1192">
        <v>0.37030000000000002</v>
      </c>
    </row>
    <row r="258" spans="1:23" x14ac:dyDescent="0.2">
      <c r="A258" s="489" t="str">
        <f t="shared" si="6"/>
        <v xml:space="preserve">Organisko ķīmisko vielu [ķimikāliju] lielapjoma ražošana krekinga, reforminga [riforminga], daļējas vai pilnīgas oksidēšanas vai līdzīgos procesos ar ražošanas jaudu, kas pārsniedz 100 tonnas dienā </v>
      </c>
      <c r="B258" s="490">
        <v>23</v>
      </c>
      <c r="C258" s="490">
        <f t="shared" si="10"/>
        <v>46</v>
      </c>
      <c r="D258" s="490">
        <f t="shared" si="8"/>
        <v>46.1</v>
      </c>
      <c r="E258" s="491" t="str">
        <f t="shared" si="11"/>
        <v>23.46,1</v>
      </c>
      <c r="F258" s="490" t="str">
        <f>Translations!$B$1522</f>
        <v>Etilēnoksīds/etilēnglikoli</v>
      </c>
      <c r="G258" s="490" t="str">
        <f t="shared" si="16"/>
        <v>tonnas</v>
      </c>
      <c r="H258" s="490" t="b">
        <v>1</v>
      </c>
      <c r="I258" s="490" t="b">
        <v>0</v>
      </c>
      <c r="J258" s="490" t="b">
        <v>1</v>
      </c>
      <c r="K258" s="490" t="str">
        <f>Translations!$B$1523</f>
        <v>Lai aprēķinātu vēsturiskos darbības līmeņus, izmantojiet etilēnoksīdam/etilēnglikoliem domāto rīku lapā “SpecialBM”.</v>
      </c>
      <c r="L258" s="492" t="str">
        <f>"#JUMP_H_VIII"</f>
        <v>#JUMP_H_VIII</v>
      </c>
      <c r="M258" s="490" t="b">
        <v>1</v>
      </c>
      <c r="N258" s="490" t="b">
        <v>0</v>
      </c>
      <c r="O258" s="495">
        <v>0.51200000000000001</v>
      </c>
      <c r="P258" s="496">
        <f t="shared" si="13"/>
        <v>3.0000000000000001E-3</v>
      </c>
      <c r="Q258" s="1002">
        <f t="shared" si="12"/>
        <v>2.5000000000000001E-2</v>
      </c>
      <c r="R258" s="1050"/>
      <c r="S258" s="1003">
        <f t="shared" si="14"/>
        <v>0.48127999999999999</v>
      </c>
      <c r="T258" s="520">
        <f t="shared" si="15"/>
        <v>0.25600000000000001</v>
      </c>
      <c r="U258" s="1049"/>
      <c r="V258" s="1049"/>
      <c r="W258" s="1192">
        <v>0.70199999999999996</v>
      </c>
    </row>
    <row r="259" spans="1:23" x14ac:dyDescent="0.2">
      <c r="A259" s="489" t="str">
        <f t="shared" si="6"/>
        <v xml:space="preserve">Organisko ķīmisko vielu [ķimikāliju] lielapjoma ražošana krekinga, reforminga [riforminga], daļējas vai pilnīgas oksidēšanas vai līdzīgos procesos ar ražošanas jaudu, kas pārsniedz 100 tonnas dienā </v>
      </c>
      <c r="B259" s="490">
        <v>23</v>
      </c>
      <c r="C259" s="490">
        <f t="shared" si="10"/>
        <v>47</v>
      </c>
      <c r="D259" s="490">
        <f t="shared" si="8"/>
        <v>47.1</v>
      </c>
      <c r="E259" s="491" t="str">
        <f t="shared" si="11"/>
        <v>23.47,1</v>
      </c>
      <c r="F259" s="490" t="str">
        <f>Translations!$B$1524</f>
        <v>Vinilhlorīda monomērs</v>
      </c>
      <c r="G259" s="490" t="str">
        <f t="shared" si="16"/>
        <v>tonnas</v>
      </c>
      <c r="H259" s="490" t="b">
        <v>1</v>
      </c>
      <c r="I259" s="490" t="b">
        <v>0</v>
      </c>
      <c r="J259" s="490" t="b">
        <v>0</v>
      </c>
      <c r="K259" s="490" t="str">
        <f>Translations!$B$1525</f>
        <v>Lai aprēķinātu provizorisko iedales apjomu, izmantojiet VCM domāto rīku lapā “SpecialBM”.</v>
      </c>
      <c r="L259" s="492" t="str">
        <f>"#JUMP_H_IX"</f>
        <v>#JUMP_H_IX</v>
      </c>
      <c r="M259" s="490" t="b">
        <v>1</v>
      </c>
      <c r="N259" s="490" t="b">
        <v>0</v>
      </c>
      <c r="O259" s="495">
        <v>0.20399999999999999</v>
      </c>
      <c r="P259" s="496">
        <f t="shared" si="13"/>
        <v>3.0000000000000001E-3</v>
      </c>
      <c r="Q259" s="1002">
        <f t="shared" si="12"/>
        <v>2.5000000000000001E-2</v>
      </c>
      <c r="R259" s="1050"/>
      <c r="S259" s="1003">
        <f t="shared" si="14"/>
        <v>0.19175999999999999</v>
      </c>
      <c r="T259" s="520">
        <f t="shared" si="15"/>
        <v>0.10199999999999999</v>
      </c>
      <c r="U259" s="1049"/>
      <c r="V259" s="1049"/>
      <c r="W259" s="1192">
        <v>0.39169999999999999</v>
      </c>
    </row>
    <row r="260" spans="1:23" x14ac:dyDescent="0.2">
      <c r="A260" s="489" t="str">
        <f t="shared" si="6"/>
        <v xml:space="preserve">Organisko ķīmisko vielu [ķimikāliju] lielapjoma ražošana krekinga, reforminga [riforminga], daļējas vai pilnīgas oksidēšanas vai līdzīgos procesos ar ražošanas jaudu, kas pārsniedz 100 tonnas dienā </v>
      </c>
      <c r="B260" s="490">
        <v>23</v>
      </c>
      <c r="C260" s="490">
        <f t="shared" si="10"/>
        <v>48</v>
      </c>
      <c r="D260" s="490">
        <f t="shared" si="8"/>
        <v>48.1</v>
      </c>
      <c r="E260" s="491" t="str">
        <f t="shared" si="11"/>
        <v>23.48,1</v>
      </c>
      <c r="F260" s="490" t="str">
        <f>Translations!$B$1526</f>
        <v>S-PVC</v>
      </c>
      <c r="G260" s="490" t="str">
        <f t="shared" si="16"/>
        <v>tonnas</v>
      </c>
      <c r="H260" s="490" t="b">
        <v>1</v>
      </c>
      <c r="I260" s="490" t="b">
        <v>0</v>
      </c>
      <c r="J260" s="490" t="b">
        <v>0</v>
      </c>
      <c r="K260" s="490" t="str">
        <f>""</f>
        <v/>
      </c>
      <c r="L260" s="492" t="str">
        <f>""</f>
        <v/>
      </c>
      <c r="M260" s="490" t="b">
        <v>1</v>
      </c>
      <c r="N260" s="490" t="b">
        <v>0</v>
      </c>
      <c r="O260" s="495">
        <v>8.5000000000000006E-2</v>
      </c>
      <c r="P260" s="496">
        <f t="shared" si="13"/>
        <v>3.0000000000000001E-3</v>
      </c>
      <c r="Q260" s="1002">
        <f t="shared" si="12"/>
        <v>2.5000000000000001E-2</v>
      </c>
      <c r="R260" s="1050"/>
      <c r="S260" s="1003">
        <f t="shared" si="14"/>
        <v>7.9899999999999999E-2</v>
      </c>
      <c r="T260" s="520">
        <f t="shared" si="15"/>
        <v>4.2500000000000003E-2</v>
      </c>
      <c r="U260" s="1049"/>
      <c r="V260" s="1049"/>
      <c r="W260" s="1192">
        <v>0.13289999999999999</v>
      </c>
    </row>
    <row r="261" spans="1:23" x14ac:dyDescent="0.2">
      <c r="A261" s="489" t="str">
        <f t="shared" si="6"/>
        <v xml:space="preserve">Organisko ķīmisko vielu [ķimikāliju] lielapjoma ražošana krekinga, reforminga [riforminga], daļējas vai pilnīgas oksidēšanas vai līdzīgos procesos ar ražošanas jaudu, kas pārsniedz 100 tonnas dienā </v>
      </c>
      <c r="B261" s="490">
        <v>23</v>
      </c>
      <c r="C261" s="490">
        <f t="shared" si="10"/>
        <v>49</v>
      </c>
      <c r="D261" s="490">
        <f t="shared" si="8"/>
        <v>49.1</v>
      </c>
      <c r="E261" s="491" t="str">
        <f t="shared" si="11"/>
        <v>23.49,1</v>
      </c>
      <c r="F261" s="490" t="str">
        <f>Translations!$B$1527</f>
        <v>E-PVC</v>
      </c>
      <c r="G261" s="490" t="str">
        <f t="shared" si="16"/>
        <v>tonnas</v>
      </c>
      <c r="H261" s="490" t="b">
        <v>1</v>
      </c>
      <c r="I261" s="490" t="b">
        <v>0</v>
      </c>
      <c r="J261" s="490" t="b">
        <v>0</v>
      </c>
      <c r="K261" s="490" t="str">
        <f>""</f>
        <v/>
      </c>
      <c r="L261" s="492" t="str">
        <f>""</f>
        <v/>
      </c>
      <c r="M261" s="490" t="b">
        <v>1</v>
      </c>
      <c r="N261" s="490" t="b">
        <v>0</v>
      </c>
      <c r="O261" s="495">
        <v>0.23799999999999999</v>
      </c>
      <c r="P261" s="496">
        <f t="shared" si="13"/>
        <v>3.0000000000000001E-3</v>
      </c>
      <c r="Q261" s="1002">
        <f t="shared" si="12"/>
        <v>2.5000000000000001E-2</v>
      </c>
      <c r="R261" s="1050"/>
      <c r="S261" s="1003">
        <f t="shared" si="14"/>
        <v>0.22371999999999997</v>
      </c>
      <c r="T261" s="520">
        <f t="shared" si="15"/>
        <v>0.11899999999999999</v>
      </c>
      <c r="U261" s="1049"/>
      <c r="V261" s="1049"/>
      <c r="W261" s="1192">
        <v>0.30520000000000003</v>
      </c>
    </row>
    <row r="262" spans="1:23" x14ac:dyDescent="0.2">
      <c r="A262" s="489" t="str">
        <f t="shared" si="6"/>
        <v>Ūdeņraža (H2) un sintēzes gāzes ražošana, ja ražošanas jauda pārsniedz 5 tonnas dienā</v>
      </c>
      <c r="B262" s="490">
        <v>24</v>
      </c>
      <c r="C262" s="490">
        <f t="shared" si="10"/>
        <v>50</v>
      </c>
      <c r="D262" s="490">
        <f t="shared" si="8"/>
        <v>50.2</v>
      </c>
      <c r="E262" s="491" t="str">
        <f t="shared" si="11"/>
        <v>24.50,2</v>
      </c>
      <c r="F262" s="490" t="str">
        <f>Translations!$B$1027</f>
        <v>Ūdeņradis</v>
      </c>
      <c r="G262" s="490" t="str">
        <f t="shared" si="16"/>
        <v>tonnas</v>
      </c>
      <c r="H262" s="490" t="b">
        <v>1</v>
      </c>
      <c r="I262" s="490" t="b">
        <v>1</v>
      </c>
      <c r="J262" s="490" t="b">
        <v>1</v>
      </c>
      <c r="K262" s="490" t="str">
        <f>Translations!$B$1528</f>
        <v>Lai aprēķinātu vēsturiskos darbības līmeņus, izmantojiet ūdeņradim domāto rīku lapā “SpecialBM”.</v>
      </c>
      <c r="L262" s="492" t="str">
        <f>"#JUMP_H_VI"</f>
        <v>#JUMP_H_VI</v>
      </c>
      <c r="M262" s="490" t="b">
        <v>1</v>
      </c>
      <c r="N262" s="490" t="b">
        <v>0</v>
      </c>
      <c r="O262" s="495">
        <v>8.85</v>
      </c>
      <c r="P262" s="496">
        <f t="shared" si="13"/>
        <v>3.0000000000000001E-3</v>
      </c>
      <c r="Q262" s="1002">
        <f t="shared" si="12"/>
        <v>2.5000000000000001E-2</v>
      </c>
      <c r="R262" s="1050"/>
      <c r="S262" s="1003">
        <f t="shared" si="14"/>
        <v>8.3189999999999991</v>
      </c>
      <c r="T262" s="520">
        <f t="shared" si="15"/>
        <v>4.4249999999999998</v>
      </c>
      <c r="U262" s="1049"/>
      <c r="V262" s="1049"/>
      <c r="W262" s="1192">
        <v>13.007</v>
      </c>
    </row>
    <row r="263" spans="1:23" x14ac:dyDescent="0.2">
      <c r="A263" s="489" t="str">
        <f t="shared" si="6"/>
        <v>Ūdeņraža (H2) un sintēzes gāzes ražošana, ja ražošanas jauda pārsniedz 5 tonnas dienā</v>
      </c>
      <c r="B263" s="490">
        <v>24</v>
      </c>
      <c r="C263" s="490">
        <f t="shared" si="10"/>
        <v>51</v>
      </c>
      <c r="D263" s="490">
        <f t="shared" si="8"/>
        <v>51.1</v>
      </c>
      <c r="E263" s="491" t="str">
        <f t="shared" si="11"/>
        <v>24.51,1</v>
      </c>
      <c r="F263" s="490" t="str">
        <f>Translations!$B$1070</f>
        <v>Sintēzes gāze</v>
      </c>
      <c r="G263" s="490" t="str">
        <f t="shared" si="16"/>
        <v>tonnas</v>
      </c>
      <c r="H263" s="490" t="b">
        <v>1</v>
      </c>
      <c r="I263" s="490" t="b">
        <v>0</v>
      </c>
      <c r="J263" s="490" t="b">
        <v>1</v>
      </c>
      <c r="K263" s="490" t="str">
        <f>Translations!$B$1529</f>
        <v>Lai aprēķinātu vēsturiskos darbības līmeņus, izmantojiet singāzei domāto rīku lapā “SpecialBM”.</v>
      </c>
      <c r="L263" s="492" t="str">
        <f>"#JUMP_H_VII"</f>
        <v>#JUMP_H_VII</v>
      </c>
      <c r="M263" s="490" t="b">
        <v>1</v>
      </c>
      <c r="N263" s="490" t="b">
        <v>0</v>
      </c>
      <c r="O263" s="495">
        <v>0.24199999999999999</v>
      </c>
      <c r="P263" s="496">
        <f t="shared" si="13"/>
        <v>3.0000000000000001E-3</v>
      </c>
      <c r="Q263" s="1002">
        <f t="shared" si="12"/>
        <v>2.5000000000000001E-2</v>
      </c>
      <c r="R263" s="1050"/>
      <c r="S263" s="1003">
        <f t="shared" si="14"/>
        <v>0.22747999999999999</v>
      </c>
      <c r="T263" s="520">
        <f t="shared" si="15"/>
        <v>0.121</v>
      </c>
      <c r="U263" s="1049"/>
      <c r="V263" s="1049"/>
      <c r="W263" s="1192">
        <v>0.30840000000000001</v>
      </c>
    </row>
    <row r="264" spans="1:23" ht="13.5" thickBot="1" x14ac:dyDescent="0.25">
      <c r="A264" s="489" t="str">
        <f t="shared" si="6"/>
        <v xml:space="preserve">Nātrija karbonāta (Na2CO3) un nātrija bikarbonāta (NaHCO3) ražošana </v>
      </c>
      <c r="B264" s="490">
        <v>25</v>
      </c>
      <c r="C264" s="490">
        <f t="shared" si="10"/>
        <v>52</v>
      </c>
      <c r="D264" s="490">
        <f t="shared" si="8"/>
        <v>52.1</v>
      </c>
      <c r="E264" s="491" t="str">
        <f t="shared" si="11"/>
        <v>25.52,1</v>
      </c>
      <c r="F264" s="490" t="str">
        <f>Translations!$B$1530</f>
        <v>Kalcinētā soda</v>
      </c>
      <c r="G264" s="490" t="str">
        <f t="shared" si="16"/>
        <v>tonnas</v>
      </c>
      <c r="H264" s="490" t="b">
        <v>1</v>
      </c>
      <c r="I264" s="490" t="b">
        <v>0</v>
      </c>
      <c r="J264" s="490" t="b">
        <v>0</v>
      </c>
      <c r="K264" s="490" t="str">
        <f>""</f>
        <v/>
      </c>
      <c r="L264" s="492" t="str">
        <f>""</f>
        <v/>
      </c>
      <c r="M264" s="490" t="b">
        <v>1</v>
      </c>
      <c r="N264" s="490" t="b">
        <v>0</v>
      </c>
      <c r="O264" s="495">
        <v>0.84299999999999997</v>
      </c>
      <c r="P264" s="496">
        <f t="shared" si="13"/>
        <v>3.0000000000000001E-3</v>
      </c>
      <c r="Q264" s="1002">
        <f t="shared" si="12"/>
        <v>2.5000000000000001E-2</v>
      </c>
      <c r="R264" s="1051"/>
      <c r="S264" s="1003">
        <f t="shared" si="14"/>
        <v>0.7924199999999999</v>
      </c>
      <c r="T264" s="520">
        <f t="shared" si="15"/>
        <v>0.42149999999999999</v>
      </c>
      <c r="U264" s="1049"/>
      <c r="V264" s="1049"/>
      <c r="W264" s="1192">
        <v>1.0330999999999999</v>
      </c>
    </row>
    <row r="265" spans="1:23" x14ac:dyDescent="0.2">
      <c r="A265" s="260" t="s">
        <v>318</v>
      </c>
      <c r="B265" s="261" t="s">
        <v>318</v>
      </c>
      <c r="C265" s="261" t="s">
        <v>318</v>
      </c>
      <c r="D265" s="261" t="s">
        <v>318</v>
      </c>
      <c r="E265" s="261" t="s">
        <v>318</v>
      </c>
      <c r="F265" s="261" t="s">
        <v>318</v>
      </c>
      <c r="G265" s="261" t="s">
        <v>318</v>
      </c>
      <c r="H265" s="261" t="s">
        <v>318</v>
      </c>
      <c r="I265" s="261" t="s">
        <v>318</v>
      </c>
      <c r="J265" s="261" t="s">
        <v>318</v>
      </c>
      <c r="K265" s="261" t="s">
        <v>318</v>
      </c>
      <c r="L265" s="261" t="s">
        <v>318</v>
      </c>
      <c r="M265" s="261" t="s">
        <v>318</v>
      </c>
      <c r="N265" s="261" t="s">
        <v>318</v>
      </c>
      <c r="O265" s="261" t="s">
        <v>318</v>
      </c>
      <c r="P265" s="261" t="s">
        <v>318</v>
      </c>
      <c r="Q265" s="261" t="s">
        <v>318</v>
      </c>
      <c r="R265" s="261" t="s">
        <v>318</v>
      </c>
      <c r="S265" s="261" t="s">
        <v>318</v>
      </c>
      <c r="T265" s="261" t="s">
        <v>318</v>
      </c>
      <c r="U265" s="261" t="s">
        <v>318</v>
      </c>
      <c r="V265" s="261" t="s">
        <v>318</v>
      </c>
      <c r="W265" s="261" t="s">
        <v>318</v>
      </c>
    </row>
    <row r="266" spans="1:23" s="257" customFormat="1" x14ac:dyDescent="0.2">
      <c r="A266" s="257" t="str">
        <f>Translations!$B$1531</f>
        <v>Alternatīvo apakšiekārtu saraksts</v>
      </c>
    </row>
    <row r="267" spans="1:23" ht="51.75" thickBot="1" x14ac:dyDescent="0.25">
      <c r="B267" s="490"/>
      <c r="C267" s="487" t="s">
        <v>656</v>
      </c>
      <c r="D267" s="490" t="str">
        <f>Translations!$B$1206</f>
        <v>LA Nr.</v>
      </c>
      <c r="E267" s="490" t="str">
        <f>Translations!$B$1460</f>
        <v>altern. LA Nr.</v>
      </c>
      <c r="F267" s="490" t="str">
        <f>Translations!$B$1532</f>
        <v>Apakšiekārta</v>
      </c>
      <c r="G267" s="490" t="str">
        <f>Translations!$B$1196</f>
        <v>Vienība</v>
      </c>
      <c r="H267" s="490" t="str">
        <f>Translations!$B$1462</f>
        <v>Oglekļa emisiju pārvirze?</v>
      </c>
      <c r="I267" s="813" t="str">
        <f>Translations!$B$1612</f>
        <v>OIM?</v>
      </c>
      <c r="J267" s="490" t="str">
        <f>Translations!$B$1463</f>
        <v>Elektroenerģijas apmaināmība</v>
      </c>
      <c r="K267" s="490" t="str">
        <f>Translations!$B$1533</f>
        <v>Kļūdas ziņojums</v>
      </c>
      <c r="L267" s="262"/>
      <c r="O267" s="486" t="str">
        <f>Translations!$B$1468</f>
        <v>LA vērtība (2013–2020)</v>
      </c>
      <c r="P267" s="486" t="s">
        <v>548</v>
      </c>
      <c r="Q267" s="486" t="s">
        <v>549</v>
      </c>
      <c r="R267" s="1007" t="s">
        <v>455</v>
      </c>
      <c r="S267" s="487" t="str">
        <f>Translations!$B$1470</f>
        <v>Līmeņatzīmes vērtība (ESK/t, min.)</v>
      </c>
      <c r="T267" s="487" t="str">
        <f>Translations!$B$1469</f>
        <v>Līmeņatzīmes vērtība (ESK/t, maks.)</v>
      </c>
      <c r="U267" s="581" t="str">
        <f>Translations!$B$1471</f>
        <v>Līmeņatzīmes vērtība (ESK/t, fakt.)</v>
      </c>
    </row>
    <row r="268" spans="1:23" s="262" customFormat="1" x14ac:dyDescent="0.2">
      <c r="A268" s="213"/>
      <c r="B268" s="490">
        <v>90</v>
      </c>
      <c r="C268" s="1149">
        <v>91</v>
      </c>
      <c r="D268" s="1072">
        <v>91.1</v>
      </c>
      <c r="E268" s="491" t="str">
        <f t="shared" ref="E268:E277" si="17">CONCATENATE(TEXT(B268,"00"),".",TEXT(D268,"00,0"))</f>
        <v>90.91,1</v>
      </c>
      <c r="F268" s="549" t="str">
        <f>Translations!$B$1758</f>
        <v>Siltuma līmeņatzīmes apakšiekārta, OEP | bez OIM)</v>
      </c>
      <c r="G268" s="453" t="str">
        <f t="shared" ref="G268:G274" si="18">EUconst_TJ</f>
        <v>TJ</v>
      </c>
      <c r="H268" s="494" t="b">
        <v>1</v>
      </c>
      <c r="I268" s="490" t="b">
        <v>0</v>
      </c>
      <c r="J268" s="490"/>
      <c r="K268" s="581" t="s">
        <v>528</v>
      </c>
      <c r="O268" s="495">
        <v>62.3</v>
      </c>
      <c r="P268" s="496">
        <f t="shared" ref="P268:P274" si="19">INDEX(EUconst_BM_ARR_Range,1)</f>
        <v>3.0000000000000001E-3</v>
      </c>
      <c r="Q268" s="1002">
        <f t="shared" ref="Q268:Q274" si="20">IF(AND(D268=4,CNTR_BaselinePeriod=1),INDEX(EUconst_BM_ARR_Range,1),INDEX(EUconst_BM_ARR_Range,2))</f>
        <v>2.5000000000000001E-2</v>
      </c>
      <c r="R268" s="1048"/>
      <c r="S268" s="1003">
        <f t="shared" ref="S268:S277" si="21">$O268*(1-P268*(15+(IF(CNTR_BaselinePeriod=EUconst_NA,1,CNTR_BaselinePeriod)-1)*5))</f>
        <v>58.561999999999991</v>
      </c>
      <c r="T268" s="520">
        <f t="shared" ref="T268:T277" si="22">$O268*(1-Q268*(15+(IF(CNTR_BaselinePeriod=EUconst_NA,1,CNTR_BaselinePeriod)-1)*5))</f>
        <v>31.15</v>
      </c>
      <c r="U268" s="1052">
        <f>T268</f>
        <v>31.15</v>
      </c>
    </row>
    <row r="269" spans="1:23" s="262" customFormat="1" x14ac:dyDescent="0.2">
      <c r="A269" s="213"/>
      <c r="B269" s="490">
        <v>90</v>
      </c>
      <c r="C269" s="1149">
        <v>92</v>
      </c>
      <c r="D269" s="1072">
        <v>92.1</v>
      </c>
      <c r="E269" s="491" t="str">
        <f t="shared" si="17"/>
        <v>90.92,1</v>
      </c>
      <c r="F269" s="549" t="str">
        <f>Translations!$B$1759</f>
        <v>Siltuma līmeņatzīmes apakšiekārta (bez OEP | bez OIM)</v>
      </c>
      <c r="G269" s="453" t="str">
        <f t="shared" si="18"/>
        <v>TJ</v>
      </c>
      <c r="H269" s="494" t="b">
        <v>0</v>
      </c>
      <c r="I269" s="490" t="b">
        <v>0</v>
      </c>
      <c r="J269" s="490"/>
      <c r="K269" s="581" t="s">
        <v>528</v>
      </c>
      <c r="O269" s="495">
        <v>62.3</v>
      </c>
      <c r="P269" s="496">
        <f t="shared" si="19"/>
        <v>3.0000000000000001E-3</v>
      </c>
      <c r="Q269" s="1002">
        <f t="shared" si="20"/>
        <v>2.5000000000000001E-2</v>
      </c>
      <c r="R269" s="1050"/>
      <c r="S269" s="1003">
        <f t="shared" si="21"/>
        <v>58.561999999999991</v>
      </c>
      <c r="T269" s="520">
        <f t="shared" si="22"/>
        <v>31.15</v>
      </c>
      <c r="U269" s="1052">
        <f t="shared" ref="U269:U274" si="23">T269</f>
        <v>31.15</v>
      </c>
    </row>
    <row r="270" spans="1:23" s="262" customFormat="1" x14ac:dyDescent="0.2">
      <c r="A270" s="213"/>
      <c r="B270" s="490">
        <v>90</v>
      </c>
      <c r="C270" s="1149"/>
      <c r="D270" s="1072">
        <v>91.2</v>
      </c>
      <c r="E270" s="491" t="str">
        <f t="shared" si="17"/>
        <v>90.91,2</v>
      </c>
      <c r="F270" s="549" t="str">
        <f>Translations!$B$1760</f>
        <v>Siltuma līmeņatzīmes apakšiekārta, OEP | OIM)</v>
      </c>
      <c r="G270" s="453" t="str">
        <f t="shared" si="18"/>
        <v>TJ</v>
      </c>
      <c r="H270" s="494" t="b">
        <v>1</v>
      </c>
      <c r="I270" s="494" t="b">
        <v>1</v>
      </c>
      <c r="J270" s="490"/>
      <c r="K270" s="581" t="s">
        <v>528</v>
      </c>
      <c r="O270" s="495">
        <v>62.3</v>
      </c>
      <c r="P270" s="496">
        <f t="shared" si="19"/>
        <v>3.0000000000000001E-3</v>
      </c>
      <c r="Q270" s="1002">
        <f t="shared" si="20"/>
        <v>2.5000000000000001E-2</v>
      </c>
      <c r="R270" s="1050"/>
      <c r="S270" s="1003">
        <f t="shared" si="21"/>
        <v>58.561999999999991</v>
      </c>
      <c r="T270" s="520">
        <f t="shared" si="22"/>
        <v>31.15</v>
      </c>
      <c r="U270" s="1052">
        <f t="shared" si="23"/>
        <v>31.15</v>
      </c>
    </row>
    <row r="271" spans="1:23" s="262" customFormat="1" x14ac:dyDescent="0.2">
      <c r="A271" s="213"/>
      <c r="B271" s="490">
        <v>90</v>
      </c>
      <c r="C271" s="1149">
        <v>93.1</v>
      </c>
      <c r="D271" s="1072">
        <v>93.1</v>
      </c>
      <c r="E271" s="491" t="str">
        <f t="shared" si="17"/>
        <v>90.93,1</v>
      </c>
      <c r="F271" s="549" t="str">
        <f>Translations!$B$1536</f>
        <v>Centralizētās siltumapgādes apakšiekārta</v>
      </c>
      <c r="G271" s="453" t="str">
        <f t="shared" si="18"/>
        <v>TJ</v>
      </c>
      <c r="H271" s="494" t="b">
        <v>0</v>
      </c>
      <c r="I271" s="490" t="b">
        <v>0</v>
      </c>
      <c r="J271" s="490"/>
      <c r="K271" s="581" t="s">
        <v>528</v>
      </c>
      <c r="O271" s="495">
        <v>62.3</v>
      </c>
      <c r="P271" s="496">
        <f t="shared" si="19"/>
        <v>3.0000000000000001E-3</v>
      </c>
      <c r="Q271" s="1002">
        <f t="shared" si="20"/>
        <v>2.5000000000000001E-2</v>
      </c>
      <c r="R271" s="1050"/>
      <c r="S271" s="1003">
        <f t="shared" si="21"/>
        <v>58.561999999999991</v>
      </c>
      <c r="T271" s="520">
        <f t="shared" si="22"/>
        <v>31.15</v>
      </c>
      <c r="U271" s="1052">
        <f t="shared" si="23"/>
        <v>31.15</v>
      </c>
    </row>
    <row r="272" spans="1:23" s="262" customFormat="1" x14ac:dyDescent="0.2">
      <c r="A272" s="213"/>
      <c r="B272" s="490">
        <v>90</v>
      </c>
      <c r="C272" s="1149">
        <v>94.1</v>
      </c>
      <c r="D272" s="1072">
        <v>94.1</v>
      </c>
      <c r="E272" s="491" t="str">
        <f t="shared" si="17"/>
        <v>90.94,1</v>
      </c>
      <c r="F272" s="549" t="str">
        <f>Translations!$B$1761</f>
        <v>Kurināmā līmeņatzīmes apakšiekārta (OEP | bez OIM)</v>
      </c>
      <c r="G272" s="453" t="str">
        <f t="shared" si="18"/>
        <v>TJ</v>
      </c>
      <c r="H272" s="494" t="b">
        <v>1</v>
      </c>
      <c r="I272" s="490" t="b">
        <v>0</v>
      </c>
      <c r="J272" s="490"/>
      <c r="K272" s="581" t="s">
        <v>532</v>
      </c>
      <c r="O272" s="495">
        <v>56.1</v>
      </c>
      <c r="P272" s="496">
        <f t="shared" si="19"/>
        <v>3.0000000000000001E-3</v>
      </c>
      <c r="Q272" s="1002">
        <f t="shared" si="20"/>
        <v>2.5000000000000001E-2</v>
      </c>
      <c r="R272" s="1050"/>
      <c r="S272" s="1003">
        <f t="shared" si="21"/>
        <v>52.734000000000002</v>
      </c>
      <c r="T272" s="520">
        <f t="shared" si="22"/>
        <v>28.05</v>
      </c>
      <c r="U272" s="1052">
        <f t="shared" si="23"/>
        <v>28.05</v>
      </c>
    </row>
    <row r="273" spans="1:21" s="262" customFormat="1" x14ac:dyDescent="0.2">
      <c r="A273" s="213"/>
      <c r="B273" s="490">
        <v>90</v>
      </c>
      <c r="C273" s="1149">
        <v>95.1</v>
      </c>
      <c r="D273" s="1072">
        <v>95.1</v>
      </c>
      <c r="E273" s="491" t="str">
        <f t="shared" si="17"/>
        <v>90.95,1</v>
      </c>
      <c r="F273" s="549" t="str">
        <f>Translations!$B$1762</f>
        <v>Kurināmā līmeņatzīmes apakšiekārta (bez OEP | bez OIM)</v>
      </c>
      <c r="G273" s="453" t="str">
        <f t="shared" si="18"/>
        <v>TJ</v>
      </c>
      <c r="H273" s="494" t="b">
        <v>0</v>
      </c>
      <c r="I273" s="490" t="b">
        <v>0</v>
      </c>
      <c r="J273" s="490"/>
      <c r="K273" s="581" t="s">
        <v>532</v>
      </c>
      <c r="O273" s="495">
        <v>56.1</v>
      </c>
      <c r="P273" s="496">
        <f t="shared" si="19"/>
        <v>3.0000000000000001E-3</v>
      </c>
      <c r="Q273" s="1002">
        <f t="shared" si="20"/>
        <v>2.5000000000000001E-2</v>
      </c>
      <c r="R273" s="1050"/>
      <c r="S273" s="1003">
        <f t="shared" si="21"/>
        <v>52.734000000000002</v>
      </c>
      <c r="T273" s="520">
        <f t="shared" si="22"/>
        <v>28.05</v>
      </c>
      <c r="U273" s="1052">
        <f t="shared" si="23"/>
        <v>28.05</v>
      </c>
    </row>
    <row r="274" spans="1:21" s="262" customFormat="1" x14ac:dyDescent="0.2">
      <c r="A274" s="213"/>
      <c r="B274" s="490">
        <v>90</v>
      </c>
      <c r="C274" s="1149"/>
      <c r="D274" s="1072">
        <v>94.2</v>
      </c>
      <c r="E274" s="491" t="str">
        <f t="shared" si="17"/>
        <v>90.94,2</v>
      </c>
      <c r="F274" s="549" t="str">
        <f>Translations!$B$1763</f>
        <v>Kurināmā līmeņatzīmes apakšiekārta (OEP | OIM)</v>
      </c>
      <c r="G274" s="453" t="str">
        <f t="shared" si="18"/>
        <v>TJ</v>
      </c>
      <c r="H274" s="494" t="b">
        <v>1</v>
      </c>
      <c r="I274" s="494" t="b">
        <v>1</v>
      </c>
      <c r="J274" s="490"/>
      <c r="K274" s="581" t="s">
        <v>532</v>
      </c>
      <c r="O274" s="495">
        <v>56.1</v>
      </c>
      <c r="P274" s="496">
        <f t="shared" si="19"/>
        <v>3.0000000000000001E-3</v>
      </c>
      <c r="Q274" s="1002">
        <f t="shared" si="20"/>
        <v>2.5000000000000001E-2</v>
      </c>
      <c r="R274" s="1050"/>
      <c r="S274" s="1003">
        <f t="shared" si="21"/>
        <v>52.734000000000002</v>
      </c>
      <c r="T274" s="520">
        <f t="shared" si="22"/>
        <v>28.05</v>
      </c>
      <c r="U274" s="1052">
        <f t="shared" si="23"/>
        <v>28.05</v>
      </c>
    </row>
    <row r="275" spans="1:21" s="262" customFormat="1" x14ac:dyDescent="0.2">
      <c r="A275" s="213"/>
      <c r="B275" s="490">
        <v>90</v>
      </c>
      <c r="C275" s="1149">
        <v>96.1</v>
      </c>
      <c r="D275" s="1072">
        <v>96.1</v>
      </c>
      <c r="E275" s="491" t="str">
        <f t="shared" si="17"/>
        <v>90.96,1</v>
      </c>
      <c r="F275" s="549" t="str">
        <f>Translations!$B$1764</f>
        <v>Procesa emisiju apakšiekārta (OEP | bez OIM)</v>
      </c>
      <c r="G275" s="453" t="str">
        <f>EUconst_tCO2e</f>
        <v>t CO2e</v>
      </c>
      <c r="H275" s="494" t="b">
        <v>1</v>
      </c>
      <c r="I275" s="490" t="b">
        <v>0</v>
      </c>
      <c r="J275" s="490"/>
      <c r="K275" s="581" t="s">
        <v>480</v>
      </c>
      <c r="O275" s="495">
        <v>0.97</v>
      </c>
      <c r="P275" s="807">
        <v>0</v>
      </c>
      <c r="Q275" s="1006">
        <v>0</v>
      </c>
      <c r="R275" s="1008">
        <v>0</v>
      </c>
      <c r="S275" s="1003">
        <f t="shared" si="21"/>
        <v>0.97</v>
      </c>
      <c r="T275" s="520">
        <f t="shared" si="22"/>
        <v>0.97</v>
      </c>
      <c r="U275" s="520">
        <f>ROUND(O275*(1-R275*(20+(IF(CNTR_BaselinePeriod=EUconst_NA,1,CNTR_BaselinePeriod)-1)*5)),3)</f>
        <v>0.97</v>
      </c>
    </row>
    <row r="276" spans="1:21" s="262" customFormat="1" x14ac:dyDescent="0.2">
      <c r="A276" s="213"/>
      <c r="B276" s="490">
        <v>90</v>
      </c>
      <c r="C276" s="1149">
        <v>97.1</v>
      </c>
      <c r="D276" s="1072">
        <v>97.1</v>
      </c>
      <c r="E276" s="491" t="str">
        <f t="shared" si="17"/>
        <v>90.97,1</v>
      </c>
      <c r="F276" s="549" t="str">
        <f>Translations!$B$1765</f>
        <v>Procesa emisiju apakšiekārta (bez OEP | bez OIM)</v>
      </c>
      <c r="G276" s="453" t="str">
        <f>EUconst_tCO2e</f>
        <v>t CO2e</v>
      </c>
      <c r="H276" s="494" t="b">
        <v>0</v>
      </c>
      <c r="I276" s="490" t="b">
        <v>0</v>
      </c>
      <c r="J276" s="490"/>
      <c r="K276" s="581" t="s">
        <v>480</v>
      </c>
      <c r="O276" s="495">
        <v>0.97</v>
      </c>
      <c r="P276" s="807">
        <v>0</v>
      </c>
      <c r="Q276" s="1006">
        <v>0</v>
      </c>
      <c r="R276" s="1066">
        <v>0</v>
      </c>
      <c r="S276" s="1003">
        <f t="shared" si="21"/>
        <v>0.97</v>
      </c>
      <c r="T276" s="520">
        <f t="shared" si="22"/>
        <v>0.97</v>
      </c>
      <c r="U276" s="520">
        <f>ROUND(O276*(1-R276*(20+(IF(CNTR_BaselinePeriod=EUconst_NA,1,CNTR_BaselinePeriod)-1)*5)),3)</f>
        <v>0.97</v>
      </c>
    </row>
    <row r="277" spans="1:21" s="262" customFormat="1" ht="13.5" thickBot="1" x14ac:dyDescent="0.25">
      <c r="A277" s="213"/>
      <c r="B277" s="490">
        <v>90</v>
      </c>
      <c r="C277" s="1149"/>
      <c r="D277" s="1072">
        <v>96.2</v>
      </c>
      <c r="E277" s="491" t="str">
        <f t="shared" si="17"/>
        <v>90.96,2</v>
      </c>
      <c r="F277" s="549" t="str">
        <f>Translations!$B$1766</f>
        <v>Procesa emisiju apakšiekārta (OEP | OIM)</v>
      </c>
      <c r="G277" s="453" t="str">
        <f>EUconst_tCO2e</f>
        <v>t CO2e</v>
      </c>
      <c r="H277" s="494" t="b">
        <v>1</v>
      </c>
      <c r="I277" s="494" t="b">
        <v>1</v>
      </c>
      <c r="J277" s="490"/>
      <c r="K277" s="581" t="s">
        <v>480</v>
      </c>
      <c r="O277" s="495">
        <v>0.97</v>
      </c>
      <c r="P277" s="807">
        <v>0</v>
      </c>
      <c r="Q277" s="1006">
        <v>0</v>
      </c>
      <c r="R277" s="1009">
        <v>0</v>
      </c>
      <c r="S277" s="1003">
        <f t="shared" si="21"/>
        <v>0.97</v>
      </c>
      <c r="T277" s="520">
        <f t="shared" si="22"/>
        <v>0.97</v>
      </c>
      <c r="U277" s="520">
        <f>ROUND(O277*(1-R277*(20+(IF(CNTR_BaselinePeriod=EUconst_NA,1,CNTR_BaselinePeriod)-1)*5)),3)</f>
        <v>0.97</v>
      </c>
    </row>
    <row r="278" spans="1:21" x14ac:dyDescent="0.2">
      <c r="A278" s="260" t="s">
        <v>318</v>
      </c>
      <c r="B278" s="261" t="s">
        <v>318</v>
      </c>
      <c r="C278" s="261" t="s">
        <v>318</v>
      </c>
      <c r="D278" s="261" t="s">
        <v>318</v>
      </c>
      <c r="E278" s="261" t="s">
        <v>318</v>
      </c>
      <c r="F278" s="261" t="s">
        <v>318</v>
      </c>
      <c r="G278" s="261" t="s">
        <v>318</v>
      </c>
      <c r="H278" s="261" t="s">
        <v>318</v>
      </c>
      <c r="I278" s="261" t="s">
        <v>318</v>
      </c>
      <c r="J278" s="261" t="s">
        <v>318</v>
      </c>
      <c r="K278" s="261" t="s">
        <v>318</v>
      </c>
      <c r="L278" s="261" t="s">
        <v>318</v>
      </c>
      <c r="M278" s="261" t="s">
        <v>318</v>
      </c>
      <c r="N278" s="261" t="s">
        <v>318</v>
      </c>
      <c r="O278" s="261" t="s">
        <v>318</v>
      </c>
      <c r="P278" s="261" t="s">
        <v>318</v>
      </c>
      <c r="Q278" s="261" t="s">
        <v>318</v>
      </c>
      <c r="R278" s="261" t="s">
        <v>318</v>
      </c>
      <c r="S278" s="261" t="s">
        <v>318</v>
      </c>
      <c r="T278" s="261" t="s">
        <v>318</v>
      </c>
      <c r="U278" s="261" t="s">
        <v>318</v>
      </c>
    </row>
  </sheetData>
  <sheetProtection sheet="1" objects="1" scenarios="1" formatCells="0" formatColumns="0" formatRows="0"/>
  <phoneticPr fontId="34" type="noConversion"/>
  <dataValidations count="1">
    <dataValidation type="list" allowBlank="1" showInputMessage="1" showErrorMessage="1" sqref="B2">
      <formula1>Euconst_TrueFalse</formula1>
    </dataValidation>
  </dataValidations>
  <pageMargins left="0.78740157499999996" right="0.78740157499999996" top="0.984251969" bottom="0.984251969" header="0.4921259845" footer="0.4921259845"/>
  <pageSetup paperSize="9" scale="22" fitToHeight="4" orientation="portrait" r:id="rId1"/>
  <headerFooter alignWithMargins="0">
    <oddHeader>&amp;L&amp;F; &amp;A&amp;R&amp;D ;&amp;T</oddHeader>
    <oddFooter>&amp;C&amp;P / &amp;N</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indexed="12"/>
    <pageSetUpPr fitToPage="1"/>
  </sheetPr>
  <dimension ref="A1:G5"/>
  <sheetViews>
    <sheetView workbookViewId="0">
      <selection sqref="A1:IV65536"/>
    </sheetView>
  </sheetViews>
  <sheetFormatPr defaultColWidth="11.42578125" defaultRowHeight="12.75" x14ac:dyDescent="0.2"/>
  <cols>
    <col min="1" max="1" width="50.85546875" style="213" customWidth="1"/>
    <col min="2" max="16384" width="11.42578125" style="213"/>
  </cols>
  <sheetData>
    <row r="1" spans="1:7" x14ac:dyDescent="0.2">
      <c r="A1" s="253" t="str">
        <f>Translations!$B$340</f>
        <v>Nosaukums</v>
      </c>
      <c r="B1" s="253" t="str">
        <f>Translations!$B$1287</f>
        <v>Konstante</v>
      </c>
      <c r="C1" s="253" t="str">
        <f>Translations!$B$1288</f>
        <v>Citas konstantes</v>
      </c>
      <c r="D1" s="254"/>
      <c r="E1" s="254" t="s">
        <v>21</v>
      </c>
      <c r="F1" s="254"/>
      <c r="G1" s="254"/>
    </row>
    <row r="2" spans="1:7" x14ac:dyDescent="0.2">
      <c r="A2" s="213" t="s">
        <v>610</v>
      </c>
      <c r="B2" s="223" t="b">
        <v>1</v>
      </c>
      <c r="E2" s="411" t="b">
        <v>1</v>
      </c>
    </row>
    <row r="3" spans="1:7" x14ac:dyDescent="0.2">
      <c r="A3" s="213" t="s">
        <v>598</v>
      </c>
      <c r="B3" s="223" t="b">
        <v>1</v>
      </c>
      <c r="C3" s="277"/>
      <c r="D3" s="262"/>
      <c r="E3" s="411" t="b">
        <v>1</v>
      </c>
      <c r="F3" s="262"/>
      <c r="G3" s="262"/>
    </row>
    <row r="4" spans="1:7" x14ac:dyDescent="0.2">
      <c r="A4" s="576" t="s">
        <v>599</v>
      </c>
      <c r="B4" s="223" t="b">
        <v>1</v>
      </c>
      <c r="C4" s="277"/>
      <c r="D4" s="262"/>
      <c r="E4" s="411" t="b">
        <v>1</v>
      </c>
      <c r="F4" s="262"/>
      <c r="G4" s="262"/>
    </row>
    <row r="5" spans="1:7" x14ac:dyDescent="0.2">
      <c r="A5" s="213" t="s">
        <v>388</v>
      </c>
      <c r="B5" s="223" t="b">
        <v>0</v>
      </c>
      <c r="E5" s="411" t="b">
        <v>0</v>
      </c>
    </row>
  </sheetData>
  <sheetProtection sheet="1" objects="1" scenarios="1" formatCells="0" formatColumns="0" formatRows="0"/>
  <phoneticPr fontId="34" type="noConversion"/>
  <dataValidations count="1">
    <dataValidation type="list" allowBlank="1" showInputMessage="1" showErrorMessage="1" sqref="E2:E5 B2:B5">
      <formula1>Euconst_TrueFalse</formula1>
    </dataValidation>
  </dataValidations>
  <pageMargins left="0.78740157499999996" right="0.78740157499999996" top="0.984251969" bottom="0.984251969" header="0.4921259845" footer="0.4921259845"/>
  <pageSetup paperSize="9" scale="72" fitToHeight="4" orientation="portrait" r:id="rId1"/>
  <headerFooter alignWithMargins="0">
    <oddHeader>&amp;L&amp;F; &amp;A&amp;R&amp;D; &amp;T</oddHeader>
    <oddFooter>&amp;C&amp;P /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tabColor indexed="17"/>
    <pageSetUpPr fitToPage="1"/>
  </sheetPr>
  <dimension ref="A1:D1767"/>
  <sheetViews>
    <sheetView zoomScaleNormal="100" workbookViewId="0">
      <pane xSplit="1" ySplit="1" topLeftCell="B56" activePane="bottomRight" state="frozen"/>
      <selection pane="topRight" activeCell="B1" sqref="B1"/>
      <selection pane="bottomLeft" activeCell="A2" sqref="A2"/>
      <selection pane="bottomRight" activeCell="B61" sqref="B61"/>
    </sheetView>
  </sheetViews>
  <sheetFormatPr defaultColWidth="11.42578125" defaultRowHeight="15" x14ac:dyDescent="0.25"/>
  <cols>
    <col min="1" max="1" width="9.42578125" style="1021" customWidth="1"/>
    <col min="2" max="2" width="70.7109375" style="1021" customWidth="1"/>
    <col min="3" max="3" width="70.7109375" style="264" customWidth="1"/>
    <col min="4" max="4" width="33" style="264" customWidth="1"/>
    <col min="5" max="16384" width="11.42578125" style="264"/>
  </cols>
  <sheetData>
    <row r="1" spans="1:4" s="263" customFormat="1" ht="15.75" thickBot="1" x14ac:dyDescent="0.3">
      <c r="A1" s="1020" t="s">
        <v>617</v>
      </c>
      <c r="B1" s="1020" t="s">
        <v>333</v>
      </c>
      <c r="C1" s="263" t="s">
        <v>334</v>
      </c>
    </row>
    <row r="2" spans="1:4" ht="15.75" thickBot="1" x14ac:dyDescent="0.3">
      <c r="A2" s="1021">
        <v>1</v>
      </c>
      <c r="B2" s="1022" t="s">
        <v>918</v>
      </c>
      <c r="D2" s="1015"/>
    </row>
    <row r="3" spans="1:4" x14ac:dyDescent="0.25">
      <c r="A3" s="1021">
        <v>2</v>
      </c>
      <c r="B3" s="1976" t="s">
        <v>919</v>
      </c>
      <c r="D3" s="1015"/>
    </row>
    <row r="4" spans="1:4" x14ac:dyDescent="0.25">
      <c r="A4" s="1021">
        <v>3</v>
      </c>
      <c r="B4" s="1976" t="s">
        <v>920</v>
      </c>
      <c r="D4" s="1015"/>
    </row>
    <row r="5" spans="1:4" x14ac:dyDescent="0.25">
      <c r="A5" s="1021">
        <v>4</v>
      </c>
      <c r="B5" s="1976" t="s">
        <v>921</v>
      </c>
      <c r="D5" s="1015"/>
    </row>
    <row r="6" spans="1:4" x14ac:dyDescent="0.25">
      <c r="A6" s="1021">
        <v>5</v>
      </c>
      <c r="B6" s="1976" t="s">
        <v>922</v>
      </c>
      <c r="D6" s="1015"/>
    </row>
    <row r="7" spans="1:4" ht="26.25" x14ac:dyDescent="0.25">
      <c r="A7" s="1021">
        <v>6</v>
      </c>
      <c r="B7" s="1977" t="s">
        <v>923</v>
      </c>
      <c r="D7" s="1015"/>
    </row>
    <row r="8" spans="1:4" ht="18.75" thickBot="1" x14ac:dyDescent="0.3">
      <c r="A8" s="1021">
        <v>7</v>
      </c>
      <c r="B8" s="1978" t="s">
        <v>924</v>
      </c>
      <c r="D8" s="1015"/>
    </row>
    <row r="9" spans="1:4" x14ac:dyDescent="0.25">
      <c r="A9" s="1021">
        <v>8</v>
      </c>
      <c r="B9" s="1979" t="s">
        <v>925</v>
      </c>
      <c r="D9" s="1015"/>
    </row>
    <row r="10" spans="1:4" ht="15.75" thickBot="1" x14ac:dyDescent="0.3">
      <c r="A10" s="1021">
        <v>9</v>
      </c>
      <c r="B10" s="1980" t="s">
        <v>926</v>
      </c>
      <c r="D10" s="1015"/>
    </row>
    <row r="11" spans="1:4" ht="15.75" thickBot="1" x14ac:dyDescent="0.3">
      <c r="A11" s="1021">
        <v>10</v>
      </c>
      <c r="B11" s="1981" t="s">
        <v>927</v>
      </c>
      <c r="D11" s="1015"/>
    </row>
    <row r="12" spans="1:4" x14ac:dyDescent="0.25">
      <c r="A12" s="1021">
        <v>11</v>
      </c>
      <c r="B12" s="1979" t="s">
        <v>928</v>
      </c>
      <c r="D12" s="1015"/>
    </row>
    <row r="13" spans="1:4" x14ac:dyDescent="0.25">
      <c r="A13" s="1021">
        <v>12</v>
      </c>
      <c r="B13" s="1982" t="s">
        <v>929</v>
      </c>
      <c r="D13" s="1015"/>
    </row>
    <row r="14" spans="1:4" ht="15.75" thickBot="1" x14ac:dyDescent="0.3">
      <c r="A14" s="1021">
        <v>13</v>
      </c>
      <c r="B14" s="1983" t="s">
        <v>930</v>
      </c>
      <c r="D14" s="1015"/>
    </row>
    <row r="15" spans="1:4" ht="25.5" x14ac:dyDescent="0.25">
      <c r="A15" s="1021">
        <v>14</v>
      </c>
      <c r="B15" s="1984" t="s">
        <v>931</v>
      </c>
      <c r="D15" s="1015"/>
    </row>
    <row r="16" spans="1:4" x14ac:dyDescent="0.25">
      <c r="A16" s="1021">
        <v>15</v>
      </c>
      <c r="B16" s="1985" t="s">
        <v>932</v>
      </c>
      <c r="D16" s="1015"/>
    </row>
    <row r="17" spans="1:4" ht="25.5" x14ac:dyDescent="0.25">
      <c r="A17" s="1021">
        <v>16</v>
      </c>
      <c r="B17" s="1985" t="s">
        <v>933</v>
      </c>
      <c r="D17" s="1015"/>
    </row>
    <row r="18" spans="1:4" x14ac:dyDescent="0.25">
      <c r="A18" s="1021">
        <v>17</v>
      </c>
      <c r="B18" s="1976" t="s">
        <v>934</v>
      </c>
      <c r="D18" s="1015"/>
    </row>
    <row r="19" spans="1:4" x14ac:dyDescent="0.25">
      <c r="A19" s="1021">
        <v>18</v>
      </c>
      <c r="B19" s="1976" t="s">
        <v>935</v>
      </c>
      <c r="D19" s="1015"/>
    </row>
    <row r="20" spans="1:4" ht="18" x14ac:dyDescent="0.25">
      <c r="A20" s="1021">
        <v>19</v>
      </c>
      <c r="B20" s="1986" t="s">
        <v>936</v>
      </c>
      <c r="D20" s="1015"/>
    </row>
    <row r="21" spans="1:4" ht="15.75" x14ac:dyDescent="0.25">
      <c r="A21" s="1021">
        <v>20</v>
      </c>
      <c r="B21" s="1987" t="s">
        <v>937</v>
      </c>
      <c r="D21" s="1015"/>
    </row>
    <row r="22" spans="1:4" ht="51" x14ac:dyDescent="0.25">
      <c r="A22" s="1021">
        <v>21</v>
      </c>
      <c r="B22" s="1988" t="s">
        <v>938</v>
      </c>
      <c r="D22" s="1015"/>
    </row>
    <row r="23" spans="1:4" x14ac:dyDescent="0.25">
      <c r="A23" s="1021">
        <v>22</v>
      </c>
      <c r="B23" s="1976" t="s">
        <v>939</v>
      </c>
      <c r="D23" s="1015"/>
    </row>
    <row r="24" spans="1:4" ht="63.75" x14ac:dyDescent="0.25">
      <c r="A24" s="1021">
        <v>23</v>
      </c>
      <c r="B24" s="1988" t="s">
        <v>2317</v>
      </c>
      <c r="D24" s="1015"/>
    </row>
    <row r="25" spans="1:4" x14ac:dyDescent="0.25">
      <c r="A25" s="1021">
        <v>24</v>
      </c>
      <c r="B25" s="1989" t="s">
        <v>619</v>
      </c>
      <c r="D25" s="1015"/>
    </row>
    <row r="26" spans="1:4" ht="51" x14ac:dyDescent="0.25">
      <c r="A26" s="1021">
        <v>25</v>
      </c>
      <c r="B26" s="1988" t="s">
        <v>2318</v>
      </c>
      <c r="D26" s="1015"/>
    </row>
    <row r="27" spans="1:4" ht="25.5" x14ac:dyDescent="0.25">
      <c r="A27" s="1021">
        <v>26</v>
      </c>
      <c r="B27" s="1988" t="s">
        <v>940</v>
      </c>
      <c r="D27" s="1015"/>
    </row>
    <row r="28" spans="1:4" ht="25.5" x14ac:dyDescent="0.25">
      <c r="A28" s="1021">
        <v>27</v>
      </c>
      <c r="B28" s="1988" t="s">
        <v>941</v>
      </c>
      <c r="D28" s="1015"/>
    </row>
    <row r="29" spans="1:4" ht="36" x14ac:dyDescent="0.25">
      <c r="A29" s="1021">
        <v>28</v>
      </c>
      <c r="B29" s="1990" t="s">
        <v>942</v>
      </c>
      <c r="D29" s="1015"/>
    </row>
    <row r="30" spans="1:4" ht="15.75" x14ac:dyDescent="0.25">
      <c r="A30" s="1021">
        <v>29</v>
      </c>
      <c r="B30" s="1987" t="s">
        <v>943</v>
      </c>
      <c r="D30" s="1015"/>
    </row>
    <row r="31" spans="1:4" ht="25.5" x14ac:dyDescent="0.25">
      <c r="A31" s="1021">
        <v>30</v>
      </c>
      <c r="B31" s="1988" t="s">
        <v>944</v>
      </c>
      <c r="D31" s="1015"/>
    </row>
    <row r="32" spans="1:4" ht="76.5" x14ac:dyDescent="0.25">
      <c r="A32" s="1021">
        <v>31</v>
      </c>
      <c r="B32" s="1988" t="s">
        <v>2319</v>
      </c>
      <c r="D32" s="1015"/>
    </row>
    <row r="33" spans="1:4" ht="51" x14ac:dyDescent="0.25">
      <c r="A33" s="1021">
        <v>32</v>
      </c>
      <c r="B33" s="1988" t="s">
        <v>945</v>
      </c>
      <c r="D33" s="1015"/>
    </row>
    <row r="34" spans="1:4" ht="63.75" x14ac:dyDescent="0.25">
      <c r="A34" s="1021">
        <v>33</v>
      </c>
      <c r="B34" s="1988" t="s">
        <v>946</v>
      </c>
      <c r="D34" s="1015"/>
    </row>
    <row r="35" spans="1:4" ht="63.75" x14ac:dyDescent="0.25">
      <c r="A35" s="1021">
        <v>34</v>
      </c>
      <c r="B35" s="1988" t="s">
        <v>947</v>
      </c>
      <c r="D35" s="1015"/>
    </row>
    <row r="36" spans="1:4" ht="51" x14ac:dyDescent="0.25">
      <c r="A36" s="1021">
        <v>35</v>
      </c>
      <c r="B36" s="1988" t="s">
        <v>948</v>
      </c>
      <c r="D36" s="1015"/>
    </row>
    <row r="37" spans="1:4" x14ac:dyDescent="0.25">
      <c r="A37" s="1021">
        <v>36</v>
      </c>
      <c r="B37" s="1988" t="s">
        <v>949</v>
      </c>
      <c r="D37" s="1015"/>
    </row>
    <row r="38" spans="1:4" x14ac:dyDescent="0.25">
      <c r="A38" s="1021">
        <v>37</v>
      </c>
      <c r="B38" s="1991" t="s">
        <v>950</v>
      </c>
      <c r="D38" s="1015"/>
    </row>
    <row r="39" spans="1:4" ht="25.5" x14ac:dyDescent="0.25">
      <c r="A39" s="1021">
        <v>38</v>
      </c>
      <c r="B39" s="1992" t="s">
        <v>951</v>
      </c>
      <c r="D39" s="1015"/>
    </row>
    <row r="40" spans="1:4" ht="25.5" x14ac:dyDescent="0.25">
      <c r="A40" s="1021">
        <v>39</v>
      </c>
      <c r="B40" s="1992" t="s">
        <v>952</v>
      </c>
      <c r="D40" s="1015"/>
    </row>
    <row r="41" spans="1:4" x14ac:dyDescent="0.25">
      <c r="A41" s="1021">
        <v>40</v>
      </c>
      <c r="B41" s="1992" t="s">
        <v>953</v>
      </c>
      <c r="D41" s="1015"/>
    </row>
    <row r="42" spans="1:4" ht="25.5" x14ac:dyDescent="0.25">
      <c r="A42" s="1021">
        <v>41</v>
      </c>
      <c r="B42" s="1992" t="s">
        <v>954</v>
      </c>
      <c r="D42" s="1015"/>
    </row>
    <row r="43" spans="1:4" x14ac:dyDescent="0.25">
      <c r="A43" s="1021">
        <v>42</v>
      </c>
      <c r="B43" s="1993" t="s">
        <v>955</v>
      </c>
      <c r="D43" s="1015"/>
    </row>
    <row r="44" spans="1:4" x14ac:dyDescent="0.25">
      <c r="A44" s="1021">
        <v>43</v>
      </c>
      <c r="B44" s="1984" t="s">
        <v>956</v>
      </c>
      <c r="D44" s="1015"/>
    </row>
    <row r="45" spans="1:4" x14ac:dyDescent="0.25">
      <c r="A45" s="1021">
        <v>44</v>
      </c>
      <c r="B45" s="1994" t="s">
        <v>957</v>
      </c>
      <c r="D45" s="1015"/>
    </row>
    <row r="46" spans="1:4" x14ac:dyDescent="0.25">
      <c r="A46" s="1021">
        <v>45</v>
      </c>
      <c r="B46" s="1995" t="s">
        <v>958</v>
      </c>
      <c r="D46" s="1015"/>
    </row>
    <row r="47" spans="1:4" x14ac:dyDescent="0.25">
      <c r="A47" s="1021">
        <v>46</v>
      </c>
      <c r="B47" s="1994" t="s">
        <v>959</v>
      </c>
      <c r="D47" s="1015"/>
    </row>
    <row r="48" spans="1:4" ht="25.5" x14ac:dyDescent="0.25">
      <c r="A48" s="1021">
        <v>47</v>
      </c>
      <c r="B48" s="1994" t="s">
        <v>960</v>
      </c>
      <c r="D48" s="1015"/>
    </row>
    <row r="49" spans="1:4" x14ac:dyDescent="0.25">
      <c r="A49" s="1021">
        <v>48</v>
      </c>
      <c r="B49" s="1996" t="s">
        <v>961</v>
      </c>
      <c r="D49" s="1015"/>
    </row>
    <row r="50" spans="1:4" ht="25.5" x14ac:dyDescent="0.25">
      <c r="A50" s="1021">
        <v>49</v>
      </c>
      <c r="B50" s="1996" t="s">
        <v>962</v>
      </c>
      <c r="D50" s="1015"/>
    </row>
    <row r="51" spans="1:4" x14ac:dyDescent="0.25">
      <c r="A51" s="1021">
        <v>50</v>
      </c>
      <c r="B51" s="1994" t="s">
        <v>963</v>
      </c>
      <c r="D51" s="1015"/>
    </row>
    <row r="52" spans="1:4" ht="25.5" x14ac:dyDescent="0.25">
      <c r="A52" s="1021">
        <v>51</v>
      </c>
      <c r="B52" s="1994" t="s">
        <v>964</v>
      </c>
      <c r="D52" s="1015"/>
    </row>
    <row r="53" spans="1:4" x14ac:dyDescent="0.25">
      <c r="A53" s="1021">
        <v>52</v>
      </c>
      <c r="B53" s="1994" t="s">
        <v>965</v>
      </c>
      <c r="D53" s="1015"/>
    </row>
    <row r="54" spans="1:4" ht="76.5" x14ac:dyDescent="0.25">
      <c r="A54" s="1021">
        <v>53</v>
      </c>
      <c r="B54" s="1988" t="s">
        <v>966</v>
      </c>
      <c r="D54" s="1015"/>
    </row>
    <row r="55" spans="1:4" ht="63.75" x14ac:dyDescent="0.25">
      <c r="A55" s="1021">
        <v>54</v>
      </c>
      <c r="B55" s="1988" t="s">
        <v>967</v>
      </c>
      <c r="D55" s="1015"/>
    </row>
    <row r="56" spans="1:4" ht="63.75" x14ac:dyDescent="0.25">
      <c r="A56" s="1021">
        <v>55</v>
      </c>
      <c r="B56" s="1997" t="s">
        <v>968</v>
      </c>
      <c r="D56" s="1015"/>
    </row>
    <row r="57" spans="1:4" ht="77.25" thickBot="1" x14ac:dyDescent="0.3">
      <c r="A57" s="1021">
        <v>56</v>
      </c>
      <c r="B57" s="1988" t="s">
        <v>969</v>
      </c>
      <c r="D57" s="1015"/>
    </row>
    <row r="58" spans="1:4" ht="102.75" thickBot="1" x14ac:dyDescent="0.3">
      <c r="A58" s="1021">
        <v>57</v>
      </c>
      <c r="B58" s="1998" t="s">
        <v>970</v>
      </c>
      <c r="D58" s="1015"/>
    </row>
    <row r="59" spans="1:4" ht="15.75" x14ac:dyDescent="0.25">
      <c r="A59" s="1021">
        <v>58</v>
      </c>
      <c r="B59" s="1987" t="s">
        <v>971</v>
      </c>
      <c r="D59" s="1015"/>
    </row>
    <row r="60" spans="1:4" x14ac:dyDescent="0.25">
      <c r="A60" s="1021">
        <v>59</v>
      </c>
      <c r="B60" s="1999" t="s">
        <v>972</v>
      </c>
      <c r="D60" s="1015"/>
    </row>
    <row r="61" spans="1:4" ht="25.5" x14ac:dyDescent="0.25">
      <c r="A61" s="1021">
        <v>60</v>
      </c>
      <c r="B61" s="2000" t="s">
        <v>2613</v>
      </c>
      <c r="D61" s="1015"/>
    </row>
    <row r="62" spans="1:4" ht="15.75" x14ac:dyDescent="0.25">
      <c r="A62" s="1021">
        <v>61</v>
      </c>
      <c r="B62" s="2001" t="s">
        <v>973</v>
      </c>
      <c r="D62" s="1015"/>
    </row>
    <row r="63" spans="1:4" x14ac:dyDescent="0.25">
      <c r="A63" s="1021">
        <v>62</v>
      </c>
      <c r="B63" s="1984" t="s">
        <v>974</v>
      </c>
      <c r="D63" s="1015"/>
    </row>
    <row r="64" spans="1:4" x14ac:dyDescent="0.25">
      <c r="A64" s="1021">
        <v>63</v>
      </c>
      <c r="B64" s="1999" t="s">
        <v>975</v>
      </c>
      <c r="D64" s="1015"/>
    </row>
    <row r="65" spans="1:4" x14ac:dyDescent="0.25">
      <c r="A65" s="1021">
        <v>64</v>
      </c>
      <c r="B65" s="1976" t="s">
        <v>976</v>
      </c>
      <c r="D65" s="1015"/>
    </row>
    <row r="66" spans="1:4" x14ac:dyDescent="0.25">
      <c r="A66" s="1021">
        <v>65</v>
      </c>
      <c r="B66" s="1999" t="s">
        <v>977</v>
      </c>
      <c r="D66" s="1015"/>
    </row>
    <row r="67" spans="1:4" x14ac:dyDescent="0.25">
      <c r="A67" s="1021">
        <v>66</v>
      </c>
      <c r="B67" s="1976" t="s">
        <v>978</v>
      </c>
      <c r="D67" s="1015"/>
    </row>
    <row r="68" spans="1:4" x14ac:dyDescent="0.25">
      <c r="A68" s="1021">
        <v>67</v>
      </c>
      <c r="B68" s="1984" t="s">
        <v>979</v>
      </c>
      <c r="D68" s="1015"/>
    </row>
    <row r="69" spans="1:4" ht="25.5" x14ac:dyDescent="0.25">
      <c r="A69" s="1021">
        <v>68</v>
      </c>
      <c r="B69" s="2140" t="s">
        <v>2609</v>
      </c>
      <c r="D69" s="1015"/>
    </row>
    <row r="70" spans="1:4" x14ac:dyDescent="0.25">
      <c r="A70" s="1021">
        <v>69</v>
      </c>
      <c r="B70" s="1999" t="s">
        <v>980</v>
      </c>
      <c r="D70" s="1015"/>
    </row>
    <row r="71" spans="1:4" x14ac:dyDescent="0.25">
      <c r="A71" s="1021">
        <v>70</v>
      </c>
      <c r="B71" s="2140" t="s">
        <v>2610</v>
      </c>
      <c r="D71" s="1015"/>
    </row>
    <row r="72" spans="1:4" ht="15.75" x14ac:dyDescent="0.25">
      <c r="A72" s="1021">
        <v>71</v>
      </c>
      <c r="B72" s="2001" t="s">
        <v>2612</v>
      </c>
      <c r="D72" s="1015"/>
    </row>
    <row r="73" spans="1:4" ht="15.75" thickBot="1" x14ac:dyDescent="0.3">
      <c r="A73" s="1021">
        <v>72</v>
      </c>
      <c r="B73" s="1976" t="s">
        <v>981</v>
      </c>
      <c r="D73" s="1015"/>
    </row>
    <row r="74" spans="1:4" x14ac:dyDescent="0.25">
      <c r="A74" s="1021">
        <v>73</v>
      </c>
      <c r="B74" s="2002" t="s">
        <v>982</v>
      </c>
      <c r="D74" s="1015"/>
    </row>
    <row r="75" spans="1:4" x14ac:dyDescent="0.25">
      <c r="A75" s="1021">
        <v>74</v>
      </c>
      <c r="B75" s="1976" t="s">
        <v>983</v>
      </c>
      <c r="D75" s="1015"/>
    </row>
    <row r="76" spans="1:4" x14ac:dyDescent="0.25">
      <c r="A76" s="1021">
        <v>75</v>
      </c>
      <c r="B76" s="1976" t="s">
        <v>984</v>
      </c>
      <c r="D76" s="1015"/>
    </row>
    <row r="77" spans="1:4" x14ac:dyDescent="0.25">
      <c r="A77" s="1021">
        <v>76</v>
      </c>
      <c r="B77" s="1976" t="s">
        <v>985</v>
      </c>
      <c r="D77" s="1015"/>
    </row>
    <row r="78" spans="1:4" x14ac:dyDescent="0.25">
      <c r="A78" s="1021">
        <v>77</v>
      </c>
      <c r="B78" s="1976" t="s">
        <v>986</v>
      </c>
      <c r="D78" s="1015"/>
    </row>
    <row r="79" spans="1:4" x14ac:dyDescent="0.25">
      <c r="A79" s="1021">
        <v>78</v>
      </c>
      <c r="B79" s="1976" t="s">
        <v>987</v>
      </c>
      <c r="D79" s="1015"/>
    </row>
    <row r="80" spans="1:4" x14ac:dyDescent="0.25">
      <c r="A80" s="1021">
        <v>79</v>
      </c>
      <c r="B80" s="1976" t="s">
        <v>988</v>
      </c>
      <c r="D80" s="1015"/>
    </row>
    <row r="81" spans="1:4" x14ac:dyDescent="0.25">
      <c r="A81" s="1021">
        <v>80</v>
      </c>
      <c r="B81" s="1976" t="s">
        <v>989</v>
      </c>
      <c r="D81" s="1015"/>
    </row>
    <row r="82" spans="1:4" x14ac:dyDescent="0.25">
      <c r="A82" s="1021">
        <v>81</v>
      </c>
      <c r="B82" s="1976" t="s">
        <v>990</v>
      </c>
      <c r="D82" s="1015"/>
    </row>
    <row r="83" spans="1:4" ht="54" x14ac:dyDescent="0.25">
      <c r="A83" s="1021">
        <v>82</v>
      </c>
      <c r="B83" s="1986" t="s">
        <v>991</v>
      </c>
      <c r="D83" s="1015"/>
    </row>
    <row r="84" spans="1:4" ht="15.75" x14ac:dyDescent="0.25">
      <c r="A84" s="1021">
        <v>83</v>
      </c>
      <c r="B84" s="1987" t="s">
        <v>992</v>
      </c>
      <c r="D84" s="1015"/>
    </row>
    <row r="85" spans="1:4" x14ac:dyDescent="0.25">
      <c r="A85" s="1021">
        <v>84</v>
      </c>
      <c r="B85" s="2003" t="s">
        <v>993</v>
      </c>
      <c r="D85" s="1015"/>
    </row>
    <row r="86" spans="1:4" x14ac:dyDescent="0.25">
      <c r="A86" s="1021">
        <v>85</v>
      </c>
      <c r="B86" s="1984" t="s">
        <v>928</v>
      </c>
      <c r="D86" s="1015"/>
    </row>
    <row r="87" spans="1:4" x14ac:dyDescent="0.25">
      <c r="A87" s="1021">
        <v>86</v>
      </c>
      <c r="B87" s="2004" t="s">
        <v>994</v>
      </c>
      <c r="D87" s="1015"/>
    </row>
    <row r="88" spans="1:4" x14ac:dyDescent="0.25">
      <c r="A88" s="1021">
        <v>87</v>
      </c>
      <c r="B88" s="1984" t="s">
        <v>995</v>
      </c>
      <c r="D88" s="1015"/>
    </row>
    <row r="89" spans="1:4" ht="22.5" x14ac:dyDescent="0.25">
      <c r="A89" s="1021">
        <v>88</v>
      </c>
      <c r="B89" s="2004" t="s">
        <v>996</v>
      </c>
      <c r="D89" s="1015"/>
    </row>
    <row r="90" spans="1:4" x14ac:dyDescent="0.25">
      <c r="A90" s="1021">
        <v>89</v>
      </c>
      <c r="B90" s="1984" t="s">
        <v>997</v>
      </c>
      <c r="D90" s="1015"/>
    </row>
    <row r="91" spans="1:4" x14ac:dyDescent="0.25">
      <c r="A91" s="1021">
        <v>90</v>
      </c>
      <c r="B91" s="1984" t="s">
        <v>998</v>
      </c>
      <c r="D91" s="1015"/>
    </row>
    <row r="92" spans="1:4" ht="22.5" x14ac:dyDescent="0.25">
      <c r="A92" s="1021">
        <v>91</v>
      </c>
      <c r="B92" s="2004" t="s">
        <v>999</v>
      </c>
      <c r="D92" s="1015"/>
    </row>
    <row r="93" spans="1:4" ht="22.5" x14ac:dyDescent="0.25">
      <c r="A93" s="1021">
        <v>92</v>
      </c>
      <c r="B93" s="2004" t="s">
        <v>1000</v>
      </c>
      <c r="D93" s="1015"/>
    </row>
    <row r="94" spans="1:4" ht="22.5" x14ac:dyDescent="0.25">
      <c r="A94" s="1021">
        <v>93</v>
      </c>
      <c r="B94" s="2004" t="s">
        <v>1001</v>
      </c>
      <c r="D94" s="1015"/>
    </row>
    <row r="95" spans="1:4" x14ac:dyDescent="0.25">
      <c r="A95" s="1021">
        <v>94</v>
      </c>
      <c r="B95" s="1984" t="s">
        <v>1002</v>
      </c>
      <c r="D95" s="1015"/>
    </row>
    <row r="96" spans="1:4" ht="22.5" x14ac:dyDescent="0.25">
      <c r="A96" s="1021">
        <v>95</v>
      </c>
      <c r="B96" s="2004" t="s">
        <v>1003</v>
      </c>
      <c r="D96" s="1015"/>
    </row>
    <row r="97" spans="1:4" ht="45" x14ac:dyDescent="0.25">
      <c r="A97" s="1021">
        <v>96</v>
      </c>
      <c r="B97" s="2004" t="s">
        <v>1004</v>
      </c>
      <c r="D97" s="1015"/>
    </row>
    <row r="98" spans="1:4" x14ac:dyDescent="0.25">
      <c r="A98" s="1021">
        <v>97</v>
      </c>
      <c r="B98" s="1984" t="s">
        <v>1005</v>
      </c>
      <c r="D98" s="1015"/>
    </row>
    <row r="99" spans="1:4" x14ac:dyDescent="0.25">
      <c r="A99" s="1021">
        <v>98</v>
      </c>
      <c r="B99" s="1984" t="s">
        <v>1006</v>
      </c>
      <c r="D99" s="1015"/>
    </row>
    <row r="100" spans="1:4" ht="22.5" x14ac:dyDescent="0.25">
      <c r="A100" s="1021">
        <v>99</v>
      </c>
      <c r="B100" s="2004" t="s">
        <v>1007</v>
      </c>
      <c r="D100" s="1015"/>
    </row>
    <row r="101" spans="1:4" ht="22.5" x14ac:dyDescent="0.25">
      <c r="A101" s="1021">
        <v>100</v>
      </c>
      <c r="B101" s="2004" t="s">
        <v>1008</v>
      </c>
      <c r="D101" s="1015"/>
    </row>
    <row r="102" spans="1:4" x14ac:dyDescent="0.25">
      <c r="A102" s="1021">
        <v>101</v>
      </c>
      <c r="B102" s="2005" t="s">
        <v>1009</v>
      </c>
      <c r="D102" s="1015"/>
    </row>
    <row r="103" spans="1:4" x14ac:dyDescent="0.25">
      <c r="A103" s="1021">
        <v>102</v>
      </c>
      <c r="B103" s="2006" t="s">
        <v>1010</v>
      </c>
      <c r="D103" s="1015"/>
    </row>
    <row r="104" spans="1:4" x14ac:dyDescent="0.25">
      <c r="A104" s="1021">
        <v>103</v>
      </c>
      <c r="B104" s="2007" t="s">
        <v>1011</v>
      </c>
      <c r="D104" s="1015"/>
    </row>
    <row r="105" spans="1:4" x14ac:dyDescent="0.25">
      <c r="A105" s="1021">
        <v>104</v>
      </c>
      <c r="B105" s="2008" t="s">
        <v>1012</v>
      </c>
      <c r="D105" s="1015"/>
    </row>
    <row r="106" spans="1:4" x14ac:dyDescent="0.25">
      <c r="A106" s="1021">
        <v>105</v>
      </c>
      <c r="B106" s="2006" t="s">
        <v>1013</v>
      </c>
      <c r="D106" s="1015"/>
    </row>
    <row r="107" spans="1:4" x14ac:dyDescent="0.25">
      <c r="A107" s="1021">
        <v>106</v>
      </c>
      <c r="B107" s="1984" t="s">
        <v>1014</v>
      </c>
      <c r="D107" s="1015"/>
    </row>
    <row r="108" spans="1:4" x14ac:dyDescent="0.25">
      <c r="A108" s="1021">
        <v>107</v>
      </c>
      <c r="B108" s="2004" t="s">
        <v>1015</v>
      </c>
      <c r="D108" s="1015"/>
    </row>
    <row r="109" spans="1:4" x14ac:dyDescent="0.25">
      <c r="A109" s="1021">
        <v>108</v>
      </c>
      <c r="B109" s="1984" t="s">
        <v>1016</v>
      </c>
      <c r="D109" s="1015"/>
    </row>
    <row r="110" spans="1:4" ht="22.5" x14ac:dyDescent="0.25">
      <c r="A110" s="1021">
        <v>109</v>
      </c>
      <c r="B110" s="2004" t="s">
        <v>1017</v>
      </c>
      <c r="D110" s="1015"/>
    </row>
    <row r="111" spans="1:4" x14ac:dyDescent="0.25">
      <c r="A111" s="1021">
        <v>110</v>
      </c>
      <c r="B111" s="2004" t="s">
        <v>1018</v>
      </c>
      <c r="D111" s="1015"/>
    </row>
    <row r="112" spans="1:4" x14ac:dyDescent="0.25">
      <c r="A112" s="1021">
        <v>111</v>
      </c>
      <c r="B112" s="2004" t="s">
        <v>1019</v>
      </c>
      <c r="D112" s="1015"/>
    </row>
    <row r="113" spans="1:4" ht="22.5" x14ac:dyDescent="0.25">
      <c r="A113" s="1021">
        <v>112</v>
      </c>
      <c r="B113" s="2004" t="s">
        <v>1020</v>
      </c>
      <c r="D113" s="1015"/>
    </row>
    <row r="114" spans="1:4" ht="22.5" x14ac:dyDescent="0.25">
      <c r="A114" s="1021">
        <v>113</v>
      </c>
      <c r="B114" s="2004" t="s">
        <v>1021</v>
      </c>
      <c r="D114" s="1015"/>
    </row>
    <row r="115" spans="1:4" x14ac:dyDescent="0.25">
      <c r="A115" s="1021">
        <v>114</v>
      </c>
      <c r="B115" s="2004" t="s">
        <v>1022</v>
      </c>
      <c r="D115" s="1015"/>
    </row>
    <row r="116" spans="1:4" x14ac:dyDescent="0.25">
      <c r="A116" s="1021">
        <v>115</v>
      </c>
      <c r="B116" s="1984" t="s">
        <v>1023</v>
      </c>
      <c r="D116" s="1015"/>
    </row>
    <row r="117" spans="1:4" ht="33.75" x14ac:dyDescent="0.25">
      <c r="A117" s="1021">
        <v>116</v>
      </c>
      <c r="B117" s="2004" t="s">
        <v>1024</v>
      </c>
      <c r="D117" s="1015"/>
    </row>
    <row r="118" spans="1:4" x14ac:dyDescent="0.25">
      <c r="A118" s="1021">
        <v>117</v>
      </c>
      <c r="B118" s="2007" t="s">
        <v>1025</v>
      </c>
      <c r="D118" s="1015"/>
    </row>
    <row r="119" spans="1:4" x14ac:dyDescent="0.25">
      <c r="A119" s="1021">
        <v>118</v>
      </c>
      <c r="B119" s="2009" t="s">
        <v>1026</v>
      </c>
      <c r="D119" s="1015"/>
    </row>
    <row r="120" spans="1:4" x14ac:dyDescent="0.25">
      <c r="A120" s="1021">
        <v>119</v>
      </c>
      <c r="B120" s="2009" t="s">
        <v>1027</v>
      </c>
      <c r="D120" s="1015"/>
    </row>
    <row r="121" spans="1:4" x14ac:dyDescent="0.25">
      <c r="A121" s="1021">
        <v>120</v>
      </c>
      <c r="B121" s="2009" t="s">
        <v>1028</v>
      </c>
      <c r="D121" s="1015"/>
    </row>
    <row r="122" spans="1:4" x14ac:dyDescent="0.25">
      <c r="A122" s="1021">
        <v>121</v>
      </c>
      <c r="B122" s="2009" t="s">
        <v>1029</v>
      </c>
      <c r="D122" s="1015"/>
    </row>
    <row r="123" spans="1:4" x14ac:dyDescent="0.25">
      <c r="A123" s="1021">
        <v>122</v>
      </c>
      <c r="B123" s="2009" t="s">
        <v>1030</v>
      </c>
      <c r="D123" s="1015"/>
    </row>
    <row r="124" spans="1:4" x14ac:dyDescent="0.25">
      <c r="A124" s="1021">
        <v>123</v>
      </c>
      <c r="B124" s="2009" t="s">
        <v>1031</v>
      </c>
      <c r="D124" s="1015"/>
    </row>
    <row r="125" spans="1:4" x14ac:dyDescent="0.25">
      <c r="A125" s="1021">
        <v>124</v>
      </c>
      <c r="B125" s="2009" t="s">
        <v>1032</v>
      </c>
      <c r="D125" s="1015"/>
    </row>
    <row r="126" spans="1:4" x14ac:dyDescent="0.25">
      <c r="A126" s="1021">
        <v>125</v>
      </c>
      <c r="B126" s="2008" t="s">
        <v>1033</v>
      </c>
      <c r="D126" s="1015"/>
    </row>
    <row r="127" spans="1:4" x14ac:dyDescent="0.25">
      <c r="A127" s="1021">
        <v>126</v>
      </c>
      <c r="B127" s="1984" t="s">
        <v>1034</v>
      </c>
      <c r="D127" s="1015"/>
    </row>
    <row r="128" spans="1:4" x14ac:dyDescent="0.25">
      <c r="A128" s="1021">
        <v>127</v>
      </c>
      <c r="B128" s="2003" t="s">
        <v>1035</v>
      </c>
      <c r="D128" s="1015"/>
    </row>
    <row r="129" spans="1:4" ht="22.5" x14ac:dyDescent="0.25">
      <c r="A129" s="1021">
        <v>128</v>
      </c>
      <c r="B129" s="2004" t="s">
        <v>1036</v>
      </c>
      <c r="D129" s="1015"/>
    </row>
    <row r="130" spans="1:4" x14ac:dyDescent="0.25">
      <c r="A130" s="1021">
        <v>129</v>
      </c>
      <c r="B130" s="1984" t="s">
        <v>1037</v>
      </c>
      <c r="D130" s="1015"/>
    </row>
    <row r="131" spans="1:4" x14ac:dyDescent="0.25">
      <c r="A131" s="1021">
        <v>130</v>
      </c>
      <c r="B131" s="2007" t="s">
        <v>1038</v>
      </c>
      <c r="D131" s="1015"/>
    </row>
    <row r="132" spans="1:4" ht="25.5" x14ac:dyDescent="0.25">
      <c r="A132" s="1021">
        <v>131</v>
      </c>
      <c r="B132" s="1984" t="s">
        <v>1039</v>
      </c>
      <c r="D132" s="1015"/>
    </row>
    <row r="133" spans="1:4" x14ac:dyDescent="0.25">
      <c r="A133" s="1021">
        <v>132</v>
      </c>
      <c r="B133" s="2003" t="s">
        <v>1040</v>
      </c>
      <c r="D133" s="1015"/>
    </row>
    <row r="134" spans="1:4" x14ac:dyDescent="0.25">
      <c r="A134" s="1021">
        <v>133</v>
      </c>
      <c r="B134" s="1984" t="s">
        <v>1041</v>
      </c>
      <c r="D134" s="1015"/>
    </row>
    <row r="135" spans="1:4" x14ac:dyDescent="0.25">
      <c r="A135" s="1021">
        <v>134</v>
      </c>
      <c r="B135" s="2007" t="s">
        <v>1042</v>
      </c>
      <c r="D135" s="1015"/>
    </row>
    <row r="136" spans="1:4" x14ac:dyDescent="0.25">
      <c r="A136" s="1021">
        <v>135</v>
      </c>
      <c r="B136" s="2009" t="s">
        <v>1027</v>
      </c>
      <c r="D136" s="1015"/>
    </row>
    <row r="137" spans="1:4" x14ac:dyDescent="0.25">
      <c r="A137" s="1021">
        <v>136</v>
      </c>
      <c r="B137" s="1984" t="s">
        <v>1043</v>
      </c>
      <c r="D137" s="1015"/>
    </row>
    <row r="138" spans="1:4" ht="22.5" x14ac:dyDescent="0.25">
      <c r="A138" s="1021">
        <v>137</v>
      </c>
      <c r="B138" s="2004" t="s">
        <v>1044</v>
      </c>
      <c r="D138" s="1015"/>
    </row>
    <row r="139" spans="1:4" x14ac:dyDescent="0.25">
      <c r="A139" s="1021">
        <v>138</v>
      </c>
      <c r="B139" s="2009" t="s">
        <v>1045</v>
      </c>
      <c r="D139" s="1015"/>
    </row>
    <row r="140" spans="1:4" x14ac:dyDescent="0.25">
      <c r="A140" s="1021">
        <v>139</v>
      </c>
      <c r="B140" s="2009" t="s">
        <v>1032</v>
      </c>
      <c r="D140" s="1015"/>
    </row>
    <row r="141" spans="1:4" x14ac:dyDescent="0.25">
      <c r="A141" s="1021">
        <v>140</v>
      </c>
      <c r="B141" s="1984" t="s">
        <v>1046</v>
      </c>
      <c r="D141" s="1015"/>
    </row>
    <row r="142" spans="1:4" x14ac:dyDescent="0.25">
      <c r="A142" s="1021">
        <v>141</v>
      </c>
      <c r="B142" s="2007" t="s">
        <v>1047</v>
      </c>
      <c r="D142" s="1015"/>
    </row>
    <row r="143" spans="1:4" x14ac:dyDescent="0.25">
      <c r="A143" s="1021">
        <v>142</v>
      </c>
      <c r="B143" s="2009" t="s">
        <v>1048</v>
      </c>
      <c r="D143" s="1015"/>
    </row>
    <row r="144" spans="1:4" x14ac:dyDescent="0.25">
      <c r="A144" s="1021">
        <v>143</v>
      </c>
      <c r="B144" s="2008" t="s">
        <v>1049</v>
      </c>
      <c r="D144" s="1015"/>
    </row>
    <row r="145" spans="1:4" x14ac:dyDescent="0.25">
      <c r="A145" s="1021">
        <v>144</v>
      </c>
      <c r="B145" s="2003" t="s">
        <v>1050</v>
      </c>
      <c r="D145" s="1015"/>
    </row>
    <row r="146" spans="1:4" x14ac:dyDescent="0.25">
      <c r="A146" s="1021">
        <v>145</v>
      </c>
      <c r="B146" s="1984" t="s">
        <v>1051</v>
      </c>
      <c r="D146" s="1015"/>
    </row>
    <row r="147" spans="1:4" ht="22.5" x14ac:dyDescent="0.25">
      <c r="A147" s="1021">
        <v>146</v>
      </c>
      <c r="B147" s="2004" t="s">
        <v>1052</v>
      </c>
      <c r="D147" s="1015"/>
    </row>
    <row r="148" spans="1:4" ht="22.5" x14ac:dyDescent="0.25">
      <c r="A148" s="1021">
        <v>147</v>
      </c>
      <c r="B148" s="2004" t="s">
        <v>1053</v>
      </c>
      <c r="D148" s="1015"/>
    </row>
    <row r="149" spans="1:4" x14ac:dyDescent="0.25">
      <c r="A149" s="1021">
        <v>148</v>
      </c>
      <c r="B149" s="2010" t="s">
        <v>1054</v>
      </c>
      <c r="D149" s="1015"/>
    </row>
    <row r="150" spans="1:4" x14ac:dyDescent="0.25">
      <c r="A150" s="1021">
        <v>149</v>
      </c>
      <c r="B150" s="2011" t="s">
        <v>1055</v>
      </c>
      <c r="D150" s="1015"/>
    </row>
    <row r="151" spans="1:4" ht="25.5" x14ac:dyDescent="0.25">
      <c r="A151" s="1021">
        <v>150</v>
      </c>
      <c r="B151" s="1984" t="s">
        <v>1056</v>
      </c>
      <c r="D151" s="1015"/>
    </row>
    <row r="152" spans="1:4" ht="22.5" x14ac:dyDescent="0.25">
      <c r="A152" s="1021">
        <v>151</v>
      </c>
      <c r="B152" s="2004" t="s">
        <v>1057</v>
      </c>
      <c r="D152" s="1015"/>
    </row>
    <row r="153" spans="1:4" x14ac:dyDescent="0.25">
      <c r="A153" s="1021">
        <v>152</v>
      </c>
      <c r="B153" s="2004" t="s">
        <v>1058</v>
      </c>
      <c r="D153" s="1015"/>
    </row>
    <row r="154" spans="1:4" x14ac:dyDescent="0.25">
      <c r="A154" s="1021">
        <v>153</v>
      </c>
      <c r="B154" s="1976" t="s">
        <v>234</v>
      </c>
      <c r="D154" s="1015"/>
    </row>
    <row r="155" spans="1:4" ht="21" x14ac:dyDescent="0.25">
      <c r="A155" s="1021">
        <v>154</v>
      </c>
      <c r="B155" s="2012" t="s">
        <v>1059</v>
      </c>
      <c r="D155" s="1015"/>
    </row>
    <row r="156" spans="1:4" x14ac:dyDescent="0.25">
      <c r="A156" s="1021">
        <v>155</v>
      </c>
      <c r="B156" s="2004" t="s">
        <v>1060</v>
      </c>
      <c r="D156" s="1015"/>
    </row>
    <row r="157" spans="1:4" x14ac:dyDescent="0.25">
      <c r="A157" s="1021">
        <v>156</v>
      </c>
      <c r="B157" s="2005" t="s">
        <v>1061</v>
      </c>
      <c r="D157" s="1015"/>
    </row>
    <row r="158" spans="1:4" x14ac:dyDescent="0.25">
      <c r="A158" s="1021">
        <v>157</v>
      </c>
      <c r="B158" s="1984" t="s">
        <v>1062</v>
      </c>
      <c r="D158" s="1015"/>
    </row>
    <row r="159" spans="1:4" x14ac:dyDescent="0.25">
      <c r="A159" s="1021">
        <v>158</v>
      </c>
      <c r="B159" s="2004" t="s">
        <v>1063</v>
      </c>
      <c r="D159" s="1015"/>
    </row>
    <row r="160" spans="1:4" ht="22.5" x14ac:dyDescent="0.25">
      <c r="A160" s="1021">
        <v>159</v>
      </c>
      <c r="B160" s="2004" t="s">
        <v>1064</v>
      </c>
      <c r="D160" s="1015"/>
    </row>
    <row r="161" spans="1:4" x14ac:dyDescent="0.25">
      <c r="A161" s="1021">
        <v>160</v>
      </c>
      <c r="B161" s="1984" t="s">
        <v>1065</v>
      </c>
      <c r="D161" s="1015"/>
    </row>
    <row r="162" spans="1:4" ht="22.5" x14ac:dyDescent="0.25">
      <c r="A162" s="1021">
        <v>161</v>
      </c>
      <c r="B162" s="2004" t="s">
        <v>1066</v>
      </c>
      <c r="D162" s="1015"/>
    </row>
    <row r="163" spans="1:4" ht="45" x14ac:dyDescent="0.25">
      <c r="A163" s="1021">
        <v>162</v>
      </c>
      <c r="B163" s="2004" t="s">
        <v>1067</v>
      </c>
      <c r="D163" s="1015"/>
    </row>
    <row r="164" spans="1:4" ht="22.5" x14ac:dyDescent="0.25">
      <c r="A164" s="1021">
        <v>163</v>
      </c>
      <c r="B164" s="2004" t="s">
        <v>1068</v>
      </c>
      <c r="D164" s="1015"/>
    </row>
    <row r="165" spans="1:4" x14ac:dyDescent="0.25">
      <c r="A165" s="1021">
        <v>164</v>
      </c>
      <c r="B165" s="2004" t="s">
        <v>1069</v>
      </c>
      <c r="D165" s="1015"/>
    </row>
    <row r="166" spans="1:4" ht="25.5" x14ac:dyDescent="0.25">
      <c r="A166" s="1021">
        <v>165</v>
      </c>
      <c r="B166" s="2005" t="s">
        <v>1070</v>
      </c>
      <c r="D166" s="1015"/>
    </row>
    <row r="167" spans="1:4" x14ac:dyDescent="0.25">
      <c r="A167" s="1021">
        <v>166</v>
      </c>
      <c r="B167" s="2005" t="s">
        <v>1071</v>
      </c>
      <c r="D167" s="1015"/>
    </row>
    <row r="168" spans="1:4" ht="25.5" x14ac:dyDescent="0.25">
      <c r="A168" s="1021">
        <v>167</v>
      </c>
      <c r="B168" s="2005" t="s">
        <v>1072</v>
      </c>
      <c r="D168" s="1015"/>
    </row>
    <row r="169" spans="1:4" x14ac:dyDescent="0.25">
      <c r="A169" s="1021">
        <v>168</v>
      </c>
      <c r="B169" s="1984" t="s">
        <v>1073</v>
      </c>
      <c r="D169" s="1015"/>
    </row>
    <row r="170" spans="1:4" ht="22.5" x14ac:dyDescent="0.25">
      <c r="A170" s="1021">
        <v>169</v>
      </c>
      <c r="B170" s="2004" t="s">
        <v>1074</v>
      </c>
      <c r="D170" s="1015"/>
    </row>
    <row r="171" spans="1:4" ht="22.5" x14ac:dyDescent="0.25">
      <c r="A171" s="1021">
        <v>170</v>
      </c>
      <c r="B171" s="2004" t="s">
        <v>1075</v>
      </c>
      <c r="D171" s="1015"/>
    </row>
    <row r="172" spans="1:4" ht="22.5" x14ac:dyDescent="0.25">
      <c r="A172" s="1021">
        <v>171</v>
      </c>
      <c r="B172" s="2004" t="s">
        <v>1076</v>
      </c>
      <c r="D172" s="1015"/>
    </row>
    <row r="173" spans="1:4" x14ac:dyDescent="0.25">
      <c r="A173" s="1021">
        <v>172</v>
      </c>
      <c r="B173" s="2005" t="s">
        <v>1077</v>
      </c>
      <c r="D173" s="1015"/>
    </row>
    <row r="174" spans="1:4" ht="25.5" x14ac:dyDescent="0.25">
      <c r="A174" s="1021">
        <v>173</v>
      </c>
      <c r="B174" s="2005" t="s">
        <v>1078</v>
      </c>
      <c r="D174" s="1015"/>
    </row>
    <row r="175" spans="1:4" ht="25.5" x14ac:dyDescent="0.25">
      <c r="A175" s="1021">
        <v>174</v>
      </c>
      <c r="B175" s="2005" t="s">
        <v>1079</v>
      </c>
      <c r="D175" s="1015"/>
    </row>
    <row r="176" spans="1:4" ht="25.5" x14ac:dyDescent="0.25">
      <c r="A176" s="1021">
        <v>175</v>
      </c>
      <c r="B176" s="1984" t="s">
        <v>1080</v>
      </c>
      <c r="D176" s="1015"/>
    </row>
    <row r="177" spans="1:4" x14ac:dyDescent="0.25">
      <c r="A177" s="1021">
        <v>176</v>
      </c>
      <c r="B177" s="2004" t="s">
        <v>1081</v>
      </c>
      <c r="D177" s="1015"/>
    </row>
    <row r="178" spans="1:4" x14ac:dyDescent="0.25">
      <c r="A178" s="1021">
        <v>177</v>
      </c>
      <c r="B178" s="1981" t="s">
        <v>1082</v>
      </c>
      <c r="D178" s="1015"/>
    </row>
    <row r="179" spans="1:4" x14ac:dyDescent="0.25">
      <c r="A179" s="1021">
        <v>178</v>
      </c>
      <c r="B179" s="2013" t="s">
        <v>1083</v>
      </c>
      <c r="D179" s="1015"/>
    </row>
    <row r="180" spans="1:4" x14ac:dyDescent="0.25">
      <c r="A180" s="1021">
        <v>179</v>
      </c>
      <c r="B180" s="1984" t="s">
        <v>1084</v>
      </c>
      <c r="D180" s="1015"/>
    </row>
    <row r="181" spans="1:4" ht="22.5" x14ac:dyDescent="0.25">
      <c r="A181" s="1021">
        <v>180</v>
      </c>
      <c r="B181" s="2004" t="s">
        <v>1085</v>
      </c>
      <c r="D181" s="1015"/>
    </row>
    <row r="182" spans="1:4" ht="15.75" x14ac:dyDescent="0.25">
      <c r="A182" s="1021">
        <v>181</v>
      </c>
      <c r="B182" s="1987" t="s">
        <v>1086</v>
      </c>
      <c r="D182" s="1015"/>
    </row>
    <row r="183" spans="1:4" x14ac:dyDescent="0.25">
      <c r="A183" s="1021">
        <v>182</v>
      </c>
      <c r="B183" s="2003" t="s">
        <v>1087</v>
      </c>
      <c r="D183" s="1015"/>
    </row>
    <row r="184" spans="1:4" ht="25.5" x14ac:dyDescent="0.25">
      <c r="A184" s="1021">
        <v>183</v>
      </c>
      <c r="B184" s="1984" t="s">
        <v>1088</v>
      </c>
      <c r="D184" s="1015"/>
    </row>
    <row r="185" spans="1:4" ht="33.75" x14ac:dyDescent="0.25">
      <c r="A185" s="1021">
        <v>184</v>
      </c>
      <c r="B185" s="2004" t="s">
        <v>1089</v>
      </c>
      <c r="D185" s="1015"/>
    </row>
    <row r="186" spans="1:4" ht="22.5" x14ac:dyDescent="0.25">
      <c r="A186" s="1021">
        <v>185</v>
      </c>
      <c r="B186" s="2004" t="s">
        <v>1090</v>
      </c>
      <c r="D186" s="1015"/>
    </row>
    <row r="187" spans="1:4" ht="25.5" x14ac:dyDescent="0.25">
      <c r="A187" s="1021">
        <v>186</v>
      </c>
      <c r="B187" s="1984" t="s">
        <v>1091</v>
      </c>
      <c r="D187" s="1015"/>
    </row>
    <row r="188" spans="1:4" ht="25.5" x14ac:dyDescent="0.25">
      <c r="A188" s="1021">
        <v>187</v>
      </c>
      <c r="B188" s="1984" t="s">
        <v>1092</v>
      </c>
      <c r="D188" s="1015"/>
    </row>
    <row r="189" spans="1:4" x14ac:dyDescent="0.25">
      <c r="A189" s="1021">
        <v>188</v>
      </c>
      <c r="B189" s="2004" t="s">
        <v>1093</v>
      </c>
      <c r="D189" s="1015"/>
    </row>
    <row r="190" spans="1:4" ht="45" x14ac:dyDescent="0.25">
      <c r="A190" s="1021">
        <v>189</v>
      </c>
      <c r="B190" s="2004" t="s">
        <v>2320</v>
      </c>
      <c r="D190" s="1015"/>
    </row>
    <row r="191" spans="1:4" x14ac:dyDescent="0.25">
      <c r="A191" s="1021">
        <v>190</v>
      </c>
      <c r="B191" s="1984" t="s">
        <v>1094</v>
      </c>
      <c r="D191" s="1015"/>
    </row>
    <row r="192" spans="1:4" ht="25.5" x14ac:dyDescent="0.25">
      <c r="A192" s="1021">
        <v>191</v>
      </c>
      <c r="B192" s="1984" t="s">
        <v>1095</v>
      </c>
      <c r="D192" s="1015"/>
    </row>
    <row r="193" spans="1:4" ht="51" x14ac:dyDescent="0.25">
      <c r="A193" s="1021">
        <v>192</v>
      </c>
      <c r="B193" s="2014" t="s">
        <v>1096</v>
      </c>
      <c r="D193" s="1015"/>
    </row>
    <row r="194" spans="1:4" x14ac:dyDescent="0.25">
      <c r="A194" s="1021">
        <v>193</v>
      </c>
      <c r="B194" s="2015" t="s">
        <v>1097</v>
      </c>
      <c r="D194" s="1015"/>
    </row>
    <row r="195" spans="1:4" ht="38.25" x14ac:dyDescent="0.25">
      <c r="A195" s="1021">
        <v>194</v>
      </c>
      <c r="B195" s="2014" t="s">
        <v>1098</v>
      </c>
      <c r="D195" s="1015"/>
    </row>
    <row r="196" spans="1:4" x14ac:dyDescent="0.25">
      <c r="A196" s="1021">
        <v>195</v>
      </c>
      <c r="B196" s="2014" t="s">
        <v>1099</v>
      </c>
      <c r="D196" s="1015"/>
    </row>
    <row r="197" spans="1:4" ht="51" x14ac:dyDescent="0.25">
      <c r="A197" s="1021">
        <v>196</v>
      </c>
      <c r="B197" s="2014" t="s">
        <v>1100</v>
      </c>
      <c r="D197" s="1015"/>
    </row>
    <row r="198" spans="1:4" x14ac:dyDescent="0.25">
      <c r="A198" s="1021">
        <v>197</v>
      </c>
      <c r="B198" s="1984" t="s">
        <v>1101</v>
      </c>
      <c r="D198" s="1015" t="s">
        <v>691</v>
      </c>
    </row>
    <row r="199" spans="1:4" ht="63.75" x14ac:dyDescent="0.25">
      <c r="A199" s="1021">
        <v>198</v>
      </c>
      <c r="B199" s="2014" t="s">
        <v>1102</v>
      </c>
      <c r="D199" s="1015"/>
    </row>
    <row r="200" spans="1:4" x14ac:dyDescent="0.25">
      <c r="A200" s="1021">
        <v>199</v>
      </c>
      <c r="B200" s="1984" t="s">
        <v>1103</v>
      </c>
      <c r="D200" s="1015"/>
    </row>
    <row r="201" spans="1:4" ht="76.5" x14ac:dyDescent="0.25">
      <c r="A201" s="1021">
        <v>200</v>
      </c>
      <c r="B201" s="2014" t="s">
        <v>1104</v>
      </c>
      <c r="D201" s="1015"/>
    </row>
    <row r="202" spans="1:4" ht="25.5" x14ac:dyDescent="0.25">
      <c r="A202" s="1021">
        <v>201</v>
      </c>
      <c r="B202" s="2014" t="s">
        <v>1105</v>
      </c>
      <c r="D202" s="1015"/>
    </row>
    <row r="203" spans="1:4" x14ac:dyDescent="0.25">
      <c r="A203" s="1021">
        <v>202</v>
      </c>
      <c r="B203" s="2003" t="s">
        <v>1106</v>
      </c>
      <c r="D203" s="1015"/>
    </row>
    <row r="204" spans="1:4" x14ac:dyDescent="0.25">
      <c r="A204" s="1021">
        <v>203</v>
      </c>
      <c r="B204" s="1984" t="s">
        <v>1107</v>
      </c>
      <c r="D204" s="1015"/>
    </row>
    <row r="205" spans="1:4" x14ac:dyDescent="0.25">
      <c r="A205" s="1021">
        <v>204</v>
      </c>
      <c r="B205" s="2004" t="s">
        <v>2321</v>
      </c>
      <c r="D205" s="1015"/>
    </row>
    <row r="206" spans="1:4" x14ac:dyDescent="0.25">
      <c r="A206" s="1021">
        <v>205</v>
      </c>
      <c r="B206" s="1984" t="s">
        <v>1108</v>
      </c>
      <c r="D206" s="1015"/>
    </row>
    <row r="207" spans="1:4" ht="33.75" x14ac:dyDescent="0.25">
      <c r="A207" s="1021">
        <v>206</v>
      </c>
      <c r="B207" s="2004" t="s">
        <v>2322</v>
      </c>
      <c r="D207" s="1015"/>
    </row>
    <row r="208" spans="1:4" ht="22.5" x14ac:dyDescent="0.25">
      <c r="A208" s="1021">
        <v>207</v>
      </c>
      <c r="B208" s="2004" t="s">
        <v>1109</v>
      </c>
      <c r="D208" s="1015"/>
    </row>
    <row r="209" spans="1:4" x14ac:dyDescent="0.25">
      <c r="A209" s="1021">
        <v>208</v>
      </c>
      <c r="B209" s="2006" t="s">
        <v>1110</v>
      </c>
      <c r="D209" s="1015"/>
    </row>
    <row r="210" spans="1:4" x14ac:dyDescent="0.25">
      <c r="A210" s="1021">
        <v>209</v>
      </c>
      <c r="B210" s="2016" t="s">
        <v>1111</v>
      </c>
      <c r="D210" s="1015"/>
    </row>
    <row r="211" spans="1:4" x14ac:dyDescent="0.25">
      <c r="A211" s="1021">
        <v>210</v>
      </c>
      <c r="B211" s="2017" t="s">
        <v>1112</v>
      </c>
      <c r="D211" s="1015"/>
    </row>
    <row r="212" spans="1:4" ht="15.75" x14ac:dyDescent="0.25">
      <c r="A212" s="1021">
        <v>211</v>
      </c>
      <c r="B212" s="1987" t="s">
        <v>1113</v>
      </c>
      <c r="D212" s="1015"/>
    </row>
    <row r="213" spans="1:4" x14ac:dyDescent="0.25">
      <c r="A213" s="1021">
        <v>212</v>
      </c>
      <c r="B213" s="2003" t="s">
        <v>1114</v>
      </c>
      <c r="D213" s="1015"/>
    </row>
    <row r="214" spans="1:4" ht="25.5" x14ac:dyDescent="0.25">
      <c r="A214" s="1021">
        <v>213</v>
      </c>
      <c r="B214" s="1984" t="s">
        <v>1115</v>
      </c>
      <c r="D214" s="1015"/>
    </row>
    <row r="215" spans="1:4" ht="22.5" x14ac:dyDescent="0.25">
      <c r="A215" s="1021">
        <v>214</v>
      </c>
      <c r="B215" s="2004" t="s">
        <v>2323</v>
      </c>
      <c r="D215" s="1015"/>
    </row>
    <row r="216" spans="1:4" ht="22.5" x14ac:dyDescent="0.25">
      <c r="A216" s="1021">
        <v>215</v>
      </c>
      <c r="B216" s="2004" t="s">
        <v>1116</v>
      </c>
      <c r="D216" s="1015"/>
    </row>
    <row r="217" spans="1:4" ht="22.5" x14ac:dyDescent="0.25">
      <c r="A217" s="1021">
        <v>216</v>
      </c>
      <c r="B217" s="2004" t="s">
        <v>1117</v>
      </c>
      <c r="D217" s="1015"/>
    </row>
    <row r="218" spans="1:4" ht="45" x14ac:dyDescent="0.25">
      <c r="A218" s="1021">
        <v>217</v>
      </c>
      <c r="B218" s="2004" t="s">
        <v>2324</v>
      </c>
      <c r="D218" s="1015"/>
    </row>
    <row r="219" spans="1:4" ht="25.5" x14ac:dyDescent="0.25">
      <c r="A219" s="1021">
        <v>218</v>
      </c>
      <c r="B219" s="2014" t="s">
        <v>1118</v>
      </c>
      <c r="D219" s="1015"/>
    </row>
    <row r="220" spans="1:4" x14ac:dyDescent="0.25">
      <c r="A220" s="1021">
        <v>219</v>
      </c>
      <c r="B220" s="2018" t="s">
        <v>1054</v>
      </c>
      <c r="D220" s="1015"/>
    </row>
    <row r="221" spans="1:4" x14ac:dyDescent="0.25">
      <c r="A221" s="1021">
        <v>220</v>
      </c>
      <c r="B221" s="2019" t="s">
        <v>1119</v>
      </c>
      <c r="D221" s="1015"/>
    </row>
    <row r="222" spans="1:4" x14ac:dyDescent="0.25">
      <c r="A222" s="1021">
        <v>221</v>
      </c>
      <c r="B222" s="2020" t="s">
        <v>1120</v>
      </c>
      <c r="D222" s="1015"/>
    </row>
    <row r="223" spans="1:4" x14ac:dyDescent="0.25">
      <c r="A223" s="1021">
        <v>222</v>
      </c>
      <c r="B223" s="2019" t="s">
        <v>1121</v>
      </c>
      <c r="D223" s="1015" t="s">
        <v>751</v>
      </c>
    </row>
    <row r="224" spans="1:4" x14ac:dyDescent="0.25">
      <c r="A224" s="1021">
        <v>223</v>
      </c>
      <c r="B224" s="2003" t="s">
        <v>1122</v>
      </c>
      <c r="D224" s="1015"/>
    </row>
    <row r="225" spans="1:4" ht="25.5" x14ac:dyDescent="0.25">
      <c r="A225" s="1021">
        <v>224</v>
      </c>
      <c r="B225" s="1984" t="s">
        <v>1123</v>
      </c>
      <c r="D225" s="1015"/>
    </row>
    <row r="226" spans="1:4" ht="33.75" x14ac:dyDescent="0.25">
      <c r="A226" s="1021">
        <v>225</v>
      </c>
      <c r="B226" s="2004" t="s">
        <v>1124</v>
      </c>
      <c r="D226" s="1015"/>
    </row>
    <row r="227" spans="1:4" ht="22.5" x14ac:dyDescent="0.25">
      <c r="A227" s="1021">
        <v>226</v>
      </c>
      <c r="B227" s="2004" t="s">
        <v>1125</v>
      </c>
      <c r="D227" s="1015"/>
    </row>
    <row r="228" spans="1:4" ht="21" x14ac:dyDescent="0.25">
      <c r="A228" s="1021">
        <v>227</v>
      </c>
      <c r="B228" s="2012" t="s">
        <v>1126</v>
      </c>
      <c r="D228" s="1015"/>
    </row>
    <row r="229" spans="1:4" ht="22.5" x14ac:dyDescent="0.25">
      <c r="A229" s="1021">
        <v>228</v>
      </c>
      <c r="B229" s="2004" t="s">
        <v>2325</v>
      </c>
      <c r="D229" s="1015"/>
    </row>
    <row r="230" spans="1:4" ht="22.5" x14ac:dyDescent="0.25">
      <c r="A230" s="1021">
        <v>229</v>
      </c>
      <c r="B230" s="2004" t="s">
        <v>1127</v>
      </c>
      <c r="D230" s="1015"/>
    </row>
    <row r="231" spans="1:4" x14ac:dyDescent="0.25">
      <c r="A231" s="1021">
        <v>230</v>
      </c>
      <c r="B231" s="2019" t="s">
        <v>1128</v>
      </c>
      <c r="D231" s="1015" t="s">
        <v>750</v>
      </c>
    </row>
    <row r="232" spans="1:4" x14ac:dyDescent="0.25">
      <c r="A232" s="1021">
        <v>231</v>
      </c>
      <c r="B232" s="2021" t="s">
        <v>1129</v>
      </c>
      <c r="D232" s="1015"/>
    </row>
    <row r="233" spans="1:4" ht="15.75" x14ac:dyDescent="0.25">
      <c r="A233" s="1021">
        <v>232</v>
      </c>
      <c r="B233" s="1987" t="s">
        <v>1130</v>
      </c>
      <c r="D233" s="1015"/>
    </row>
    <row r="234" spans="1:4" ht="25.5" x14ac:dyDescent="0.25">
      <c r="A234" s="1021">
        <v>233</v>
      </c>
      <c r="B234" s="1984" t="s">
        <v>1131</v>
      </c>
      <c r="D234" s="1015"/>
    </row>
    <row r="235" spans="1:4" ht="22.5" x14ac:dyDescent="0.25">
      <c r="A235" s="1021">
        <v>234</v>
      </c>
      <c r="B235" s="2004" t="s">
        <v>1132</v>
      </c>
      <c r="D235" s="1015"/>
    </row>
    <row r="236" spans="1:4" ht="22.5" x14ac:dyDescent="0.25">
      <c r="A236" s="1021">
        <v>235</v>
      </c>
      <c r="B236" s="2004" t="s">
        <v>1133</v>
      </c>
      <c r="D236" s="1015"/>
    </row>
    <row r="237" spans="1:4" ht="22.5" x14ac:dyDescent="0.25">
      <c r="A237" s="1021">
        <v>236</v>
      </c>
      <c r="B237" s="2004" t="s">
        <v>1134</v>
      </c>
      <c r="D237" s="1015"/>
    </row>
    <row r="238" spans="1:4" ht="22.5" x14ac:dyDescent="0.25">
      <c r="A238" s="1021">
        <v>237</v>
      </c>
      <c r="B238" s="2004" t="s">
        <v>1135</v>
      </c>
      <c r="D238" s="1015"/>
    </row>
    <row r="239" spans="1:4" x14ac:dyDescent="0.25">
      <c r="A239" s="1021">
        <v>238</v>
      </c>
      <c r="B239" s="2004" t="s">
        <v>1136</v>
      </c>
      <c r="D239" s="1015"/>
    </row>
    <row r="240" spans="1:4" x14ac:dyDescent="0.25">
      <c r="A240" s="1021">
        <v>239</v>
      </c>
      <c r="B240" s="2004" t="s">
        <v>1137</v>
      </c>
      <c r="D240" s="1015"/>
    </row>
    <row r="241" spans="1:4" x14ac:dyDescent="0.25">
      <c r="A241" s="1021">
        <v>240</v>
      </c>
      <c r="B241" s="2004" t="s">
        <v>1138</v>
      </c>
      <c r="D241" s="1015"/>
    </row>
    <row r="242" spans="1:4" x14ac:dyDescent="0.25">
      <c r="A242" s="1021">
        <v>241</v>
      </c>
      <c r="B242" s="2004" t="s">
        <v>1139</v>
      </c>
      <c r="D242" s="1015"/>
    </row>
    <row r="243" spans="1:4" x14ac:dyDescent="0.25">
      <c r="A243" s="1021">
        <v>242</v>
      </c>
      <c r="B243" s="2004" t="s">
        <v>1140</v>
      </c>
      <c r="D243" s="1015"/>
    </row>
    <row r="244" spans="1:4" x14ac:dyDescent="0.25">
      <c r="A244" s="1021">
        <v>243</v>
      </c>
      <c r="B244" s="2012" t="s">
        <v>1141</v>
      </c>
      <c r="D244" s="1015"/>
    </row>
    <row r="245" spans="1:4" ht="22.5" x14ac:dyDescent="0.25">
      <c r="A245" s="1021">
        <v>244</v>
      </c>
      <c r="B245" s="2004" t="s">
        <v>1142</v>
      </c>
      <c r="D245" s="1015"/>
    </row>
    <row r="246" spans="1:4" ht="22.5" x14ac:dyDescent="0.25">
      <c r="A246" s="1021">
        <v>245</v>
      </c>
      <c r="B246" s="2004" t="s">
        <v>1143</v>
      </c>
      <c r="D246" s="1015"/>
    </row>
    <row r="247" spans="1:4" x14ac:dyDescent="0.25">
      <c r="A247" s="1021">
        <v>246</v>
      </c>
      <c r="B247" s="2004" t="s">
        <v>1144</v>
      </c>
      <c r="D247" s="1015"/>
    </row>
    <row r="248" spans="1:4" x14ac:dyDescent="0.25">
      <c r="A248" s="1021">
        <v>247</v>
      </c>
      <c r="B248" s="2004" t="s">
        <v>1145</v>
      </c>
      <c r="D248" s="1015"/>
    </row>
    <row r="249" spans="1:4" x14ac:dyDescent="0.25">
      <c r="A249" s="1021">
        <v>248</v>
      </c>
      <c r="B249" s="2004" t="s">
        <v>1146</v>
      </c>
      <c r="D249" s="1015"/>
    </row>
    <row r="250" spans="1:4" x14ac:dyDescent="0.25">
      <c r="A250" s="1021">
        <v>249</v>
      </c>
      <c r="B250" s="2004" t="s">
        <v>1147</v>
      </c>
      <c r="D250" s="1015"/>
    </row>
    <row r="251" spans="1:4" x14ac:dyDescent="0.25">
      <c r="A251" s="1021">
        <v>250</v>
      </c>
      <c r="B251" s="2004" t="s">
        <v>1148</v>
      </c>
      <c r="D251" s="1015"/>
    </row>
    <row r="252" spans="1:4" ht="22.5" x14ac:dyDescent="0.25">
      <c r="A252" s="1021">
        <v>251</v>
      </c>
      <c r="B252" s="2004" t="s">
        <v>2326</v>
      </c>
      <c r="D252" s="1015"/>
    </row>
    <row r="253" spans="1:4" x14ac:dyDescent="0.25">
      <c r="A253" s="1021">
        <v>252</v>
      </c>
      <c r="B253" s="2004" t="s">
        <v>1149</v>
      </c>
      <c r="D253" s="1015"/>
    </row>
    <row r="254" spans="1:4" x14ac:dyDescent="0.25">
      <c r="A254" s="1021">
        <v>253</v>
      </c>
      <c r="B254" s="2004" t="s">
        <v>1150</v>
      </c>
      <c r="D254" s="1015"/>
    </row>
    <row r="255" spans="1:4" x14ac:dyDescent="0.25">
      <c r="A255" s="1021">
        <v>254</v>
      </c>
      <c r="B255" s="2004" t="s">
        <v>1151</v>
      </c>
      <c r="D255" s="1015"/>
    </row>
    <row r="256" spans="1:4" x14ac:dyDescent="0.25">
      <c r="A256" s="1021">
        <v>255</v>
      </c>
      <c r="B256" s="2019" t="s">
        <v>1152</v>
      </c>
      <c r="D256" s="1015"/>
    </row>
    <row r="257" spans="1:4" x14ac:dyDescent="0.25">
      <c r="A257" s="1021">
        <v>256</v>
      </c>
      <c r="B257" s="2019" t="s">
        <v>1153</v>
      </c>
      <c r="D257" s="1015" t="s">
        <v>752</v>
      </c>
    </row>
    <row r="258" spans="1:4" x14ac:dyDescent="0.25">
      <c r="A258" s="1021">
        <v>257</v>
      </c>
      <c r="B258" s="2019" t="s">
        <v>1154</v>
      </c>
      <c r="D258" s="1015"/>
    </row>
    <row r="259" spans="1:4" x14ac:dyDescent="0.25">
      <c r="A259" s="1021">
        <v>258</v>
      </c>
      <c r="B259" s="2019" t="s">
        <v>1155</v>
      </c>
      <c r="D259" s="1015"/>
    </row>
    <row r="260" spans="1:4" ht="25.5" x14ac:dyDescent="0.25">
      <c r="A260" s="1021">
        <v>259</v>
      </c>
      <c r="B260" s="1984" t="s">
        <v>1156</v>
      </c>
      <c r="D260" s="1015"/>
    </row>
    <row r="261" spans="1:4" ht="33.75" x14ac:dyDescent="0.25">
      <c r="A261" s="1021">
        <v>260</v>
      </c>
      <c r="B261" s="2004" t="s">
        <v>1157</v>
      </c>
      <c r="D261" s="1015"/>
    </row>
    <row r="262" spans="1:4" ht="22.5" x14ac:dyDescent="0.25">
      <c r="A262" s="1021">
        <v>261</v>
      </c>
      <c r="B262" s="2004" t="s">
        <v>1158</v>
      </c>
      <c r="D262" s="1015"/>
    </row>
    <row r="263" spans="1:4" x14ac:dyDescent="0.25">
      <c r="A263" s="1021">
        <v>262</v>
      </c>
      <c r="B263" s="2019" t="s">
        <v>1159</v>
      </c>
      <c r="D263" s="1015"/>
    </row>
    <row r="264" spans="1:4" x14ac:dyDescent="0.25">
      <c r="A264" s="1021">
        <v>263</v>
      </c>
      <c r="B264" s="2019" t="s">
        <v>1160</v>
      </c>
      <c r="D264" s="1015"/>
    </row>
    <row r="265" spans="1:4" x14ac:dyDescent="0.25">
      <c r="A265" s="1021">
        <v>264</v>
      </c>
      <c r="B265" s="2022" t="s">
        <v>1161</v>
      </c>
      <c r="D265" s="1015"/>
    </row>
    <row r="266" spans="1:4" ht="15.75" thickBot="1" x14ac:dyDescent="0.3">
      <c r="A266" s="1021">
        <v>265</v>
      </c>
      <c r="B266" s="2019" t="s">
        <v>1162</v>
      </c>
      <c r="D266" s="1015"/>
    </row>
    <row r="267" spans="1:4" x14ac:dyDescent="0.25">
      <c r="A267" s="1021">
        <v>266</v>
      </c>
      <c r="B267" s="2002" t="s">
        <v>1163</v>
      </c>
      <c r="D267" s="1015"/>
    </row>
    <row r="268" spans="1:4" x14ac:dyDescent="0.25">
      <c r="A268" s="1021">
        <v>267</v>
      </c>
      <c r="B268" s="1976" t="s">
        <v>1164</v>
      </c>
      <c r="D268" s="1015"/>
    </row>
    <row r="269" spans="1:4" x14ac:dyDescent="0.25">
      <c r="A269" s="1021">
        <v>268</v>
      </c>
      <c r="B269" s="1976" t="s">
        <v>1165</v>
      </c>
      <c r="D269" s="1015"/>
    </row>
    <row r="270" spans="1:4" x14ac:dyDescent="0.25">
      <c r="A270" s="1021">
        <v>269</v>
      </c>
      <c r="B270" s="1976" t="s">
        <v>1166</v>
      </c>
      <c r="D270" s="1015"/>
    </row>
    <row r="271" spans="1:4" x14ac:dyDescent="0.25">
      <c r="A271" s="1021">
        <v>270</v>
      </c>
      <c r="B271" s="1976" t="s">
        <v>1167</v>
      </c>
      <c r="D271" s="1015"/>
    </row>
    <row r="272" spans="1:4" ht="18" x14ac:dyDescent="0.25">
      <c r="A272" s="1021">
        <v>271</v>
      </c>
      <c r="B272" s="1986" t="s">
        <v>1168</v>
      </c>
      <c r="D272" s="1015"/>
    </row>
    <row r="273" spans="1:4" ht="15.75" x14ac:dyDescent="0.25">
      <c r="A273" s="1021">
        <v>272</v>
      </c>
      <c r="B273" s="1987" t="s">
        <v>1169</v>
      </c>
      <c r="D273" s="1015"/>
    </row>
    <row r="274" spans="1:4" ht="25.5" x14ac:dyDescent="0.25">
      <c r="A274" s="1021">
        <v>273</v>
      </c>
      <c r="B274" s="1984" t="s">
        <v>1170</v>
      </c>
      <c r="D274" s="1015"/>
    </row>
    <row r="275" spans="1:4" ht="22.5" x14ac:dyDescent="0.25">
      <c r="A275" s="1021">
        <v>274</v>
      </c>
      <c r="B275" s="2004" t="s">
        <v>1171</v>
      </c>
      <c r="D275" s="1015"/>
    </row>
    <row r="276" spans="1:4" ht="15.75" x14ac:dyDescent="0.25">
      <c r="A276" s="1021">
        <v>275</v>
      </c>
      <c r="B276" s="1987" t="s">
        <v>1172</v>
      </c>
      <c r="D276" s="1015"/>
    </row>
    <row r="277" spans="1:4" ht="22.5" x14ac:dyDescent="0.25">
      <c r="A277" s="1021">
        <v>276</v>
      </c>
      <c r="B277" s="2004" t="s">
        <v>1173</v>
      </c>
      <c r="D277" s="1015"/>
    </row>
    <row r="278" spans="1:4" ht="22.5" x14ac:dyDescent="0.25">
      <c r="A278" s="1021">
        <v>277</v>
      </c>
      <c r="B278" s="2004" t="s">
        <v>1174</v>
      </c>
      <c r="D278" s="1015"/>
    </row>
    <row r="279" spans="1:4" ht="22.5" x14ac:dyDescent="0.25">
      <c r="A279" s="1021">
        <v>278</v>
      </c>
      <c r="B279" s="2004" t="s">
        <v>1175</v>
      </c>
      <c r="D279" s="1015"/>
    </row>
    <row r="280" spans="1:4" ht="21" x14ac:dyDescent="0.25">
      <c r="A280" s="1021">
        <v>279</v>
      </c>
      <c r="B280" s="2012" t="s">
        <v>1176</v>
      </c>
      <c r="D280" s="1015"/>
    </row>
    <row r="281" spans="1:4" ht="27" thickBot="1" x14ac:dyDescent="0.3">
      <c r="A281" s="1021">
        <v>280</v>
      </c>
      <c r="B281" s="2023" t="s">
        <v>1177</v>
      </c>
      <c r="D281" s="1015"/>
    </row>
    <row r="282" spans="1:4" ht="15.75" thickBot="1" x14ac:dyDescent="0.3">
      <c r="A282" s="1021">
        <v>281</v>
      </c>
      <c r="B282" s="2024" t="s">
        <v>1178</v>
      </c>
      <c r="D282" s="1015"/>
    </row>
    <row r="283" spans="1:4" ht="15.75" thickBot="1" x14ac:dyDescent="0.3">
      <c r="A283" s="1021">
        <v>282</v>
      </c>
      <c r="B283" s="2024" t="s">
        <v>1179</v>
      </c>
      <c r="D283" s="1015"/>
    </row>
    <row r="284" spans="1:4" ht="15.75" thickBot="1" x14ac:dyDescent="0.3">
      <c r="A284" s="1021">
        <v>283</v>
      </c>
      <c r="B284" s="2025" t="s">
        <v>1180</v>
      </c>
      <c r="D284" s="1015"/>
    </row>
    <row r="285" spans="1:4" ht="15.75" thickBot="1" x14ac:dyDescent="0.3">
      <c r="A285" s="1021">
        <v>284</v>
      </c>
      <c r="B285" s="2025" t="s">
        <v>1181</v>
      </c>
      <c r="D285" s="1015"/>
    </row>
    <row r="286" spans="1:4" ht="15.75" thickBot="1" x14ac:dyDescent="0.3">
      <c r="A286" s="1021">
        <v>285</v>
      </c>
      <c r="B286" s="2025" t="s">
        <v>467</v>
      </c>
      <c r="D286" s="1015"/>
    </row>
    <row r="287" spans="1:4" ht="15.75" thickBot="1" x14ac:dyDescent="0.3">
      <c r="A287" s="1021">
        <v>286</v>
      </c>
      <c r="B287" s="2025" t="s">
        <v>1182</v>
      </c>
      <c r="D287" s="1015"/>
    </row>
    <row r="288" spans="1:4" ht="15.75" thickBot="1" x14ac:dyDescent="0.3">
      <c r="A288" s="1021">
        <v>287</v>
      </c>
      <c r="B288" s="2025" t="s">
        <v>468</v>
      </c>
      <c r="D288" s="1015"/>
    </row>
    <row r="289" spans="1:4" ht="15.75" thickBot="1" x14ac:dyDescent="0.3">
      <c r="A289" s="1021">
        <v>288</v>
      </c>
      <c r="B289" s="2025" t="s">
        <v>1183</v>
      </c>
      <c r="D289" s="1015"/>
    </row>
    <row r="290" spans="1:4" ht="15.75" thickBot="1" x14ac:dyDescent="0.3">
      <c r="A290" s="1021">
        <v>289</v>
      </c>
      <c r="B290" s="2025" t="s">
        <v>1184</v>
      </c>
      <c r="D290" s="1015"/>
    </row>
    <row r="291" spans="1:4" ht="15.75" thickBot="1" x14ac:dyDescent="0.3">
      <c r="A291" s="1021">
        <v>290</v>
      </c>
      <c r="B291" s="2025" t="s">
        <v>1185</v>
      </c>
      <c r="D291" s="1015"/>
    </row>
    <row r="292" spans="1:4" ht="15.75" thickBot="1" x14ac:dyDescent="0.3">
      <c r="A292" s="1021">
        <v>291</v>
      </c>
      <c r="B292" s="2025" t="s">
        <v>1186</v>
      </c>
      <c r="D292" s="1015"/>
    </row>
    <row r="293" spans="1:4" ht="15.75" thickBot="1" x14ac:dyDescent="0.3">
      <c r="A293" s="1021">
        <v>292</v>
      </c>
      <c r="B293" s="2025" t="s">
        <v>1187</v>
      </c>
      <c r="D293" s="1015"/>
    </row>
    <row r="294" spans="1:4" ht="15.75" thickBot="1" x14ac:dyDescent="0.3">
      <c r="A294" s="1021">
        <v>293</v>
      </c>
      <c r="B294" s="2025" t="s">
        <v>1188</v>
      </c>
      <c r="D294" s="1015"/>
    </row>
    <row r="295" spans="1:4" ht="15.75" thickBot="1" x14ac:dyDescent="0.3">
      <c r="A295" s="1021">
        <v>294</v>
      </c>
      <c r="B295" s="2025" t="s">
        <v>1189</v>
      </c>
      <c r="D295" s="1015"/>
    </row>
    <row r="296" spans="1:4" ht="15.75" thickBot="1" x14ac:dyDescent="0.3">
      <c r="A296" s="1021">
        <v>295</v>
      </c>
      <c r="B296" s="2025" t="s">
        <v>1190</v>
      </c>
      <c r="D296" s="1015"/>
    </row>
    <row r="297" spans="1:4" ht="15.75" thickBot="1" x14ac:dyDescent="0.3">
      <c r="A297" s="1021">
        <v>296</v>
      </c>
      <c r="B297" s="2025" t="s">
        <v>1191</v>
      </c>
      <c r="D297" s="1015"/>
    </row>
    <row r="298" spans="1:4" ht="15.75" thickBot="1" x14ac:dyDescent="0.3">
      <c r="A298" s="1021">
        <v>297</v>
      </c>
      <c r="B298" s="2025" t="s">
        <v>1192</v>
      </c>
      <c r="D298" s="1015"/>
    </row>
    <row r="299" spans="1:4" ht="15.75" thickBot="1" x14ac:dyDescent="0.3">
      <c r="A299" s="1021">
        <v>298</v>
      </c>
      <c r="B299" s="2025" t="s">
        <v>1193</v>
      </c>
      <c r="D299" s="1015"/>
    </row>
    <row r="300" spans="1:4" ht="15.75" thickBot="1" x14ac:dyDescent="0.3">
      <c r="A300" s="1021">
        <v>299</v>
      </c>
      <c r="B300" s="2025" t="s">
        <v>1194</v>
      </c>
      <c r="D300" s="1015"/>
    </row>
    <row r="301" spans="1:4" ht="15.75" thickBot="1" x14ac:dyDescent="0.3">
      <c r="A301" s="1021">
        <v>300</v>
      </c>
      <c r="B301" s="2025" t="s">
        <v>1195</v>
      </c>
      <c r="D301" s="1015"/>
    </row>
    <row r="302" spans="1:4" ht="15.75" thickBot="1" x14ac:dyDescent="0.3">
      <c r="A302" s="1021">
        <v>301</v>
      </c>
      <c r="B302" s="2025" t="s">
        <v>1196</v>
      </c>
      <c r="D302" s="1015"/>
    </row>
    <row r="303" spans="1:4" ht="15.75" thickBot="1" x14ac:dyDescent="0.3">
      <c r="A303" s="1021">
        <v>302</v>
      </c>
      <c r="B303" s="2025" t="s">
        <v>1197</v>
      </c>
      <c r="D303" s="1015"/>
    </row>
    <row r="304" spans="1:4" ht="15.75" thickBot="1" x14ac:dyDescent="0.3">
      <c r="A304" s="1021">
        <v>303</v>
      </c>
      <c r="B304" s="2025" t="s">
        <v>1198</v>
      </c>
      <c r="D304" s="1015"/>
    </row>
    <row r="305" spans="1:4" ht="15.75" thickBot="1" x14ac:dyDescent="0.3">
      <c r="A305" s="1021">
        <v>304</v>
      </c>
      <c r="B305" s="2025" t="s">
        <v>1199</v>
      </c>
      <c r="D305" s="1015"/>
    </row>
    <row r="306" spans="1:4" ht="15.75" thickBot="1" x14ac:dyDescent="0.3">
      <c r="A306" s="1021">
        <v>305</v>
      </c>
      <c r="B306" s="2025" t="s">
        <v>1200</v>
      </c>
      <c r="D306" s="1015"/>
    </row>
    <row r="307" spans="1:4" ht="15.75" thickBot="1" x14ac:dyDescent="0.3">
      <c r="A307" s="1021">
        <v>306</v>
      </c>
      <c r="B307" s="2025" t="s">
        <v>1201</v>
      </c>
      <c r="D307" s="1015"/>
    </row>
    <row r="308" spans="1:4" ht="15.75" thickBot="1" x14ac:dyDescent="0.3">
      <c r="A308" s="1021">
        <v>307</v>
      </c>
      <c r="B308" s="2025" t="s">
        <v>1202</v>
      </c>
      <c r="D308" s="1015"/>
    </row>
    <row r="309" spans="1:4" ht="15.75" thickBot="1" x14ac:dyDescent="0.3">
      <c r="A309" s="1021">
        <v>308</v>
      </c>
      <c r="B309" s="2025" t="s">
        <v>1203</v>
      </c>
      <c r="D309" s="1015"/>
    </row>
    <row r="310" spans="1:4" ht="15.75" thickBot="1" x14ac:dyDescent="0.3">
      <c r="A310" s="1021">
        <v>309</v>
      </c>
      <c r="B310" s="2025" t="s">
        <v>1204</v>
      </c>
      <c r="D310" s="1015"/>
    </row>
    <row r="311" spans="1:4" ht="15.75" thickBot="1" x14ac:dyDescent="0.3">
      <c r="A311" s="1021">
        <v>310</v>
      </c>
      <c r="B311" s="2025" t="s">
        <v>1205</v>
      </c>
      <c r="D311" s="1015"/>
    </row>
    <row r="312" spans="1:4" ht="15.75" thickBot="1" x14ac:dyDescent="0.3">
      <c r="A312" s="1021">
        <v>311</v>
      </c>
      <c r="B312" s="2025" t="s">
        <v>1206</v>
      </c>
      <c r="D312" s="1015"/>
    </row>
    <row r="313" spans="1:4" ht="15.75" thickBot="1" x14ac:dyDescent="0.3">
      <c r="A313" s="1021">
        <v>312</v>
      </c>
      <c r="B313" s="2025" t="s">
        <v>1207</v>
      </c>
      <c r="D313" s="1015"/>
    </row>
    <row r="314" spans="1:4" ht="15.75" thickBot="1" x14ac:dyDescent="0.3">
      <c r="A314" s="1021">
        <v>313</v>
      </c>
      <c r="B314" s="2025" t="s">
        <v>469</v>
      </c>
      <c r="D314" s="1015"/>
    </row>
    <row r="315" spans="1:4" ht="15.75" thickBot="1" x14ac:dyDescent="0.3">
      <c r="A315" s="1021">
        <v>314</v>
      </c>
      <c r="B315" s="2025" t="s">
        <v>470</v>
      </c>
      <c r="D315" s="1015"/>
    </row>
    <row r="316" spans="1:4" ht="15.75" thickBot="1" x14ac:dyDescent="0.3">
      <c r="A316" s="1021">
        <v>315</v>
      </c>
      <c r="B316" s="2025" t="s">
        <v>471</v>
      </c>
      <c r="D316" s="1015"/>
    </row>
    <row r="317" spans="1:4" ht="15.75" thickBot="1" x14ac:dyDescent="0.3">
      <c r="A317" s="1021">
        <v>316</v>
      </c>
      <c r="B317" s="2025" t="s">
        <v>1208</v>
      </c>
      <c r="D317" s="1015"/>
    </row>
    <row r="318" spans="1:4" ht="15.75" thickBot="1" x14ac:dyDescent="0.3">
      <c r="A318" s="1021">
        <v>317</v>
      </c>
      <c r="B318" s="2025" t="s">
        <v>1209</v>
      </c>
      <c r="D318" s="1015"/>
    </row>
    <row r="319" spans="1:4" ht="15.75" thickBot="1" x14ac:dyDescent="0.3">
      <c r="A319" s="1021">
        <v>318</v>
      </c>
      <c r="B319" s="2025" t="s">
        <v>1210</v>
      </c>
      <c r="D319" s="1015"/>
    </row>
    <row r="320" spans="1:4" ht="15.75" thickBot="1" x14ac:dyDescent="0.3">
      <c r="A320" s="1021">
        <v>319</v>
      </c>
      <c r="B320" s="2025" t="s">
        <v>1211</v>
      </c>
      <c r="D320" s="1015"/>
    </row>
    <row r="321" spans="1:4" ht="15.75" thickBot="1" x14ac:dyDescent="0.3">
      <c r="A321" s="1021">
        <v>320</v>
      </c>
      <c r="B321" s="2025" t="s">
        <v>1212</v>
      </c>
      <c r="D321" s="1015"/>
    </row>
    <row r="322" spans="1:4" ht="15.75" thickBot="1" x14ac:dyDescent="0.3">
      <c r="A322" s="1021">
        <v>321</v>
      </c>
      <c r="B322" s="2025" t="s">
        <v>1213</v>
      </c>
      <c r="D322" s="1015"/>
    </row>
    <row r="323" spans="1:4" ht="15.75" thickBot="1" x14ac:dyDescent="0.3">
      <c r="A323" s="1021">
        <v>322</v>
      </c>
      <c r="B323" s="2025" t="s">
        <v>1214</v>
      </c>
      <c r="D323" s="1015"/>
    </row>
    <row r="324" spans="1:4" ht="15.75" thickBot="1" x14ac:dyDescent="0.3">
      <c r="A324" s="1021">
        <v>323</v>
      </c>
      <c r="B324" s="2025" t="s">
        <v>1215</v>
      </c>
      <c r="D324" s="1015"/>
    </row>
    <row r="325" spans="1:4" ht="15.75" thickBot="1" x14ac:dyDescent="0.3">
      <c r="A325" s="1021">
        <v>324</v>
      </c>
      <c r="B325" s="2025" t="s">
        <v>1216</v>
      </c>
      <c r="D325" s="1015"/>
    </row>
    <row r="326" spans="1:4" ht="15.75" thickBot="1" x14ac:dyDescent="0.3">
      <c r="A326" s="1021">
        <v>325</v>
      </c>
      <c r="B326" s="2025" t="s">
        <v>1217</v>
      </c>
      <c r="D326" s="1015"/>
    </row>
    <row r="327" spans="1:4" ht="15.75" thickBot="1" x14ac:dyDescent="0.3">
      <c r="A327" s="1021">
        <v>326</v>
      </c>
      <c r="B327" s="2025" t="s">
        <v>1218</v>
      </c>
      <c r="D327" s="1015"/>
    </row>
    <row r="328" spans="1:4" ht="15.75" thickBot="1" x14ac:dyDescent="0.3">
      <c r="A328" s="1021">
        <v>327</v>
      </c>
      <c r="B328" s="2025" t="s">
        <v>1219</v>
      </c>
      <c r="D328" s="1015"/>
    </row>
    <row r="329" spans="1:4" ht="15.75" thickBot="1" x14ac:dyDescent="0.3">
      <c r="A329" s="1021">
        <v>328</v>
      </c>
      <c r="B329" s="2026" t="s">
        <v>1220</v>
      </c>
      <c r="D329" s="1015"/>
    </row>
    <row r="330" spans="1:4" x14ac:dyDescent="0.25">
      <c r="A330" s="1021">
        <v>329</v>
      </c>
      <c r="B330" s="2027" t="s">
        <v>1221</v>
      </c>
      <c r="D330" s="1015"/>
    </row>
    <row r="331" spans="1:4" x14ac:dyDescent="0.25">
      <c r="A331" s="1021">
        <v>330</v>
      </c>
      <c r="B331" s="2027" t="s">
        <v>1222</v>
      </c>
      <c r="D331" s="1015"/>
    </row>
    <row r="332" spans="1:4" x14ac:dyDescent="0.25">
      <c r="A332" s="1021">
        <v>331</v>
      </c>
      <c r="B332" s="2027" t="s">
        <v>1223</v>
      </c>
      <c r="D332" s="1015"/>
    </row>
    <row r="333" spans="1:4" x14ac:dyDescent="0.25">
      <c r="A333" s="1021">
        <v>332</v>
      </c>
      <c r="B333" s="2027" t="s">
        <v>1224</v>
      </c>
      <c r="D333" s="1015"/>
    </row>
    <row r="334" spans="1:4" x14ac:dyDescent="0.25">
      <c r="A334" s="1021">
        <v>333</v>
      </c>
      <c r="B334" s="2027" t="s">
        <v>1225</v>
      </c>
      <c r="D334" s="1015"/>
    </row>
    <row r="335" spans="1:4" x14ac:dyDescent="0.25">
      <c r="A335" s="1021">
        <v>334</v>
      </c>
      <c r="B335" s="2027" t="s">
        <v>1226</v>
      </c>
      <c r="D335" s="1015"/>
    </row>
    <row r="336" spans="1:4" x14ac:dyDescent="0.25">
      <c r="A336" s="1021">
        <v>335</v>
      </c>
      <c r="B336" s="2027" t="s">
        <v>1227</v>
      </c>
      <c r="D336" s="1015"/>
    </row>
    <row r="337" spans="1:4" x14ac:dyDescent="0.25">
      <c r="A337" s="1021">
        <v>336</v>
      </c>
      <c r="B337" s="2027" t="s">
        <v>1228</v>
      </c>
      <c r="D337" s="1015"/>
    </row>
    <row r="338" spans="1:4" x14ac:dyDescent="0.25">
      <c r="A338" s="1021">
        <v>337</v>
      </c>
      <c r="B338" s="2027" t="s">
        <v>1229</v>
      </c>
      <c r="D338" s="1015"/>
    </row>
    <row r="339" spans="1:4" ht="27" thickBot="1" x14ac:dyDescent="0.3">
      <c r="A339" s="1021">
        <v>338</v>
      </c>
      <c r="B339" s="2023" t="s">
        <v>1165</v>
      </c>
      <c r="D339" s="1015"/>
    </row>
    <row r="340" spans="1:4" ht="15.75" thickBot="1" x14ac:dyDescent="0.3">
      <c r="A340" s="1021">
        <v>339</v>
      </c>
      <c r="B340" s="2024" t="s">
        <v>1230</v>
      </c>
      <c r="D340" s="1015" t="s">
        <v>910</v>
      </c>
    </row>
    <row r="341" spans="1:4" x14ac:dyDescent="0.25">
      <c r="A341" s="1021">
        <v>340</v>
      </c>
      <c r="B341" s="2027" t="s">
        <v>1231</v>
      </c>
      <c r="D341" s="1015"/>
    </row>
    <row r="342" spans="1:4" x14ac:dyDescent="0.25">
      <c r="A342" s="1021">
        <v>341</v>
      </c>
      <c r="B342" s="2027" t="s">
        <v>1232</v>
      </c>
      <c r="D342" s="1015"/>
    </row>
    <row r="343" spans="1:4" x14ac:dyDescent="0.25">
      <c r="A343" s="1021">
        <v>342</v>
      </c>
      <c r="B343" s="2027" t="s">
        <v>1233</v>
      </c>
      <c r="D343" s="1015"/>
    </row>
    <row r="344" spans="1:4" ht="26.25" x14ac:dyDescent="0.25">
      <c r="A344" s="1021">
        <v>343</v>
      </c>
      <c r="B344" s="2023" t="s">
        <v>1234</v>
      </c>
      <c r="D344" s="1015"/>
    </row>
    <row r="345" spans="1:4" x14ac:dyDescent="0.25">
      <c r="A345" s="1021">
        <v>344</v>
      </c>
      <c r="B345" s="2027" t="s">
        <v>1235</v>
      </c>
      <c r="D345" s="1015"/>
    </row>
    <row r="346" spans="1:4" x14ac:dyDescent="0.25">
      <c r="A346" s="1021">
        <v>345</v>
      </c>
      <c r="B346" s="2028" t="s">
        <v>1236</v>
      </c>
      <c r="D346" s="1015"/>
    </row>
    <row r="347" spans="1:4" x14ac:dyDescent="0.25">
      <c r="A347" s="1021">
        <v>346</v>
      </c>
      <c r="B347" s="2028" t="s">
        <v>1237</v>
      </c>
      <c r="D347" s="1015"/>
    </row>
    <row r="348" spans="1:4" x14ac:dyDescent="0.25">
      <c r="A348" s="1021">
        <v>347</v>
      </c>
      <c r="B348" s="2028" t="s">
        <v>1238</v>
      </c>
      <c r="D348" s="1015"/>
    </row>
    <row r="349" spans="1:4" x14ac:dyDescent="0.25">
      <c r="A349" s="1021">
        <v>348</v>
      </c>
      <c r="B349" s="2027" t="s">
        <v>1239</v>
      </c>
      <c r="D349" s="1015"/>
    </row>
    <row r="350" spans="1:4" ht="15.75" thickBot="1" x14ac:dyDescent="0.3">
      <c r="A350" s="1021">
        <v>349</v>
      </c>
      <c r="B350" s="2027" t="s">
        <v>1240</v>
      </c>
      <c r="D350" s="1015"/>
    </row>
    <row r="351" spans="1:4" x14ac:dyDescent="0.25">
      <c r="A351" s="1021">
        <v>350</v>
      </c>
      <c r="B351" s="2002" t="s">
        <v>1241</v>
      </c>
      <c r="D351" s="1015"/>
    </row>
    <row r="352" spans="1:4" x14ac:dyDescent="0.25">
      <c r="A352" s="1021">
        <v>351</v>
      </c>
      <c r="B352" s="1976" t="s">
        <v>1242</v>
      </c>
      <c r="D352" s="1015"/>
    </row>
    <row r="353" spans="1:4" x14ac:dyDescent="0.25">
      <c r="A353" s="1021">
        <v>352</v>
      </c>
      <c r="B353" s="1976" t="s">
        <v>1243</v>
      </c>
      <c r="D353" s="1015"/>
    </row>
    <row r="354" spans="1:4" x14ac:dyDescent="0.25">
      <c r="A354" s="1021">
        <v>353</v>
      </c>
      <c r="B354" s="1976" t="s">
        <v>1244</v>
      </c>
      <c r="D354" s="1015"/>
    </row>
    <row r="355" spans="1:4" x14ac:dyDescent="0.25">
      <c r="A355" s="1021">
        <v>354</v>
      </c>
      <c r="B355" s="1976" t="s">
        <v>1245</v>
      </c>
      <c r="D355" s="1015"/>
    </row>
    <row r="356" spans="1:4" x14ac:dyDescent="0.25">
      <c r="A356" s="1021">
        <v>355</v>
      </c>
      <c r="B356" s="1976" t="s">
        <v>1246</v>
      </c>
      <c r="D356" s="1015"/>
    </row>
    <row r="357" spans="1:4" x14ac:dyDescent="0.25">
      <c r="A357" s="1021">
        <v>356</v>
      </c>
      <c r="B357" s="1976" t="s">
        <v>1247</v>
      </c>
      <c r="D357" s="1015"/>
    </row>
    <row r="358" spans="1:4" ht="18" x14ac:dyDescent="0.25">
      <c r="A358" s="1021">
        <v>357</v>
      </c>
      <c r="B358" s="1986" t="s">
        <v>1248</v>
      </c>
      <c r="D358" s="1015"/>
    </row>
    <row r="359" spans="1:4" ht="31.5" x14ac:dyDescent="0.25">
      <c r="A359" s="1021">
        <v>358</v>
      </c>
      <c r="B359" s="1987" t="s">
        <v>1249</v>
      </c>
      <c r="D359" s="1015"/>
    </row>
    <row r="360" spans="1:4" ht="51" x14ac:dyDescent="0.25">
      <c r="A360" s="1021">
        <v>359</v>
      </c>
      <c r="B360" s="2014" t="s">
        <v>1250</v>
      </c>
      <c r="D360" s="1015"/>
    </row>
    <row r="361" spans="1:4" x14ac:dyDescent="0.25">
      <c r="A361" s="1021">
        <v>360</v>
      </c>
      <c r="B361" s="1976" t="s">
        <v>1251</v>
      </c>
      <c r="D361" s="1015"/>
    </row>
    <row r="362" spans="1:4" x14ac:dyDescent="0.25">
      <c r="A362" s="1021">
        <v>361</v>
      </c>
      <c r="B362" s="2003" t="s">
        <v>1252</v>
      </c>
      <c r="D362" s="1015"/>
    </row>
    <row r="363" spans="1:4" x14ac:dyDescent="0.25">
      <c r="A363" s="1021">
        <v>362</v>
      </c>
      <c r="B363" s="2004" t="s">
        <v>1253</v>
      </c>
      <c r="D363" s="1015"/>
    </row>
    <row r="364" spans="1:4" x14ac:dyDescent="0.25">
      <c r="A364" s="1021">
        <v>363</v>
      </c>
      <c r="B364" s="2006" t="s">
        <v>1254</v>
      </c>
      <c r="D364" s="1015"/>
    </row>
    <row r="365" spans="1:4" x14ac:dyDescent="0.25">
      <c r="A365" s="1021">
        <v>364</v>
      </c>
      <c r="B365" s="2007" t="s">
        <v>1255</v>
      </c>
      <c r="D365" s="1015"/>
    </row>
    <row r="366" spans="1:4" x14ac:dyDescent="0.25">
      <c r="A366" s="1021">
        <v>365</v>
      </c>
      <c r="B366" s="2029" t="s">
        <v>1256</v>
      </c>
      <c r="D366" s="1015"/>
    </row>
    <row r="367" spans="1:4" x14ac:dyDescent="0.25">
      <c r="A367" s="1021">
        <v>366</v>
      </c>
      <c r="B367" s="2009" t="s">
        <v>1257</v>
      </c>
      <c r="D367" s="1015"/>
    </row>
    <row r="368" spans="1:4" x14ac:dyDescent="0.25">
      <c r="A368" s="1021">
        <v>367</v>
      </c>
      <c r="B368" s="2008" t="s">
        <v>1258</v>
      </c>
      <c r="D368" s="1015"/>
    </row>
    <row r="369" spans="1:4" x14ac:dyDescent="0.25">
      <c r="A369" s="1021">
        <v>368</v>
      </c>
      <c r="B369" s="2030" t="s">
        <v>1259</v>
      </c>
      <c r="D369" s="1015"/>
    </row>
    <row r="370" spans="1:4" ht="15.75" thickBot="1" x14ac:dyDescent="0.3">
      <c r="A370" s="1021">
        <v>369</v>
      </c>
      <c r="B370" s="2016" t="s">
        <v>1260</v>
      </c>
      <c r="D370" s="1015"/>
    </row>
    <row r="371" spans="1:4" ht="15.75" thickBot="1" x14ac:dyDescent="0.3">
      <c r="A371" s="1021">
        <v>370</v>
      </c>
      <c r="B371" s="2031" t="s">
        <v>1261</v>
      </c>
      <c r="D371" s="1015"/>
    </row>
    <row r="372" spans="1:4" ht="15.75" thickBot="1" x14ac:dyDescent="0.3">
      <c r="A372" s="1021">
        <v>371</v>
      </c>
      <c r="B372" s="2031" t="s">
        <v>1262</v>
      </c>
      <c r="D372" s="1015"/>
    </row>
    <row r="373" spans="1:4" ht="30" x14ac:dyDescent="0.25">
      <c r="A373" s="1021">
        <v>372</v>
      </c>
      <c r="B373" s="2003" t="s">
        <v>1263</v>
      </c>
      <c r="D373" s="1015"/>
    </row>
    <row r="374" spans="1:4" ht="22.5" x14ac:dyDescent="0.25">
      <c r="A374" s="1021">
        <v>373</v>
      </c>
      <c r="B374" s="2004" t="s">
        <v>1264</v>
      </c>
      <c r="D374" s="1015"/>
    </row>
    <row r="375" spans="1:4" x14ac:dyDescent="0.25">
      <c r="A375" s="1021">
        <v>374</v>
      </c>
      <c r="B375" s="2004" t="s">
        <v>1265</v>
      </c>
      <c r="D375" s="1015"/>
    </row>
    <row r="376" spans="1:4" ht="22.5" x14ac:dyDescent="0.25">
      <c r="A376" s="1021">
        <v>375</v>
      </c>
      <c r="B376" s="2004" t="s">
        <v>1266</v>
      </c>
      <c r="D376" s="1015"/>
    </row>
    <row r="377" spans="1:4" ht="22.5" x14ac:dyDescent="0.25">
      <c r="A377" s="1021">
        <v>376</v>
      </c>
      <c r="B377" s="2004" t="s">
        <v>1267</v>
      </c>
      <c r="D377" s="1015"/>
    </row>
    <row r="378" spans="1:4" x14ac:dyDescent="0.25">
      <c r="A378" s="1021">
        <v>377</v>
      </c>
      <c r="B378" s="2004" t="s">
        <v>1268</v>
      </c>
      <c r="D378" s="1015"/>
    </row>
    <row r="379" spans="1:4" x14ac:dyDescent="0.25">
      <c r="A379" s="1021">
        <v>378</v>
      </c>
      <c r="B379" s="2004" t="s">
        <v>1269</v>
      </c>
      <c r="D379" s="1015"/>
    </row>
    <row r="380" spans="1:4" x14ac:dyDescent="0.25">
      <c r="A380" s="1021">
        <v>379</v>
      </c>
      <c r="B380" s="2004" t="s">
        <v>1270</v>
      </c>
      <c r="D380" s="1015"/>
    </row>
    <row r="381" spans="1:4" x14ac:dyDescent="0.25">
      <c r="A381" s="1021">
        <v>380</v>
      </c>
      <c r="B381" s="2004" t="s">
        <v>1271</v>
      </c>
      <c r="D381" s="1015"/>
    </row>
    <row r="382" spans="1:4" ht="30" x14ac:dyDescent="0.25">
      <c r="A382" s="1021">
        <v>381</v>
      </c>
      <c r="B382" s="2003" t="s">
        <v>1272</v>
      </c>
      <c r="D382" s="1015"/>
    </row>
    <row r="383" spans="1:4" ht="21" x14ac:dyDescent="0.25">
      <c r="A383" s="1021">
        <v>382</v>
      </c>
      <c r="B383" s="2012" t="s">
        <v>1273</v>
      </c>
      <c r="D383" s="1015"/>
    </row>
    <row r="384" spans="1:4" x14ac:dyDescent="0.25">
      <c r="A384" s="1021">
        <v>383</v>
      </c>
      <c r="B384" s="2012" t="s">
        <v>1274</v>
      </c>
      <c r="D384" s="1015"/>
    </row>
    <row r="385" spans="1:4" x14ac:dyDescent="0.25">
      <c r="A385" s="1021">
        <v>384</v>
      </c>
      <c r="B385" s="2012" t="s">
        <v>1275</v>
      </c>
      <c r="D385" s="1015"/>
    </row>
    <row r="386" spans="1:4" ht="15.75" x14ac:dyDescent="0.25">
      <c r="A386" s="1021">
        <v>385</v>
      </c>
      <c r="B386" s="1987" t="s">
        <v>1276</v>
      </c>
      <c r="D386" s="1015"/>
    </row>
    <row r="387" spans="1:4" x14ac:dyDescent="0.25">
      <c r="A387" s="1021">
        <v>386</v>
      </c>
      <c r="B387" s="2003" t="s">
        <v>1277</v>
      </c>
      <c r="D387" s="1015"/>
    </row>
    <row r="388" spans="1:4" x14ac:dyDescent="0.25">
      <c r="A388" s="1021">
        <v>387</v>
      </c>
      <c r="B388" s="2030" t="s">
        <v>1261</v>
      </c>
      <c r="D388" s="1015"/>
    </row>
    <row r="389" spans="1:4" x14ac:dyDescent="0.25">
      <c r="A389" s="1021">
        <v>388</v>
      </c>
      <c r="B389" s="2003" t="s">
        <v>1278</v>
      </c>
      <c r="D389" s="1015"/>
    </row>
    <row r="390" spans="1:4" x14ac:dyDescent="0.25">
      <c r="A390" s="1021">
        <v>389</v>
      </c>
      <c r="B390" s="2004" t="s">
        <v>1279</v>
      </c>
      <c r="D390" s="1015"/>
    </row>
    <row r="391" spans="1:4" x14ac:dyDescent="0.25">
      <c r="A391" s="1021">
        <v>390</v>
      </c>
      <c r="B391" s="2004" t="s">
        <v>1280</v>
      </c>
      <c r="D391" s="1015"/>
    </row>
    <row r="392" spans="1:4" ht="15.75" x14ac:dyDescent="0.25">
      <c r="A392" s="1021">
        <v>391</v>
      </c>
      <c r="B392" s="1987" t="s">
        <v>1281</v>
      </c>
      <c r="D392" s="1015"/>
    </row>
    <row r="393" spans="1:4" x14ac:dyDescent="0.25">
      <c r="A393" s="1021">
        <v>392</v>
      </c>
      <c r="B393" s="1984" t="s">
        <v>1282</v>
      </c>
      <c r="D393" s="1015"/>
    </row>
    <row r="394" spans="1:4" ht="22.5" x14ac:dyDescent="0.25">
      <c r="A394" s="1021">
        <v>393</v>
      </c>
      <c r="B394" s="2004" t="s">
        <v>1283</v>
      </c>
      <c r="D394" s="1015"/>
    </row>
    <row r="395" spans="1:4" ht="21" x14ac:dyDescent="0.25">
      <c r="A395" s="1021">
        <v>394</v>
      </c>
      <c r="B395" s="2012" t="s">
        <v>1284</v>
      </c>
      <c r="D395" s="1015"/>
    </row>
    <row r="396" spans="1:4" ht="31.5" x14ac:dyDescent="0.25">
      <c r="A396" s="1021">
        <v>395</v>
      </c>
      <c r="B396" s="2012" t="s">
        <v>1285</v>
      </c>
      <c r="D396" s="1015"/>
    </row>
    <row r="397" spans="1:4" ht="33.75" x14ac:dyDescent="0.25">
      <c r="A397" s="1021">
        <v>396</v>
      </c>
      <c r="B397" s="2004" t="s">
        <v>1286</v>
      </c>
      <c r="D397" s="1015"/>
    </row>
    <row r="398" spans="1:4" ht="45" x14ac:dyDescent="0.25">
      <c r="A398" s="1021">
        <v>397</v>
      </c>
      <c r="B398" s="2004" t="s">
        <v>1287</v>
      </c>
      <c r="D398" s="1015"/>
    </row>
    <row r="399" spans="1:4" ht="30" x14ac:dyDescent="0.25">
      <c r="A399" s="1021">
        <v>398</v>
      </c>
      <c r="B399" s="2003" t="s">
        <v>1288</v>
      </c>
      <c r="D399" s="1015"/>
    </row>
    <row r="400" spans="1:4" x14ac:dyDescent="0.25">
      <c r="A400" s="1021">
        <v>399</v>
      </c>
      <c r="B400" s="1984" t="s">
        <v>1289</v>
      </c>
      <c r="D400" s="1015"/>
    </row>
    <row r="401" spans="1:4" x14ac:dyDescent="0.25">
      <c r="A401" s="1021">
        <v>400</v>
      </c>
      <c r="B401" s="2004" t="s">
        <v>1290</v>
      </c>
      <c r="D401" s="1015"/>
    </row>
    <row r="402" spans="1:4" x14ac:dyDescent="0.25">
      <c r="A402" s="1021">
        <v>401</v>
      </c>
      <c r="B402" s="2030" t="s">
        <v>1291</v>
      </c>
      <c r="D402" s="1015"/>
    </row>
    <row r="403" spans="1:4" x14ac:dyDescent="0.25">
      <c r="A403" s="1021">
        <v>402</v>
      </c>
      <c r="B403" s="1984" t="s">
        <v>1292</v>
      </c>
      <c r="D403" s="1015"/>
    </row>
    <row r="404" spans="1:4" x14ac:dyDescent="0.25">
      <c r="A404" s="1021">
        <v>403</v>
      </c>
      <c r="B404" s="2004" t="s">
        <v>1293</v>
      </c>
      <c r="D404" s="1015"/>
    </row>
    <row r="405" spans="1:4" x14ac:dyDescent="0.25">
      <c r="A405" s="1021">
        <v>404</v>
      </c>
      <c r="B405" s="1984" t="s">
        <v>1294</v>
      </c>
      <c r="D405" s="1015"/>
    </row>
    <row r="406" spans="1:4" ht="22.5" x14ac:dyDescent="0.25">
      <c r="A406" s="1021">
        <v>405</v>
      </c>
      <c r="B406" s="2004" t="s">
        <v>1295</v>
      </c>
      <c r="D406" s="1015"/>
    </row>
    <row r="407" spans="1:4" x14ac:dyDescent="0.25">
      <c r="A407" s="1021">
        <v>406</v>
      </c>
      <c r="B407" s="2030" t="s">
        <v>1294</v>
      </c>
      <c r="D407" s="1015"/>
    </row>
    <row r="408" spans="1:4" x14ac:dyDescent="0.25">
      <c r="A408" s="1021">
        <v>407</v>
      </c>
      <c r="B408" s="1984" t="s">
        <v>1296</v>
      </c>
      <c r="D408" s="1015"/>
    </row>
    <row r="409" spans="1:4" x14ac:dyDescent="0.25">
      <c r="A409" s="1021">
        <v>408</v>
      </c>
      <c r="B409" s="2004" t="s">
        <v>1297</v>
      </c>
      <c r="D409" s="1015"/>
    </row>
    <row r="410" spans="1:4" x14ac:dyDescent="0.25">
      <c r="A410" s="1021">
        <v>409</v>
      </c>
      <c r="B410" s="2030" t="s">
        <v>1298</v>
      </c>
      <c r="D410" s="1015"/>
    </row>
    <row r="411" spans="1:4" x14ac:dyDescent="0.25">
      <c r="A411" s="1021">
        <v>410</v>
      </c>
      <c r="B411" s="2030" t="s">
        <v>1299</v>
      </c>
      <c r="D411" s="1015"/>
    </row>
    <row r="412" spans="1:4" x14ac:dyDescent="0.25">
      <c r="A412" s="1021">
        <v>411</v>
      </c>
      <c r="B412" s="2030" t="s">
        <v>1300</v>
      </c>
      <c r="D412" s="1015" t="s">
        <v>844</v>
      </c>
    </row>
    <row r="413" spans="1:4" x14ac:dyDescent="0.25">
      <c r="A413" s="1021">
        <v>412</v>
      </c>
      <c r="B413" s="1984" t="s">
        <v>1301</v>
      </c>
      <c r="D413" s="1015"/>
    </row>
    <row r="414" spans="1:4" x14ac:dyDescent="0.25">
      <c r="A414" s="1021">
        <v>413</v>
      </c>
      <c r="B414" s="2032" t="s">
        <v>1302</v>
      </c>
      <c r="D414" s="1015"/>
    </row>
    <row r="415" spans="1:4" x14ac:dyDescent="0.25">
      <c r="A415" s="1021">
        <v>414</v>
      </c>
      <c r="B415" s="2032" t="s">
        <v>1303</v>
      </c>
      <c r="D415" s="1015"/>
    </row>
    <row r="416" spans="1:4" x14ac:dyDescent="0.25">
      <c r="A416" s="1021">
        <v>415</v>
      </c>
      <c r="B416" s="1984" t="s">
        <v>1304</v>
      </c>
      <c r="D416" s="1015"/>
    </row>
    <row r="417" spans="1:4" ht="22.5" x14ac:dyDescent="0.25">
      <c r="A417" s="1021">
        <v>416</v>
      </c>
      <c r="B417" s="2004" t="s">
        <v>1305</v>
      </c>
      <c r="D417" s="1015"/>
    </row>
    <row r="418" spans="1:4" ht="56.25" x14ac:dyDescent="0.25">
      <c r="A418" s="1021">
        <v>417</v>
      </c>
      <c r="B418" s="2004" t="s">
        <v>1306</v>
      </c>
      <c r="D418" s="1015"/>
    </row>
    <row r="419" spans="1:4" x14ac:dyDescent="0.25">
      <c r="A419" s="1021">
        <v>418</v>
      </c>
      <c r="B419" s="2030" t="s">
        <v>1307</v>
      </c>
      <c r="D419" s="1015"/>
    </row>
    <row r="420" spans="1:4" x14ac:dyDescent="0.25">
      <c r="A420" s="1021">
        <v>419</v>
      </c>
      <c r="B420" s="2030" t="s">
        <v>1308</v>
      </c>
      <c r="D420" s="1015"/>
    </row>
    <row r="421" spans="1:4" x14ac:dyDescent="0.25">
      <c r="A421" s="1021">
        <v>420</v>
      </c>
      <c r="B421" s="1984" t="s">
        <v>1309</v>
      </c>
      <c r="D421" s="1015"/>
    </row>
    <row r="422" spans="1:4" ht="22.5" x14ac:dyDescent="0.25">
      <c r="A422" s="1021">
        <v>421</v>
      </c>
      <c r="B422" s="2004" t="s">
        <v>1310</v>
      </c>
      <c r="D422" s="1015"/>
    </row>
    <row r="423" spans="1:4" ht="45" x14ac:dyDescent="0.25">
      <c r="A423" s="1021">
        <v>422</v>
      </c>
      <c r="B423" s="2004" t="s">
        <v>1311</v>
      </c>
      <c r="D423" s="1015"/>
    </row>
    <row r="424" spans="1:4" x14ac:dyDescent="0.25">
      <c r="A424" s="1021">
        <v>423</v>
      </c>
      <c r="B424" s="1976" t="s">
        <v>522</v>
      </c>
      <c r="D424" s="1015"/>
    </row>
    <row r="425" spans="1:4" ht="22.5" x14ac:dyDescent="0.25">
      <c r="A425" s="1021">
        <v>424</v>
      </c>
      <c r="B425" s="2004" t="s">
        <v>1312</v>
      </c>
      <c r="D425" s="1015"/>
    </row>
    <row r="426" spans="1:4" x14ac:dyDescent="0.25">
      <c r="A426" s="1021">
        <v>425</v>
      </c>
      <c r="B426" s="1984" t="s">
        <v>1313</v>
      </c>
      <c r="D426" s="1015"/>
    </row>
    <row r="427" spans="1:4" ht="22.5" x14ac:dyDescent="0.25">
      <c r="A427" s="1021">
        <v>426</v>
      </c>
      <c r="B427" s="2004" t="s">
        <v>1314</v>
      </c>
      <c r="D427" s="1015"/>
    </row>
    <row r="428" spans="1:4" ht="22.5" x14ac:dyDescent="0.25">
      <c r="A428" s="1021">
        <v>427</v>
      </c>
      <c r="B428" s="2004" t="s">
        <v>1315</v>
      </c>
      <c r="D428" s="1015"/>
    </row>
    <row r="429" spans="1:4" ht="22.5" x14ac:dyDescent="0.25">
      <c r="A429" s="1021">
        <v>428</v>
      </c>
      <c r="B429" s="2004" t="s">
        <v>1316</v>
      </c>
      <c r="D429" s="1015"/>
    </row>
    <row r="430" spans="1:4" x14ac:dyDescent="0.25">
      <c r="A430" s="1021">
        <v>429</v>
      </c>
      <c r="B430" s="2030" t="s">
        <v>1317</v>
      </c>
      <c r="D430" s="1015"/>
    </row>
    <row r="431" spans="1:4" x14ac:dyDescent="0.25">
      <c r="A431" s="1021">
        <v>430</v>
      </c>
      <c r="B431" s="2030" t="s">
        <v>1318</v>
      </c>
      <c r="D431" s="1015"/>
    </row>
    <row r="432" spans="1:4" x14ac:dyDescent="0.25">
      <c r="A432" s="1021">
        <v>431</v>
      </c>
      <c r="B432" s="1984" t="s">
        <v>1319</v>
      </c>
      <c r="D432" s="1015"/>
    </row>
    <row r="433" spans="1:4" ht="22.5" x14ac:dyDescent="0.25">
      <c r="A433" s="1021">
        <v>432</v>
      </c>
      <c r="B433" s="2004" t="s">
        <v>1320</v>
      </c>
      <c r="D433" s="1015"/>
    </row>
    <row r="434" spans="1:4" x14ac:dyDescent="0.25">
      <c r="A434" s="1021">
        <v>433</v>
      </c>
      <c r="B434" s="2030" t="s">
        <v>1321</v>
      </c>
      <c r="D434" s="1015"/>
    </row>
    <row r="435" spans="1:4" x14ac:dyDescent="0.25">
      <c r="A435" s="1021">
        <v>434</v>
      </c>
      <c r="B435" s="2030" t="s">
        <v>1322</v>
      </c>
      <c r="D435" s="1015"/>
    </row>
    <row r="436" spans="1:4" ht="15.75" x14ac:dyDescent="0.25">
      <c r="A436" s="1021">
        <v>435</v>
      </c>
      <c r="B436" s="1987" t="s">
        <v>1323</v>
      </c>
      <c r="D436" s="1015"/>
    </row>
    <row r="437" spans="1:4" ht="25.5" x14ac:dyDescent="0.25">
      <c r="A437" s="1021">
        <v>436</v>
      </c>
      <c r="B437" s="1984" t="s">
        <v>1324</v>
      </c>
      <c r="D437" s="1015"/>
    </row>
    <row r="438" spans="1:4" ht="22.5" x14ac:dyDescent="0.25">
      <c r="A438" s="1021">
        <v>437</v>
      </c>
      <c r="B438" s="2004" t="s">
        <v>2327</v>
      </c>
      <c r="D438" s="1015"/>
    </row>
    <row r="439" spans="1:4" ht="33.75" x14ac:dyDescent="0.25">
      <c r="A439" s="1021">
        <v>438</v>
      </c>
      <c r="B439" s="2004" t="s">
        <v>1325</v>
      </c>
      <c r="D439" s="1015"/>
    </row>
    <row r="440" spans="1:4" ht="22.5" x14ac:dyDescent="0.25">
      <c r="A440" s="1021">
        <v>439</v>
      </c>
      <c r="B440" s="2004" t="s">
        <v>1326</v>
      </c>
      <c r="D440" s="1015"/>
    </row>
    <row r="441" spans="1:4" ht="22.5" x14ac:dyDescent="0.25">
      <c r="A441" s="1021">
        <v>440</v>
      </c>
      <c r="B441" s="2004" t="s">
        <v>1327</v>
      </c>
      <c r="D441" s="1015"/>
    </row>
    <row r="442" spans="1:4" ht="22.5" x14ac:dyDescent="0.25">
      <c r="A442" s="1021">
        <v>441</v>
      </c>
      <c r="B442" s="2004" t="s">
        <v>1328</v>
      </c>
      <c r="D442" s="1015"/>
    </row>
    <row r="443" spans="1:4" ht="22.5" x14ac:dyDescent="0.25">
      <c r="A443" s="1021">
        <v>442</v>
      </c>
      <c r="B443" s="2004" t="s">
        <v>1329</v>
      </c>
      <c r="D443" s="1015"/>
    </row>
    <row r="444" spans="1:4" x14ac:dyDescent="0.25">
      <c r="A444" s="1021">
        <v>443</v>
      </c>
      <c r="B444" s="2004" t="s">
        <v>1330</v>
      </c>
      <c r="D444" s="1015"/>
    </row>
    <row r="445" spans="1:4" ht="33.75" x14ac:dyDescent="0.25">
      <c r="A445" s="1021">
        <v>444</v>
      </c>
      <c r="B445" s="2004" t="s">
        <v>1331</v>
      </c>
      <c r="D445" s="1015"/>
    </row>
    <row r="446" spans="1:4" x14ac:dyDescent="0.25">
      <c r="A446" s="1021">
        <v>445</v>
      </c>
      <c r="B446" s="2004" t="s">
        <v>1332</v>
      </c>
      <c r="D446" s="1015"/>
    </row>
    <row r="447" spans="1:4" ht="22.5" x14ac:dyDescent="0.25">
      <c r="A447" s="1021">
        <v>446</v>
      </c>
      <c r="B447" s="2004" t="s">
        <v>1333</v>
      </c>
      <c r="D447" s="1015"/>
    </row>
    <row r="448" spans="1:4" ht="30" x14ac:dyDescent="0.25">
      <c r="A448" s="1021">
        <v>447</v>
      </c>
      <c r="B448" s="2003" t="s">
        <v>1334</v>
      </c>
      <c r="D448" s="1015"/>
    </row>
    <row r="449" spans="1:4" x14ac:dyDescent="0.25">
      <c r="A449" s="1021">
        <v>448</v>
      </c>
      <c r="B449" s="1984" t="s">
        <v>1335</v>
      </c>
      <c r="D449" s="1015"/>
    </row>
    <row r="450" spans="1:4" x14ac:dyDescent="0.25">
      <c r="A450" s="1021">
        <v>449</v>
      </c>
      <c r="B450" s="2004" t="s">
        <v>1336</v>
      </c>
      <c r="D450" s="1015"/>
    </row>
    <row r="451" spans="1:4" x14ac:dyDescent="0.25">
      <c r="A451" s="1021">
        <v>450</v>
      </c>
      <c r="B451" s="2004" t="s">
        <v>1337</v>
      </c>
      <c r="D451" s="1015"/>
    </row>
    <row r="452" spans="1:4" x14ac:dyDescent="0.25">
      <c r="A452" s="1021">
        <v>451</v>
      </c>
      <c r="B452" s="1984" t="s">
        <v>1338</v>
      </c>
      <c r="D452" s="1015"/>
    </row>
    <row r="453" spans="1:4" x14ac:dyDescent="0.25">
      <c r="A453" s="1021">
        <v>452</v>
      </c>
      <c r="B453" s="1984" t="s">
        <v>1339</v>
      </c>
      <c r="D453" s="1015"/>
    </row>
    <row r="454" spans="1:4" ht="22.5" x14ac:dyDescent="0.25">
      <c r="A454" s="1021">
        <v>453</v>
      </c>
      <c r="B454" s="2004" t="s">
        <v>1340</v>
      </c>
      <c r="D454" s="1015"/>
    </row>
    <row r="455" spans="1:4" ht="22.5" x14ac:dyDescent="0.25">
      <c r="A455" s="1021">
        <v>454</v>
      </c>
      <c r="B455" s="1995" t="s">
        <v>1341</v>
      </c>
      <c r="D455" s="1015"/>
    </row>
    <row r="456" spans="1:4" ht="25.5" x14ac:dyDescent="0.25">
      <c r="A456" s="1021">
        <v>455</v>
      </c>
      <c r="B456" s="1984" t="s">
        <v>1342</v>
      </c>
      <c r="D456" s="1015"/>
    </row>
    <row r="457" spans="1:4" x14ac:dyDescent="0.25">
      <c r="A457" s="1021">
        <v>456</v>
      </c>
      <c r="B457" s="2004" t="s">
        <v>1343</v>
      </c>
      <c r="D457" s="1015"/>
    </row>
    <row r="458" spans="1:4" x14ac:dyDescent="0.25">
      <c r="A458" s="1021">
        <v>457</v>
      </c>
      <c r="B458" s="2033" t="s">
        <v>1344</v>
      </c>
      <c r="D458" s="1015"/>
    </row>
    <row r="459" spans="1:4" x14ac:dyDescent="0.25">
      <c r="A459" s="1021">
        <v>458</v>
      </c>
      <c r="B459" s="1984" t="s">
        <v>1345</v>
      </c>
      <c r="D459" s="1015"/>
    </row>
    <row r="460" spans="1:4" ht="22.5" x14ac:dyDescent="0.25">
      <c r="A460" s="1021">
        <v>459</v>
      </c>
      <c r="B460" s="2004" t="s">
        <v>1346</v>
      </c>
      <c r="D460" s="1015"/>
    </row>
    <row r="461" spans="1:4" x14ac:dyDescent="0.25">
      <c r="A461" s="1021">
        <v>460</v>
      </c>
      <c r="B461" s="2004" t="s">
        <v>1347</v>
      </c>
      <c r="D461" s="1015"/>
    </row>
    <row r="462" spans="1:4" x14ac:dyDescent="0.25">
      <c r="A462" s="1021">
        <v>461</v>
      </c>
      <c r="B462" s="2006" t="s">
        <v>1348</v>
      </c>
      <c r="D462" s="1015"/>
    </row>
    <row r="463" spans="1:4" x14ac:dyDescent="0.25">
      <c r="A463" s="1021">
        <v>462</v>
      </c>
      <c r="B463" s="2033" t="s">
        <v>1349</v>
      </c>
      <c r="D463" s="1015"/>
    </row>
    <row r="464" spans="1:4" ht="25.5" x14ac:dyDescent="0.25">
      <c r="A464" s="1021">
        <v>463</v>
      </c>
      <c r="B464" s="1984" t="s">
        <v>1350</v>
      </c>
      <c r="D464" s="1015"/>
    </row>
    <row r="465" spans="1:4" ht="33.75" x14ac:dyDescent="0.25">
      <c r="A465" s="1021">
        <v>464</v>
      </c>
      <c r="B465" s="2004" t="s">
        <v>1351</v>
      </c>
      <c r="D465" s="1015"/>
    </row>
    <row r="466" spans="1:4" ht="22.5" x14ac:dyDescent="0.25">
      <c r="A466" s="1021">
        <v>465</v>
      </c>
      <c r="B466" s="2004" t="s">
        <v>1352</v>
      </c>
      <c r="D466" s="1015"/>
    </row>
    <row r="467" spans="1:4" x14ac:dyDescent="0.25">
      <c r="A467" s="1021">
        <v>466</v>
      </c>
      <c r="B467" s="2006" t="s">
        <v>1353</v>
      </c>
      <c r="D467" s="1015"/>
    </row>
    <row r="468" spans="1:4" x14ac:dyDescent="0.25">
      <c r="A468" s="1021">
        <v>467</v>
      </c>
      <c r="B468" s="1984" t="s">
        <v>1354</v>
      </c>
      <c r="D468" s="1015"/>
    </row>
    <row r="469" spans="1:4" ht="22.5" x14ac:dyDescent="0.25">
      <c r="A469" s="1021">
        <v>468</v>
      </c>
      <c r="B469" s="2004" t="s">
        <v>1355</v>
      </c>
      <c r="D469" s="1015"/>
    </row>
    <row r="470" spans="1:4" x14ac:dyDescent="0.25">
      <c r="A470" s="1021">
        <v>469</v>
      </c>
      <c r="B470" s="2033" t="s">
        <v>1356</v>
      </c>
      <c r="D470" s="1015"/>
    </row>
    <row r="471" spans="1:4" x14ac:dyDescent="0.25">
      <c r="A471" s="1021">
        <v>470</v>
      </c>
      <c r="B471" s="1984" t="s">
        <v>1357</v>
      </c>
      <c r="D471" s="1015"/>
    </row>
    <row r="472" spans="1:4" x14ac:dyDescent="0.25">
      <c r="A472" s="1021">
        <v>471</v>
      </c>
      <c r="B472" s="2034" t="s">
        <v>1358</v>
      </c>
      <c r="D472" s="1015"/>
    </row>
    <row r="473" spans="1:4" x14ac:dyDescent="0.25">
      <c r="A473" s="1021">
        <v>472</v>
      </c>
      <c r="B473" s="2035" t="s">
        <v>1359</v>
      </c>
      <c r="D473" s="1015"/>
    </row>
    <row r="474" spans="1:4" x14ac:dyDescent="0.25">
      <c r="A474" s="1021">
        <v>473</v>
      </c>
      <c r="B474" s="2035" t="s">
        <v>1360</v>
      </c>
      <c r="D474" s="1015"/>
    </row>
    <row r="475" spans="1:4" x14ac:dyDescent="0.25">
      <c r="A475" s="1021">
        <v>474</v>
      </c>
      <c r="B475" s="2036" t="s">
        <v>1361</v>
      </c>
      <c r="D475" s="1015"/>
    </row>
    <row r="476" spans="1:4" ht="25.5" x14ac:dyDescent="0.25">
      <c r="A476" s="1021">
        <v>475</v>
      </c>
      <c r="B476" s="1984" t="s">
        <v>1362</v>
      </c>
      <c r="D476" s="1015"/>
    </row>
    <row r="477" spans="1:4" ht="22.5" x14ac:dyDescent="0.25">
      <c r="A477" s="1021">
        <v>476</v>
      </c>
      <c r="B477" s="2004" t="s">
        <v>1363</v>
      </c>
      <c r="D477" s="1015"/>
    </row>
    <row r="478" spans="1:4" x14ac:dyDescent="0.25">
      <c r="A478" s="1021">
        <v>477</v>
      </c>
      <c r="B478" s="2006" t="s">
        <v>1364</v>
      </c>
      <c r="D478" s="1015"/>
    </row>
    <row r="479" spans="1:4" ht="25.5" x14ac:dyDescent="0.25">
      <c r="A479" s="1021">
        <v>478</v>
      </c>
      <c r="B479" s="1984" t="s">
        <v>1365</v>
      </c>
      <c r="D479" s="1015"/>
    </row>
    <row r="480" spans="1:4" ht="21" x14ac:dyDescent="0.25">
      <c r="A480" s="1021">
        <v>479</v>
      </c>
      <c r="B480" s="2012" t="s">
        <v>1366</v>
      </c>
      <c r="D480" s="1015"/>
    </row>
    <row r="481" spans="1:4" x14ac:dyDescent="0.25">
      <c r="A481" s="1021">
        <v>480</v>
      </c>
      <c r="B481" s="2004" t="s">
        <v>1367</v>
      </c>
      <c r="D481" s="1015"/>
    </row>
    <row r="482" spans="1:4" ht="15.75" thickBot="1" x14ac:dyDescent="0.3">
      <c r="A482" s="1021">
        <v>481</v>
      </c>
      <c r="B482" s="2033" t="s">
        <v>1368</v>
      </c>
      <c r="D482" s="1015"/>
    </row>
    <row r="483" spans="1:4" x14ac:dyDescent="0.25">
      <c r="A483" s="1021">
        <v>482</v>
      </c>
      <c r="B483" s="2002" t="s">
        <v>1369</v>
      </c>
      <c r="D483" s="1015"/>
    </row>
    <row r="484" spans="1:4" x14ac:dyDescent="0.25">
      <c r="A484" s="1021">
        <v>483</v>
      </c>
      <c r="B484" s="1976" t="s">
        <v>1370</v>
      </c>
      <c r="D484" s="1015"/>
    </row>
    <row r="485" spans="1:4" x14ac:dyDescent="0.25">
      <c r="A485" s="1021">
        <v>484</v>
      </c>
      <c r="B485" s="1976" t="s">
        <v>1371</v>
      </c>
      <c r="D485" s="1015"/>
    </row>
    <row r="486" spans="1:4" x14ac:dyDescent="0.25">
      <c r="A486" s="1021">
        <v>485</v>
      </c>
      <c r="B486" s="1976" t="s">
        <v>1372</v>
      </c>
      <c r="D486" s="1015"/>
    </row>
    <row r="487" spans="1:4" x14ac:dyDescent="0.25">
      <c r="A487" s="1021">
        <v>486</v>
      </c>
      <c r="B487" s="1976" t="s">
        <v>1373</v>
      </c>
      <c r="D487" s="1015"/>
    </row>
    <row r="488" spans="1:4" ht="54" x14ac:dyDescent="0.25">
      <c r="A488" s="1021">
        <v>487</v>
      </c>
      <c r="B488" s="1986" t="s">
        <v>1374</v>
      </c>
      <c r="D488" s="1015"/>
    </row>
    <row r="489" spans="1:4" ht="15.75" x14ac:dyDescent="0.25">
      <c r="A489" s="1021">
        <v>488</v>
      </c>
      <c r="B489" s="1987" t="s">
        <v>1375</v>
      </c>
      <c r="D489" s="1015"/>
    </row>
    <row r="490" spans="1:4" x14ac:dyDescent="0.25">
      <c r="A490" s="1021">
        <v>489</v>
      </c>
      <c r="B490" s="2003" t="s">
        <v>1376</v>
      </c>
      <c r="D490" s="1015"/>
    </row>
    <row r="491" spans="1:4" ht="25.5" x14ac:dyDescent="0.25">
      <c r="A491" s="1021">
        <v>490</v>
      </c>
      <c r="B491" s="1984" t="s">
        <v>1377</v>
      </c>
      <c r="D491" s="1015"/>
    </row>
    <row r="492" spans="1:4" x14ac:dyDescent="0.25">
      <c r="A492" s="1021">
        <v>491</v>
      </c>
      <c r="B492" s="1984" t="s">
        <v>1378</v>
      </c>
      <c r="D492" s="1015"/>
    </row>
    <row r="493" spans="1:4" ht="22.5" x14ac:dyDescent="0.25">
      <c r="A493" s="1021">
        <v>492</v>
      </c>
      <c r="B493" s="2004" t="s">
        <v>1379</v>
      </c>
      <c r="D493" s="1015"/>
    </row>
    <row r="494" spans="1:4" ht="22.5" x14ac:dyDescent="0.25">
      <c r="A494" s="1021">
        <v>493</v>
      </c>
      <c r="B494" s="2004" t="s">
        <v>1380</v>
      </c>
      <c r="D494" s="1015"/>
    </row>
    <row r="495" spans="1:4" x14ac:dyDescent="0.25">
      <c r="A495" s="1021">
        <v>494</v>
      </c>
      <c r="B495" s="1984" t="s">
        <v>1381</v>
      </c>
      <c r="D495" s="1015"/>
    </row>
    <row r="496" spans="1:4" ht="22.5" x14ac:dyDescent="0.25">
      <c r="A496" s="1021">
        <v>495</v>
      </c>
      <c r="B496" s="2004" t="s">
        <v>1382</v>
      </c>
      <c r="D496" s="1015"/>
    </row>
    <row r="497" spans="1:4" ht="22.5" x14ac:dyDescent="0.25">
      <c r="A497" s="1021">
        <v>496</v>
      </c>
      <c r="B497" s="2004" t="s">
        <v>1383</v>
      </c>
      <c r="D497" s="1015"/>
    </row>
    <row r="498" spans="1:4" ht="22.5" x14ac:dyDescent="0.25">
      <c r="A498" s="1021">
        <v>497</v>
      </c>
      <c r="B498" s="2004" t="s">
        <v>1384</v>
      </c>
      <c r="D498" s="1015"/>
    </row>
    <row r="499" spans="1:4" x14ac:dyDescent="0.25">
      <c r="A499" s="1021">
        <v>498</v>
      </c>
      <c r="B499" s="2004" t="s">
        <v>1385</v>
      </c>
      <c r="D499" s="1015"/>
    </row>
    <row r="500" spans="1:4" x14ac:dyDescent="0.25">
      <c r="A500" s="1021">
        <v>499</v>
      </c>
      <c r="B500" s="2004" t="s">
        <v>1386</v>
      </c>
      <c r="D500" s="1015"/>
    </row>
    <row r="501" spans="1:4" x14ac:dyDescent="0.25">
      <c r="A501" s="1021">
        <v>500</v>
      </c>
      <c r="B501" s="1976" t="s">
        <v>1387</v>
      </c>
      <c r="D501" s="1015"/>
    </row>
    <row r="502" spans="1:4" ht="21" x14ac:dyDescent="0.25">
      <c r="A502" s="1021">
        <v>501</v>
      </c>
      <c r="B502" s="2012" t="s">
        <v>1388</v>
      </c>
      <c r="D502" s="1015"/>
    </row>
    <row r="503" spans="1:4" ht="22.5" x14ac:dyDescent="0.25">
      <c r="A503" s="1021">
        <v>502</v>
      </c>
      <c r="B503" s="2004" t="s">
        <v>1389</v>
      </c>
      <c r="D503" s="1015"/>
    </row>
    <row r="504" spans="1:4" ht="22.5" x14ac:dyDescent="0.25">
      <c r="A504" s="1021">
        <v>503</v>
      </c>
      <c r="B504" s="2004" t="s">
        <v>1390</v>
      </c>
      <c r="D504" s="1015"/>
    </row>
    <row r="505" spans="1:4" x14ac:dyDescent="0.25">
      <c r="A505" s="1021">
        <v>504</v>
      </c>
      <c r="B505" s="1984" t="s">
        <v>1391</v>
      </c>
      <c r="D505" s="1015"/>
    </row>
    <row r="506" spans="1:4" x14ac:dyDescent="0.25">
      <c r="A506" s="1021">
        <v>505</v>
      </c>
      <c r="B506" s="2037" t="s">
        <v>1392</v>
      </c>
      <c r="D506" s="1015"/>
    </row>
    <row r="507" spans="1:4" x14ac:dyDescent="0.25">
      <c r="A507" s="1021">
        <v>506</v>
      </c>
      <c r="B507" s="2037" t="s">
        <v>1393</v>
      </c>
      <c r="D507" s="1015"/>
    </row>
    <row r="508" spans="1:4" x14ac:dyDescent="0.25">
      <c r="A508" s="1021">
        <v>507</v>
      </c>
      <c r="B508" s="2038" t="s">
        <v>1394</v>
      </c>
      <c r="D508" s="1015"/>
    </row>
    <row r="509" spans="1:4" ht="22.5" x14ac:dyDescent="0.25">
      <c r="A509" s="1021">
        <v>508</v>
      </c>
      <c r="B509" s="2004" t="s">
        <v>1395</v>
      </c>
      <c r="D509" s="1015"/>
    </row>
    <row r="510" spans="1:4" x14ac:dyDescent="0.25">
      <c r="A510" s="1021">
        <v>509</v>
      </c>
      <c r="B510" s="2003" t="s">
        <v>1396</v>
      </c>
      <c r="D510" s="1015"/>
    </row>
    <row r="511" spans="1:4" ht="25.5" x14ac:dyDescent="0.25">
      <c r="A511" s="1021">
        <v>510</v>
      </c>
      <c r="B511" s="1984" t="s">
        <v>1397</v>
      </c>
      <c r="D511" s="1015"/>
    </row>
    <row r="512" spans="1:4" ht="22.5" x14ac:dyDescent="0.25">
      <c r="A512" s="1021">
        <v>511</v>
      </c>
      <c r="B512" s="2004" t="s">
        <v>1398</v>
      </c>
      <c r="D512" s="1015"/>
    </row>
    <row r="513" spans="1:4" ht="22.5" x14ac:dyDescent="0.25">
      <c r="A513" s="1021">
        <v>512</v>
      </c>
      <c r="B513" s="2004" t="s">
        <v>1399</v>
      </c>
      <c r="D513" s="1015"/>
    </row>
    <row r="514" spans="1:4" ht="25.5" x14ac:dyDescent="0.25">
      <c r="A514" s="1021">
        <v>513</v>
      </c>
      <c r="B514" s="1984" t="s">
        <v>1400</v>
      </c>
      <c r="D514" s="1015"/>
    </row>
    <row r="515" spans="1:4" ht="31.5" x14ac:dyDescent="0.25">
      <c r="A515" s="1021">
        <v>514</v>
      </c>
      <c r="B515" s="2012" t="s">
        <v>1401</v>
      </c>
      <c r="D515" s="1015"/>
    </row>
    <row r="516" spans="1:4" x14ac:dyDescent="0.25">
      <c r="A516" s="1021">
        <v>515</v>
      </c>
      <c r="B516" s="2012" t="s">
        <v>1402</v>
      </c>
      <c r="D516" s="1015"/>
    </row>
    <row r="517" spans="1:4" ht="67.5" x14ac:dyDescent="0.25">
      <c r="A517" s="1021">
        <v>516</v>
      </c>
      <c r="B517" s="2004" t="s">
        <v>1403</v>
      </c>
      <c r="D517" s="1015"/>
    </row>
    <row r="518" spans="1:4" x14ac:dyDescent="0.25">
      <c r="A518" s="1021">
        <v>517</v>
      </c>
      <c r="B518" s="2004" t="s">
        <v>1404</v>
      </c>
      <c r="D518" s="1015"/>
    </row>
    <row r="519" spans="1:4" ht="33.75" x14ac:dyDescent="0.25">
      <c r="A519" s="1021">
        <v>518</v>
      </c>
      <c r="B519" s="2004" t="s">
        <v>1405</v>
      </c>
      <c r="D519" s="1015"/>
    </row>
    <row r="520" spans="1:4" x14ac:dyDescent="0.25">
      <c r="A520" s="1021">
        <v>519</v>
      </c>
      <c r="B520" s="2039" t="s">
        <v>1406</v>
      </c>
      <c r="D520" s="1015"/>
    </row>
    <row r="521" spans="1:4" x14ac:dyDescent="0.25">
      <c r="A521" s="1021">
        <v>520</v>
      </c>
      <c r="B521" s="2012" t="s">
        <v>1407</v>
      </c>
      <c r="D521" s="1015"/>
    </row>
    <row r="522" spans="1:4" x14ac:dyDescent="0.25">
      <c r="A522" s="1021">
        <v>521</v>
      </c>
      <c r="B522" s="2004" t="s">
        <v>1408</v>
      </c>
      <c r="D522" s="1015"/>
    </row>
    <row r="523" spans="1:4" ht="33.75" x14ac:dyDescent="0.25">
      <c r="A523" s="1021">
        <v>522</v>
      </c>
      <c r="B523" s="2004" t="s">
        <v>1409</v>
      </c>
      <c r="D523" s="1015"/>
    </row>
    <row r="524" spans="1:4" ht="45" x14ac:dyDescent="0.25">
      <c r="A524" s="1021">
        <v>523</v>
      </c>
      <c r="B524" s="2004" t="s">
        <v>1410</v>
      </c>
      <c r="D524" s="1015"/>
    </row>
    <row r="525" spans="1:4" ht="56.25" x14ac:dyDescent="0.25">
      <c r="A525" s="1021">
        <v>524</v>
      </c>
      <c r="B525" s="2004" t="s">
        <v>1411</v>
      </c>
      <c r="D525" s="1015"/>
    </row>
    <row r="526" spans="1:4" ht="33.75" x14ac:dyDescent="0.25">
      <c r="A526" s="1021">
        <v>525</v>
      </c>
      <c r="B526" s="2004" t="s">
        <v>1412</v>
      </c>
      <c r="D526" s="1015"/>
    </row>
    <row r="527" spans="1:4" ht="22.5" x14ac:dyDescent="0.25">
      <c r="A527" s="1021">
        <v>526</v>
      </c>
      <c r="B527" s="2004" t="s">
        <v>1413</v>
      </c>
      <c r="D527" s="1015"/>
    </row>
    <row r="528" spans="1:4" x14ac:dyDescent="0.25">
      <c r="A528" s="1021">
        <v>527</v>
      </c>
      <c r="B528" s="2039" t="s">
        <v>1414</v>
      </c>
      <c r="D528" s="1015"/>
    </row>
    <row r="529" spans="1:4" x14ac:dyDescent="0.25">
      <c r="A529" s="1021">
        <v>528</v>
      </c>
      <c r="B529" s="2003" t="s">
        <v>1415</v>
      </c>
      <c r="D529" s="1015"/>
    </row>
    <row r="530" spans="1:4" x14ac:dyDescent="0.25">
      <c r="A530" s="1021">
        <v>529</v>
      </c>
      <c r="B530" s="1984" t="s">
        <v>1416</v>
      </c>
      <c r="D530" s="1015"/>
    </row>
    <row r="531" spans="1:4" ht="22.5" x14ac:dyDescent="0.25">
      <c r="A531" s="1021">
        <v>530</v>
      </c>
      <c r="B531" s="2004" t="s">
        <v>1417</v>
      </c>
      <c r="D531" s="1015"/>
    </row>
    <row r="532" spans="1:4" x14ac:dyDescent="0.25">
      <c r="A532" s="1021">
        <v>531</v>
      </c>
      <c r="B532" s="2033" t="s">
        <v>1418</v>
      </c>
      <c r="D532" s="1015"/>
    </row>
    <row r="533" spans="1:4" x14ac:dyDescent="0.25">
      <c r="A533" s="1021">
        <v>532</v>
      </c>
      <c r="B533" s="1984" t="s">
        <v>1419</v>
      </c>
      <c r="D533" s="1015"/>
    </row>
    <row r="534" spans="1:4" ht="22.5" x14ac:dyDescent="0.25">
      <c r="A534" s="1021">
        <v>533</v>
      </c>
      <c r="B534" s="2004" t="s">
        <v>1420</v>
      </c>
      <c r="D534" s="1015"/>
    </row>
    <row r="535" spans="1:4" x14ac:dyDescent="0.25">
      <c r="A535" s="1021">
        <v>534</v>
      </c>
      <c r="B535" s="2006" t="s">
        <v>1421</v>
      </c>
      <c r="D535" s="1015"/>
    </row>
    <row r="536" spans="1:4" x14ac:dyDescent="0.25">
      <c r="A536" s="1021">
        <v>535</v>
      </c>
      <c r="B536" s="2033" t="s">
        <v>1422</v>
      </c>
      <c r="D536" s="1015"/>
    </row>
    <row r="537" spans="1:4" ht="25.5" x14ac:dyDescent="0.25">
      <c r="A537" s="1021">
        <v>536</v>
      </c>
      <c r="B537" s="1984" t="s">
        <v>1423</v>
      </c>
      <c r="D537" s="1015"/>
    </row>
    <row r="538" spans="1:4" ht="22.5" x14ac:dyDescent="0.25">
      <c r="A538" s="1021">
        <v>537</v>
      </c>
      <c r="B538" s="2004" t="s">
        <v>1424</v>
      </c>
      <c r="D538" s="1015"/>
    </row>
    <row r="539" spans="1:4" ht="22.5" x14ac:dyDescent="0.25">
      <c r="A539" s="1021">
        <v>538</v>
      </c>
      <c r="B539" s="2004" t="s">
        <v>1425</v>
      </c>
      <c r="D539" s="1015"/>
    </row>
    <row r="540" spans="1:4" x14ac:dyDescent="0.25">
      <c r="A540" s="1021">
        <v>539</v>
      </c>
      <c r="B540" s="1984" t="s">
        <v>1426</v>
      </c>
      <c r="D540" s="1015"/>
    </row>
    <row r="541" spans="1:4" ht="33.75" x14ac:dyDescent="0.25">
      <c r="A541" s="1021">
        <v>540</v>
      </c>
      <c r="B541" s="2004" t="s">
        <v>1427</v>
      </c>
      <c r="D541" s="1015"/>
    </row>
    <row r="542" spans="1:4" x14ac:dyDescent="0.25">
      <c r="A542" s="1021">
        <v>541</v>
      </c>
      <c r="B542" s="2030" t="s">
        <v>1428</v>
      </c>
      <c r="D542" s="1015"/>
    </row>
    <row r="543" spans="1:4" x14ac:dyDescent="0.25">
      <c r="A543" s="1021">
        <v>542</v>
      </c>
      <c r="B543" s="1984" t="s">
        <v>1429</v>
      </c>
      <c r="D543" s="1015"/>
    </row>
    <row r="544" spans="1:4" x14ac:dyDescent="0.25">
      <c r="A544" s="1021">
        <v>543</v>
      </c>
      <c r="B544" s="2033" t="s">
        <v>1430</v>
      </c>
      <c r="D544" s="1015"/>
    </row>
    <row r="545" spans="1:4" x14ac:dyDescent="0.25">
      <c r="A545" s="1021">
        <v>544</v>
      </c>
      <c r="B545" s="1984" t="s">
        <v>1431</v>
      </c>
      <c r="D545" s="1015"/>
    </row>
    <row r="546" spans="1:4" ht="22.5" x14ac:dyDescent="0.25">
      <c r="A546" s="1021">
        <v>545</v>
      </c>
      <c r="B546" s="2004" t="s">
        <v>1432</v>
      </c>
      <c r="D546" s="1015"/>
    </row>
    <row r="547" spans="1:4" ht="22.5" x14ac:dyDescent="0.25">
      <c r="A547" s="1021">
        <v>546</v>
      </c>
      <c r="B547" s="2004" t="s">
        <v>1433</v>
      </c>
      <c r="D547" s="1015"/>
    </row>
    <row r="548" spans="1:4" x14ac:dyDescent="0.25">
      <c r="A548" s="1021">
        <v>547</v>
      </c>
      <c r="B548" s="2033" t="s">
        <v>1434</v>
      </c>
      <c r="D548" s="1015"/>
    </row>
    <row r="549" spans="1:4" x14ac:dyDescent="0.25">
      <c r="A549" s="1021">
        <v>548</v>
      </c>
      <c r="B549" s="2003" t="s">
        <v>1435</v>
      </c>
      <c r="D549" s="1015"/>
    </row>
    <row r="550" spans="1:4" ht="22.5" x14ac:dyDescent="0.25">
      <c r="A550" s="1021">
        <v>549</v>
      </c>
      <c r="B550" s="2004" t="s">
        <v>1436</v>
      </c>
      <c r="D550" s="1015"/>
    </row>
    <row r="551" spans="1:4" x14ac:dyDescent="0.25">
      <c r="A551" s="1021">
        <v>550</v>
      </c>
      <c r="B551" s="2004" t="s">
        <v>1437</v>
      </c>
      <c r="D551" s="1015"/>
    </row>
    <row r="552" spans="1:4" ht="22.5" x14ac:dyDescent="0.25">
      <c r="A552" s="1021">
        <v>551</v>
      </c>
      <c r="B552" s="2004" t="s">
        <v>1438</v>
      </c>
      <c r="D552" s="1015"/>
    </row>
    <row r="553" spans="1:4" ht="25.5" x14ac:dyDescent="0.25">
      <c r="A553" s="1021">
        <v>552</v>
      </c>
      <c r="B553" s="1984" t="s">
        <v>1439</v>
      </c>
      <c r="D553" s="1015"/>
    </row>
    <row r="554" spans="1:4" ht="33.75" x14ac:dyDescent="0.25">
      <c r="A554" s="1021">
        <v>553</v>
      </c>
      <c r="B554" s="2004" t="s">
        <v>1440</v>
      </c>
      <c r="D554" s="1015"/>
    </row>
    <row r="555" spans="1:4" ht="45" x14ac:dyDescent="0.25">
      <c r="A555" s="1021">
        <v>554</v>
      </c>
      <c r="B555" s="2004" t="s">
        <v>1441</v>
      </c>
      <c r="D555" s="1015"/>
    </row>
    <row r="556" spans="1:4" x14ac:dyDescent="0.25">
      <c r="A556" s="1021">
        <v>555</v>
      </c>
      <c r="B556" s="2033" t="s">
        <v>1442</v>
      </c>
      <c r="D556" s="1015"/>
    </row>
    <row r="557" spans="1:4" x14ac:dyDescent="0.25">
      <c r="A557" s="1021">
        <v>556</v>
      </c>
      <c r="B557" s="2033" t="s">
        <v>1443</v>
      </c>
      <c r="D557" s="1015"/>
    </row>
    <row r="558" spans="1:4" x14ac:dyDescent="0.25">
      <c r="A558" s="1021">
        <v>557</v>
      </c>
      <c r="B558" s="2033" t="s">
        <v>1444</v>
      </c>
      <c r="D558" s="1015"/>
    </row>
    <row r="559" spans="1:4" ht="25.5" x14ac:dyDescent="0.25">
      <c r="A559" s="1021">
        <v>558</v>
      </c>
      <c r="B559" s="1984" t="s">
        <v>1445</v>
      </c>
      <c r="D559" s="1015"/>
    </row>
    <row r="560" spans="1:4" ht="33.75" x14ac:dyDescent="0.25">
      <c r="A560" s="1021">
        <v>559</v>
      </c>
      <c r="B560" s="2004" t="s">
        <v>2328</v>
      </c>
      <c r="D560" s="1015"/>
    </row>
    <row r="561" spans="1:4" x14ac:dyDescent="0.25">
      <c r="A561" s="1021">
        <v>560</v>
      </c>
      <c r="B561" s="2004" t="s">
        <v>1446</v>
      </c>
      <c r="D561" s="1015"/>
    </row>
    <row r="562" spans="1:4" x14ac:dyDescent="0.25">
      <c r="A562" s="1021">
        <v>561</v>
      </c>
      <c r="B562" s="2006" t="s">
        <v>1447</v>
      </c>
      <c r="D562" s="1015"/>
    </row>
    <row r="563" spans="1:4" x14ac:dyDescent="0.25">
      <c r="A563" s="1021">
        <v>562</v>
      </c>
      <c r="B563" s="1984" t="s">
        <v>1448</v>
      </c>
      <c r="D563" s="1015"/>
    </row>
    <row r="564" spans="1:4" ht="21" x14ac:dyDescent="0.25">
      <c r="A564" s="1021">
        <v>563</v>
      </c>
      <c r="B564" s="2012" t="s">
        <v>1449</v>
      </c>
      <c r="D564" s="1015"/>
    </row>
    <row r="565" spans="1:4" ht="21" x14ac:dyDescent="0.25">
      <c r="A565" s="1021">
        <v>564</v>
      </c>
      <c r="B565" s="2012" t="s">
        <v>1450</v>
      </c>
      <c r="D565" s="1015"/>
    </row>
    <row r="566" spans="1:4" ht="25.5" x14ac:dyDescent="0.25">
      <c r="A566" s="1021">
        <v>565</v>
      </c>
      <c r="B566" s="2006" t="s">
        <v>1451</v>
      </c>
      <c r="D566" s="1015"/>
    </row>
    <row r="567" spans="1:4" x14ac:dyDescent="0.25">
      <c r="A567" s="1021">
        <v>566</v>
      </c>
      <c r="B567" s="2030" t="s">
        <v>1452</v>
      </c>
      <c r="D567" s="1015"/>
    </row>
    <row r="568" spans="1:4" ht="25.5" x14ac:dyDescent="0.25">
      <c r="A568" s="1021">
        <v>567</v>
      </c>
      <c r="B568" s="2006" t="s">
        <v>1453</v>
      </c>
      <c r="D568" s="1015"/>
    </row>
    <row r="569" spans="1:4" x14ac:dyDescent="0.25">
      <c r="A569" s="1021">
        <v>568</v>
      </c>
      <c r="B569" s="2030" t="s">
        <v>1454</v>
      </c>
      <c r="D569" s="1015"/>
    </row>
    <row r="570" spans="1:4" x14ac:dyDescent="0.25">
      <c r="A570" s="1021">
        <v>569</v>
      </c>
      <c r="B570" s="1984" t="s">
        <v>1455</v>
      </c>
      <c r="D570" s="1015"/>
    </row>
    <row r="571" spans="1:4" x14ac:dyDescent="0.25">
      <c r="A571" s="1021">
        <v>570</v>
      </c>
      <c r="B571" s="2004" t="s">
        <v>1456</v>
      </c>
      <c r="D571" s="1015"/>
    </row>
    <row r="572" spans="1:4" x14ac:dyDescent="0.25">
      <c r="A572" s="1021">
        <v>571</v>
      </c>
      <c r="B572" s="2033" t="s">
        <v>1457</v>
      </c>
      <c r="D572" s="1015"/>
    </row>
    <row r="573" spans="1:4" ht="30" x14ac:dyDescent="0.25">
      <c r="A573" s="1021">
        <v>572</v>
      </c>
      <c r="B573" s="2003" t="s">
        <v>1458</v>
      </c>
      <c r="D573" s="1015"/>
    </row>
    <row r="574" spans="1:4" ht="25.5" x14ac:dyDescent="0.25">
      <c r="A574" s="1021">
        <v>573</v>
      </c>
      <c r="B574" s="1984" t="s">
        <v>1459</v>
      </c>
      <c r="D574" s="1015"/>
    </row>
    <row r="575" spans="1:4" x14ac:dyDescent="0.25">
      <c r="A575" s="1021">
        <v>574</v>
      </c>
      <c r="B575" s="2030" t="s">
        <v>1460</v>
      </c>
      <c r="D575" s="1015"/>
    </row>
    <row r="576" spans="1:4" ht="22.5" x14ac:dyDescent="0.25">
      <c r="A576" s="1021">
        <v>575</v>
      </c>
      <c r="B576" s="2004" t="s">
        <v>1461</v>
      </c>
      <c r="D576" s="1015"/>
    </row>
    <row r="577" spans="1:4" ht="22.5" x14ac:dyDescent="0.25">
      <c r="A577" s="1021">
        <v>576</v>
      </c>
      <c r="B577" s="1995" t="s">
        <v>1462</v>
      </c>
      <c r="D577" s="1015"/>
    </row>
    <row r="578" spans="1:4" x14ac:dyDescent="0.25">
      <c r="A578" s="1021">
        <v>577</v>
      </c>
      <c r="B578" s="2007" t="s">
        <v>1463</v>
      </c>
      <c r="D578" s="1015"/>
    </row>
    <row r="579" spans="1:4" x14ac:dyDescent="0.25">
      <c r="A579" s="1021">
        <v>578</v>
      </c>
      <c r="B579" s="2008" t="s">
        <v>1464</v>
      </c>
      <c r="D579" s="1015"/>
    </row>
    <row r="580" spans="1:4" x14ac:dyDescent="0.25">
      <c r="A580" s="1021">
        <v>579</v>
      </c>
      <c r="B580" s="1984" t="s">
        <v>1465</v>
      </c>
      <c r="D580" s="1015"/>
    </row>
    <row r="581" spans="1:4" x14ac:dyDescent="0.25">
      <c r="A581" s="1021">
        <v>580</v>
      </c>
      <c r="B581" s="2040" t="s">
        <v>1466</v>
      </c>
      <c r="D581" s="1015"/>
    </row>
    <row r="582" spans="1:4" ht="25.5" x14ac:dyDescent="0.25">
      <c r="A582" s="1021">
        <v>581</v>
      </c>
      <c r="B582" s="1984" t="s">
        <v>1467</v>
      </c>
      <c r="D582" s="1015"/>
    </row>
    <row r="583" spans="1:4" x14ac:dyDescent="0.25">
      <c r="A583" s="1021">
        <v>582</v>
      </c>
      <c r="B583" s="1995" t="s">
        <v>1468</v>
      </c>
      <c r="D583" s="1015"/>
    </row>
    <row r="584" spans="1:4" x14ac:dyDescent="0.25">
      <c r="A584" s="1021">
        <v>583</v>
      </c>
      <c r="B584" s="2030" t="s">
        <v>1469</v>
      </c>
      <c r="D584" s="1015"/>
    </row>
    <row r="585" spans="1:4" ht="25.5" x14ac:dyDescent="0.25">
      <c r="A585" s="1021">
        <v>584</v>
      </c>
      <c r="B585" s="1984" t="s">
        <v>1470</v>
      </c>
      <c r="D585" s="1015"/>
    </row>
    <row r="586" spans="1:4" x14ac:dyDescent="0.25">
      <c r="A586" s="1021">
        <v>585</v>
      </c>
      <c r="B586" s="2006" t="s">
        <v>1471</v>
      </c>
      <c r="D586" s="1015"/>
    </row>
    <row r="587" spans="1:4" x14ac:dyDescent="0.25">
      <c r="A587" s="1021">
        <v>586</v>
      </c>
      <c r="B587" s="2033" t="s">
        <v>1472</v>
      </c>
      <c r="D587" s="1015"/>
    </row>
    <row r="588" spans="1:4" x14ac:dyDescent="0.25">
      <c r="A588" s="1021">
        <v>587</v>
      </c>
      <c r="B588" s="1984" t="s">
        <v>1473</v>
      </c>
      <c r="D588" s="1015"/>
    </row>
    <row r="589" spans="1:4" ht="22.5" x14ac:dyDescent="0.25">
      <c r="A589" s="1021">
        <v>588</v>
      </c>
      <c r="B589" s="2004" t="s">
        <v>1474</v>
      </c>
      <c r="D589" s="1015"/>
    </row>
    <row r="590" spans="1:4" ht="22.5" x14ac:dyDescent="0.25">
      <c r="A590" s="1021">
        <v>589</v>
      </c>
      <c r="B590" s="2004" t="s">
        <v>1475</v>
      </c>
      <c r="D590" s="1015"/>
    </row>
    <row r="591" spans="1:4" x14ac:dyDescent="0.25">
      <c r="A591" s="1021">
        <v>590</v>
      </c>
      <c r="B591" s="2030" t="s">
        <v>1476</v>
      </c>
      <c r="D591" s="1015"/>
    </row>
    <row r="592" spans="1:4" x14ac:dyDescent="0.25">
      <c r="A592" s="1021">
        <v>591</v>
      </c>
      <c r="B592" s="2030" t="s">
        <v>1477</v>
      </c>
      <c r="D592" s="1015"/>
    </row>
    <row r="593" spans="1:4" ht="25.5" x14ac:dyDescent="0.25">
      <c r="A593" s="1021">
        <v>592</v>
      </c>
      <c r="B593" s="2006" t="s">
        <v>1478</v>
      </c>
      <c r="D593" s="1015"/>
    </row>
    <row r="594" spans="1:4" x14ac:dyDescent="0.25">
      <c r="A594" s="1021">
        <v>593</v>
      </c>
      <c r="B594" s="2030" t="s">
        <v>1479</v>
      </c>
      <c r="D594" s="1015"/>
    </row>
    <row r="595" spans="1:4" ht="25.5" x14ac:dyDescent="0.25">
      <c r="A595" s="1021">
        <v>594</v>
      </c>
      <c r="B595" s="1984" t="s">
        <v>1480</v>
      </c>
      <c r="D595" s="1015"/>
    </row>
    <row r="596" spans="1:4" ht="21" x14ac:dyDescent="0.25">
      <c r="A596" s="1021">
        <v>595</v>
      </c>
      <c r="B596" s="2012" t="s">
        <v>1481</v>
      </c>
      <c r="D596" s="1015"/>
    </row>
    <row r="597" spans="1:4" ht="21" x14ac:dyDescent="0.25">
      <c r="A597" s="1021">
        <v>596</v>
      </c>
      <c r="B597" s="2012" t="s">
        <v>1482</v>
      </c>
      <c r="D597" s="1015"/>
    </row>
    <row r="598" spans="1:4" x14ac:dyDescent="0.25">
      <c r="A598" s="1021">
        <v>597</v>
      </c>
      <c r="B598" s="2030" t="s">
        <v>1483</v>
      </c>
      <c r="D598" s="1015"/>
    </row>
    <row r="599" spans="1:4" x14ac:dyDescent="0.25">
      <c r="A599" s="1021">
        <v>598</v>
      </c>
      <c r="B599" s="1984" t="s">
        <v>1484</v>
      </c>
      <c r="D599" s="1015"/>
    </row>
    <row r="600" spans="1:4" ht="22.5" x14ac:dyDescent="0.25">
      <c r="A600" s="1021">
        <v>599</v>
      </c>
      <c r="B600" s="2004" t="s">
        <v>1485</v>
      </c>
      <c r="D600" s="1015"/>
    </row>
    <row r="601" spans="1:4" ht="25.5" x14ac:dyDescent="0.25">
      <c r="A601" s="1021">
        <v>600</v>
      </c>
      <c r="B601" s="1984" t="s">
        <v>1486</v>
      </c>
      <c r="D601" s="1015"/>
    </row>
    <row r="602" spans="1:4" ht="22.5" x14ac:dyDescent="0.25">
      <c r="A602" s="1021">
        <v>601</v>
      </c>
      <c r="B602" s="2004" t="s">
        <v>1487</v>
      </c>
      <c r="D602" s="1015"/>
    </row>
    <row r="603" spans="1:4" ht="45" x14ac:dyDescent="0.25">
      <c r="A603" s="1021">
        <v>602</v>
      </c>
      <c r="B603" s="2004" t="s">
        <v>1488</v>
      </c>
      <c r="D603" s="1015"/>
    </row>
    <row r="604" spans="1:4" ht="21.75" thickBot="1" x14ac:dyDescent="0.3">
      <c r="A604" s="1021">
        <v>603</v>
      </c>
      <c r="B604" s="2012" t="s">
        <v>1489</v>
      </c>
      <c r="D604" s="1015"/>
    </row>
    <row r="605" spans="1:4" x14ac:dyDescent="0.25">
      <c r="A605" s="1021">
        <v>604</v>
      </c>
      <c r="B605" s="2041" t="s">
        <v>1490</v>
      </c>
      <c r="D605" s="1015"/>
    </row>
    <row r="606" spans="1:4" ht="15.75" x14ac:dyDescent="0.25">
      <c r="A606" s="1021">
        <v>605</v>
      </c>
      <c r="B606" s="1987" t="s">
        <v>1491</v>
      </c>
      <c r="D606" s="1015"/>
    </row>
    <row r="607" spans="1:4" x14ac:dyDescent="0.25">
      <c r="A607" s="1021">
        <v>606</v>
      </c>
      <c r="B607" s="2003" t="s">
        <v>1492</v>
      </c>
      <c r="D607" s="1015"/>
    </row>
    <row r="608" spans="1:4" ht="31.5" x14ac:dyDescent="0.25">
      <c r="A608" s="1021">
        <v>607</v>
      </c>
      <c r="B608" s="2012" t="s">
        <v>1493</v>
      </c>
      <c r="D608" s="1015"/>
    </row>
    <row r="609" spans="1:4" ht="21" x14ac:dyDescent="0.25">
      <c r="A609" s="1021">
        <v>608</v>
      </c>
      <c r="B609" s="2012" t="s">
        <v>1494</v>
      </c>
      <c r="D609" s="1015"/>
    </row>
    <row r="610" spans="1:4" ht="25.5" x14ac:dyDescent="0.25">
      <c r="A610" s="1021">
        <v>609</v>
      </c>
      <c r="B610" s="1984" t="s">
        <v>1495</v>
      </c>
      <c r="D610" s="1015"/>
    </row>
    <row r="611" spans="1:4" x14ac:dyDescent="0.25">
      <c r="A611" s="1021">
        <v>610</v>
      </c>
      <c r="B611" s="2004" t="s">
        <v>1496</v>
      </c>
      <c r="D611" s="1015"/>
    </row>
    <row r="612" spans="1:4" ht="25.5" x14ac:dyDescent="0.25">
      <c r="A612" s="1021">
        <v>611</v>
      </c>
      <c r="B612" s="1984" t="s">
        <v>1497</v>
      </c>
      <c r="D612" s="1015"/>
    </row>
    <row r="613" spans="1:4" ht="22.5" x14ac:dyDescent="0.25">
      <c r="A613" s="1021">
        <v>612</v>
      </c>
      <c r="B613" s="2004" t="s">
        <v>1498</v>
      </c>
      <c r="D613" s="1015"/>
    </row>
    <row r="614" spans="1:4" x14ac:dyDescent="0.25">
      <c r="A614" s="1021">
        <v>613</v>
      </c>
      <c r="B614" s="2006" t="s">
        <v>1499</v>
      </c>
      <c r="D614" s="1015"/>
    </row>
    <row r="615" spans="1:4" ht="25.5" x14ac:dyDescent="0.25">
      <c r="A615" s="1021">
        <v>614</v>
      </c>
      <c r="B615" s="1984" t="s">
        <v>1500</v>
      </c>
      <c r="D615" s="1015"/>
    </row>
    <row r="616" spans="1:4" x14ac:dyDescent="0.25">
      <c r="A616" s="1021">
        <v>615</v>
      </c>
      <c r="B616" s="1976" t="s">
        <v>1501</v>
      </c>
      <c r="D616" s="1015"/>
    </row>
    <row r="617" spans="1:4" ht="22.5" x14ac:dyDescent="0.25">
      <c r="A617" s="1021">
        <v>616</v>
      </c>
      <c r="B617" s="2004" t="s">
        <v>1502</v>
      </c>
      <c r="D617" s="1015"/>
    </row>
    <row r="618" spans="1:4" x14ac:dyDescent="0.25">
      <c r="A618" s="1021">
        <v>617</v>
      </c>
      <c r="B618" s="2006" t="s">
        <v>1503</v>
      </c>
      <c r="D618" s="1015"/>
    </row>
    <row r="619" spans="1:4" x14ac:dyDescent="0.25">
      <c r="A619" s="1021">
        <v>618</v>
      </c>
      <c r="B619" s="2042" t="s">
        <v>1504</v>
      </c>
      <c r="D619" s="1015"/>
    </row>
    <row r="620" spans="1:4" x14ac:dyDescent="0.25">
      <c r="A620" s="1021">
        <v>619</v>
      </c>
      <c r="B620" s="2043" t="s">
        <v>1505</v>
      </c>
      <c r="D620" s="1015"/>
    </row>
    <row r="621" spans="1:4" x14ac:dyDescent="0.25">
      <c r="A621" s="1021">
        <v>620</v>
      </c>
      <c r="B621" s="1984" t="s">
        <v>1506</v>
      </c>
      <c r="D621" s="1015"/>
    </row>
    <row r="622" spans="1:4" x14ac:dyDescent="0.25">
      <c r="A622" s="1021">
        <v>621</v>
      </c>
      <c r="B622" s="2030" t="s">
        <v>1507</v>
      </c>
      <c r="D622" s="1015"/>
    </row>
    <row r="623" spans="1:4" x14ac:dyDescent="0.25">
      <c r="A623" s="1021">
        <v>622</v>
      </c>
      <c r="B623" s="1984" t="s">
        <v>1508</v>
      </c>
      <c r="D623" s="1015"/>
    </row>
    <row r="624" spans="1:4" x14ac:dyDescent="0.25">
      <c r="A624" s="1021">
        <v>623</v>
      </c>
      <c r="B624" s="2004" t="s">
        <v>1509</v>
      </c>
      <c r="D624" s="1015"/>
    </row>
    <row r="625" spans="1:4" x14ac:dyDescent="0.25">
      <c r="A625" s="1021">
        <v>624</v>
      </c>
      <c r="B625" s="1984" t="s">
        <v>1510</v>
      </c>
      <c r="D625" s="1015"/>
    </row>
    <row r="626" spans="1:4" x14ac:dyDescent="0.25">
      <c r="A626" s="1021">
        <v>625</v>
      </c>
      <c r="B626" s="1984" t="s">
        <v>1511</v>
      </c>
      <c r="D626" s="1015"/>
    </row>
    <row r="627" spans="1:4" x14ac:dyDescent="0.25">
      <c r="A627" s="1021">
        <v>626</v>
      </c>
      <c r="B627" s="2030" t="s">
        <v>1512</v>
      </c>
      <c r="D627" s="1015"/>
    </row>
    <row r="628" spans="1:4" x14ac:dyDescent="0.25">
      <c r="A628" s="1021">
        <v>627</v>
      </c>
      <c r="B628" s="1984" t="s">
        <v>1513</v>
      </c>
      <c r="D628" s="1015"/>
    </row>
    <row r="629" spans="1:4" ht="22.5" x14ac:dyDescent="0.25">
      <c r="A629" s="1021">
        <v>628</v>
      </c>
      <c r="B629" s="2004" t="s">
        <v>1514</v>
      </c>
      <c r="D629" s="1015"/>
    </row>
    <row r="630" spans="1:4" x14ac:dyDescent="0.25">
      <c r="A630" s="1021">
        <v>629</v>
      </c>
      <c r="B630" s="2006" t="s">
        <v>1515</v>
      </c>
      <c r="D630" s="1015"/>
    </row>
    <row r="631" spans="1:4" x14ac:dyDescent="0.25">
      <c r="A631" s="1021">
        <v>630</v>
      </c>
      <c r="B631" s="1984" t="s">
        <v>1516</v>
      </c>
      <c r="D631" s="1015"/>
    </row>
    <row r="632" spans="1:4" ht="22.5" x14ac:dyDescent="0.25">
      <c r="A632" s="1021">
        <v>631</v>
      </c>
      <c r="B632" s="2004" t="s">
        <v>1517</v>
      </c>
      <c r="D632" s="1015"/>
    </row>
    <row r="633" spans="1:4" x14ac:dyDescent="0.25">
      <c r="A633" s="1021">
        <v>632</v>
      </c>
      <c r="B633" s="1984" t="s">
        <v>1518</v>
      </c>
      <c r="D633" s="1015"/>
    </row>
    <row r="634" spans="1:4" x14ac:dyDescent="0.25">
      <c r="A634" s="1021">
        <v>633</v>
      </c>
      <c r="B634" s="2009" t="s">
        <v>1519</v>
      </c>
      <c r="D634" s="1015"/>
    </row>
    <row r="635" spans="1:4" x14ac:dyDescent="0.25">
      <c r="A635" s="1021">
        <v>634</v>
      </c>
      <c r="B635" s="1984" t="s">
        <v>1520</v>
      </c>
      <c r="D635" s="1015"/>
    </row>
    <row r="636" spans="1:4" x14ac:dyDescent="0.25">
      <c r="A636" s="1021">
        <v>635</v>
      </c>
      <c r="B636" s="2030" t="s">
        <v>1521</v>
      </c>
      <c r="D636" s="1015"/>
    </row>
    <row r="637" spans="1:4" ht="25.5" x14ac:dyDescent="0.25">
      <c r="A637" s="1021">
        <v>636</v>
      </c>
      <c r="B637" s="1984" t="s">
        <v>1522</v>
      </c>
      <c r="D637" s="1015"/>
    </row>
    <row r="638" spans="1:4" ht="22.5" x14ac:dyDescent="0.25">
      <c r="A638" s="1021">
        <v>637</v>
      </c>
      <c r="B638" s="2004" t="s">
        <v>1523</v>
      </c>
      <c r="D638" s="1015"/>
    </row>
    <row r="639" spans="1:4" ht="22.5" x14ac:dyDescent="0.25">
      <c r="A639" s="1021">
        <v>638</v>
      </c>
      <c r="B639" s="2004" t="s">
        <v>1524</v>
      </c>
      <c r="D639" s="1015"/>
    </row>
    <row r="640" spans="1:4" x14ac:dyDescent="0.25">
      <c r="A640" s="1021">
        <v>639</v>
      </c>
      <c r="B640" s="2038" t="s">
        <v>1525</v>
      </c>
      <c r="D640" s="1015"/>
    </row>
    <row r="641" spans="1:4" x14ac:dyDescent="0.25">
      <c r="A641" s="1021">
        <v>640</v>
      </c>
      <c r="B641" s="1984" t="s">
        <v>1526</v>
      </c>
      <c r="D641" s="1015"/>
    </row>
    <row r="642" spans="1:4" ht="22.5" x14ac:dyDescent="0.25">
      <c r="A642" s="1021">
        <v>641</v>
      </c>
      <c r="B642" s="2004" t="s">
        <v>1527</v>
      </c>
      <c r="D642" s="1015"/>
    </row>
    <row r="643" spans="1:4" x14ac:dyDescent="0.25">
      <c r="A643" s="1021">
        <v>642</v>
      </c>
      <c r="B643" s="2030" t="s">
        <v>1528</v>
      </c>
      <c r="D643" s="1015"/>
    </row>
    <row r="644" spans="1:4" x14ac:dyDescent="0.25">
      <c r="A644" s="1021">
        <v>643</v>
      </c>
      <c r="B644" s="2030" t="s">
        <v>1529</v>
      </c>
      <c r="D644" s="1015"/>
    </row>
    <row r="645" spans="1:4" x14ac:dyDescent="0.25">
      <c r="A645" s="1021">
        <v>644</v>
      </c>
      <c r="B645" s="2003" t="s">
        <v>1530</v>
      </c>
      <c r="D645" s="1015"/>
    </row>
    <row r="646" spans="1:4" x14ac:dyDescent="0.25">
      <c r="A646" s="1021">
        <v>645</v>
      </c>
      <c r="B646" s="1984" t="s">
        <v>1531</v>
      </c>
      <c r="D646" s="1015"/>
    </row>
    <row r="647" spans="1:4" ht="33.75" x14ac:dyDescent="0.25">
      <c r="A647" s="1021">
        <v>646</v>
      </c>
      <c r="B647" s="2004" t="s">
        <v>1532</v>
      </c>
      <c r="D647" s="1015"/>
    </row>
    <row r="648" spans="1:4" x14ac:dyDescent="0.25">
      <c r="A648" s="1021">
        <v>647</v>
      </c>
      <c r="B648" s="1984" t="s">
        <v>1533</v>
      </c>
      <c r="D648" s="1015"/>
    </row>
    <row r="649" spans="1:4" ht="22.5" x14ac:dyDescent="0.25">
      <c r="A649" s="1021">
        <v>648</v>
      </c>
      <c r="B649" s="2004" t="s">
        <v>1534</v>
      </c>
      <c r="D649" s="1015"/>
    </row>
    <row r="650" spans="1:4" x14ac:dyDescent="0.25">
      <c r="A650" s="1021">
        <v>649</v>
      </c>
      <c r="B650" s="2033" t="s">
        <v>1535</v>
      </c>
      <c r="D650" s="1015"/>
    </row>
    <row r="651" spans="1:4" x14ac:dyDescent="0.25">
      <c r="A651" s="1021">
        <v>650</v>
      </c>
      <c r="B651" s="2033" t="s">
        <v>1536</v>
      </c>
      <c r="D651" s="1015"/>
    </row>
    <row r="652" spans="1:4" x14ac:dyDescent="0.25">
      <c r="A652" s="1021">
        <v>651</v>
      </c>
      <c r="B652" s="2006" t="s">
        <v>1537</v>
      </c>
      <c r="D652" s="1015"/>
    </row>
    <row r="653" spans="1:4" x14ac:dyDescent="0.25">
      <c r="A653" s="1021">
        <v>652</v>
      </c>
      <c r="B653" s="2033" t="s">
        <v>1538</v>
      </c>
      <c r="D653" s="1015"/>
    </row>
    <row r="654" spans="1:4" x14ac:dyDescent="0.25">
      <c r="A654" s="1021">
        <v>653</v>
      </c>
      <c r="B654" s="2006" t="s">
        <v>1539</v>
      </c>
      <c r="D654" s="1015"/>
    </row>
    <row r="655" spans="1:4" x14ac:dyDescent="0.25">
      <c r="A655" s="1021">
        <v>654</v>
      </c>
      <c r="B655" s="2033" t="s">
        <v>1540</v>
      </c>
      <c r="D655" s="1015"/>
    </row>
    <row r="656" spans="1:4" x14ac:dyDescent="0.25">
      <c r="A656" s="1021">
        <v>655</v>
      </c>
      <c r="B656" s="2006" t="s">
        <v>1541</v>
      </c>
      <c r="D656" s="1015"/>
    </row>
    <row r="657" spans="1:4" x14ac:dyDescent="0.25">
      <c r="A657" s="1021">
        <v>656</v>
      </c>
      <c r="B657" s="2033" t="s">
        <v>1542</v>
      </c>
      <c r="D657" s="1015"/>
    </row>
    <row r="658" spans="1:4" x14ac:dyDescent="0.25">
      <c r="A658" s="1021">
        <v>657</v>
      </c>
      <c r="B658" s="2006" t="s">
        <v>1543</v>
      </c>
      <c r="D658" s="1015"/>
    </row>
    <row r="659" spans="1:4" x14ac:dyDescent="0.25">
      <c r="A659" s="1021">
        <v>658</v>
      </c>
      <c r="B659" s="2033" t="s">
        <v>1544</v>
      </c>
      <c r="D659" s="1015"/>
    </row>
    <row r="660" spans="1:4" ht="25.5" x14ac:dyDescent="0.25">
      <c r="A660" s="1021">
        <v>659</v>
      </c>
      <c r="B660" s="2006" t="s">
        <v>1545</v>
      </c>
      <c r="D660" s="1015"/>
    </row>
    <row r="661" spans="1:4" x14ac:dyDescent="0.25">
      <c r="A661" s="1021">
        <v>660</v>
      </c>
      <c r="B661" s="2033" t="s">
        <v>1546</v>
      </c>
      <c r="D661" s="1015"/>
    </row>
    <row r="662" spans="1:4" ht="15.75" thickBot="1" x14ac:dyDescent="0.3">
      <c r="A662" s="1021">
        <v>661</v>
      </c>
      <c r="B662" s="2030" t="s">
        <v>1547</v>
      </c>
      <c r="D662" s="1015"/>
    </row>
    <row r="663" spans="1:4" x14ac:dyDescent="0.25">
      <c r="A663" s="1021">
        <v>662</v>
      </c>
      <c r="B663" s="2002" t="s">
        <v>1548</v>
      </c>
      <c r="D663" s="1015"/>
    </row>
    <row r="664" spans="1:4" ht="36" x14ac:dyDescent="0.25">
      <c r="A664" s="1021">
        <v>663</v>
      </c>
      <c r="B664" s="1986" t="s">
        <v>1549</v>
      </c>
      <c r="D664" s="1015"/>
    </row>
    <row r="665" spans="1:4" ht="25.5" x14ac:dyDescent="0.25">
      <c r="A665" s="1021">
        <v>664</v>
      </c>
      <c r="B665" s="2044" t="s">
        <v>1550</v>
      </c>
      <c r="D665" s="1015"/>
    </row>
    <row r="666" spans="1:4" ht="15.75" x14ac:dyDescent="0.25">
      <c r="A666" s="1021">
        <v>665</v>
      </c>
      <c r="B666" s="1987" t="s">
        <v>1551</v>
      </c>
      <c r="D666" s="1015"/>
    </row>
    <row r="667" spans="1:4" x14ac:dyDescent="0.25">
      <c r="A667" s="1021">
        <v>666</v>
      </c>
      <c r="B667" s="2045" t="s">
        <v>1552</v>
      </c>
      <c r="D667" s="1015"/>
    </row>
    <row r="668" spans="1:4" ht="21" x14ac:dyDescent="0.25">
      <c r="A668" s="1021">
        <v>667</v>
      </c>
      <c r="B668" s="2045" t="s">
        <v>1553</v>
      </c>
      <c r="D668" s="1015"/>
    </row>
    <row r="669" spans="1:4" ht="21" x14ac:dyDescent="0.25">
      <c r="A669" s="1021">
        <v>668</v>
      </c>
      <c r="B669" s="2045" t="s">
        <v>1554</v>
      </c>
      <c r="D669" s="1015"/>
    </row>
    <row r="670" spans="1:4" x14ac:dyDescent="0.25">
      <c r="A670" s="1021">
        <v>669</v>
      </c>
      <c r="B670" s="1984" t="s">
        <v>1555</v>
      </c>
      <c r="D670" s="1015"/>
    </row>
    <row r="671" spans="1:4" ht="22.5" x14ac:dyDescent="0.25">
      <c r="A671" s="1021">
        <v>670</v>
      </c>
      <c r="B671" s="2004" t="s">
        <v>1556</v>
      </c>
      <c r="D671" s="1015"/>
    </row>
    <row r="672" spans="1:4" ht="22.5" x14ac:dyDescent="0.25">
      <c r="A672" s="1021">
        <v>671</v>
      </c>
      <c r="B672" s="2004" t="s">
        <v>2329</v>
      </c>
      <c r="D672" s="1015"/>
    </row>
    <row r="673" spans="1:4" ht="22.5" x14ac:dyDescent="0.25">
      <c r="A673" s="1021">
        <v>672</v>
      </c>
      <c r="B673" s="2004" t="s">
        <v>1557</v>
      </c>
      <c r="D673" s="1015"/>
    </row>
    <row r="674" spans="1:4" ht="45" x14ac:dyDescent="0.25">
      <c r="A674" s="1021">
        <v>673</v>
      </c>
      <c r="B674" s="2004" t="s">
        <v>1558</v>
      </c>
      <c r="D674" s="1015"/>
    </row>
    <row r="675" spans="1:4" ht="33.75" x14ac:dyDescent="0.25">
      <c r="A675" s="1021">
        <v>674</v>
      </c>
      <c r="B675" s="2004" t="s">
        <v>1559</v>
      </c>
      <c r="D675" s="1015"/>
    </row>
    <row r="676" spans="1:4" x14ac:dyDescent="0.25">
      <c r="A676" s="1021">
        <v>675</v>
      </c>
      <c r="B676" s="2006" t="s">
        <v>1560</v>
      </c>
      <c r="D676" s="1015"/>
    </row>
    <row r="677" spans="1:4" x14ac:dyDescent="0.25">
      <c r="A677" s="1021">
        <v>676</v>
      </c>
      <c r="B677" s="2046" t="s">
        <v>1561</v>
      </c>
      <c r="D677" s="1015"/>
    </row>
    <row r="678" spans="1:4" x14ac:dyDescent="0.25">
      <c r="A678" s="1021">
        <v>677</v>
      </c>
      <c r="B678" s="2046" t="s">
        <v>1562</v>
      </c>
      <c r="D678" s="1015"/>
    </row>
    <row r="679" spans="1:4" x14ac:dyDescent="0.25">
      <c r="A679" s="1021">
        <v>678</v>
      </c>
      <c r="B679" s="1984" t="s">
        <v>1563</v>
      </c>
      <c r="D679" s="1015"/>
    </row>
    <row r="680" spans="1:4" ht="22.5" x14ac:dyDescent="0.25">
      <c r="A680" s="1021">
        <v>679</v>
      </c>
      <c r="B680" s="2004" t="s">
        <v>1564</v>
      </c>
      <c r="D680" s="1015"/>
    </row>
    <row r="681" spans="1:4" x14ac:dyDescent="0.25">
      <c r="A681" s="1021">
        <v>680</v>
      </c>
      <c r="B681" s="2003" t="s">
        <v>1565</v>
      </c>
      <c r="D681" s="1015"/>
    </row>
    <row r="682" spans="1:4" x14ac:dyDescent="0.25">
      <c r="A682" s="1021">
        <v>681</v>
      </c>
      <c r="B682" s="1984" t="s">
        <v>1566</v>
      </c>
      <c r="D682" s="1015"/>
    </row>
    <row r="683" spans="1:4" ht="22.5" x14ac:dyDescent="0.25">
      <c r="A683" s="1021">
        <v>682</v>
      </c>
      <c r="B683" s="2004" t="s">
        <v>1567</v>
      </c>
      <c r="D683" s="1015"/>
    </row>
    <row r="684" spans="1:4" ht="22.5" x14ac:dyDescent="0.25">
      <c r="A684" s="1021">
        <v>683</v>
      </c>
      <c r="B684" s="2004" t="s">
        <v>2330</v>
      </c>
      <c r="D684" s="1015"/>
    </row>
    <row r="685" spans="1:4" ht="45" x14ac:dyDescent="0.25">
      <c r="A685" s="1021">
        <v>684</v>
      </c>
      <c r="B685" s="2004" t="s">
        <v>1568</v>
      </c>
      <c r="D685" s="1015"/>
    </row>
    <row r="686" spans="1:4" x14ac:dyDescent="0.25">
      <c r="A686" s="1021">
        <v>685</v>
      </c>
      <c r="B686" s="2006" t="s">
        <v>1569</v>
      </c>
      <c r="D686" s="1015"/>
    </row>
    <row r="687" spans="1:4" x14ac:dyDescent="0.25">
      <c r="A687" s="1021">
        <v>686</v>
      </c>
      <c r="B687" s="2007" t="s">
        <v>1570</v>
      </c>
      <c r="D687" s="1015" t="s">
        <v>843</v>
      </c>
    </row>
    <row r="688" spans="1:4" x14ac:dyDescent="0.25">
      <c r="A688" s="1021">
        <v>687</v>
      </c>
      <c r="B688" s="2009" t="s">
        <v>1571</v>
      </c>
      <c r="D688" s="1015"/>
    </row>
    <row r="689" spans="1:4" x14ac:dyDescent="0.25">
      <c r="A689" s="1021">
        <v>688</v>
      </c>
      <c r="B689" s="2038" t="s">
        <v>1572</v>
      </c>
      <c r="D689" s="1015"/>
    </row>
    <row r="690" spans="1:4" x14ac:dyDescent="0.25">
      <c r="A690" s="1021">
        <v>689</v>
      </c>
      <c r="B690" s="2007" t="s">
        <v>1573</v>
      </c>
      <c r="D690" s="1015"/>
    </row>
    <row r="691" spans="1:4" x14ac:dyDescent="0.25">
      <c r="A691" s="1021">
        <v>690</v>
      </c>
      <c r="B691" s="2008" t="s">
        <v>1574</v>
      </c>
      <c r="D691" s="1015"/>
    </row>
    <row r="692" spans="1:4" x14ac:dyDescent="0.25">
      <c r="A692" s="1021">
        <v>691</v>
      </c>
      <c r="B692" s="1984" t="s">
        <v>1575</v>
      </c>
      <c r="D692" s="1015"/>
    </row>
    <row r="693" spans="1:4" ht="22.5" x14ac:dyDescent="0.25">
      <c r="A693" s="1021">
        <v>692</v>
      </c>
      <c r="B693" s="2004" t="s">
        <v>2331</v>
      </c>
      <c r="D693" s="1015"/>
    </row>
    <row r="694" spans="1:4" ht="22.5" x14ac:dyDescent="0.25">
      <c r="A694" s="1021">
        <v>693</v>
      </c>
      <c r="B694" s="2004" t="s">
        <v>1576</v>
      </c>
      <c r="D694" s="1015"/>
    </row>
    <row r="695" spans="1:4" ht="33.75" x14ac:dyDescent="0.25">
      <c r="A695" s="1021">
        <v>694</v>
      </c>
      <c r="B695" s="2004" t="s">
        <v>1577</v>
      </c>
      <c r="D695" s="1015"/>
    </row>
    <row r="696" spans="1:4" ht="22.5" x14ac:dyDescent="0.25">
      <c r="A696" s="1021">
        <v>695</v>
      </c>
      <c r="B696" s="2004" t="s">
        <v>1578</v>
      </c>
      <c r="D696" s="1015"/>
    </row>
    <row r="697" spans="1:4" x14ac:dyDescent="0.25">
      <c r="A697" s="1021">
        <v>696</v>
      </c>
      <c r="B697" s="2033" t="s">
        <v>1579</v>
      </c>
      <c r="D697" s="1015"/>
    </row>
    <row r="698" spans="1:4" x14ac:dyDescent="0.25">
      <c r="A698" s="1021">
        <v>697</v>
      </c>
      <c r="B698" s="2007" t="s">
        <v>1580</v>
      </c>
      <c r="D698" s="1015"/>
    </row>
    <row r="699" spans="1:4" x14ac:dyDescent="0.25">
      <c r="A699" s="1021">
        <v>698</v>
      </c>
      <c r="B699" s="2008" t="s">
        <v>1581</v>
      </c>
      <c r="D699" s="1015"/>
    </row>
    <row r="700" spans="1:4" x14ac:dyDescent="0.25">
      <c r="A700" s="1021">
        <v>699</v>
      </c>
      <c r="B700" s="2003" t="s">
        <v>1582</v>
      </c>
      <c r="D700" s="1015"/>
    </row>
    <row r="701" spans="1:4" x14ac:dyDescent="0.25">
      <c r="A701" s="1021">
        <v>700</v>
      </c>
      <c r="B701" s="1984" t="s">
        <v>1583</v>
      </c>
      <c r="D701" s="1015"/>
    </row>
    <row r="702" spans="1:4" ht="45" x14ac:dyDescent="0.25">
      <c r="A702" s="1021">
        <v>701</v>
      </c>
      <c r="B702" s="2004" t="s">
        <v>1584</v>
      </c>
      <c r="D702" s="1015"/>
    </row>
    <row r="703" spans="1:4" ht="33.75" x14ac:dyDescent="0.25">
      <c r="A703" s="1021">
        <v>702</v>
      </c>
      <c r="B703" s="2004" t="s">
        <v>1585</v>
      </c>
      <c r="D703" s="1015"/>
    </row>
    <row r="704" spans="1:4" x14ac:dyDescent="0.25">
      <c r="A704" s="1021">
        <v>703</v>
      </c>
      <c r="B704" s="2004" t="s">
        <v>1586</v>
      </c>
      <c r="D704" s="1015"/>
    </row>
    <row r="705" spans="1:4" x14ac:dyDescent="0.25">
      <c r="A705" s="1021">
        <v>704</v>
      </c>
      <c r="B705" s="1976" t="s">
        <v>370</v>
      </c>
      <c r="D705" s="1015"/>
    </row>
    <row r="706" spans="1:4" ht="25.5" x14ac:dyDescent="0.25">
      <c r="A706" s="1021">
        <v>705</v>
      </c>
      <c r="B706" s="1984" t="s">
        <v>1587</v>
      </c>
      <c r="D706" s="1015"/>
    </row>
    <row r="707" spans="1:4" x14ac:dyDescent="0.25">
      <c r="A707" s="1021">
        <v>706</v>
      </c>
      <c r="B707" s="2019" t="s">
        <v>1588</v>
      </c>
      <c r="D707" s="1015"/>
    </row>
    <row r="708" spans="1:4" x14ac:dyDescent="0.25">
      <c r="A708" s="1021">
        <v>707</v>
      </c>
      <c r="B708" s="2047" t="s">
        <v>1589</v>
      </c>
      <c r="D708" s="1015"/>
    </row>
    <row r="709" spans="1:4" ht="30" x14ac:dyDescent="0.25">
      <c r="A709" s="1021">
        <v>708</v>
      </c>
      <c r="B709" s="2048" t="s">
        <v>1590</v>
      </c>
      <c r="D709" s="1015"/>
    </row>
    <row r="710" spans="1:4" ht="38.25" x14ac:dyDescent="0.25">
      <c r="A710" s="1021">
        <v>709</v>
      </c>
      <c r="B710" s="2044" t="s">
        <v>2332</v>
      </c>
      <c r="D710" s="1015"/>
    </row>
    <row r="711" spans="1:4" ht="51" x14ac:dyDescent="0.25">
      <c r="A711" s="1021">
        <v>710</v>
      </c>
      <c r="B711" s="2044" t="s">
        <v>2333</v>
      </c>
      <c r="D711" s="1015"/>
    </row>
    <row r="712" spans="1:4" x14ac:dyDescent="0.25">
      <c r="A712" s="1021">
        <v>711</v>
      </c>
      <c r="B712" s="2044" t="s">
        <v>1591</v>
      </c>
      <c r="D712" s="1015"/>
    </row>
    <row r="713" spans="1:4" x14ac:dyDescent="0.25">
      <c r="A713" s="1021">
        <v>712</v>
      </c>
      <c r="B713" t="s">
        <v>620</v>
      </c>
      <c r="D713" s="1015"/>
    </row>
    <row r="714" spans="1:4" x14ac:dyDescent="0.25">
      <c r="A714" s="1021">
        <v>713</v>
      </c>
      <c r="B714" s="1976" t="s">
        <v>1592</v>
      </c>
      <c r="D714" s="1015"/>
    </row>
    <row r="715" spans="1:4" x14ac:dyDescent="0.25">
      <c r="A715" s="1021">
        <v>714</v>
      </c>
      <c r="B715" s="2049" t="s">
        <v>1593</v>
      </c>
      <c r="D715" s="1015"/>
    </row>
    <row r="716" spans="1:4" ht="21" x14ac:dyDescent="0.25">
      <c r="A716" s="1021">
        <v>715</v>
      </c>
      <c r="B716" s="2050" t="s">
        <v>2334</v>
      </c>
      <c r="D716" s="1015"/>
    </row>
    <row r="717" spans="1:4" ht="22.5" x14ac:dyDescent="0.25">
      <c r="A717" s="1021">
        <v>716</v>
      </c>
      <c r="B717" s="2051" t="s">
        <v>1594</v>
      </c>
      <c r="D717" s="1015"/>
    </row>
    <row r="718" spans="1:4" ht="45" x14ac:dyDescent="0.25">
      <c r="A718" s="1021">
        <v>717</v>
      </c>
      <c r="B718" s="2052" t="s">
        <v>1595</v>
      </c>
      <c r="D718" s="1015"/>
    </row>
    <row r="719" spans="1:4" ht="45" x14ac:dyDescent="0.25">
      <c r="A719" s="1021">
        <v>718</v>
      </c>
      <c r="B719" s="2052" t="s">
        <v>1596</v>
      </c>
      <c r="D719" s="1015"/>
    </row>
    <row r="720" spans="1:4" ht="22.5" x14ac:dyDescent="0.25">
      <c r="A720" s="1021">
        <v>719</v>
      </c>
      <c r="B720" s="2052" t="s">
        <v>1597</v>
      </c>
      <c r="D720" s="1015"/>
    </row>
    <row r="721" spans="1:4" ht="45" x14ac:dyDescent="0.25">
      <c r="A721" s="1021">
        <v>720</v>
      </c>
      <c r="B721" s="2052" t="s">
        <v>1598</v>
      </c>
      <c r="D721" s="1015"/>
    </row>
    <row r="722" spans="1:4" ht="45" x14ac:dyDescent="0.25">
      <c r="A722" s="1021">
        <v>721</v>
      </c>
      <c r="B722" s="2052" t="s">
        <v>1599</v>
      </c>
      <c r="D722" s="1015"/>
    </row>
    <row r="723" spans="1:4" ht="33.75" x14ac:dyDescent="0.25">
      <c r="A723" s="1021">
        <v>722</v>
      </c>
      <c r="B723" s="2052" t="s">
        <v>1600</v>
      </c>
      <c r="D723" s="1015"/>
    </row>
    <row r="724" spans="1:4" ht="22.5" x14ac:dyDescent="0.25">
      <c r="A724" s="1021">
        <v>723</v>
      </c>
      <c r="B724" s="2052" t="s">
        <v>1601</v>
      </c>
      <c r="D724" s="1015"/>
    </row>
    <row r="725" spans="1:4" x14ac:dyDescent="0.25">
      <c r="A725" s="1021">
        <v>724</v>
      </c>
      <c r="B725" s="2053" t="s">
        <v>1602</v>
      </c>
      <c r="D725" s="1015"/>
    </row>
    <row r="726" spans="1:4" x14ac:dyDescent="0.25">
      <c r="A726" s="1021">
        <v>725</v>
      </c>
      <c r="B726" s="2049" t="s">
        <v>1603</v>
      </c>
      <c r="D726" s="1015"/>
    </row>
    <row r="727" spans="1:4" ht="45" x14ac:dyDescent="0.25">
      <c r="A727" s="1021">
        <v>726</v>
      </c>
      <c r="B727" s="2052" t="s">
        <v>2335</v>
      </c>
      <c r="D727" s="1015"/>
    </row>
    <row r="728" spans="1:4" ht="33.75" x14ac:dyDescent="0.25">
      <c r="A728" s="1021">
        <v>727</v>
      </c>
      <c r="B728" s="2052" t="s">
        <v>1604</v>
      </c>
      <c r="D728" s="1015"/>
    </row>
    <row r="729" spans="1:4" ht="22.5" x14ac:dyDescent="0.25">
      <c r="A729" s="1021">
        <v>728</v>
      </c>
      <c r="B729" s="2052" t="s">
        <v>1605</v>
      </c>
      <c r="D729" s="1015"/>
    </row>
    <row r="730" spans="1:4" ht="21" x14ac:dyDescent="0.25">
      <c r="A730" s="1021">
        <v>729</v>
      </c>
      <c r="B730" s="2050" t="s">
        <v>1606</v>
      </c>
      <c r="D730" s="1015"/>
    </row>
    <row r="731" spans="1:4" x14ac:dyDescent="0.25">
      <c r="A731" s="1021">
        <v>730</v>
      </c>
      <c r="B731" s="2054" t="s">
        <v>1607</v>
      </c>
      <c r="D731" s="1015"/>
    </row>
    <row r="732" spans="1:4" x14ac:dyDescent="0.25">
      <c r="A732" s="1021">
        <v>731</v>
      </c>
      <c r="B732" s="2055" t="s">
        <v>1608</v>
      </c>
      <c r="D732" s="1015" t="s">
        <v>873</v>
      </c>
    </row>
    <row r="733" spans="1:4" ht="25.5" x14ac:dyDescent="0.25">
      <c r="A733" s="1021">
        <v>732</v>
      </c>
      <c r="B733" s="2049" t="s">
        <v>1609</v>
      </c>
      <c r="D733" s="1015"/>
    </row>
    <row r="734" spans="1:4" ht="31.5" x14ac:dyDescent="0.25">
      <c r="A734" s="1021">
        <v>733</v>
      </c>
      <c r="B734" s="2050" t="s">
        <v>1610</v>
      </c>
      <c r="D734" s="1015"/>
    </row>
    <row r="735" spans="1:4" ht="22.5" x14ac:dyDescent="0.25">
      <c r="A735" s="1021">
        <v>734</v>
      </c>
      <c r="B735" s="2052" t="s">
        <v>1611</v>
      </c>
      <c r="D735" s="1015"/>
    </row>
    <row r="736" spans="1:4" ht="45" x14ac:dyDescent="0.25">
      <c r="A736" s="1021">
        <v>735</v>
      </c>
      <c r="B736" s="2052" t="s">
        <v>1612</v>
      </c>
      <c r="D736" s="1015"/>
    </row>
    <row r="737" spans="1:4" ht="78.75" x14ac:dyDescent="0.25">
      <c r="A737" s="1021">
        <v>736</v>
      </c>
      <c r="B737" s="2052" t="s">
        <v>1613</v>
      </c>
      <c r="D737" s="1015"/>
    </row>
    <row r="738" spans="1:4" ht="33.75" x14ac:dyDescent="0.25">
      <c r="A738" s="1021">
        <v>737</v>
      </c>
      <c r="B738" s="2052" t="s">
        <v>1614</v>
      </c>
      <c r="D738" s="1015"/>
    </row>
    <row r="739" spans="1:4" x14ac:dyDescent="0.25">
      <c r="A739" s="1021">
        <v>738</v>
      </c>
      <c r="B739" s="2056" t="s">
        <v>1615</v>
      </c>
      <c r="D739" s="1015"/>
    </row>
    <row r="740" spans="1:4" ht="22.5" x14ac:dyDescent="0.25">
      <c r="A740" s="1021">
        <v>739</v>
      </c>
      <c r="B740" s="2052" t="s">
        <v>1616</v>
      </c>
      <c r="D740" s="1015"/>
    </row>
    <row r="741" spans="1:4" x14ac:dyDescent="0.25">
      <c r="A741" s="1021">
        <v>740</v>
      </c>
      <c r="B741" s="2049" t="s">
        <v>1617</v>
      </c>
      <c r="D741" s="1015"/>
    </row>
    <row r="742" spans="1:4" x14ac:dyDescent="0.25">
      <c r="A742" s="1021">
        <v>741</v>
      </c>
      <c r="B742" s="2053" t="s">
        <v>1618</v>
      </c>
      <c r="D742" s="1015"/>
    </row>
    <row r="743" spans="1:4" x14ac:dyDescent="0.25">
      <c r="A743" s="1021">
        <v>742</v>
      </c>
      <c r="B743" s="2057" t="s">
        <v>1619</v>
      </c>
      <c r="D743" s="1015"/>
    </row>
    <row r="744" spans="1:4" x14ac:dyDescent="0.25">
      <c r="A744" s="1021">
        <v>743</v>
      </c>
      <c r="B744" s="2058" t="s">
        <v>1620</v>
      </c>
      <c r="D744" s="1015"/>
    </row>
    <row r="745" spans="1:4" x14ac:dyDescent="0.25">
      <c r="A745" s="1021">
        <v>744</v>
      </c>
      <c r="B745" s="2058" t="s">
        <v>1621</v>
      </c>
      <c r="D745" s="1015"/>
    </row>
    <row r="746" spans="1:4" x14ac:dyDescent="0.25">
      <c r="A746" s="1021">
        <v>745</v>
      </c>
      <c r="B746" s="2059" t="s">
        <v>1622</v>
      </c>
      <c r="D746" s="1015"/>
    </row>
    <row r="747" spans="1:4" x14ac:dyDescent="0.25">
      <c r="A747" s="1021">
        <v>746</v>
      </c>
      <c r="B747" s="2057" t="s">
        <v>1623</v>
      </c>
      <c r="D747" s="1015"/>
    </row>
    <row r="748" spans="1:4" x14ac:dyDescent="0.25">
      <c r="A748" s="1021">
        <v>747</v>
      </c>
      <c r="B748" s="2060" t="s">
        <v>1624</v>
      </c>
      <c r="D748" s="1015"/>
    </row>
    <row r="749" spans="1:4" x14ac:dyDescent="0.25">
      <c r="A749" s="1021">
        <v>748</v>
      </c>
      <c r="B749" s="2059" t="s">
        <v>1625</v>
      </c>
      <c r="D749" s="1015"/>
    </row>
    <row r="750" spans="1:4" x14ac:dyDescent="0.25">
      <c r="A750" s="1021">
        <v>749</v>
      </c>
      <c r="B750" s="2061" t="s">
        <v>1626</v>
      </c>
      <c r="D750" s="1015"/>
    </row>
    <row r="751" spans="1:4" x14ac:dyDescent="0.25">
      <c r="A751" s="1021">
        <v>750</v>
      </c>
      <c r="B751" s="2049" t="s">
        <v>1627</v>
      </c>
      <c r="D751" s="1015"/>
    </row>
    <row r="752" spans="1:4" x14ac:dyDescent="0.25">
      <c r="A752" s="1021">
        <v>751</v>
      </c>
      <c r="B752" s="2053" t="s">
        <v>1628</v>
      </c>
      <c r="D752" s="1015"/>
    </row>
    <row r="753" spans="1:4" x14ac:dyDescent="0.25">
      <c r="A753" s="1021">
        <v>752</v>
      </c>
      <c r="B753" s="2049" t="s">
        <v>1629</v>
      </c>
      <c r="D753" s="1015"/>
    </row>
    <row r="754" spans="1:4" ht="33.75" x14ac:dyDescent="0.25">
      <c r="A754" s="1021">
        <v>753</v>
      </c>
      <c r="B754" s="2052" t="s">
        <v>2336</v>
      </c>
      <c r="D754" s="1015"/>
    </row>
    <row r="755" spans="1:4" ht="22.5" x14ac:dyDescent="0.25">
      <c r="A755" s="1021">
        <v>754</v>
      </c>
      <c r="B755" s="2052" t="s">
        <v>1630</v>
      </c>
      <c r="D755" s="1015"/>
    </row>
    <row r="756" spans="1:4" x14ac:dyDescent="0.25">
      <c r="A756" s="1021">
        <v>755</v>
      </c>
      <c r="B756" s="2054" t="s">
        <v>1631</v>
      </c>
      <c r="D756" s="1015"/>
    </row>
    <row r="757" spans="1:4" x14ac:dyDescent="0.25">
      <c r="A757" s="1021">
        <v>756</v>
      </c>
      <c r="B757" s="2049" t="s">
        <v>1632</v>
      </c>
      <c r="D757" s="1015"/>
    </row>
    <row r="758" spans="1:4" ht="21" x14ac:dyDescent="0.25">
      <c r="A758" s="1021">
        <v>757</v>
      </c>
      <c r="B758" s="2050" t="s">
        <v>2337</v>
      </c>
      <c r="D758" s="1015"/>
    </row>
    <row r="759" spans="1:4" ht="45" x14ac:dyDescent="0.25">
      <c r="A759" s="1021">
        <v>758</v>
      </c>
      <c r="B759" s="2052" t="s">
        <v>2338</v>
      </c>
      <c r="D759" s="1015"/>
    </row>
    <row r="760" spans="1:4" ht="45" x14ac:dyDescent="0.25">
      <c r="A760" s="1021">
        <v>759</v>
      </c>
      <c r="B760" s="2052" t="s">
        <v>1633</v>
      </c>
      <c r="D760" s="1015"/>
    </row>
    <row r="761" spans="1:4" ht="22.5" x14ac:dyDescent="0.25">
      <c r="A761" s="1021">
        <v>760</v>
      </c>
      <c r="B761" s="2052" t="s">
        <v>1634</v>
      </c>
      <c r="D761" s="1015"/>
    </row>
    <row r="762" spans="1:4" x14ac:dyDescent="0.25">
      <c r="A762" s="1021">
        <v>761</v>
      </c>
      <c r="B762" s="1976" t="s">
        <v>1635</v>
      </c>
      <c r="D762" s="1015"/>
    </row>
    <row r="763" spans="1:4" x14ac:dyDescent="0.25">
      <c r="A763" s="1021">
        <v>762</v>
      </c>
      <c r="B763" s="2053" t="s">
        <v>1636</v>
      </c>
      <c r="D763" s="1015"/>
    </row>
    <row r="764" spans="1:4" x14ac:dyDescent="0.25">
      <c r="A764" s="1021">
        <v>763</v>
      </c>
      <c r="B764" s="2054" t="s">
        <v>1571</v>
      </c>
      <c r="D764" s="1015"/>
    </row>
    <row r="765" spans="1:4" x14ac:dyDescent="0.25">
      <c r="A765" s="1021">
        <v>764</v>
      </c>
      <c r="B765" s="2054" t="s">
        <v>1637</v>
      </c>
      <c r="D765" s="1015"/>
    </row>
    <row r="766" spans="1:4" x14ac:dyDescent="0.25">
      <c r="A766" s="1021">
        <v>765</v>
      </c>
      <c r="B766" s="2053" t="s">
        <v>1638</v>
      </c>
      <c r="D766" s="1015"/>
    </row>
    <row r="767" spans="1:4" x14ac:dyDescent="0.25">
      <c r="A767" s="1021">
        <v>766</v>
      </c>
      <c r="B767" s="2054" t="s">
        <v>1639</v>
      </c>
      <c r="D767" s="1015"/>
    </row>
    <row r="768" spans="1:4" x14ac:dyDescent="0.25">
      <c r="A768" s="1021">
        <v>767</v>
      </c>
      <c r="B768" s="2054" t="s">
        <v>1640</v>
      </c>
      <c r="D768" s="1015"/>
    </row>
    <row r="769" spans="1:4" x14ac:dyDescent="0.25">
      <c r="A769" s="1021">
        <v>768</v>
      </c>
      <c r="B769" s="2053" t="s">
        <v>1641</v>
      </c>
      <c r="D769" s="1015"/>
    </row>
    <row r="770" spans="1:4" x14ac:dyDescent="0.25">
      <c r="A770" s="1021">
        <v>769</v>
      </c>
      <c r="B770" s="2054" t="s">
        <v>1642</v>
      </c>
      <c r="D770" s="1015"/>
    </row>
    <row r="771" spans="1:4" x14ac:dyDescent="0.25">
      <c r="A771" s="1021">
        <v>770</v>
      </c>
      <c r="B771" s="2054" t="s">
        <v>1643</v>
      </c>
      <c r="D771" s="1015"/>
    </row>
    <row r="772" spans="1:4" x14ac:dyDescent="0.25">
      <c r="A772" s="1021">
        <v>771</v>
      </c>
      <c r="B772" s="2049" t="s">
        <v>1644</v>
      </c>
      <c r="D772" s="1015"/>
    </row>
    <row r="773" spans="1:4" x14ac:dyDescent="0.25">
      <c r="A773" s="1021">
        <v>772</v>
      </c>
      <c r="B773" s="2062" t="s">
        <v>1645</v>
      </c>
      <c r="D773" s="1015"/>
    </row>
    <row r="774" spans="1:4" ht="22.5" x14ac:dyDescent="0.25">
      <c r="A774" s="1021">
        <v>773</v>
      </c>
      <c r="B774" s="2052" t="s">
        <v>1646</v>
      </c>
      <c r="D774" s="1015"/>
    </row>
    <row r="775" spans="1:4" x14ac:dyDescent="0.25">
      <c r="A775" s="1021">
        <v>774</v>
      </c>
      <c r="B775" s="2049" t="s">
        <v>1647</v>
      </c>
      <c r="D775" s="1015"/>
    </row>
    <row r="776" spans="1:4" ht="22.5" x14ac:dyDescent="0.25">
      <c r="A776" s="1021">
        <v>775</v>
      </c>
      <c r="B776" s="2052" t="s">
        <v>1648</v>
      </c>
      <c r="D776" s="1015"/>
    </row>
    <row r="777" spans="1:4" x14ac:dyDescent="0.25">
      <c r="A777" s="1021">
        <v>776</v>
      </c>
      <c r="B777" s="2057" t="s">
        <v>1649</v>
      </c>
      <c r="D777" s="1015"/>
    </row>
    <row r="778" spans="1:4" x14ac:dyDescent="0.25">
      <c r="A778" s="1021">
        <v>777</v>
      </c>
      <c r="B778" s="2054" t="s">
        <v>1650</v>
      </c>
      <c r="D778" s="1015"/>
    </row>
    <row r="779" spans="1:4" x14ac:dyDescent="0.25">
      <c r="A779" s="1021">
        <v>778</v>
      </c>
      <c r="B779" s="2054" t="s">
        <v>1651</v>
      </c>
      <c r="D779" s="1015"/>
    </row>
    <row r="780" spans="1:4" x14ac:dyDescent="0.25">
      <c r="A780" s="1021">
        <v>779</v>
      </c>
      <c r="B780" s="2049" t="s">
        <v>1652</v>
      </c>
      <c r="D780" s="1015"/>
    </row>
    <row r="781" spans="1:4" ht="45" x14ac:dyDescent="0.25">
      <c r="A781" s="1021">
        <v>780</v>
      </c>
      <c r="B781" s="2052" t="s">
        <v>1653</v>
      </c>
      <c r="D781" s="1015"/>
    </row>
    <row r="782" spans="1:4" x14ac:dyDescent="0.25">
      <c r="A782" s="1021">
        <v>781</v>
      </c>
      <c r="B782" s="2057" t="s">
        <v>1654</v>
      </c>
      <c r="D782" s="1015"/>
    </row>
    <row r="783" spans="1:4" x14ac:dyDescent="0.25">
      <c r="A783" s="1021">
        <v>782</v>
      </c>
      <c r="B783" s="2054" t="s">
        <v>1655</v>
      </c>
      <c r="D783" s="1015"/>
    </row>
    <row r="784" spans="1:4" x14ac:dyDescent="0.25">
      <c r="A784" s="1021">
        <v>783</v>
      </c>
      <c r="B784" s="2054" t="s">
        <v>1656</v>
      </c>
      <c r="D784" s="1015"/>
    </row>
    <row r="785" spans="1:4" x14ac:dyDescent="0.25">
      <c r="A785" s="1021">
        <v>784</v>
      </c>
      <c r="B785" s="2049" t="s">
        <v>1657</v>
      </c>
      <c r="D785" s="1015"/>
    </row>
    <row r="786" spans="1:4" ht="22.5" x14ac:dyDescent="0.25">
      <c r="A786" s="1021">
        <v>785</v>
      </c>
      <c r="B786" s="2052" t="s">
        <v>1658</v>
      </c>
      <c r="D786" s="1015"/>
    </row>
    <row r="787" spans="1:4" ht="22.5" x14ac:dyDescent="0.25">
      <c r="A787" s="1021">
        <v>786</v>
      </c>
      <c r="B787" s="2052" t="s">
        <v>1659</v>
      </c>
      <c r="D787" s="1015"/>
    </row>
    <row r="788" spans="1:4" ht="21" x14ac:dyDescent="0.25">
      <c r="A788" s="1021">
        <v>787</v>
      </c>
      <c r="B788" s="2050" t="s">
        <v>1660</v>
      </c>
      <c r="D788" s="1015"/>
    </row>
    <row r="789" spans="1:4" x14ac:dyDescent="0.25">
      <c r="A789" s="1021">
        <v>788</v>
      </c>
      <c r="B789" s="2057" t="s">
        <v>1661</v>
      </c>
      <c r="D789" s="1015"/>
    </row>
    <row r="790" spans="1:4" x14ac:dyDescent="0.25">
      <c r="A790" s="1021">
        <v>789</v>
      </c>
      <c r="B790" s="2054" t="s">
        <v>1662</v>
      </c>
      <c r="D790" s="1015"/>
    </row>
    <row r="791" spans="1:4" x14ac:dyDescent="0.25">
      <c r="A791" s="1021">
        <v>790</v>
      </c>
      <c r="B791" s="2054" t="s">
        <v>1663</v>
      </c>
      <c r="D791" s="1015"/>
    </row>
    <row r="792" spans="1:4" x14ac:dyDescent="0.25">
      <c r="A792" s="1021">
        <v>791</v>
      </c>
      <c r="B792" s="2049" t="s">
        <v>1664</v>
      </c>
      <c r="D792" s="1015"/>
    </row>
    <row r="793" spans="1:4" ht="21" x14ac:dyDescent="0.25">
      <c r="A793" s="1021">
        <v>792</v>
      </c>
      <c r="B793" s="2050" t="s">
        <v>2339</v>
      </c>
      <c r="D793" s="1015"/>
    </row>
    <row r="794" spans="1:4" ht="45" x14ac:dyDescent="0.25">
      <c r="A794" s="1021">
        <v>793</v>
      </c>
      <c r="B794" s="2052" t="s">
        <v>1665</v>
      </c>
      <c r="D794" s="1015"/>
    </row>
    <row r="795" spans="1:4" x14ac:dyDescent="0.25">
      <c r="A795" s="1021">
        <v>794</v>
      </c>
      <c r="B795" s="2057" t="s">
        <v>1666</v>
      </c>
      <c r="D795" s="1015"/>
    </row>
    <row r="796" spans="1:4" x14ac:dyDescent="0.25">
      <c r="A796" s="1021">
        <v>795</v>
      </c>
      <c r="B796" s="2054" t="s">
        <v>1667</v>
      </c>
      <c r="D796" s="1015"/>
    </row>
    <row r="797" spans="1:4" x14ac:dyDescent="0.25">
      <c r="A797" s="1021">
        <v>796</v>
      </c>
      <c r="B797" s="2054" t="s">
        <v>1668</v>
      </c>
      <c r="D797" s="1015"/>
    </row>
    <row r="798" spans="1:4" x14ac:dyDescent="0.25">
      <c r="A798" s="1021">
        <v>797</v>
      </c>
      <c r="B798" s="2049" t="s">
        <v>1669</v>
      </c>
      <c r="D798" s="1015"/>
    </row>
    <row r="799" spans="1:4" ht="22.5" x14ac:dyDescent="0.25">
      <c r="A799" s="1021">
        <v>798</v>
      </c>
      <c r="B799" s="2052" t="s">
        <v>1670</v>
      </c>
      <c r="D799" s="1015"/>
    </row>
    <row r="800" spans="1:4" x14ac:dyDescent="0.25">
      <c r="A800" s="1021">
        <v>799</v>
      </c>
      <c r="B800" s="2057" t="s">
        <v>1671</v>
      </c>
      <c r="D800" s="1015"/>
    </row>
    <row r="801" spans="1:4" x14ac:dyDescent="0.25">
      <c r="A801" s="1021">
        <v>800</v>
      </c>
      <c r="B801" s="2054" t="s">
        <v>1672</v>
      </c>
      <c r="D801" s="1015"/>
    </row>
    <row r="802" spans="1:4" x14ac:dyDescent="0.25">
      <c r="A802" s="1021">
        <v>801</v>
      </c>
      <c r="B802" s="2054" t="s">
        <v>1673</v>
      </c>
      <c r="D802" s="1015"/>
    </row>
    <row r="803" spans="1:4" ht="21" x14ac:dyDescent="0.25">
      <c r="A803" s="1021">
        <v>802</v>
      </c>
      <c r="B803" s="2050" t="s">
        <v>2340</v>
      </c>
      <c r="D803" s="1015"/>
    </row>
    <row r="804" spans="1:4" ht="45" x14ac:dyDescent="0.25">
      <c r="A804" s="1021">
        <v>803</v>
      </c>
      <c r="B804" s="2052" t="s">
        <v>2341</v>
      </c>
      <c r="D804" s="1015"/>
    </row>
    <row r="805" spans="1:4" x14ac:dyDescent="0.25">
      <c r="A805" s="1021">
        <v>804</v>
      </c>
      <c r="B805" s="2054" t="s">
        <v>1674</v>
      </c>
      <c r="D805" s="1015"/>
    </row>
    <row r="806" spans="1:4" x14ac:dyDescent="0.25">
      <c r="A806" s="1021">
        <v>805</v>
      </c>
      <c r="B806" s="2049" t="s">
        <v>1675</v>
      </c>
      <c r="D806" s="1015"/>
    </row>
    <row r="807" spans="1:4" ht="33.75" x14ac:dyDescent="0.25">
      <c r="A807" s="1021">
        <v>806</v>
      </c>
      <c r="B807" s="2052" t="s">
        <v>1676</v>
      </c>
      <c r="D807" s="1015"/>
    </row>
    <row r="808" spans="1:4" ht="22.5" x14ac:dyDescent="0.25">
      <c r="A808" s="1021">
        <v>807</v>
      </c>
      <c r="B808" s="2052" t="s">
        <v>1677</v>
      </c>
      <c r="D808" s="1015"/>
    </row>
    <row r="809" spans="1:4" x14ac:dyDescent="0.25">
      <c r="A809" s="1021">
        <v>808</v>
      </c>
      <c r="B809" s="2050" t="s">
        <v>1678</v>
      </c>
      <c r="D809" s="1015"/>
    </row>
    <row r="810" spans="1:4" x14ac:dyDescent="0.25">
      <c r="A810" s="1021">
        <v>809</v>
      </c>
      <c r="B810" s="2049" t="s">
        <v>1679</v>
      </c>
      <c r="D810" s="1015"/>
    </row>
    <row r="811" spans="1:4" ht="33.75" x14ac:dyDescent="0.25">
      <c r="A811" s="1021">
        <v>810</v>
      </c>
      <c r="B811" s="2052" t="s">
        <v>2342</v>
      </c>
      <c r="D811" s="1015"/>
    </row>
    <row r="812" spans="1:4" x14ac:dyDescent="0.25">
      <c r="A812" s="1021">
        <v>811</v>
      </c>
      <c r="B812" s="2050" t="s">
        <v>1680</v>
      </c>
      <c r="D812" s="1015"/>
    </row>
    <row r="813" spans="1:4" x14ac:dyDescent="0.25">
      <c r="A813" s="1021">
        <v>812</v>
      </c>
      <c r="B813" s="2056" t="s">
        <v>1681</v>
      </c>
      <c r="D813" s="1015"/>
    </row>
    <row r="814" spans="1:4" x14ac:dyDescent="0.25">
      <c r="A814" s="1021">
        <v>813</v>
      </c>
      <c r="B814" s="2053" t="s">
        <v>1682</v>
      </c>
      <c r="D814" s="1015"/>
    </row>
    <row r="815" spans="1:4" x14ac:dyDescent="0.25">
      <c r="A815" s="1021">
        <v>814</v>
      </c>
      <c r="B815" s="2053" t="s">
        <v>1683</v>
      </c>
      <c r="D815" s="1015"/>
    </row>
    <row r="816" spans="1:4" x14ac:dyDescent="0.25">
      <c r="A816" s="1021">
        <v>815</v>
      </c>
      <c r="B816" s="2056" t="s">
        <v>1684</v>
      </c>
      <c r="D816" s="1015"/>
    </row>
    <row r="817" spans="1:4" x14ac:dyDescent="0.25">
      <c r="A817" s="1021">
        <v>816</v>
      </c>
      <c r="B817" s="2052" t="s">
        <v>1685</v>
      </c>
      <c r="D817" s="1015"/>
    </row>
    <row r="818" spans="1:4" x14ac:dyDescent="0.25">
      <c r="A818" s="1021">
        <v>817</v>
      </c>
      <c r="B818" s="2008" t="s">
        <v>1686</v>
      </c>
      <c r="D818" s="1015"/>
    </row>
    <row r="819" spans="1:4" x14ac:dyDescent="0.25">
      <c r="A819" s="1021">
        <v>818</v>
      </c>
      <c r="B819" s="1976" t="s">
        <v>1687</v>
      </c>
      <c r="D819" s="1015"/>
    </row>
    <row r="820" spans="1:4" ht="15.75" thickBot="1" x14ac:dyDescent="0.3">
      <c r="A820" s="1021">
        <v>819</v>
      </c>
      <c r="B820" s="2054" t="s">
        <v>1639</v>
      </c>
      <c r="D820" s="1015"/>
    </row>
    <row r="821" spans="1:4" x14ac:dyDescent="0.25">
      <c r="A821" s="1021">
        <v>820</v>
      </c>
      <c r="B821" s="2002" t="s">
        <v>1688</v>
      </c>
      <c r="D821" s="1015"/>
    </row>
    <row r="822" spans="1:4" ht="54" x14ac:dyDescent="0.25">
      <c r="A822" s="1021">
        <v>821</v>
      </c>
      <c r="B822" s="1986" t="s">
        <v>1689</v>
      </c>
      <c r="D822" s="1015"/>
    </row>
    <row r="823" spans="1:4" ht="25.5" x14ac:dyDescent="0.25">
      <c r="A823" s="1021">
        <v>822</v>
      </c>
      <c r="B823" s="2044" t="s">
        <v>1690</v>
      </c>
      <c r="D823" s="1015"/>
    </row>
    <row r="824" spans="1:4" ht="22.5" x14ac:dyDescent="0.25">
      <c r="A824" s="1021">
        <v>823</v>
      </c>
      <c r="B824" s="2004" t="s">
        <v>1691</v>
      </c>
      <c r="D824" s="1015"/>
    </row>
    <row r="825" spans="1:4" ht="21" x14ac:dyDescent="0.25">
      <c r="A825" s="1021">
        <v>824</v>
      </c>
      <c r="B825" s="2045" t="s">
        <v>1692</v>
      </c>
      <c r="D825" s="1015"/>
    </row>
    <row r="826" spans="1:4" x14ac:dyDescent="0.25">
      <c r="A826" s="1021">
        <v>825</v>
      </c>
      <c r="B826" s="2045" t="s">
        <v>1693</v>
      </c>
      <c r="D826" s="1015"/>
    </row>
    <row r="827" spans="1:4" x14ac:dyDescent="0.25">
      <c r="A827" s="1021">
        <v>826</v>
      </c>
      <c r="B827" s="1976" t="s">
        <v>1694</v>
      </c>
      <c r="D827" s="1015"/>
    </row>
    <row r="828" spans="1:4" ht="45" x14ac:dyDescent="0.25">
      <c r="A828" s="1021">
        <v>827</v>
      </c>
      <c r="B828" s="2004" t="s">
        <v>2343</v>
      </c>
      <c r="D828" s="1015"/>
    </row>
    <row r="829" spans="1:4" x14ac:dyDescent="0.25">
      <c r="A829" s="1021">
        <v>828</v>
      </c>
      <c r="B829" s="2006" t="s">
        <v>1695</v>
      </c>
      <c r="D829" s="1015"/>
    </row>
    <row r="830" spans="1:4" ht="25.5" x14ac:dyDescent="0.25">
      <c r="A830" s="1021">
        <v>829</v>
      </c>
      <c r="B830" s="1984" t="s">
        <v>1696</v>
      </c>
      <c r="D830" s="1015"/>
    </row>
    <row r="831" spans="1:4" ht="22.5" x14ac:dyDescent="0.25">
      <c r="A831" s="1021">
        <v>830</v>
      </c>
      <c r="B831" s="2004" t="s">
        <v>1697</v>
      </c>
      <c r="D831" s="1015"/>
    </row>
    <row r="832" spans="1:4" x14ac:dyDescent="0.25">
      <c r="A832" s="1021">
        <v>831</v>
      </c>
      <c r="B832" s="2004" t="s">
        <v>1698</v>
      </c>
      <c r="D832" s="1015"/>
    </row>
    <row r="833" spans="1:4" ht="22.5" x14ac:dyDescent="0.25">
      <c r="A833" s="1021">
        <v>832</v>
      </c>
      <c r="B833" s="2004" t="s">
        <v>1699</v>
      </c>
      <c r="D833" s="1015"/>
    </row>
    <row r="834" spans="1:4" ht="33.75" x14ac:dyDescent="0.25">
      <c r="A834" s="1021">
        <v>833</v>
      </c>
      <c r="B834" s="2004" t="s">
        <v>1700</v>
      </c>
      <c r="D834" s="1015"/>
    </row>
    <row r="835" spans="1:4" ht="22.5" x14ac:dyDescent="0.25">
      <c r="A835" s="1021">
        <v>834</v>
      </c>
      <c r="B835" s="2004" t="s">
        <v>1701</v>
      </c>
      <c r="D835" s="1015"/>
    </row>
    <row r="836" spans="1:4" ht="22.5" x14ac:dyDescent="0.25">
      <c r="A836" s="1021">
        <v>835</v>
      </c>
      <c r="B836" s="2004" t="s">
        <v>1702</v>
      </c>
      <c r="D836" s="1015"/>
    </row>
    <row r="837" spans="1:4" x14ac:dyDescent="0.25">
      <c r="A837" s="1021">
        <v>836</v>
      </c>
      <c r="B837" s="2019" t="s">
        <v>1703</v>
      </c>
      <c r="D837" s="1015"/>
    </row>
    <row r="838" spans="1:4" x14ac:dyDescent="0.25">
      <c r="A838" s="1021">
        <v>837</v>
      </c>
      <c r="B838" s="2019" t="s">
        <v>1704</v>
      </c>
      <c r="D838" s="1015"/>
    </row>
    <row r="839" spans="1:4" ht="25.5" x14ac:dyDescent="0.25">
      <c r="A839" s="1021">
        <v>838</v>
      </c>
      <c r="B839" s="2019" t="s">
        <v>1705</v>
      </c>
      <c r="D839" s="1015"/>
    </row>
    <row r="840" spans="1:4" x14ac:dyDescent="0.25">
      <c r="A840" s="1021">
        <v>839</v>
      </c>
      <c r="B840" s="1984" t="s">
        <v>1706</v>
      </c>
      <c r="D840" s="1015"/>
    </row>
    <row r="841" spans="1:4" x14ac:dyDescent="0.25">
      <c r="A841" s="1021">
        <v>840</v>
      </c>
      <c r="B841" s="2049" t="s">
        <v>1707</v>
      </c>
      <c r="D841" s="1015"/>
    </row>
    <row r="842" spans="1:4" x14ac:dyDescent="0.25">
      <c r="A842" s="1021">
        <v>841</v>
      </c>
      <c r="B842" s="2051" t="s">
        <v>1708</v>
      </c>
      <c r="D842" s="1015"/>
    </row>
    <row r="843" spans="1:4" ht="33.75" x14ac:dyDescent="0.25">
      <c r="A843" s="1021">
        <v>842</v>
      </c>
      <c r="B843" s="2052" t="s">
        <v>1709</v>
      </c>
      <c r="D843" s="1015"/>
    </row>
    <row r="844" spans="1:4" ht="45" x14ac:dyDescent="0.25">
      <c r="A844" s="1021">
        <v>843</v>
      </c>
      <c r="B844" s="2052" t="s">
        <v>1710</v>
      </c>
      <c r="D844" s="1015"/>
    </row>
    <row r="845" spans="1:4" ht="22.5" x14ac:dyDescent="0.25">
      <c r="A845" s="1021">
        <v>844</v>
      </c>
      <c r="B845" s="2052" t="s">
        <v>1711</v>
      </c>
      <c r="D845" s="1015"/>
    </row>
    <row r="846" spans="1:4" ht="33.75" x14ac:dyDescent="0.25">
      <c r="A846" s="1021">
        <v>845</v>
      </c>
      <c r="B846" s="2052" t="s">
        <v>1712</v>
      </c>
      <c r="D846" s="1015"/>
    </row>
    <row r="847" spans="1:4" ht="33.75" x14ac:dyDescent="0.25">
      <c r="A847" s="1021">
        <v>846</v>
      </c>
      <c r="B847" s="2052" t="s">
        <v>1713</v>
      </c>
      <c r="D847" s="1015"/>
    </row>
    <row r="848" spans="1:4" ht="22.5" x14ac:dyDescent="0.25">
      <c r="A848" s="1021">
        <v>847</v>
      </c>
      <c r="B848" s="2052" t="s">
        <v>2344</v>
      </c>
      <c r="D848" s="1015"/>
    </row>
    <row r="849" spans="1:4" ht="45" x14ac:dyDescent="0.25">
      <c r="A849" s="1021">
        <v>848</v>
      </c>
      <c r="B849" s="2052" t="s">
        <v>1714</v>
      </c>
      <c r="D849" s="1015"/>
    </row>
    <row r="850" spans="1:4" ht="22.5" x14ac:dyDescent="0.25">
      <c r="A850" s="1021">
        <v>849</v>
      </c>
      <c r="B850" s="2052" t="s">
        <v>1715</v>
      </c>
      <c r="D850" s="1015"/>
    </row>
    <row r="851" spans="1:4" x14ac:dyDescent="0.25">
      <c r="A851" s="1021">
        <v>850</v>
      </c>
      <c r="B851" s="2052" t="s">
        <v>1716</v>
      </c>
      <c r="D851" s="1015"/>
    </row>
    <row r="852" spans="1:4" x14ac:dyDescent="0.25">
      <c r="A852" s="1021">
        <v>851</v>
      </c>
      <c r="B852" s="2054" t="s">
        <v>1717</v>
      </c>
      <c r="D852" s="1015"/>
    </row>
    <row r="853" spans="1:4" x14ac:dyDescent="0.25">
      <c r="A853" s="1021">
        <v>852</v>
      </c>
      <c r="B853" s="2054" t="s">
        <v>1718</v>
      </c>
      <c r="D853" s="1015"/>
    </row>
    <row r="854" spans="1:4" x14ac:dyDescent="0.25">
      <c r="A854" s="1021">
        <v>853</v>
      </c>
      <c r="B854" s="2054" t="s">
        <v>1719</v>
      </c>
      <c r="D854" s="1015"/>
    </row>
    <row r="855" spans="1:4" ht="22.5" x14ac:dyDescent="0.25">
      <c r="A855" s="1021">
        <v>854</v>
      </c>
      <c r="B855" s="2051" t="s">
        <v>2345</v>
      </c>
      <c r="D855" s="1015"/>
    </row>
    <row r="856" spans="1:4" ht="45" x14ac:dyDescent="0.25">
      <c r="A856" s="1021">
        <v>855</v>
      </c>
      <c r="B856" s="2051" t="s">
        <v>1720</v>
      </c>
      <c r="D856" s="1015"/>
    </row>
    <row r="857" spans="1:4" x14ac:dyDescent="0.25">
      <c r="A857" s="1021">
        <v>856</v>
      </c>
      <c r="B857" s="2049" t="s">
        <v>1721</v>
      </c>
      <c r="D857" s="1015"/>
    </row>
    <row r="858" spans="1:4" x14ac:dyDescent="0.25">
      <c r="A858" s="1021">
        <v>857</v>
      </c>
      <c r="B858" s="2052" t="s">
        <v>1722</v>
      </c>
      <c r="D858" s="1015"/>
    </row>
    <row r="859" spans="1:4" ht="67.5" x14ac:dyDescent="0.25">
      <c r="A859" s="1021">
        <v>858</v>
      </c>
      <c r="B859" s="2052" t="s">
        <v>1723</v>
      </c>
      <c r="D859" s="1015"/>
    </row>
    <row r="860" spans="1:4" ht="33.75" x14ac:dyDescent="0.25">
      <c r="A860" s="1021">
        <v>859</v>
      </c>
      <c r="B860" s="2052" t="s">
        <v>1724</v>
      </c>
      <c r="D860" s="1015"/>
    </row>
    <row r="861" spans="1:4" x14ac:dyDescent="0.25">
      <c r="A861" s="1021">
        <v>860</v>
      </c>
      <c r="B861" s="2052" t="s">
        <v>1725</v>
      </c>
      <c r="D861" s="1015"/>
    </row>
    <row r="862" spans="1:4" ht="22.5" x14ac:dyDescent="0.25">
      <c r="A862" s="1021">
        <v>861</v>
      </c>
      <c r="B862" s="2052" t="s">
        <v>1726</v>
      </c>
      <c r="D862" s="1015"/>
    </row>
    <row r="863" spans="1:4" x14ac:dyDescent="0.25">
      <c r="A863" s="1021">
        <v>862</v>
      </c>
      <c r="B863" s="2052" t="s">
        <v>1727</v>
      </c>
      <c r="D863" s="1015"/>
    </row>
    <row r="864" spans="1:4" ht="22.5" x14ac:dyDescent="0.25">
      <c r="A864" s="1021">
        <v>863</v>
      </c>
      <c r="B864" s="2051" t="s">
        <v>1728</v>
      </c>
      <c r="D864" s="1015"/>
    </row>
    <row r="865" spans="1:4" ht="22.5" x14ac:dyDescent="0.25">
      <c r="A865" s="1021">
        <v>864</v>
      </c>
      <c r="B865" s="2052" t="s">
        <v>2346</v>
      </c>
      <c r="D865" s="1015"/>
    </row>
    <row r="866" spans="1:4" x14ac:dyDescent="0.25">
      <c r="A866" s="1021">
        <v>865</v>
      </c>
      <c r="B866" s="2053" t="s">
        <v>1729</v>
      </c>
      <c r="D866" s="1015"/>
    </row>
    <row r="867" spans="1:4" x14ac:dyDescent="0.25">
      <c r="A867" s="1021">
        <v>866</v>
      </c>
      <c r="B867" s="2053" t="s">
        <v>1730</v>
      </c>
      <c r="D867" s="1015"/>
    </row>
    <row r="868" spans="1:4" x14ac:dyDescent="0.25">
      <c r="A868" s="1021">
        <v>867</v>
      </c>
      <c r="B868" s="2054" t="s">
        <v>1731</v>
      </c>
      <c r="D868" s="1015"/>
    </row>
    <row r="869" spans="1:4" x14ac:dyDescent="0.25">
      <c r="A869" s="1021">
        <v>868</v>
      </c>
      <c r="B869" s="2053" t="s">
        <v>1732</v>
      </c>
      <c r="D869" s="1015"/>
    </row>
    <row r="870" spans="1:4" x14ac:dyDescent="0.25">
      <c r="A870" s="1021">
        <v>869</v>
      </c>
      <c r="B870" s="2054" t="s">
        <v>1733</v>
      </c>
      <c r="D870" s="1015"/>
    </row>
    <row r="871" spans="1:4" x14ac:dyDescent="0.25">
      <c r="A871" s="1021">
        <v>870</v>
      </c>
      <c r="B871" s="2053" t="s">
        <v>1734</v>
      </c>
      <c r="D871" s="1015"/>
    </row>
    <row r="872" spans="1:4" x14ac:dyDescent="0.25">
      <c r="A872" s="1021">
        <v>871</v>
      </c>
      <c r="B872" s="2054" t="s">
        <v>1735</v>
      </c>
      <c r="D872" s="1015"/>
    </row>
    <row r="873" spans="1:4" x14ac:dyDescent="0.25">
      <c r="A873" s="1021">
        <v>872</v>
      </c>
      <c r="B873" s="2053" t="s">
        <v>1736</v>
      </c>
      <c r="D873" s="1015"/>
    </row>
    <row r="874" spans="1:4" x14ac:dyDescent="0.25">
      <c r="A874" s="1021">
        <v>873</v>
      </c>
      <c r="B874" s="2054" t="s">
        <v>1737</v>
      </c>
      <c r="D874" s="1015"/>
    </row>
    <row r="875" spans="1:4" x14ac:dyDescent="0.25">
      <c r="A875" s="1021">
        <v>874</v>
      </c>
      <c r="B875" s="2054" t="s">
        <v>1738</v>
      </c>
      <c r="D875" s="1015"/>
    </row>
    <row r="876" spans="1:4" x14ac:dyDescent="0.25">
      <c r="A876" s="1021">
        <v>875</v>
      </c>
      <c r="B876" s="2052" t="s">
        <v>1739</v>
      </c>
      <c r="D876" s="1015"/>
    </row>
    <row r="877" spans="1:4" x14ac:dyDescent="0.25">
      <c r="A877" s="1021">
        <v>876</v>
      </c>
      <c r="B877" s="2052" t="s">
        <v>1740</v>
      </c>
      <c r="D877" s="1015"/>
    </row>
    <row r="878" spans="1:4" x14ac:dyDescent="0.25">
      <c r="A878" s="1021">
        <v>877</v>
      </c>
      <c r="B878" s="2052" t="s">
        <v>1741</v>
      </c>
      <c r="D878" s="1015"/>
    </row>
    <row r="879" spans="1:4" x14ac:dyDescent="0.25">
      <c r="A879" s="1021">
        <v>878</v>
      </c>
      <c r="B879" s="2052" t="s">
        <v>1742</v>
      </c>
      <c r="D879" s="1015"/>
    </row>
    <row r="880" spans="1:4" x14ac:dyDescent="0.25">
      <c r="A880" s="1021">
        <v>879</v>
      </c>
      <c r="B880" s="2019" t="s">
        <v>1743</v>
      </c>
      <c r="D880" s="1015"/>
    </row>
    <row r="881" spans="1:4" x14ac:dyDescent="0.25">
      <c r="A881" s="1021">
        <v>880</v>
      </c>
      <c r="B881" s="2063" t="s">
        <v>1744</v>
      </c>
      <c r="D881" s="1015"/>
    </row>
    <row r="882" spans="1:4" x14ac:dyDescent="0.25">
      <c r="A882" s="1021">
        <v>881</v>
      </c>
      <c r="B882" s="2052" t="s">
        <v>1739</v>
      </c>
      <c r="D882" s="1015"/>
    </row>
    <row r="883" spans="1:4" x14ac:dyDescent="0.25">
      <c r="A883" s="1021">
        <v>882</v>
      </c>
      <c r="B883" s="2054" t="s">
        <v>1745</v>
      </c>
      <c r="D883" s="1015"/>
    </row>
    <row r="884" spans="1:4" x14ac:dyDescent="0.25">
      <c r="A884" s="1021">
        <v>883</v>
      </c>
      <c r="B884" s="1976" t="s">
        <v>1746</v>
      </c>
      <c r="D884" s="1015"/>
    </row>
    <row r="885" spans="1:4" ht="22.5" x14ac:dyDescent="0.25">
      <c r="A885" s="1021">
        <v>884</v>
      </c>
      <c r="B885" s="2004" t="s">
        <v>1747</v>
      </c>
      <c r="D885" s="1015"/>
    </row>
    <row r="886" spans="1:4" x14ac:dyDescent="0.25">
      <c r="A886" s="1021">
        <v>885</v>
      </c>
      <c r="B886" s="2064" t="s">
        <v>1748</v>
      </c>
      <c r="D886" s="1015"/>
    </row>
    <row r="887" spans="1:4" ht="45" x14ac:dyDescent="0.25">
      <c r="A887" s="1021">
        <v>886</v>
      </c>
      <c r="B887" s="2051" t="s">
        <v>1749</v>
      </c>
      <c r="D887" s="1015"/>
    </row>
    <row r="888" spans="1:4" ht="22.5" x14ac:dyDescent="0.25">
      <c r="A888" s="1021">
        <v>887</v>
      </c>
      <c r="B888" s="2051" t="s">
        <v>1750</v>
      </c>
      <c r="D888" s="1015"/>
    </row>
    <row r="889" spans="1:4" ht="22.5" x14ac:dyDescent="0.25">
      <c r="A889" s="1021">
        <v>888</v>
      </c>
      <c r="B889" s="2052" t="s">
        <v>1751</v>
      </c>
      <c r="D889" s="1015"/>
    </row>
    <row r="890" spans="1:4" ht="22.5" x14ac:dyDescent="0.25">
      <c r="A890" s="1021">
        <v>889</v>
      </c>
      <c r="B890" s="2052" t="s">
        <v>1752</v>
      </c>
      <c r="D890" s="1015"/>
    </row>
    <row r="891" spans="1:4" x14ac:dyDescent="0.25">
      <c r="A891" s="1021">
        <v>890</v>
      </c>
      <c r="B891" s="2054" t="s">
        <v>1753</v>
      </c>
      <c r="D891" s="1015"/>
    </row>
    <row r="892" spans="1:4" x14ac:dyDescent="0.25">
      <c r="A892" s="1021">
        <v>891</v>
      </c>
      <c r="B892" s="2055" t="s">
        <v>1754</v>
      </c>
      <c r="D892" s="1015"/>
    </row>
    <row r="893" spans="1:4" x14ac:dyDescent="0.25">
      <c r="A893" s="1021">
        <v>892</v>
      </c>
      <c r="B893" s="2054" t="s">
        <v>1755</v>
      </c>
      <c r="D893" s="1015" t="s">
        <v>874</v>
      </c>
    </row>
    <row r="894" spans="1:4" ht="22.5" x14ac:dyDescent="0.25">
      <c r="A894" s="1021">
        <v>893</v>
      </c>
      <c r="B894" s="2052" t="s">
        <v>1756</v>
      </c>
      <c r="D894" s="1015"/>
    </row>
    <row r="895" spans="1:4" x14ac:dyDescent="0.25">
      <c r="A895" s="1021">
        <v>894</v>
      </c>
      <c r="B895" s="2052" t="s">
        <v>1757</v>
      </c>
      <c r="D895" s="1015"/>
    </row>
    <row r="896" spans="1:4" x14ac:dyDescent="0.25">
      <c r="A896" s="1021">
        <v>895</v>
      </c>
      <c r="B896" s="2052" t="s">
        <v>1758</v>
      </c>
      <c r="D896" s="1015"/>
    </row>
    <row r="897" spans="1:4" x14ac:dyDescent="0.25">
      <c r="A897" s="1021">
        <v>896</v>
      </c>
      <c r="B897" s="1976" t="s">
        <v>1759</v>
      </c>
      <c r="D897" s="1015"/>
    </row>
    <row r="898" spans="1:4" ht="22.5" x14ac:dyDescent="0.25">
      <c r="A898" s="1021">
        <v>897</v>
      </c>
      <c r="B898" s="2004" t="s">
        <v>1760</v>
      </c>
      <c r="D898" s="1015"/>
    </row>
    <row r="899" spans="1:4" x14ac:dyDescent="0.25">
      <c r="A899" s="1021">
        <v>898</v>
      </c>
      <c r="B899" s="2065" t="s">
        <v>1761</v>
      </c>
      <c r="D899" s="1015"/>
    </row>
    <row r="900" spans="1:4" ht="15.75" thickBot="1" x14ac:dyDescent="0.3">
      <c r="A900" s="1021">
        <v>899</v>
      </c>
      <c r="B900" s="1984" t="s">
        <v>1762</v>
      </c>
      <c r="D900" s="1015"/>
    </row>
    <row r="901" spans="1:4" x14ac:dyDescent="0.25">
      <c r="A901" s="1021">
        <v>900</v>
      </c>
      <c r="B901" s="2002" t="s">
        <v>1763</v>
      </c>
      <c r="D901" s="1015"/>
    </row>
    <row r="902" spans="1:4" ht="36" x14ac:dyDescent="0.25">
      <c r="A902" s="1021">
        <v>901</v>
      </c>
      <c r="B902" s="1986" t="s">
        <v>1764</v>
      </c>
      <c r="D902" s="1015"/>
    </row>
    <row r="903" spans="1:4" ht="15.75" x14ac:dyDescent="0.25">
      <c r="A903" s="1021">
        <v>902</v>
      </c>
      <c r="B903" s="1987" t="s">
        <v>1765</v>
      </c>
      <c r="D903" s="1015"/>
    </row>
    <row r="904" spans="1:4" ht="30" x14ac:dyDescent="0.25">
      <c r="A904" s="1021">
        <v>903</v>
      </c>
      <c r="B904" s="2003" t="s">
        <v>1766</v>
      </c>
      <c r="D904" s="1015"/>
    </row>
    <row r="905" spans="1:4" ht="22.5" x14ac:dyDescent="0.25">
      <c r="A905" s="1021">
        <v>904</v>
      </c>
      <c r="B905" s="2004" t="s">
        <v>2593</v>
      </c>
      <c r="D905" s="1015"/>
    </row>
    <row r="906" spans="1:4" ht="22.5" x14ac:dyDescent="0.25">
      <c r="A906" s="1021">
        <v>905</v>
      </c>
      <c r="B906" s="2004" t="s">
        <v>1767</v>
      </c>
      <c r="D906" s="1015"/>
    </row>
    <row r="907" spans="1:4" ht="22.5" x14ac:dyDescent="0.25">
      <c r="A907" s="1021">
        <v>906</v>
      </c>
      <c r="B907" s="2004" t="s">
        <v>1768</v>
      </c>
      <c r="D907" s="1015"/>
    </row>
    <row r="908" spans="1:4" x14ac:dyDescent="0.25">
      <c r="A908" s="1021">
        <v>907</v>
      </c>
      <c r="B908" s="1984" t="s">
        <v>1769</v>
      </c>
      <c r="D908" s="1015"/>
    </row>
    <row r="909" spans="1:4" ht="22.5" x14ac:dyDescent="0.25">
      <c r="A909" s="1021">
        <v>908</v>
      </c>
      <c r="B909" s="1995" t="s">
        <v>1770</v>
      </c>
      <c r="D909" s="1015"/>
    </row>
    <row r="910" spans="1:4" x14ac:dyDescent="0.25">
      <c r="A910" s="1021">
        <v>909</v>
      </c>
      <c r="B910" s="1984" t="s">
        <v>1771</v>
      </c>
      <c r="D910" s="1015"/>
    </row>
    <row r="911" spans="1:4" x14ac:dyDescent="0.25">
      <c r="A911" s="1021">
        <v>910</v>
      </c>
      <c r="B911" s="2004" t="s">
        <v>1772</v>
      </c>
      <c r="D911" s="1015"/>
    </row>
    <row r="912" spans="1:4" x14ac:dyDescent="0.25">
      <c r="A912" s="1021">
        <v>911</v>
      </c>
      <c r="B912" s="2004" t="s">
        <v>2347</v>
      </c>
      <c r="D912" s="1015"/>
    </row>
    <row r="913" spans="1:4" x14ac:dyDescent="0.25">
      <c r="A913" s="1021">
        <v>912</v>
      </c>
      <c r="B913" s="2004" t="s">
        <v>1773</v>
      </c>
      <c r="D913" s="1015"/>
    </row>
    <row r="914" spans="1:4" x14ac:dyDescent="0.25">
      <c r="A914" s="1021">
        <v>913</v>
      </c>
      <c r="B914" s="2004" t="s">
        <v>1774</v>
      </c>
      <c r="D914" s="1015"/>
    </row>
    <row r="915" spans="1:4" x14ac:dyDescent="0.25">
      <c r="A915" s="1021">
        <v>914</v>
      </c>
      <c r="B915" s="2004" t="s">
        <v>1775</v>
      </c>
      <c r="D915" s="1015"/>
    </row>
    <row r="916" spans="1:4" x14ac:dyDescent="0.25">
      <c r="A916" s="1021">
        <v>915</v>
      </c>
      <c r="B916" s="2004" t="s">
        <v>1776</v>
      </c>
      <c r="D916" s="1015"/>
    </row>
    <row r="917" spans="1:4" x14ac:dyDescent="0.25">
      <c r="A917" s="1021">
        <v>916</v>
      </c>
      <c r="B917" s="2004" t="s">
        <v>1777</v>
      </c>
      <c r="D917" s="1015"/>
    </row>
    <row r="918" spans="1:4" x14ac:dyDescent="0.25">
      <c r="A918" s="1021">
        <v>917</v>
      </c>
      <c r="B918" s="2012" t="s">
        <v>2348</v>
      </c>
      <c r="D918" s="1015"/>
    </row>
    <row r="919" spans="1:4" x14ac:dyDescent="0.25">
      <c r="A919" s="1021">
        <v>918</v>
      </c>
      <c r="B919" s="2011" t="s">
        <v>1778</v>
      </c>
      <c r="D919" s="1015"/>
    </row>
    <row r="920" spans="1:4" x14ac:dyDescent="0.25">
      <c r="A920" s="1021">
        <v>919</v>
      </c>
      <c r="B920" s="2011" t="s">
        <v>1779</v>
      </c>
      <c r="D920" s="1015"/>
    </row>
    <row r="921" spans="1:4" x14ac:dyDescent="0.25">
      <c r="A921" s="1021">
        <v>920</v>
      </c>
      <c r="B921" s="2011" t="s">
        <v>1780</v>
      </c>
      <c r="D921" s="1015"/>
    </row>
    <row r="922" spans="1:4" x14ac:dyDescent="0.25">
      <c r="A922" s="1021">
        <v>921</v>
      </c>
      <c r="B922" s="2033" t="s">
        <v>1781</v>
      </c>
      <c r="D922" s="1015"/>
    </row>
    <row r="923" spans="1:4" x14ac:dyDescent="0.25">
      <c r="A923" s="1021">
        <v>922</v>
      </c>
      <c r="B923" s="2036" t="s">
        <v>1782</v>
      </c>
      <c r="D923" s="1015"/>
    </row>
    <row r="924" spans="1:4" x14ac:dyDescent="0.25">
      <c r="A924" s="1021">
        <v>923</v>
      </c>
      <c r="B924" s="2009" t="s">
        <v>1783</v>
      </c>
      <c r="D924" s="1015"/>
    </row>
    <row r="925" spans="1:4" x14ac:dyDescent="0.25">
      <c r="A925" s="1021">
        <v>924</v>
      </c>
      <c r="B925" s="2009" t="s">
        <v>1784</v>
      </c>
      <c r="D925" s="1015"/>
    </row>
    <row r="926" spans="1:4" x14ac:dyDescent="0.25">
      <c r="A926" s="1021">
        <v>925</v>
      </c>
      <c r="B926" s="2009" t="s">
        <v>1785</v>
      </c>
      <c r="D926" s="1015"/>
    </row>
    <row r="927" spans="1:4" x14ac:dyDescent="0.25">
      <c r="A927" s="1021">
        <v>926</v>
      </c>
      <c r="B927" s="2009" t="s">
        <v>1786</v>
      </c>
      <c r="D927" s="1015"/>
    </row>
    <row r="928" spans="1:4" x14ac:dyDescent="0.25">
      <c r="A928" s="1021">
        <v>927</v>
      </c>
      <c r="B928" s="2009" t="s">
        <v>1787</v>
      </c>
      <c r="D928" s="1015"/>
    </row>
    <row r="929" spans="1:4" x14ac:dyDescent="0.25">
      <c r="A929" s="1021">
        <v>928</v>
      </c>
      <c r="B929" s="2009" t="s">
        <v>1788</v>
      </c>
      <c r="D929" s="1015"/>
    </row>
    <row r="930" spans="1:4" x14ac:dyDescent="0.25">
      <c r="A930" s="1021">
        <v>929</v>
      </c>
      <c r="B930" s="2009" t="s">
        <v>1789</v>
      </c>
      <c r="D930" s="1015"/>
    </row>
    <row r="931" spans="1:4" x14ac:dyDescent="0.25">
      <c r="A931" s="1021">
        <v>930</v>
      </c>
      <c r="B931" s="2009" t="s">
        <v>1790</v>
      </c>
      <c r="D931" s="1015"/>
    </row>
    <row r="932" spans="1:4" x14ac:dyDescent="0.25">
      <c r="A932" s="1021">
        <v>931</v>
      </c>
      <c r="B932" s="2009" t="s">
        <v>1791</v>
      </c>
      <c r="D932" s="1015"/>
    </row>
    <row r="933" spans="1:4" x14ac:dyDescent="0.25">
      <c r="A933" s="1021">
        <v>932</v>
      </c>
      <c r="B933" s="2009" t="s">
        <v>1792</v>
      </c>
      <c r="D933" s="1015"/>
    </row>
    <row r="934" spans="1:4" x14ac:dyDescent="0.25">
      <c r="A934" s="1021">
        <v>933</v>
      </c>
      <c r="B934" s="2009" t="s">
        <v>1793</v>
      </c>
      <c r="D934" s="1015"/>
    </row>
    <row r="935" spans="1:4" x14ac:dyDescent="0.25">
      <c r="A935" s="1021">
        <v>934</v>
      </c>
      <c r="B935" s="2009" t="s">
        <v>1794</v>
      </c>
      <c r="D935" s="1015"/>
    </row>
    <row r="936" spans="1:4" x14ac:dyDescent="0.25">
      <c r="A936" s="1021">
        <v>935</v>
      </c>
      <c r="B936" s="2009" t="s">
        <v>1795</v>
      </c>
      <c r="D936" s="1015"/>
    </row>
    <row r="937" spans="1:4" x14ac:dyDescent="0.25">
      <c r="A937" s="1021">
        <v>936</v>
      </c>
      <c r="B937" s="2009" t="s">
        <v>1796</v>
      </c>
      <c r="D937" s="1015"/>
    </row>
    <row r="938" spans="1:4" x14ac:dyDescent="0.25">
      <c r="A938" s="1021">
        <v>937</v>
      </c>
      <c r="B938" s="2009" t="s">
        <v>1797</v>
      </c>
      <c r="D938" s="1015"/>
    </row>
    <row r="939" spans="1:4" x14ac:dyDescent="0.25">
      <c r="A939" s="1021">
        <v>938</v>
      </c>
      <c r="B939" s="2009" t="s">
        <v>1798</v>
      </c>
      <c r="D939" s="1015"/>
    </row>
    <row r="940" spans="1:4" x14ac:dyDescent="0.25">
      <c r="A940" s="1021">
        <v>939</v>
      </c>
      <c r="B940" s="2009" t="s">
        <v>1799</v>
      </c>
      <c r="D940" s="1015"/>
    </row>
    <row r="941" spans="1:4" x14ac:dyDescent="0.25">
      <c r="A941" s="1021">
        <v>940</v>
      </c>
      <c r="B941" s="2009" t="s">
        <v>1800</v>
      </c>
      <c r="D941" s="1015"/>
    </row>
    <row r="942" spans="1:4" x14ac:dyDescent="0.25">
      <c r="A942" s="1021">
        <v>941</v>
      </c>
      <c r="B942" s="2009" t="s">
        <v>1801</v>
      </c>
      <c r="D942" s="1015"/>
    </row>
    <row r="943" spans="1:4" x14ac:dyDescent="0.25">
      <c r="A943" s="1021">
        <v>942</v>
      </c>
      <c r="B943" s="2009" t="s">
        <v>1802</v>
      </c>
      <c r="D943" s="1015"/>
    </row>
    <row r="944" spans="1:4" x14ac:dyDescent="0.25">
      <c r="A944" s="1021">
        <v>943</v>
      </c>
      <c r="B944" s="2009" t="s">
        <v>1803</v>
      </c>
      <c r="D944" s="1015"/>
    </row>
    <row r="945" spans="1:4" x14ac:dyDescent="0.25">
      <c r="A945" s="1021">
        <v>944</v>
      </c>
      <c r="B945" s="2009" t="s">
        <v>1804</v>
      </c>
      <c r="D945" s="1015"/>
    </row>
    <row r="946" spans="1:4" x14ac:dyDescent="0.25">
      <c r="A946" s="1021">
        <v>945</v>
      </c>
      <c r="B946" s="2009" t="s">
        <v>1805</v>
      </c>
      <c r="D946" s="1015"/>
    </row>
    <row r="947" spans="1:4" x14ac:dyDescent="0.25">
      <c r="A947" s="1021">
        <v>946</v>
      </c>
      <c r="B947" s="2009" t="s">
        <v>1806</v>
      </c>
      <c r="D947" s="1015"/>
    </row>
    <row r="948" spans="1:4" x14ac:dyDescent="0.25">
      <c r="A948" s="1021">
        <v>947</v>
      </c>
      <c r="B948" s="2009" t="s">
        <v>1807</v>
      </c>
      <c r="D948" s="1015"/>
    </row>
    <row r="949" spans="1:4" x14ac:dyDescent="0.25">
      <c r="A949" s="1021">
        <v>948</v>
      </c>
      <c r="B949" s="2009" t="s">
        <v>1808</v>
      </c>
      <c r="D949" s="1015"/>
    </row>
    <row r="950" spans="1:4" x14ac:dyDescent="0.25">
      <c r="A950" s="1021">
        <v>949</v>
      </c>
      <c r="B950" s="2009" t="s">
        <v>1809</v>
      </c>
      <c r="D950" s="1015"/>
    </row>
    <row r="951" spans="1:4" x14ac:dyDescent="0.25">
      <c r="A951" s="1021">
        <v>950</v>
      </c>
      <c r="B951" s="2009" t="s">
        <v>1810</v>
      </c>
      <c r="D951" s="1015"/>
    </row>
    <row r="952" spans="1:4" x14ac:dyDescent="0.25">
      <c r="A952" s="1021">
        <v>951</v>
      </c>
      <c r="B952" s="2009" t="s">
        <v>1811</v>
      </c>
      <c r="D952" s="1015"/>
    </row>
    <row r="953" spans="1:4" x14ac:dyDescent="0.25">
      <c r="A953" s="1021">
        <v>952</v>
      </c>
      <c r="B953" s="2009" t="s">
        <v>1812</v>
      </c>
      <c r="D953" s="1015"/>
    </row>
    <row r="954" spans="1:4" x14ac:dyDescent="0.25">
      <c r="A954" s="1021">
        <v>953</v>
      </c>
      <c r="B954" s="2009" t="s">
        <v>1813</v>
      </c>
      <c r="D954" s="1015"/>
    </row>
    <row r="955" spans="1:4" x14ac:dyDescent="0.25">
      <c r="A955" s="1021">
        <v>954</v>
      </c>
      <c r="B955" s="2009" t="s">
        <v>1814</v>
      </c>
      <c r="D955" s="1015"/>
    </row>
    <row r="956" spans="1:4" x14ac:dyDescent="0.25">
      <c r="A956" s="1021">
        <v>955</v>
      </c>
      <c r="B956" s="2009" t="s">
        <v>1815</v>
      </c>
      <c r="D956" s="1015"/>
    </row>
    <row r="957" spans="1:4" x14ac:dyDescent="0.25">
      <c r="A957" s="1021">
        <v>956</v>
      </c>
      <c r="B957" s="2009" t="s">
        <v>1816</v>
      </c>
      <c r="D957" s="1015"/>
    </row>
    <row r="958" spans="1:4" x14ac:dyDescent="0.25">
      <c r="A958" s="1021">
        <v>957</v>
      </c>
      <c r="B958" s="2009" t="s">
        <v>1817</v>
      </c>
      <c r="D958" s="1015"/>
    </row>
    <row r="959" spans="1:4" x14ac:dyDescent="0.25">
      <c r="A959" s="1021">
        <v>958</v>
      </c>
      <c r="B959" s="2009" t="s">
        <v>1818</v>
      </c>
      <c r="D959" s="1015"/>
    </row>
    <row r="960" spans="1:4" x14ac:dyDescent="0.25">
      <c r="A960" s="1021">
        <v>959</v>
      </c>
      <c r="B960" s="2009" t="s">
        <v>1819</v>
      </c>
      <c r="D960" s="1015"/>
    </row>
    <row r="961" spans="1:4" x14ac:dyDescent="0.25">
      <c r="A961" s="1021">
        <v>960</v>
      </c>
      <c r="B961" s="2009" t="s">
        <v>1820</v>
      </c>
      <c r="D961" s="1015"/>
    </row>
    <row r="962" spans="1:4" x14ac:dyDescent="0.25">
      <c r="A962" s="1021">
        <v>961</v>
      </c>
      <c r="B962" s="2009" t="s">
        <v>1821</v>
      </c>
      <c r="D962" s="1015"/>
    </row>
    <row r="963" spans="1:4" x14ac:dyDescent="0.25">
      <c r="A963" s="1021">
        <v>962</v>
      </c>
      <c r="B963" s="2009" t="s">
        <v>1822</v>
      </c>
      <c r="D963" s="1015"/>
    </row>
    <row r="964" spans="1:4" x14ac:dyDescent="0.25">
      <c r="A964" s="1021">
        <v>963</v>
      </c>
      <c r="B964" s="2009" t="s">
        <v>1823</v>
      </c>
      <c r="D964" s="1015"/>
    </row>
    <row r="965" spans="1:4" x14ac:dyDescent="0.25">
      <c r="A965" s="1021">
        <v>964</v>
      </c>
      <c r="B965" s="2009" t="s">
        <v>1824</v>
      </c>
      <c r="D965" s="1015"/>
    </row>
    <row r="966" spans="1:4" x14ac:dyDescent="0.25">
      <c r="A966" s="1021">
        <v>965</v>
      </c>
      <c r="B966" s="2009" t="s">
        <v>1825</v>
      </c>
      <c r="D966" s="1015"/>
    </row>
    <row r="967" spans="1:4" x14ac:dyDescent="0.25">
      <c r="A967" s="1021">
        <v>966</v>
      </c>
      <c r="B967" s="2009" t="s">
        <v>1826</v>
      </c>
      <c r="D967" s="1015"/>
    </row>
    <row r="968" spans="1:4" x14ac:dyDescent="0.25">
      <c r="A968" s="1021">
        <v>967</v>
      </c>
      <c r="B968" s="2009" t="s">
        <v>1827</v>
      </c>
      <c r="D968" s="1015"/>
    </row>
    <row r="969" spans="1:4" x14ac:dyDescent="0.25">
      <c r="A969" s="1021">
        <v>968</v>
      </c>
      <c r="B969" s="2009" t="s">
        <v>1828</v>
      </c>
      <c r="D969" s="1015"/>
    </row>
    <row r="970" spans="1:4" x14ac:dyDescent="0.25">
      <c r="A970" s="1021">
        <v>969</v>
      </c>
      <c r="B970" s="2009" t="s">
        <v>1829</v>
      </c>
      <c r="D970" s="1015"/>
    </row>
    <row r="971" spans="1:4" x14ac:dyDescent="0.25">
      <c r="A971" s="1021">
        <v>970</v>
      </c>
      <c r="B971" s="2009" t="s">
        <v>1830</v>
      </c>
      <c r="D971" s="1015"/>
    </row>
    <row r="972" spans="1:4" x14ac:dyDescent="0.25">
      <c r="A972" s="1021">
        <v>971</v>
      </c>
      <c r="B972" s="2009" t="s">
        <v>1831</v>
      </c>
      <c r="D972" s="1015"/>
    </row>
    <row r="973" spans="1:4" x14ac:dyDescent="0.25">
      <c r="A973" s="1021">
        <v>972</v>
      </c>
      <c r="B973" s="2009" t="s">
        <v>1832</v>
      </c>
      <c r="D973" s="1015"/>
    </row>
    <row r="974" spans="1:4" x14ac:dyDescent="0.25">
      <c r="A974" s="1021">
        <v>973</v>
      </c>
      <c r="B974" s="2009" t="s">
        <v>1833</v>
      </c>
      <c r="D974" s="1015"/>
    </row>
    <row r="975" spans="1:4" x14ac:dyDescent="0.25">
      <c r="A975" s="1021">
        <v>974</v>
      </c>
      <c r="B975" s="2009" t="s">
        <v>1834</v>
      </c>
      <c r="D975" s="1015"/>
    </row>
    <row r="976" spans="1:4" x14ac:dyDescent="0.25">
      <c r="A976" s="1021">
        <v>975</v>
      </c>
      <c r="B976" s="2009" t="s">
        <v>1835</v>
      </c>
      <c r="D976" s="1015"/>
    </row>
    <row r="977" spans="1:4" x14ac:dyDescent="0.25">
      <c r="A977" s="1021">
        <v>976</v>
      </c>
      <c r="B977" s="2008" t="s">
        <v>1836</v>
      </c>
      <c r="D977" s="1015"/>
    </row>
    <row r="978" spans="1:4" x14ac:dyDescent="0.25">
      <c r="A978" s="1021">
        <v>977</v>
      </c>
      <c r="B978" s="1984" t="s">
        <v>1837</v>
      </c>
      <c r="D978" s="1015"/>
    </row>
    <row r="979" spans="1:4" ht="22.5" x14ac:dyDescent="0.25">
      <c r="A979" s="1021">
        <v>978</v>
      </c>
      <c r="B979" s="2004" t="s">
        <v>2349</v>
      </c>
      <c r="D979" s="1015"/>
    </row>
    <row r="980" spans="1:4" ht="21" x14ac:dyDescent="0.25">
      <c r="A980" s="1021">
        <v>979</v>
      </c>
      <c r="B980" s="2012" t="s">
        <v>1838</v>
      </c>
      <c r="D980" s="1015"/>
    </row>
    <row r="981" spans="1:4" ht="21" x14ac:dyDescent="0.25">
      <c r="A981" s="1021">
        <v>980</v>
      </c>
      <c r="B981" s="2012" t="s">
        <v>2350</v>
      </c>
      <c r="D981" s="1015"/>
    </row>
    <row r="982" spans="1:4" ht="22.5" x14ac:dyDescent="0.25">
      <c r="A982" s="1021">
        <v>981</v>
      </c>
      <c r="B982" s="2004" t="s">
        <v>1839</v>
      </c>
      <c r="D982" s="1015"/>
    </row>
    <row r="983" spans="1:4" x14ac:dyDescent="0.25">
      <c r="A983" s="1021">
        <v>982</v>
      </c>
      <c r="B983" s="2030" t="s">
        <v>1840</v>
      </c>
      <c r="D983" s="1015"/>
    </row>
    <row r="984" spans="1:4" ht="15.75" x14ac:dyDescent="0.25">
      <c r="A984" s="1021">
        <v>983</v>
      </c>
      <c r="B984" s="1987" t="s">
        <v>1841</v>
      </c>
      <c r="D984" s="1015"/>
    </row>
    <row r="985" spans="1:4" x14ac:dyDescent="0.25">
      <c r="A985" s="1021">
        <v>984</v>
      </c>
      <c r="B985" s="2003" t="s">
        <v>1842</v>
      </c>
      <c r="D985" s="1015"/>
    </row>
    <row r="986" spans="1:4" ht="22.5" x14ac:dyDescent="0.25">
      <c r="A986" s="1021">
        <v>985</v>
      </c>
      <c r="B986" s="2004" t="s">
        <v>2594</v>
      </c>
      <c r="D986" s="1015"/>
    </row>
    <row r="987" spans="1:4" x14ac:dyDescent="0.25">
      <c r="A987" s="1021">
        <v>986</v>
      </c>
      <c r="B987" s="1984" t="s">
        <v>1843</v>
      </c>
      <c r="D987" s="1015"/>
    </row>
    <row r="988" spans="1:4" ht="22.5" x14ac:dyDescent="0.25">
      <c r="A988" s="1021">
        <v>987</v>
      </c>
      <c r="B988" s="2004" t="s">
        <v>1844</v>
      </c>
      <c r="D988" s="1015"/>
    </row>
    <row r="989" spans="1:4" x14ac:dyDescent="0.25">
      <c r="A989" s="1021">
        <v>988</v>
      </c>
      <c r="B989" s="2033" t="s">
        <v>1845</v>
      </c>
      <c r="D989" s="1015"/>
    </row>
    <row r="990" spans="1:4" x14ac:dyDescent="0.25">
      <c r="A990" s="1021">
        <v>989</v>
      </c>
      <c r="B990" s="1984" t="s">
        <v>1846</v>
      </c>
      <c r="D990" s="1015"/>
    </row>
    <row r="991" spans="1:4" x14ac:dyDescent="0.25">
      <c r="A991" s="1021">
        <v>990</v>
      </c>
      <c r="B991" s="2004" t="s">
        <v>2351</v>
      </c>
      <c r="D991" s="1015"/>
    </row>
    <row r="992" spans="1:4" x14ac:dyDescent="0.25">
      <c r="A992" s="1021">
        <v>991</v>
      </c>
      <c r="B992" s="2004" t="s">
        <v>1847</v>
      </c>
      <c r="D992" s="1015"/>
    </row>
    <row r="993" spans="1:4" ht="22.5" x14ac:dyDescent="0.25">
      <c r="A993" s="1021">
        <v>992</v>
      </c>
      <c r="B993" s="2004" t="s">
        <v>1848</v>
      </c>
      <c r="D993" s="1015"/>
    </row>
    <row r="994" spans="1:4" x14ac:dyDescent="0.25">
      <c r="A994" s="1021">
        <v>993</v>
      </c>
      <c r="B994" s="2004" t="s">
        <v>1849</v>
      </c>
      <c r="D994" s="1015"/>
    </row>
    <row r="995" spans="1:4" ht="22.5" x14ac:dyDescent="0.25">
      <c r="A995" s="1021">
        <v>994</v>
      </c>
      <c r="B995" s="2004" t="s">
        <v>1850</v>
      </c>
      <c r="D995" s="1015"/>
    </row>
    <row r="996" spans="1:4" x14ac:dyDescent="0.25">
      <c r="A996" s="1021">
        <v>995</v>
      </c>
      <c r="B996" s="2007" t="s">
        <v>1851</v>
      </c>
      <c r="D996" s="1015"/>
    </row>
    <row r="997" spans="1:4" x14ac:dyDescent="0.25">
      <c r="A997" s="1021">
        <v>996</v>
      </c>
      <c r="B997" s="2008" t="s">
        <v>1852</v>
      </c>
      <c r="D997" s="1015"/>
    </row>
    <row r="998" spans="1:4" ht="25.5" x14ac:dyDescent="0.25">
      <c r="A998" s="1021">
        <v>997</v>
      </c>
      <c r="B998" s="1984" t="s">
        <v>1853</v>
      </c>
      <c r="D998" s="1015"/>
    </row>
    <row r="999" spans="1:4" ht="22.5" x14ac:dyDescent="0.25">
      <c r="A999" s="1021">
        <v>998</v>
      </c>
      <c r="B999" s="2004" t="s">
        <v>2352</v>
      </c>
      <c r="D999" s="1015"/>
    </row>
    <row r="1000" spans="1:4" x14ac:dyDescent="0.25">
      <c r="A1000" s="1021">
        <v>999</v>
      </c>
      <c r="B1000" s="2033" t="s">
        <v>1854</v>
      </c>
      <c r="D1000" s="1015"/>
    </row>
    <row r="1001" spans="1:4" ht="15.75" x14ac:dyDescent="0.25">
      <c r="A1001" s="1021">
        <v>1000</v>
      </c>
      <c r="B1001" s="1987" t="s">
        <v>1855</v>
      </c>
      <c r="D1001" s="1015"/>
    </row>
    <row r="1002" spans="1:4" ht="30" x14ac:dyDescent="0.25">
      <c r="A1002" s="1021">
        <v>1001</v>
      </c>
      <c r="B1002" s="2003" t="s">
        <v>1856</v>
      </c>
      <c r="D1002" s="1015"/>
    </row>
    <row r="1003" spans="1:4" ht="22.5" x14ac:dyDescent="0.25">
      <c r="A1003" s="1021">
        <v>1002</v>
      </c>
      <c r="B1003" s="2004" t="s">
        <v>2595</v>
      </c>
      <c r="D1003" s="1015"/>
    </row>
    <row r="1004" spans="1:4" x14ac:dyDescent="0.25">
      <c r="A1004" s="1021">
        <v>1003</v>
      </c>
      <c r="B1004" s="1984" t="s">
        <v>1857</v>
      </c>
      <c r="D1004" s="1015"/>
    </row>
    <row r="1005" spans="1:4" ht="22.5" x14ac:dyDescent="0.25">
      <c r="A1005" s="1021">
        <v>1004</v>
      </c>
      <c r="B1005" s="2004" t="s">
        <v>1858</v>
      </c>
      <c r="D1005" s="1015"/>
    </row>
    <row r="1006" spans="1:4" x14ac:dyDescent="0.25">
      <c r="A1006" s="1021">
        <v>1005</v>
      </c>
      <c r="B1006" s="2033" t="s">
        <v>1859</v>
      </c>
      <c r="D1006" s="1015"/>
    </row>
    <row r="1007" spans="1:4" x14ac:dyDescent="0.25">
      <c r="A1007" s="1021">
        <v>1006</v>
      </c>
      <c r="B1007" s="2004" t="s">
        <v>2353</v>
      </c>
      <c r="D1007" s="1015"/>
    </row>
    <row r="1008" spans="1:4" x14ac:dyDescent="0.25">
      <c r="A1008" s="1021">
        <v>1007</v>
      </c>
      <c r="B1008" s="2004" t="s">
        <v>1860</v>
      </c>
      <c r="D1008" s="1015"/>
    </row>
    <row r="1009" spans="1:4" ht="22.5" x14ac:dyDescent="0.25">
      <c r="A1009" s="1021">
        <v>1008</v>
      </c>
      <c r="B1009" s="2004" t="s">
        <v>1861</v>
      </c>
      <c r="D1009" s="1015"/>
    </row>
    <row r="1010" spans="1:4" x14ac:dyDescent="0.25">
      <c r="A1010" s="1021">
        <v>1009</v>
      </c>
      <c r="B1010" s="2004" t="s">
        <v>1862</v>
      </c>
      <c r="D1010" s="1015"/>
    </row>
    <row r="1011" spans="1:4" ht="22.5" x14ac:dyDescent="0.25">
      <c r="A1011" s="1021">
        <v>1010</v>
      </c>
      <c r="B1011" s="2004" t="s">
        <v>1863</v>
      </c>
      <c r="D1011" s="1015"/>
    </row>
    <row r="1012" spans="1:4" ht="25.5" x14ac:dyDescent="0.25">
      <c r="A1012" s="1021">
        <v>1011</v>
      </c>
      <c r="B1012" s="1984" t="s">
        <v>1864</v>
      </c>
      <c r="D1012" s="1015"/>
    </row>
    <row r="1013" spans="1:4" ht="22.5" x14ac:dyDescent="0.25">
      <c r="A1013" s="1021">
        <v>1012</v>
      </c>
      <c r="B1013" s="2004" t="s">
        <v>2354</v>
      </c>
      <c r="D1013" s="1015"/>
    </row>
    <row r="1014" spans="1:4" x14ac:dyDescent="0.25">
      <c r="A1014" s="1021">
        <v>1013</v>
      </c>
      <c r="B1014" s="2033" t="s">
        <v>1865</v>
      </c>
      <c r="D1014" s="1015"/>
    </row>
    <row r="1015" spans="1:4" ht="15.75" x14ac:dyDescent="0.25">
      <c r="A1015" s="1021">
        <v>1014</v>
      </c>
      <c r="B1015" s="1987" t="s">
        <v>1866</v>
      </c>
      <c r="D1015" s="1015"/>
    </row>
    <row r="1016" spans="1:4" ht="30" x14ac:dyDescent="0.25">
      <c r="A1016" s="1021">
        <v>1015</v>
      </c>
      <c r="B1016" s="2003" t="s">
        <v>1867</v>
      </c>
      <c r="D1016" s="1015"/>
    </row>
    <row r="1017" spans="1:4" ht="22.5" x14ac:dyDescent="0.25">
      <c r="A1017" s="1021">
        <v>1016</v>
      </c>
      <c r="B1017" s="2004" t="s">
        <v>2596</v>
      </c>
      <c r="D1017" s="1015"/>
    </row>
    <row r="1018" spans="1:4" x14ac:dyDescent="0.25">
      <c r="A1018" s="1021">
        <v>1017</v>
      </c>
      <c r="B1018" s="1984" t="s">
        <v>1868</v>
      </c>
      <c r="D1018" s="1015"/>
    </row>
    <row r="1019" spans="1:4" x14ac:dyDescent="0.25">
      <c r="A1019" s="1021">
        <v>1018</v>
      </c>
      <c r="B1019" s="2004" t="s">
        <v>1869</v>
      </c>
      <c r="D1019" s="1015"/>
    </row>
    <row r="1020" spans="1:4" x14ac:dyDescent="0.25">
      <c r="A1020" s="1021">
        <v>1019</v>
      </c>
      <c r="B1020" s="2033" t="s">
        <v>1870</v>
      </c>
      <c r="D1020" s="1015"/>
    </row>
    <row r="1021" spans="1:4" x14ac:dyDescent="0.25">
      <c r="A1021" s="1021">
        <v>1020</v>
      </c>
      <c r="B1021" s="1984" t="s">
        <v>1871</v>
      </c>
      <c r="D1021" s="1015"/>
    </row>
    <row r="1022" spans="1:4" x14ac:dyDescent="0.25">
      <c r="A1022" s="1021">
        <v>1021</v>
      </c>
      <c r="B1022" s="2004" t="s">
        <v>2355</v>
      </c>
      <c r="D1022" s="1015"/>
    </row>
    <row r="1023" spans="1:4" ht="22.5" x14ac:dyDescent="0.25">
      <c r="A1023" s="1021">
        <v>1022</v>
      </c>
      <c r="B1023" s="2004" t="s">
        <v>1872</v>
      </c>
      <c r="D1023" s="1015"/>
    </row>
    <row r="1024" spans="1:4" x14ac:dyDescent="0.25">
      <c r="A1024" s="1021">
        <v>1023</v>
      </c>
      <c r="B1024" s="2004" t="s">
        <v>1873</v>
      </c>
      <c r="D1024" s="1015"/>
    </row>
    <row r="1025" spans="1:4" ht="22.5" x14ac:dyDescent="0.25">
      <c r="A1025" s="1021">
        <v>1024</v>
      </c>
      <c r="B1025" s="2004" t="s">
        <v>1874</v>
      </c>
      <c r="D1025" s="1015"/>
    </row>
    <row r="1026" spans="1:4" x14ac:dyDescent="0.25">
      <c r="A1026" s="1021">
        <v>1025</v>
      </c>
      <c r="B1026" s="2006" t="s">
        <v>1875</v>
      </c>
      <c r="D1026" s="1015"/>
    </row>
    <row r="1027" spans="1:4" x14ac:dyDescent="0.25">
      <c r="A1027" s="1021">
        <v>1026</v>
      </c>
      <c r="B1027" s="2007" t="s">
        <v>1876</v>
      </c>
      <c r="D1027" s="1015"/>
    </row>
    <row r="1028" spans="1:4" x14ac:dyDescent="0.25">
      <c r="A1028" s="1021">
        <v>1027</v>
      </c>
      <c r="B1028" s="2009" t="s">
        <v>1877</v>
      </c>
      <c r="D1028" s="1015"/>
    </row>
    <row r="1029" spans="1:4" x14ac:dyDescent="0.25">
      <c r="A1029" s="1021">
        <v>1028</v>
      </c>
      <c r="B1029" s="2008" t="s">
        <v>1878</v>
      </c>
      <c r="D1029" s="1015"/>
    </row>
    <row r="1030" spans="1:4" x14ac:dyDescent="0.25">
      <c r="A1030" s="1021">
        <v>1029</v>
      </c>
      <c r="B1030" s="1984" t="s">
        <v>1879</v>
      </c>
      <c r="D1030" s="1015"/>
    </row>
    <row r="1031" spans="1:4" ht="22.5" x14ac:dyDescent="0.25">
      <c r="A1031" s="1021">
        <v>1030</v>
      </c>
      <c r="B1031" s="2004" t="s">
        <v>2356</v>
      </c>
      <c r="D1031" s="1015"/>
    </row>
    <row r="1032" spans="1:4" x14ac:dyDescent="0.25">
      <c r="A1032" s="1021">
        <v>1031</v>
      </c>
      <c r="B1032" s="2033" t="s">
        <v>1880</v>
      </c>
      <c r="D1032" s="1015"/>
    </row>
    <row r="1033" spans="1:4" ht="30" x14ac:dyDescent="0.25">
      <c r="A1033" s="1021">
        <v>1032</v>
      </c>
      <c r="B1033" s="2003" t="s">
        <v>2357</v>
      </c>
      <c r="D1033" s="1015"/>
    </row>
    <row r="1034" spans="1:4" ht="22.5" x14ac:dyDescent="0.25">
      <c r="A1034" s="1021">
        <v>1033</v>
      </c>
      <c r="B1034" s="2004" t="s">
        <v>2358</v>
      </c>
      <c r="D1034" s="1015"/>
    </row>
    <row r="1035" spans="1:4" ht="22.5" x14ac:dyDescent="0.25">
      <c r="A1035" s="1021">
        <v>1034</v>
      </c>
      <c r="B1035" s="2004" t="s">
        <v>1881</v>
      </c>
      <c r="D1035" s="1015"/>
    </row>
    <row r="1036" spans="1:4" ht="22.5" x14ac:dyDescent="0.25">
      <c r="A1036" s="1021">
        <v>1035</v>
      </c>
      <c r="B1036" s="2004" t="s">
        <v>1882</v>
      </c>
      <c r="D1036" s="1015"/>
    </row>
    <row r="1037" spans="1:4" x14ac:dyDescent="0.25">
      <c r="A1037" s="1021">
        <v>1036</v>
      </c>
      <c r="B1037" s="1984" t="s">
        <v>1883</v>
      </c>
      <c r="D1037" s="1015"/>
    </row>
    <row r="1038" spans="1:4" ht="22.5" x14ac:dyDescent="0.25">
      <c r="A1038" s="1021">
        <v>1037</v>
      </c>
      <c r="B1038" s="2004" t="s">
        <v>2359</v>
      </c>
      <c r="D1038" s="1015"/>
    </row>
    <row r="1039" spans="1:4" x14ac:dyDescent="0.25">
      <c r="A1039" s="1021">
        <v>1038</v>
      </c>
      <c r="B1039" s="2006" t="s">
        <v>1884</v>
      </c>
      <c r="D1039" s="1015"/>
    </row>
    <row r="1040" spans="1:4" ht="25.5" x14ac:dyDescent="0.25">
      <c r="A1040" s="1021">
        <v>1039</v>
      </c>
      <c r="B1040" s="2006" t="s">
        <v>1885</v>
      </c>
      <c r="D1040" s="1015"/>
    </row>
    <row r="1041" spans="1:4" ht="25.5" x14ac:dyDescent="0.25">
      <c r="A1041" s="1021">
        <v>1040</v>
      </c>
      <c r="B1041" s="1984" t="s">
        <v>1886</v>
      </c>
      <c r="D1041" s="1015"/>
    </row>
    <row r="1042" spans="1:4" x14ac:dyDescent="0.25">
      <c r="A1042" s="1021">
        <v>1041</v>
      </c>
      <c r="B1042" s="2004" t="s">
        <v>2360</v>
      </c>
      <c r="D1042" s="1015"/>
    </row>
    <row r="1043" spans="1:4" x14ac:dyDescent="0.25">
      <c r="A1043" s="1021">
        <v>1042</v>
      </c>
      <c r="B1043" s="2033" t="s">
        <v>1887</v>
      </c>
      <c r="D1043" s="1015"/>
    </row>
    <row r="1044" spans="1:4" ht="15.75" x14ac:dyDescent="0.25">
      <c r="A1044" s="1021">
        <v>1043</v>
      </c>
      <c r="B1044" s="1987" t="s">
        <v>1888</v>
      </c>
      <c r="D1044" s="1015"/>
    </row>
    <row r="1045" spans="1:4" ht="30" x14ac:dyDescent="0.25">
      <c r="A1045" s="1021">
        <v>1044</v>
      </c>
      <c r="B1045" s="2003" t="s">
        <v>1889</v>
      </c>
      <c r="D1045" s="1015"/>
    </row>
    <row r="1046" spans="1:4" ht="22.5" x14ac:dyDescent="0.25">
      <c r="A1046" s="1021">
        <v>1045</v>
      </c>
      <c r="B1046" s="2004" t="s">
        <v>2597</v>
      </c>
      <c r="D1046" s="1015"/>
    </row>
    <row r="1047" spans="1:4" ht="22.5" x14ac:dyDescent="0.25">
      <c r="A1047" s="1021">
        <v>1046</v>
      </c>
      <c r="B1047" s="2004" t="s">
        <v>1890</v>
      </c>
      <c r="D1047" s="1015"/>
    </row>
    <row r="1048" spans="1:4" x14ac:dyDescent="0.25">
      <c r="A1048" s="1021">
        <v>1047</v>
      </c>
      <c r="B1048" s="2004" t="s">
        <v>2361</v>
      </c>
      <c r="D1048" s="1015"/>
    </row>
    <row r="1049" spans="1:4" x14ac:dyDescent="0.25">
      <c r="A1049" s="1021">
        <v>1048</v>
      </c>
      <c r="B1049" s="2009" t="s">
        <v>1891</v>
      </c>
      <c r="D1049" s="1015"/>
    </row>
    <row r="1050" spans="1:4" ht="25.5" x14ac:dyDescent="0.25">
      <c r="A1050" s="1021">
        <v>1049</v>
      </c>
      <c r="B1050" s="1984" t="s">
        <v>1892</v>
      </c>
      <c r="D1050" s="1015"/>
    </row>
    <row r="1051" spans="1:4" ht="22.5" x14ac:dyDescent="0.25">
      <c r="A1051" s="1021">
        <v>1050</v>
      </c>
      <c r="B1051" s="2004" t="s">
        <v>2362</v>
      </c>
      <c r="D1051" s="1015"/>
    </row>
    <row r="1052" spans="1:4" ht="21" x14ac:dyDescent="0.25">
      <c r="A1052" s="1021">
        <v>1051</v>
      </c>
      <c r="B1052" s="2012" t="s">
        <v>1838</v>
      </c>
      <c r="D1052" s="1015"/>
    </row>
    <row r="1053" spans="1:4" ht="21" x14ac:dyDescent="0.25">
      <c r="A1053" s="1021">
        <v>1052</v>
      </c>
      <c r="B1053" s="2012" t="s">
        <v>2363</v>
      </c>
      <c r="D1053" s="1015"/>
    </row>
    <row r="1054" spans="1:4" x14ac:dyDescent="0.25">
      <c r="A1054" s="1021">
        <v>1053</v>
      </c>
      <c r="B1054" s="2030" t="s">
        <v>1893</v>
      </c>
      <c r="D1054" s="1015"/>
    </row>
    <row r="1055" spans="1:4" ht="30" x14ac:dyDescent="0.25">
      <c r="A1055" s="1021">
        <v>1054</v>
      </c>
      <c r="B1055" s="2003" t="s">
        <v>1894</v>
      </c>
      <c r="D1055" s="1015"/>
    </row>
    <row r="1056" spans="1:4" ht="22.5" x14ac:dyDescent="0.25">
      <c r="A1056" s="1021">
        <v>1055</v>
      </c>
      <c r="B1056" s="2004" t="s">
        <v>2598</v>
      </c>
      <c r="D1056" s="1015"/>
    </row>
    <row r="1057" spans="1:4" x14ac:dyDescent="0.25">
      <c r="A1057" s="1021">
        <v>1056</v>
      </c>
      <c r="B1057" s="2012" t="s">
        <v>1895</v>
      </c>
      <c r="D1057" s="1015"/>
    </row>
    <row r="1058" spans="1:4" x14ac:dyDescent="0.25">
      <c r="A1058" s="1021">
        <v>1057</v>
      </c>
      <c r="B1058" s="1984" t="s">
        <v>1896</v>
      </c>
      <c r="D1058" s="1015"/>
    </row>
    <row r="1059" spans="1:4" ht="22.5" x14ac:dyDescent="0.25">
      <c r="A1059" s="1021">
        <v>1058</v>
      </c>
      <c r="B1059" s="2004" t="s">
        <v>1897</v>
      </c>
      <c r="D1059" s="1015"/>
    </row>
    <row r="1060" spans="1:4" ht="21" x14ac:dyDescent="0.25">
      <c r="A1060" s="1021">
        <v>1059</v>
      </c>
      <c r="B1060" s="2012" t="s">
        <v>1898</v>
      </c>
      <c r="D1060" s="1015"/>
    </row>
    <row r="1061" spans="1:4" x14ac:dyDescent="0.25">
      <c r="A1061" s="1021">
        <v>1060</v>
      </c>
      <c r="B1061" s="2033" t="s">
        <v>1899</v>
      </c>
      <c r="D1061" s="1015"/>
    </row>
    <row r="1062" spans="1:4" x14ac:dyDescent="0.25">
      <c r="A1062" s="1021">
        <v>1061</v>
      </c>
      <c r="B1062" s="1984" t="s">
        <v>1900</v>
      </c>
      <c r="D1062" s="1015"/>
    </row>
    <row r="1063" spans="1:4" ht="22.5" x14ac:dyDescent="0.25">
      <c r="A1063" s="1021">
        <v>1062</v>
      </c>
      <c r="B1063" s="2004" t="s">
        <v>1901</v>
      </c>
      <c r="D1063" s="1015"/>
    </row>
    <row r="1064" spans="1:4" x14ac:dyDescent="0.25">
      <c r="A1064" s="1021">
        <v>1063</v>
      </c>
      <c r="B1064" s="2004" t="s">
        <v>1902</v>
      </c>
      <c r="D1064" s="1015"/>
    </row>
    <row r="1065" spans="1:4" x14ac:dyDescent="0.25">
      <c r="A1065" s="1021">
        <v>1064</v>
      </c>
      <c r="B1065" s="2033" t="s">
        <v>1903</v>
      </c>
      <c r="D1065" s="1015"/>
    </row>
    <row r="1066" spans="1:4" x14ac:dyDescent="0.25">
      <c r="A1066" s="1021">
        <v>1065</v>
      </c>
      <c r="B1066" s="1984" t="s">
        <v>1904</v>
      </c>
      <c r="D1066" s="1015"/>
    </row>
    <row r="1067" spans="1:4" ht="22.5" x14ac:dyDescent="0.25">
      <c r="A1067" s="1021">
        <v>1066</v>
      </c>
      <c r="B1067" s="2004" t="s">
        <v>2364</v>
      </c>
      <c r="D1067" s="1015"/>
    </row>
    <row r="1068" spans="1:4" x14ac:dyDescent="0.25">
      <c r="A1068" s="1021">
        <v>1067</v>
      </c>
      <c r="B1068" s="2004" t="s">
        <v>1905</v>
      </c>
      <c r="D1068" s="1015"/>
    </row>
    <row r="1069" spans="1:4" x14ac:dyDescent="0.25">
      <c r="A1069" s="1021">
        <v>1068</v>
      </c>
      <c r="B1069" s="2033" t="s">
        <v>1906</v>
      </c>
      <c r="D1069" s="1015"/>
    </row>
    <row r="1070" spans="1:4" ht="15.75" x14ac:dyDescent="0.25">
      <c r="A1070" s="1021">
        <v>1069</v>
      </c>
      <c r="B1070" s="1987" t="s">
        <v>1907</v>
      </c>
      <c r="D1070" s="1015"/>
    </row>
    <row r="1071" spans="1:4" ht="30" x14ac:dyDescent="0.25">
      <c r="A1071" s="1021">
        <v>1070</v>
      </c>
      <c r="B1071" s="2003" t="s">
        <v>1908</v>
      </c>
      <c r="D1071" s="1015"/>
    </row>
    <row r="1072" spans="1:4" ht="22.5" x14ac:dyDescent="0.25">
      <c r="A1072" s="1021">
        <v>1071</v>
      </c>
      <c r="B1072" s="2004" t="s">
        <v>2599</v>
      </c>
      <c r="D1072" s="1015"/>
    </row>
    <row r="1073" spans="1:4" x14ac:dyDescent="0.25">
      <c r="A1073" s="1021">
        <v>1072</v>
      </c>
      <c r="B1073" s="2012" t="s">
        <v>1895</v>
      </c>
      <c r="D1073" s="1015"/>
    </row>
    <row r="1074" spans="1:4" x14ac:dyDescent="0.25">
      <c r="A1074" s="1021">
        <v>1073</v>
      </c>
      <c r="B1074" s="1984" t="s">
        <v>1909</v>
      </c>
      <c r="D1074" s="1015"/>
    </row>
    <row r="1075" spans="1:4" ht="22.5" x14ac:dyDescent="0.25">
      <c r="A1075" s="1021">
        <v>1074</v>
      </c>
      <c r="B1075" s="2004" t="s">
        <v>1910</v>
      </c>
      <c r="D1075" s="1015"/>
    </row>
    <row r="1076" spans="1:4" x14ac:dyDescent="0.25">
      <c r="A1076" s="1021">
        <v>1075</v>
      </c>
      <c r="B1076" s="2033" t="s">
        <v>1911</v>
      </c>
      <c r="D1076" s="1015"/>
    </row>
    <row r="1077" spans="1:4" x14ac:dyDescent="0.25">
      <c r="A1077" s="1021">
        <v>1076</v>
      </c>
      <c r="B1077" s="2004" t="s">
        <v>1912</v>
      </c>
      <c r="D1077" s="1015"/>
    </row>
    <row r="1078" spans="1:4" ht="25.5" x14ac:dyDescent="0.25">
      <c r="A1078" s="1021">
        <v>1077</v>
      </c>
      <c r="B1078" s="1984" t="s">
        <v>1913</v>
      </c>
      <c r="D1078" s="1015"/>
    </row>
    <row r="1079" spans="1:4" ht="22.5" x14ac:dyDescent="0.25">
      <c r="A1079" s="1021">
        <v>1078</v>
      </c>
      <c r="B1079" s="2004" t="s">
        <v>2365</v>
      </c>
      <c r="D1079" s="1015"/>
    </row>
    <row r="1080" spans="1:4" x14ac:dyDescent="0.25">
      <c r="A1080" s="1021">
        <v>1079</v>
      </c>
      <c r="B1080" s="2033" t="s">
        <v>1914</v>
      </c>
      <c r="D1080" s="1015"/>
    </row>
    <row r="1081" spans="1:4" ht="15.75" x14ac:dyDescent="0.25">
      <c r="A1081" s="1021">
        <v>1080</v>
      </c>
      <c r="B1081" s="1987" t="s">
        <v>1915</v>
      </c>
      <c r="D1081" s="1015"/>
    </row>
    <row r="1082" spans="1:4" ht="30" x14ac:dyDescent="0.25">
      <c r="A1082" s="1021">
        <v>1081</v>
      </c>
      <c r="B1082" s="2003" t="s">
        <v>1916</v>
      </c>
      <c r="D1082" s="1015"/>
    </row>
    <row r="1083" spans="1:4" ht="22.5" x14ac:dyDescent="0.25">
      <c r="A1083" s="1021">
        <v>1082</v>
      </c>
      <c r="B1083" s="2004" t="s">
        <v>2600</v>
      </c>
      <c r="D1083" s="1015"/>
    </row>
    <row r="1084" spans="1:4" x14ac:dyDescent="0.25">
      <c r="A1084" s="1021">
        <v>1083</v>
      </c>
      <c r="B1084" s="1984" t="s">
        <v>1917</v>
      </c>
      <c r="D1084" s="1015"/>
    </row>
    <row r="1085" spans="1:4" ht="22.5" x14ac:dyDescent="0.25">
      <c r="A1085" s="1021">
        <v>1084</v>
      </c>
      <c r="B1085" s="2004" t="s">
        <v>1918</v>
      </c>
      <c r="D1085" s="1015"/>
    </row>
    <row r="1086" spans="1:4" ht="22.5" x14ac:dyDescent="0.25">
      <c r="A1086" s="1021">
        <v>1085</v>
      </c>
      <c r="B1086" s="2004" t="s">
        <v>1919</v>
      </c>
      <c r="D1086" s="1015"/>
    </row>
    <row r="1087" spans="1:4" x14ac:dyDescent="0.25">
      <c r="A1087" s="1021">
        <v>1086</v>
      </c>
      <c r="B1087" s="2007" t="s">
        <v>1920</v>
      </c>
      <c r="D1087" s="1015"/>
    </row>
    <row r="1088" spans="1:4" x14ac:dyDescent="0.25">
      <c r="A1088" s="1021">
        <v>1087</v>
      </c>
      <c r="B1088" s="2009" t="s">
        <v>1921</v>
      </c>
      <c r="D1088" s="1015"/>
    </row>
    <row r="1089" spans="1:4" x14ac:dyDescent="0.25">
      <c r="A1089" s="1021">
        <v>1088</v>
      </c>
      <c r="B1089" s="2009" t="s">
        <v>1922</v>
      </c>
      <c r="D1089" s="1015"/>
    </row>
    <row r="1090" spans="1:4" x14ac:dyDescent="0.25">
      <c r="A1090" s="1021">
        <v>1089</v>
      </c>
      <c r="B1090" s="2008" t="s">
        <v>1923</v>
      </c>
      <c r="D1090" s="1015"/>
    </row>
    <row r="1091" spans="1:4" x14ac:dyDescent="0.25">
      <c r="A1091" s="1021">
        <v>1090</v>
      </c>
      <c r="B1091" s="2033" t="s">
        <v>1924</v>
      </c>
      <c r="D1091" s="1015"/>
    </row>
    <row r="1092" spans="1:4" ht="25.5" x14ac:dyDescent="0.25">
      <c r="A1092" s="1021">
        <v>1091</v>
      </c>
      <c r="B1092" s="1984" t="s">
        <v>1925</v>
      </c>
      <c r="D1092" s="1015"/>
    </row>
    <row r="1093" spans="1:4" ht="22.5" x14ac:dyDescent="0.25">
      <c r="A1093" s="1021">
        <v>1092</v>
      </c>
      <c r="B1093" s="2004" t="s">
        <v>2366</v>
      </c>
      <c r="D1093" s="1015"/>
    </row>
    <row r="1094" spans="1:4" x14ac:dyDescent="0.25">
      <c r="A1094" s="1021">
        <v>1093</v>
      </c>
      <c r="B1094" s="2033" t="s">
        <v>1926</v>
      </c>
      <c r="D1094" s="1015"/>
    </row>
    <row r="1095" spans="1:4" ht="15.75" x14ac:dyDescent="0.25">
      <c r="A1095" s="1021">
        <v>1094</v>
      </c>
      <c r="B1095" s="1987" t="s">
        <v>1927</v>
      </c>
      <c r="D1095" s="1015"/>
    </row>
    <row r="1096" spans="1:4" ht="30" x14ac:dyDescent="0.25">
      <c r="A1096" s="1021">
        <v>1095</v>
      </c>
      <c r="B1096" s="2003" t="s">
        <v>2367</v>
      </c>
      <c r="D1096" s="1015"/>
    </row>
    <row r="1097" spans="1:4" ht="22.5" x14ac:dyDescent="0.25">
      <c r="A1097" s="1021">
        <v>1096</v>
      </c>
      <c r="B1097" s="2004" t="s">
        <v>2368</v>
      </c>
      <c r="D1097" s="1015"/>
    </row>
    <row r="1098" spans="1:4" x14ac:dyDescent="0.25">
      <c r="A1098" s="1021">
        <v>1097</v>
      </c>
      <c r="B1098" s="2004" t="s">
        <v>1928</v>
      </c>
      <c r="D1098" s="1015"/>
    </row>
    <row r="1099" spans="1:4" x14ac:dyDescent="0.25">
      <c r="A1099" s="1021">
        <v>1098</v>
      </c>
      <c r="B1099" s="2004" t="s">
        <v>1929</v>
      </c>
      <c r="D1099" s="1015"/>
    </row>
    <row r="1100" spans="1:4" x14ac:dyDescent="0.25">
      <c r="A1100" s="1021">
        <v>1099</v>
      </c>
      <c r="B1100" s="2004" t="s">
        <v>1930</v>
      </c>
      <c r="D1100" s="1015"/>
    </row>
    <row r="1101" spans="1:4" x14ac:dyDescent="0.25">
      <c r="A1101" s="1021">
        <v>1100</v>
      </c>
      <c r="B1101" s="2004" t="s">
        <v>1931</v>
      </c>
      <c r="D1101" s="1015"/>
    </row>
    <row r="1102" spans="1:4" ht="22.5" x14ac:dyDescent="0.25">
      <c r="A1102" s="1021">
        <v>1101</v>
      </c>
      <c r="B1102" s="2004" t="s">
        <v>1932</v>
      </c>
      <c r="D1102" s="1015"/>
    </row>
    <row r="1103" spans="1:4" x14ac:dyDescent="0.25">
      <c r="A1103" s="1021">
        <v>1102</v>
      </c>
      <c r="B1103" s="1984" t="s">
        <v>1933</v>
      </c>
      <c r="D1103" s="1015"/>
    </row>
    <row r="1104" spans="1:4" x14ac:dyDescent="0.25">
      <c r="A1104" s="1021">
        <v>1103</v>
      </c>
      <c r="B1104" s="2004" t="s">
        <v>1934</v>
      </c>
      <c r="D1104" s="1015"/>
    </row>
    <row r="1105" spans="1:4" x14ac:dyDescent="0.25">
      <c r="A1105" s="1021">
        <v>1104</v>
      </c>
      <c r="B1105" s="2009" t="s">
        <v>1935</v>
      </c>
      <c r="D1105" s="1015"/>
    </row>
    <row r="1106" spans="1:4" x14ac:dyDescent="0.25">
      <c r="A1106" s="1021">
        <v>1105</v>
      </c>
      <c r="B1106" s="2008" t="s">
        <v>1936</v>
      </c>
      <c r="D1106" s="1015"/>
    </row>
    <row r="1107" spans="1:4" ht="15.75" thickBot="1" x14ac:dyDescent="0.3">
      <c r="A1107" s="1021">
        <v>1106</v>
      </c>
      <c r="B1107" s="2008" t="s">
        <v>1937</v>
      </c>
      <c r="D1107" s="1015"/>
    </row>
    <row r="1108" spans="1:4" x14ac:dyDescent="0.25">
      <c r="A1108" s="1021">
        <v>1107</v>
      </c>
      <c r="B1108" s="2002" t="s">
        <v>1938</v>
      </c>
      <c r="D1108" s="1015"/>
    </row>
    <row r="1109" spans="1:4" ht="18" x14ac:dyDescent="0.25">
      <c r="A1109" s="1021">
        <v>1108</v>
      </c>
      <c r="B1109" s="1978" t="s">
        <v>1939</v>
      </c>
      <c r="D1109" s="1015"/>
    </row>
    <row r="1110" spans="1:4" ht="16.5" thickBot="1" x14ac:dyDescent="0.3">
      <c r="A1110" s="1021">
        <v>1109</v>
      </c>
      <c r="B1110" s="2066" t="s">
        <v>1940</v>
      </c>
      <c r="D1110" s="1015"/>
    </row>
    <row r="1111" spans="1:4" x14ac:dyDescent="0.25">
      <c r="A1111" s="1021">
        <v>1110</v>
      </c>
      <c r="B1111" s="2002" t="s">
        <v>1941</v>
      </c>
      <c r="D1111" s="1015"/>
    </row>
    <row r="1112" spans="1:4" ht="36" x14ac:dyDescent="0.25">
      <c r="A1112" s="1021">
        <v>1111</v>
      </c>
      <c r="B1112" s="1986" t="s">
        <v>1942</v>
      </c>
      <c r="D1112" s="1015"/>
    </row>
    <row r="1113" spans="1:4" ht="15.75" x14ac:dyDescent="0.25">
      <c r="A1113" s="1021">
        <v>1112</v>
      </c>
      <c r="B1113" s="1987" t="s">
        <v>1943</v>
      </c>
      <c r="D1113" s="1015"/>
    </row>
    <row r="1114" spans="1:4" ht="30" x14ac:dyDescent="0.25">
      <c r="A1114" s="1021">
        <v>1113</v>
      </c>
      <c r="B1114" s="2003" t="s">
        <v>1944</v>
      </c>
      <c r="D1114" s="1015"/>
    </row>
    <row r="1115" spans="1:4" ht="22.5" x14ac:dyDescent="0.25">
      <c r="A1115" s="1021">
        <v>1114</v>
      </c>
      <c r="B1115" s="2004" t="s">
        <v>1945</v>
      </c>
      <c r="D1115" s="1015"/>
    </row>
    <row r="1116" spans="1:4" x14ac:dyDescent="0.25">
      <c r="A1116" s="1021">
        <v>1115</v>
      </c>
      <c r="B1116" s="2004" t="s">
        <v>1946</v>
      </c>
      <c r="D1116" s="1015"/>
    </row>
    <row r="1117" spans="1:4" ht="22.5" x14ac:dyDescent="0.25">
      <c r="A1117" s="1021">
        <v>1116</v>
      </c>
      <c r="B1117" s="2004" t="s">
        <v>1947</v>
      </c>
      <c r="D1117" s="1015"/>
    </row>
    <row r="1118" spans="1:4" ht="22.5" x14ac:dyDescent="0.25">
      <c r="A1118" s="1021">
        <v>1117</v>
      </c>
      <c r="B1118" s="2004" t="s">
        <v>1948</v>
      </c>
      <c r="D1118" s="1015"/>
    </row>
    <row r="1119" spans="1:4" x14ac:dyDescent="0.25">
      <c r="A1119" s="1021">
        <v>1118</v>
      </c>
      <c r="B1119" s="2004" t="s">
        <v>1949</v>
      </c>
      <c r="D1119" s="1015"/>
    </row>
    <row r="1120" spans="1:4" ht="25.5" x14ac:dyDescent="0.25">
      <c r="A1120" s="1021">
        <v>1119</v>
      </c>
      <c r="B1120" s="1984" t="s">
        <v>2369</v>
      </c>
      <c r="D1120" s="1015"/>
    </row>
    <row r="1121" spans="1:4" ht="22.5" x14ac:dyDescent="0.25">
      <c r="A1121" s="1021">
        <v>1120</v>
      </c>
      <c r="B1121" s="2067" t="s">
        <v>1950</v>
      </c>
      <c r="D1121" s="1015"/>
    </row>
    <row r="1122" spans="1:4" x14ac:dyDescent="0.25">
      <c r="A1122" s="1021">
        <v>1121</v>
      </c>
      <c r="B1122" s="2006" t="s">
        <v>1951</v>
      </c>
      <c r="D1122" s="1015"/>
    </row>
    <row r="1123" spans="1:4" x14ac:dyDescent="0.25">
      <c r="A1123" s="1021">
        <v>1122</v>
      </c>
      <c r="B1123" s="2019" t="s">
        <v>1952</v>
      </c>
      <c r="D1123" s="1015"/>
    </row>
    <row r="1124" spans="1:4" ht="25.5" x14ac:dyDescent="0.25">
      <c r="A1124" s="1021">
        <v>1123</v>
      </c>
      <c r="B1124" s="1984" t="s">
        <v>2370</v>
      </c>
      <c r="D1124" s="1015"/>
    </row>
    <row r="1125" spans="1:4" x14ac:dyDescent="0.25">
      <c r="A1125" s="1021">
        <v>1124</v>
      </c>
      <c r="B1125" s="1984" t="s">
        <v>1953</v>
      </c>
      <c r="D1125" s="1015"/>
    </row>
    <row r="1126" spans="1:4" ht="22.5" x14ac:dyDescent="0.25">
      <c r="A1126" s="1021">
        <v>1125</v>
      </c>
      <c r="B1126" s="2067" t="s">
        <v>2371</v>
      </c>
      <c r="D1126" s="1015"/>
    </row>
    <row r="1127" spans="1:4" x14ac:dyDescent="0.25">
      <c r="A1127" s="1021">
        <v>1126</v>
      </c>
      <c r="B1127" s="2021" t="s">
        <v>1954</v>
      </c>
      <c r="D1127" s="1015"/>
    </row>
    <row r="1128" spans="1:4" x14ac:dyDescent="0.25">
      <c r="A1128" s="1021">
        <v>1127</v>
      </c>
      <c r="B1128" s="2021" t="s">
        <v>1955</v>
      </c>
      <c r="D1128" s="1015"/>
    </row>
    <row r="1129" spans="1:4" x14ac:dyDescent="0.25">
      <c r="A1129" s="1021">
        <v>1128</v>
      </c>
      <c r="B1129" s="2021" t="s">
        <v>1956</v>
      </c>
      <c r="D1129" s="1015"/>
    </row>
    <row r="1130" spans="1:4" x14ac:dyDescent="0.25">
      <c r="A1130" s="1021">
        <v>1129</v>
      </c>
      <c r="B1130" s="1984" t="s">
        <v>1957</v>
      </c>
      <c r="D1130" s="1015"/>
    </row>
    <row r="1131" spans="1:4" ht="15.75" x14ac:dyDescent="0.25">
      <c r="A1131" s="1021">
        <v>1130</v>
      </c>
      <c r="B1131" s="1987" t="s">
        <v>1958</v>
      </c>
      <c r="D1131" s="1015"/>
    </row>
    <row r="1132" spans="1:4" ht="45.75" thickBot="1" x14ac:dyDescent="0.3">
      <c r="A1132" s="1021">
        <v>1131</v>
      </c>
      <c r="B1132" s="2068" t="s">
        <v>1959</v>
      </c>
      <c r="D1132" s="1015"/>
    </row>
    <row r="1133" spans="1:4" x14ac:dyDescent="0.25">
      <c r="A1133" s="1021">
        <v>1132</v>
      </c>
      <c r="B1133" s="2002" t="s">
        <v>1960</v>
      </c>
      <c r="D1133" s="1015"/>
    </row>
    <row r="1134" spans="1:4" x14ac:dyDescent="0.25">
      <c r="A1134" s="1021">
        <v>1133</v>
      </c>
      <c r="B1134" s="1976" t="s">
        <v>1961</v>
      </c>
      <c r="D1134" s="1015"/>
    </row>
    <row r="1135" spans="1:4" x14ac:dyDescent="0.25">
      <c r="A1135" s="1021">
        <v>1134</v>
      </c>
      <c r="B1135" s="1976" t="s">
        <v>1962</v>
      </c>
      <c r="D1135" s="1015"/>
    </row>
    <row r="1136" spans="1:4" x14ac:dyDescent="0.25">
      <c r="A1136" s="1021">
        <v>1135</v>
      </c>
      <c r="B1136" s="1976" t="s">
        <v>1963</v>
      </c>
      <c r="D1136" s="1015"/>
    </row>
    <row r="1137" spans="1:4" x14ac:dyDescent="0.25">
      <c r="A1137" s="1021">
        <v>1136</v>
      </c>
      <c r="B1137" s="1976" t="s">
        <v>1964</v>
      </c>
      <c r="D1137" s="1015"/>
    </row>
    <row r="1138" spans="1:4" x14ac:dyDescent="0.25">
      <c r="A1138" s="1021">
        <v>1137</v>
      </c>
      <c r="B1138" s="1976" t="s">
        <v>1965</v>
      </c>
      <c r="D1138" s="1015"/>
    </row>
    <row r="1139" spans="1:4" ht="18" x14ac:dyDescent="0.25">
      <c r="A1139" s="1021">
        <v>1138</v>
      </c>
      <c r="B1139" s="1978" t="s">
        <v>1966</v>
      </c>
      <c r="D1139" s="1015"/>
    </row>
    <row r="1140" spans="1:4" x14ac:dyDescent="0.25">
      <c r="A1140" s="1021">
        <v>1139</v>
      </c>
      <c r="B1140" s="2003" t="s">
        <v>1967</v>
      </c>
      <c r="D1140" s="1015"/>
    </row>
    <row r="1141" spans="1:4" x14ac:dyDescent="0.25">
      <c r="A1141" s="1021">
        <v>1140</v>
      </c>
      <c r="B1141" s="1981" t="s">
        <v>1968</v>
      </c>
      <c r="D1141" s="1015"/>
    </row>
    <row r="1142" spans="1:4" x14ac:dyDescent="0.25">
      <c r="A1142" s="1021">
        <v>1141</v>
      </c>
      <c r="B1142" s="1981" t="s">
        <v>1969</v>
      </c>
      <c r="D1142" s="1015"/>
    </row>
    <row r="1143" spans="1:4" x14ac:dyDescent="0.25">
      <c r="A1143" s="1021">
        <v>1142</v>
      </c>
      <c r="B1143" s="1981" t="s">
        <v>1970</v>
      </c>
      <c r="D1143" s="1015"/>
    </row>
    <row r="1144" spans="1:4" x14ac:dyDescent="0.25">
      <c r="A1144" s="1021">
        <v>1143</v>
      </c>
      <c r="B1144" s="1981" t="s">
        <v>1971</v>
      </c>
      <c r="D1144" s="1015"/>
    </row>
    <row r="1145" spans="1:4" x14ac:dyDescent="0.25">
      <c r="A1145" s="1021">
        <v>1144</v>
      </c>
      <c r="B1145" s="1981" t="s">
        <v>1972</v>
      </c>
      <c r="D1145" s="1015"/>
    </row>
    <row r="1146" spans="1:4" x14ac:dyDescent="0.25">
      <c r="A1146" s="1021">
        <v>1145</v>
      </c>
      <c r="B1146" s="1981" t="s">
        <v>1973</v>
      </c>
      <c r="D1146" s="1015"/>
    </row>
    <row r="1147" spans="1:4" x14ac:dyDescent="0.25">
      <c r="A1147" s="1021">
        <v>1146</v>
      </c>
      <c r="B1147" s="1981" t="s">
        <v>1974</v>
      </c>
      <c r="D1147" s="1015"/>
    </row>
    <row r="1148" spans="1:4" x14ac:dyDescent="0.25">
      <c r="A1148" s="1021">
        <v>1147</v>
      </c>
      <c r="B1148" s="1981" t="s">
        <v>1975</v>
      </c>
      <c r="D1148" s="1015"/>
    </row>
    <row r="1149" spans="1:4" x14ac:dyDescent="0.25">
      <c r="A1149" s="1021">
        <v>1148</v>
      </c>
      <c r="B1149" s="1981" t="s">
        <v>1976</v>
      </c>
      <c r="D1149" s="1015"/>
    </row>
    <row r="1150" spans="1:4" x14ac:dyDescent="0.25">
      <c r="A1150" s="1021">
        <v>1149</v>
      </c>
      <c r="B1150" s="1981" t="s">
        <v>1977</v>
      </c>
      <c r="D1150" s="1015"/>
    </row>
    <row r="1151" spans="1:4" x14ac:dyDescent="0.25">
      <c r="A1151" s="1021">
        <v>1150</v>
      </c>
      <c r="B1151" s="1981" t="s">
        <v>1978</v>
      </c>
      <c r="D1151" s="1015"/>
    </row>
    <row r="1152" spans="1:4" x14ac:dyDescent="0.25">
      <c r="A1152" s="1021">
        <v>1151</v>
      </c>
      <c r="B1152" s="1981" t="s">
        <v>235</v>
      </c>
      <c r="D1152" s="1015"/>
    </row>
    <row r="1153" spans="1:4" x14ac:dyDescent="0.25">
      <c r="A1153" s="1021">
        <v>1152</v>
      </c>
      <c r="B1153" s="2003" t="s">
        <v>1979</v>
      </c>
      <c r="D1153" s="1015"/>
    </row>
    <row r="1154" spans="1:4" x14ac:dyDescent="0.25">
      <c r="A1154" s="1021">
        <v>1153</v>
      </c>
      <c r="B1154" s="2069" t="s">
        <v>1980</v>
      </c>
      <c r="D1154" s="1015"/>
    </row>
    <row r="1155" spans="1:4" x14ac:dyDescent="0.25">
      <c r="A1155" s="1021">
        <v>1154</v>
      </c>
      <c r="B1155" s="2069" t="s">
        <v>1981</v>
      </c>
      <c r="D1155" s="1015"/>
    </row>
    <row r="1156" spans="1:4" x14ac:dyDescent="0.25">
      <c r="A1156" s="1021">
        <v>1155</v>
      </c>
      <c r="B1156" s="2069" t="s">
        <v>1153</v>
      </c>
      <c r="D1156" s="1015"/>
    </row>
    <row r="1157" spans="1:4" ht="15.75" x14ac:dyDescent="0.25">
      <c r="A1157" s="1021">
        <v>1156</v>
      </c>
      <c r="B1157" s="2066" t="s">
        <v>1962</v>
      </c>
      <c r="D1157" s="1015"/>
    </row>
    <row r="1158" spans="1:4" x14ac:dyDescent="0.25">
      <c r="A1158" s="1021">
        <v>1157</v>
      </c>
      <c r="B1158" s="2003" t="s">
        <v>1982</v>
      </c>
      <c r="D1158" s="1015"/>
    </row>
    <row r="1159" spans="1:4" x14ac:dyDescent="0.25">
      <c r="A1159" s="1021">
        <v>1158</v>
      </c>
      <c r="B1159" s="2034" t="s">
        <v>1983</v>
      </c>
      <c r="D1159" s="1015"/>
    </row>
    <row r="1160" spans="1:4" x14ac:dyDescent="0.25">
      <c r="A1160" s="1021">
        <v>1159</v>
      </c>
      <c r="B1160" s="2034" t="s">
        <v>1984</v>
      </c>
      <c r="D1160" s="1015"/>
    </row>
    <row r="1161" spans="1:4" x14ac:dyDescent="0.25">
      <c r="A1161" s="1021">
        <v>1160</v>
      </c>
      <c r="B1161" s="2034" t="s">
        <v>1985</v>
      </c>
      <c r="D1161" s="1015"/>
    </row>
    <row r="1162" spans="1:4" x14ac:dyDescent="0.25">
      <c r="A1162" s="1021">
        <v>1161</v>
      </c>
      <c r="B1162" s="2034" t="s">
        <v>1986</v>
      </c>
      <c r="D1162" s="1015"/>
    </row>
    <row r="1163" spans="1:4" ht="25.5" x14ac:dyDescent="0.25">
      <c r="A1163" s="1021">
        <v>1162</v>
      </c>
      <c r="B1163" s="1984" t="s">
        <v>1987</v>
      </c>
      <c r="D1163" s="1015"/>
    </row>
    <row r="1164" spans="1:4" x14ac:dyDescent="0.25">
      <c r="A1164" s="1021">
        <v>1163</v>
      </c>
      <c r="B1164" s="2070" t="s">
        <v>1988</v>
      </c>
      <c r="D1164" s="1015"/>
    </row>
    <row r="1165" spans="1:4" x14ac:dyDescent="0.25">
      <c r="A1165" s="1021">
        <v>1164</v>
      </c>
      <c r="B1165" s="2071" t="s">
        <v>1989</v>
      </c>
      <c r="D1165" s="1015"/>
    </row>
    <row r="1166" spans="1:4" ht="15.75" x14ac:dyDescent="0.25">
      <c r="A1166" s="1021">
        <v>1165</v>
      </c>
      <c r="B1166" s="2066" t="s">
        <v>1963</v>
      </c>
      <c r="D1166" s="1015"/>
    </row>
    <row r="1167" spans="1:4" ht="30" x14ac:dyDescent="0.25">
      <c r="A1167" s="1021">
        <v>1166</v>
      </c>
      <c r="B1167" s="2003" t="s">
        <v>1990</v>
      </c>
      <c r="D1167" s="1015"/>
    </row>
    <row r="1168" spans="1:4" x14ac:dyDescent="0.25">
      <c r="A1168" s="1021">
        <v>1167</v>
      </c>
      <c r="B1168" s="2003" t="s">
        <v>1991</v>
      </c>
      <c r="D1168" s="1015"/>
    </row>
    <row r="1169" spans="1:4" ht="22.5" x14ac:dyDescent="0.25">
      <c r="A1169" s="1021">
        <v>1168</v>
      </c>
      <c r="B1169" s="2004" t="s">
        <v>1992</v>
      </c>
      <c r="D1169" s="1015"/>
    </row>
    <row r="1170" spans="1:4" x14ac:dyDescent="0.25">
      <c r="A1170" s="1021">
        <v>1169</v>
      </c>
      <c r="B1170" s="2004" t="s">
        <v>1993</v>
      </c>
      <c r="D1170" s="1015"/>
    </row>
    <row r="1171" spans="1:4" x14ac:dyDescent="0.25">
      <c r="A1171" s="1021">
        <v>1170</v>
      </c>
      <c r="B1171" s="2004" t="s">
        <v>1994</v>
      </c>
      <c r="D1171" s="1015"/>
    </row>
    <row r="1172" spans="1:4" x14ac:dyDescent="0.25">
      <c r="A1172" s="1021">
        <v>1171</v>
      </c>
      <c r="B1172" s="2004" t="s">
        <v>1995</v>
      </c>
      <c r="D1172" s="1015"/>
    </row>
    <row r="1173" spans="1:4" x14ac:dyDescent="0.25">
      <c r="A1173" s="1021">
        <v>1172</v>
      </c>
      <c r="B1173" s="2004" t="s">
        <v>2372</v>
      </c>
      <c r="D1173" s="1015"/>
    </row>
    <row r="1174" spans="1:4" x14ac:dyDescent="0.25">
      <c r="A1174" s="1021">
        <v>1173</v>
      </c>
      <c r="B1174" s="2004" t="s">
        <v>2373</v>
      </c>
      <c r="D1174" s="1015"/>
    </row>
    <row r="1175" spans="1:4" x14ac:dyDescent="0.25">
      <c r="A1175" s="1021">
        <v>1174</v>
      </c>
      <c r="B1175" s="2004" t="s">
        <v>2374</v>
      </c>
      <c r="D1175" s="1015"/>
    </row>
    <row r="1176" spans="1:4" ht="33.75" x14ac:dyDescent="0.25">
      <c r="A1176" s="1021">
        <v>1175</v>
      </c>
      <c r="B1176" s="2004" t="s">
        <v>2375</v>
      </c>
      <c r="D1176" s="1015"/>
    </row>
    <row r="1177" spans="1:4" ht="22.5" x14ac:dyDescent="0.25">
      <c r="A1177" s="1021">
        <v>1176</v>
      </c>
      <c r="B1177" s="2004" t="s">
        <v>1996</v>
      </c>
      <c r="D1177" s="1015"/>
    </row>
    <row r="1178" spans="1:4" x14ac:dyDescent="0.25">
      <c r="A1178" s="1021">
        <v>1177</v>
      </c>
      <c r="B1178" s="2004" t="s">
        <v>1997</v>
      </c>
      <c r="D1178" s="1015"/>
    </row>
    <row r="1179" spans="1:4" ht="42" x14ac:dyDescent="0.25">
      <c r="A1179" s="1021">
        <v>1178</v>
      </c>
      <c r="B1179" s="2012" t="s">
        <v>1998</v>
      </c>
      <c r="D1179" s="1015"/>
    </row>
    <row r="1180" spans="1:4" ht="33.75" x14ac:dyDescent="0.25">
      <c r="A1180" s="1021">
        <v>1179</v>
      </c>
      <c r="B1180" s="2004" t="s">
        <v>1999</v>
      </c>
      <c r="D1180" s="1015"/>
    </row>
    <row r="1181" spans="1:4" x14ac:dyDescent="0.25">
      <c r="A1181" s="1021">
        <v>1180</v>
      </c>
      <c r="B1181" s="2004" t="s">
        <v>2000</v>
      </c>
      <c r="D1181" s="1015"/>
    </row>
    <row r="1182" spans="1:4" ht="33.75" x14ac:dyDescent="0.25">
      <c r="A1182" s="1021">
        <v>1181</v>
      </c>
      <c r="B1182" s="2004" t="s">
        <v>2001</v>
      </c>
      <c r="D1182" s="1015"/>
    </row>
    <row r="1183" spans="1:4" ht="22.5" x14ac:dyDescent="0.25">
      <c r="A1183" s="1021">
        <v>1182</v>
      </c>
      <c r="B1183" s="2004" t="s">
        <v>2002</v>
      </c>
      <c r="D1183" s="1015"/>
    </row>
    <row r="1184" spans="1:4" x14ac:dyDescent="0.25">
      <c r="A1184" s="1021">
        <v>1183</v>
      </c>
      <c r="B1184" s="2006" t="s">
        <v>2003</v>
      </c>
      <c r="D1184" s="1015"/>
    </row>
    <row r="1185" spans="1:4" x14ac:dyDescent="0.25">
      <c r="A1185" s="1021">
        <v>1184</v>
      </c>
      <c r="B1185" s="2038" t="s">
        <v>2004</v>
      </c>
      <c r="D1185" s="1015"/>
    </row>
    <row r="1186" spans="1:4" x14ac:dyDescent="0.25">
      <c r="A1186" s="1021">
        <v>1185</v>
      </c>
      <c r="B1186" s="2003" t="s">
        <v>2005</v>
      </c>
      <c r="D1186" s="1015"/>
    </row>
    <row r="1187" spans="1:4" x14ac:dyDescent="0.25">
      <c r="A1187" s="1021">
        <v>1186</v>
      </c>
      <c r="B1187" s="1984" t="s">
        <v>2006</v>
      </c>
      <c r="D1187" s="1015"/>
    </row>
    <row r="1188" spans="1:4" x14ac:dyDescent="0.25">
      <c r="A1188" s="1021">
        <v>1187</v>
      </c>
      <c r="B1188" s="2006" t="s">
        <v>2007</v>
      </c>
      <c r="D1188" s="1015"/>
    </row>
    <row r="1189" spans="1:4" x14ac:dyDescent="0.25">
      <c r="A1189" s="1021">
        <v>1188</v>
      </c>
      <c r="B1189" s="2006" t="s">
        <v>2008</v>
      </c>
      <c r="D1189" s="1015"/>
    </row>
    <row r="1190" spans="1:4" x14ac:dyDescent="0.25">
      <c r="A1190" s="1021">
        <v>1189</v>
      </c>
      <c r="B1190" s="2006" t="s">
        <v>2009</v>
      </c>
      <c r="D1190" s="1015"/>
    </row>
    <row r="1191" spans="1:4" x14ac:dyDescent="0.25">
      <c r="A1191" s="1021">
        <v>1190</v>
      </c>
      <c r="B1191" s="2007" t="s">
        <v>2010</v>
      </c>
      <c r="D1191" s="1015"/>
    </row>
    <row r="1192" spans="1:4" x14ac:dyDescent="0.25">
      <c r="A1192" s="1021">
        <v>1191</v>
      </c>
      <c r="B1192" s="2008" t="s">
        <v>2011</v>
      </c>
      <c r="D1192" s="1015"/>
    </row>
    <row r="1193" spans="1:4" x14ac:dyDescent="0.25">
      <c r="A1193" s="1021">
        <v>1192</v>
      </c>
      <c r="B1193" s="2006" t="s">
        <v>2012</v>
      </c>
      <c r="D1193" s="1015"/>
    </row>
    <row r="1194" spans="1:4" x14ac:dyDescent="0.25">
      <c r="A1194" s="1021">
        <v>1193</v>
      </c>
      <c r="B1194" s="1984" t="s">
        <v>2013</v>
      </c>
      <c r="D1194" s="1015"/>
    </row>
    <row r="1195" spans="1:4" ht="30" x14ac:dyDescent="0.25">
      <c r="A1195" s="1021">
        <v>1194</v>
      </c>
      <c r="B1195" s="2003" t="s">
        <v>2014</v>
      </c>
      <c r="D1195" s="1015"/>
    </row>
    <row r="1196" spans="1:4" x14ac:dyDescent="0.25">
      <c r="A1196" s="1021">
        <v>1195</v>
      </c>
      <c r="B1196" s="2072" t="s">
        <v>2015</v>
      </c>
      <c r="D1196" s="1015" t="s">
        <v>748</v>
      </c>
    </row>
    <row r="1197" spans="1:4" ht="30" x14ac:dyDescent="0.25">
      <c r="A1197" s="1021">
        <v>1196</v>
      </c>
      <c r="B1197" s="2003" t="s">
        <v>2016</v>
      </c>
      <c r="D1197" s="1015"/>
    </row>
    <row r="1198" spans="1:4" x14ac:dyDescent="0.25">
      <c r="A1198" s="1021">
        <v>1197</v>
      </c>
      <c r="B1198" s="1981" t="s">
        <v>2017</v>
      </c>
      <c r="D1198" s="1015"/>
    </row>
    <row r="1199" spans="1:4" x14ac:dyDescent="0.25">
      <c r="A1199" s="1021">
        <v>1198</v>
      </c>
      <c r="B1199" s="2003" t="s">
        <v>2018</v>
      </c>
      <c r="D1199" s="1015"/>
    </row>
    <row r="1200" spans="1:4" ht="30" x14ac:dyDescent="0.25">
      <c r="A1200" s="1021">
        <v>1199</v>
      </c>
      <c r="B1200" s="2003" t="s">
        <v>2019</v>
      </c>
      <c r="D1200" s="1015"/>
    </row>
    <row r="1201" spans="1:4" ht="15.75" x14ac:dyDescent="0.25">
      <c r="A1201" s="1021">
        <v>1200</v>
      </c>
      <c r="B1201" s="2066" t="s">
        <v>2020</v>
      </c>
      <c r="D1201" s="1015"/>
    </row>
    <row r="1202" spans="1:4" x14ac:dyDescent="0.25">
      <c r="A1202" s="1021">
        <v>1201</v>
      </c>
      <c r="B1202" s="2003" t="s">
        <v>2021</v>
      </c>
      <c r="D1202" s="1015"/>
    </row>
    <row r="1203" spans="1:4" x14ac:dyDescent="0.25">
      <c r="A1203" s="1021">
        <v>1202</v>
      </c>
      <c r="B1203" s="2073" t="s">
        <v>2022</v>
      </c>
      <c r="D1203" s="1015"/>
    </row>
    <row r="1204" spans="1:4" x14ac:dyDescent="0.25">
      <c r="A1204" s="1021">
        <v>1203</v>
      </c>
      <c r="B1204" s="2074" t="s">
        <v>2023</v>
      </c>
      <c r="D1204" s="1015"/>
    </row>
    <row r="1205" spans="1:4" ht="22.5" x14ac:dyDescent="0.25">
      <c r="A1205" s="1021">
        <v>1204</v>
      </c>
      <c r="B1205" s="2075" t="s">
        <v>2024</v>
      </c>
      <c r="D1205" s="1015"/>
    </row>
    <row r="1206" spans="1:4" x14ac:dyDescent="0.25">
      <c r="A1206" s="1021">
        <v>1205</v>
      </c>
      <c r="B1206" s="2074" t="s">
        <v>2025</v>
      </c>
      <c r="D1206" s="1015"/>
    </row>
    <row r="1207" spans="1:4" x14ac:dyDescent="0.25">
      <c r="A1207" s="1021">
        <v>1206</v>
      </c>
      <c r="B1207" s="2075" t="s">
        <v>2026</v>
      </c>
      <c r="D1207" s="1015"/>
    </row>
    <row r="1208" spans="1:4" x14ac:dyDescent="0.25">
      <c r="A1208" s="1021">
        <v>1207</v>
      </c>
      <c r="B1208" s="2074" t="s">
        <v>2027</v>
      </c>
      <c r="D1208" s="1015"/>
    </row>
    <row r="1209" spans="1:4" x14ac:dyDescent="0.25">
      <c r="A1209" s="1021">
        <v>1208</v>
      </c>
      <c r="B1209" s="2075" t="s">
        <v>2028</v>
      </c>
      <c r="D1209" s="1015"/>
    </row>
    <row r="1210" spans="1:4" x14ac:dyDescent="0.25">
      <c r="A1210" s="1021">
        <v>1209</v>
      </c>
      <c r="B1210" s="2074" t="s">
        <v>2029</v>
      </c>
      <c r="D1210" s="1015"/>
    </row>
    <row r="1211" spans="1:4" ht="33.75" x14ac:dyDescent="0.25">
      <c r="A1211" s="1021">
        <v>1210</v>
      </c>
      <c r="B1211" s="2075" t="s">
        <v>2376</v>
      </c>
      <c r="D1211" s="1015"/>
    </row>
    <row r="1212" spans="1:4" x14ac:dyDescent="0.25">
      <c r="A1212" s="1021">
        <v>1211</v>
      </c>
      <c r="B1212" s="2074" t="s">
        <v>2030</v>
      </c>
      <c r="D1212" s="1015"/>
    </row>
    <row r="1213" spans="1:4" ht="22.5" x14ac:dyDescent="0.25">
      <c r="A1213" s="1021">
        <v>1212</v>
      </c>
      <c r="B1213" s="2075" t="s">
        <v>2377</v>
      </c>
      <c r="D1213" s="1015"/>
    </row>
    <row r="1214" spans="1:4" x14ac:dyDescent="0.25">
      <c r="A1214" s="1021">
        <v>1213</v>
      </c>
      <c r="B1214" s="2074" t="s">
        <v>2601</v>
      </c>
      <c r="D1214" s="1015"/>
    </row>
    <row r="1215" spans="1:4" ht="22.5" x14ac:dyDescent="0.25">
      <c r="A1215" s="1021">
        <v>1214</v>
      </c>
      <c r="B1215" s="2075" t="s">
        <v>2031</v>
      </c>
      <c r="D1215" s="1015"/>
    </row>
    <row r="1216" spans="1:4" x14ac:dyDescent="0.25">
      <c r="A1216" s="1021">
        <v>1215</v>
      </c>
      <c r="B1216" s="2075" t="s">
        <v>2032</v>
      </c>
      <c r="D1216" s="1015"/>
    </row>
    <row r="1217" spans="1:4" ht="22.5" x14ac:dyDescent="0.25">
      <c r="A1217" s="1021">
        <v>1216</v>
      </c>
      <c r="B1217" s="2075" t="s">
        <v>2378</v>
      </c>
      <c r="D1217" s="1015"/>
    </row>
    <row r="1218" spans="1:4" x14ac:dyDescent="0.25">
      <c r="A1218" s="1021">
        <v>1217</v>
      </c>
      <c r="B1218" s="2074" t="s">
        <v>2033</v>
      </c>
      <c r="D1218" s="1015"/>
    </row>
    <row r="1219" spans="1:4" x14ac:dyDescent="0.25">
      <c r="A1219" s="1021">
        <v>1218</v>
      </c>
      <c r="B1219" s="2075" t="s">
        <v>2379</v>
      </c>
      <c r="D1219" s="1015"/>
    </row>
    <row r="1220" spans="1:4" x14ac:dyDescent="0.25">
      <c r="A1220" s="1021">
        <v>1219</v>
      </c>
      <c r="B1220" s="2074" t="s">
        <v>2034</v>
      </c>
      <c r="D1220" s="1015"/>
    </row>
    <row r="1221" spans="1:4" ht="22.5" x14ac:dyDescent="0.25">
      <c r="A1221" s="1021">
        <v>1220</v>
      </c>
      <c r="B1221" s="2075" t="s">
        <v>2380</v>
      </c>
      <c r="D1221" s="1015"/>
    </row>
    <row r="1222" spans="1:4" ht="22.5" x14ac:dyDescent="0.25">
      <c r="A1222" s="1021">
        <v>1221</v>
      </c>
      <c r="B1222" s="2075" t="s">
        <v>2381</v>
      </c>
      <c r="D1222" s="1015"/>
    </row>
    <row r="1223" spans="1:4" ht="22.5" x14ac:dyDescent="0.25">
      <c r="A1223" s="1021">
        <v>1222</v>
      </c>
      <c r="B1223" s="2075" t="s">
        <v>2382</v>
      </c>
      <c r="D1223" s="1015"/>
    </row>
    <row r="1224" spans="1:4" x14ac:dyDescent="0.25">
      <c r="A1224" s="1021">
        <v>1223</v>
      </c>
      <c r="B1224" s="2074" t="s">
        <v>2035</v>
      </c>
      <c r="D1224" s="1015"/>
    </row>
    <row r="1225" spans="1:4" x14ac:dyDescent="0.25">
      <c r="A1225" s="1021">
        <v>1224</v>
      </c>
      <c r="B1225" s="2075" t="s">
        <v>2036</v>
      </c>
      <c r="D1225" s="1015"/>
    </row>
    <row r="1226" spans="1:4" x14ac:dyDescent="0.25">
      <c r="A1226" s="1021">
        <v>1225</v>
      </c>
      <c r="B1226" s="2067" t="s">
        <v>2037</v>
      </c>
      <c r="D1226" s="1015"/>
    </row>
    <row r="1227" spans="1:4" ht="45" x14ac:dyDescent="0.25">
      <c r="A1227" s="1021">
        <v>1226</v>
      </c>
      <c r="B1227" s="2067" t="s">
        <v>2383</v>
      </c>
      <c r="D1227" s="1015"/>
    </row>
    <row r="1228" spans="1:4" ht="56.25" x14ac:dyDescent="0.25">
      <c r="A1228" s="1021">
        <v>1227</v>
      </c>
      <c r="B1228" s="2073" t="s">
        <v>2038</v>
      </c>
      <c r="D1228" s="1015"/>
    </row>
    <row r="1229" spans="1:4" x14ac:dyDescent="0.25">
      <c r="A1229" s="1021">
        <v>1228</v>
      </c>
      <c r="B1229" s="2075" t="s">
        <v>2039</v>
      </c>
      <c r="D1229" s="1015"/>
    </row>
    <row r="1230" spans="1:4" ht="33.75" x14ac:dyDescent="0.25">
      <c r="A1230" s="1021">
        <v>1229</v>
      </c>
      <c r="B1230" s="2075" t="s">
        <v>2040</v>
      </c>
      <c r="D1230" s="1015"/>
    </row>
    <row r="1231" spans="1:4" x14ac:dyDescent="0.25">
      <c r="A1231" s="1021">
        <v>1230</v>
      </c>
      <c r="B1231" s="2076" t="s">
        <v>2041</v>
      </c>
      <c r="D1231" s="1015"/>
    </row>
    <row r="1232" spans="1:4" ht="34.5" thickBot="1" x14ac:dyDescent="0.3">
      <c r="A1232" s="1021">
        <v>1231</v>
      </c>
      <c r="B1232" s="2076" t="s">
        <v>2042</v>
      </c>
      <c r="D1232" s="1015"/>
    </row>
    <row r="1233" spans="1:4" ht="102.75" thickBot="1" x14ac:dyDescent="0.3">
      <c r="A1233" s="1021">
        <v>1232</v>
      </c>
      <c r="B1233" s="2077" t="s">
        <v>2043</v>
      </c>
      <c r="D1233" s="1015"/>
    </row>
    <row r="1234" spans="1:4" x14ac:dyDescent="0.25">
      <c r="A1234" s="1021">
        <v>1233</v>
      </c>
      <c r="B1234" s="2078" t="s">
        <v>2044</v>
      </c>
      <c r="D1234" s="1015"/>
    </row>
    <row r="1235" spans="1:4" x14ac:dyDescent="0.25">
      <c r="A1235" s="1021">
        <v>1234</v>
      </c>
      <c r="B1235" s="2079" t="s">
        <v>2045</v>
      </c>
      <c r="D1235" s="1015"/>
    </row>
    <row r="1236" spans="1:4" x14ac:dyDescent="0.25">
      <c r="A1236" s="1021">
        <v>1235</v>
      </c>
      <c r="B1236" s="2080" t="s">
        <v>2602</v>
      </c>
      <c r="D1236" s="1015"/>
    </row>
    <row r="1237" spans="1:4" x14ac:dyDescent="0.25">
      <c r="A1237" s="1021">
        <v>1236</v>
      </c>
      <c r="B1237" s="2080" t="s">
        <v>2603</v>
      </c>
      <c r="D1237" s="1015"/>
    </row>
    <row r="1238" spans="1:4" x14ac:dyDescent="0.25">
      <c r="A1238" s="1021">
        <v>1237</v>
      </c>
      <c r="B1238" s="2081" t="s">
        <v>2046</v>
      </c>
      <c r="D1238" s="1015"/>
    </row>
    <row r="1239" spans="1:4" x14ac:dyDescent="0.25">
      <c r="A1239" s="1021">
        <v>1238</v>
      </c>
      <c r="B1239" s="2056" t="s">
        <v>2047</v>
      </c>
      <c r="D1239" s="1015"/>
    </row>
    <row r="1240" spans="1:4" x14ac:dyDescent="0.25">
      <c r="A1240" s="1021">
        <v>1239</v>
      </c>
      <c r="B1240" s="2056" t="s">
        <v>2048</v>
      </c>
      <c r="D1240" s="1015"/>
    </row>
    <row r="1241" spans="1:4" x14ac:dyDescent="0.25">
      <c r="A1241" s="1021">
        <v>1240</v>
      </c>
      <c r="B1241" s="2057" t="s">
        <v>2049</v>
      </c>
      <c r="D1241" s="1015"/>
    </row>
    <row r="1242" spans="1:4" x14ac:dyDescent="0.25">
      <c r="A1242" s="1021">
        <v>1241</v>
      </c>
      <c r="B1242" s="2057" t="s">
        <v>2050</v>
      </c>
      <c r="D1242" s="1015"/>
    </row>
    <row r="1243" spans="1:4" x14ac:dyDescent="0.25">
      <c r="A1243" s="1021">
        <v>1242</v>
      </c>
      <c r="B1243" s="2057" t="s">
        <v>2051</v>
      </c>
      <c r="D1243" s="1015"/>
    </row>
    <row r="1244" spans="1:4" x14ac:dyDescent="0.25">
      <c r="A1244" s="1021">
        <v>1243</v>
      </c>
      <c r="B1244" s="2057" t="s">
        <v>2052</v>
      </c>
      <c r="D1244" s="1015"/>
    </row>
    <row r="1245" spans="1:4" x14ac:dyDescent="0.25">
      <c r="A1245" s="1021">
        <v>1244</v>
      </c>
      <c r="B1245" s="2057" t="s">
        <v>2053</v>
      </c>
      <c r="D1245" s="1015"/>
    </row>
    <row r="1246" spans="1:4" ht="15.75" x14ac:dyDescent="0.25">
      <c r="A1246" s="1021">
        <v>1245</v>
      </c>
      <c r="B1246" s="2066" t="s">
        <v>2054</v>
      </c>
      <c r="D1246" s="1015"/>
    </row>
    <row r="1247" spans="1:4" ht="56.25" x14ac:dyDescent="0.25">
      <c r="A1247" s="1021">
        <v>1246</v>
      </c>
      <c r="B1247" s="2004" t="s">
        <v>2055</v>
      </c>
      <c r="D1247" s="1015"/>
    </row>
    <row r="1248" spans="1:4" ht="22.5" x14ac:dyDescent="0.25">
      <c r="A1248" s="1021">
        <v>1247</v>
      </c>
      <c r="B1248" s="2004" t="s">
        <v>2056</v>
      </c>
      <c r="D1248" s="1015"/>
    </row>
    <row r="1249" spans="1:4" ht="22.5" x14ac:dyDescent="0.25">
      <c r="A1249" s="1021">
        <v>1248</v>
      </c>
      <c r="B1249" s="2004" t="s">
        <v>2057</v>
      </c>
      <c r="D1249" s="1015"/>
    </row>
    <row r="1250" spans="1:4" x14ac:dyDescent="0.25">
      <c r="A1250" s="1021">
        <v>1249</v>
      </c>
      <c r="B1250" s="2004" t="s">
        <v>2058</v>
      </c>
      <c r="D1250" s="1015"/>
    </row>
    <row r="1251" spans="1:4" x14ac:dyDescent="0.25">
      <c r="A1251" s="1021">
        <v>1250</v>
      </c>
      <c r="B1251" s="2004" t="s">
        <v>2059</v>
      </c>
      <c r="D1251" s="1015"/>
    </row>
    <row r="1252" spans="1:4" ht="45" x14ac:dyDescent="0.25">
      <c r="A1252" s="1021">
        <v>1251</v>
      </c>
      <c r="B1252" s="2004" t="s">
        <v>2604</v>
      </c>
      <c r="D1252" s="1015"/>
    </row>
    <row r="1253" spans="1:4" ht="33.75" x14ac:dyDescent="0.25">
      <c r="A1253" s="1021">
        <v>1252</v>
      </c>
      <c r="B1253" s="2004" t="s">
        <v>2060</v>
      </c>
      <c r="D1253" s="1015"/>
    </row>
    <row r="1254" spans="1:4" ht="22.5" x14ac:dyDescent="0.25">
      <c r="A1254" s="1021">
        <v>1253</v>
      </c>
      <c r="B1254" s="2004" t="s">
        <v>2061</v>
      </c>
      <c r="D1254" s="1015"/>
    </row>
    <row r="1255" spans="1:4" ht="56.25" x14ac:dyDescent="0.25">
      <c r="A1255" s="1021">
        <v>1254</v>
      </c>
      <c r="B1255" s="2004" t="s">
        <v>2384</v>
      </c>
      <c r="D1255" s="1015"/>
    </row>
    <row r="1256" spans="1:4" ht="56.25" x14ac:dyDescent="0.25">
      <c r="A1256" s="1021">
        <v>1255</v>
      </c>
      <c r="B1256" s="2004" t="s">
        <v>2385</v>
      </c>
      <c r="D1256" s="1015"/>
    </row>
    <row r="1257" spans="1:4" ht="45" x14ac:dyDescent="0.25">
      <c r="A1257" s="1021">
        <v>1256</v>
      </c>
      <c r="B1257" s="2004" t="s">
        <v>2062</v>
      </c>
      <c r="D1257" s="1015"/>
    </row>
    <row r="1258" spans="1:4" ht="34.5" thickBot="1" x14ac:dyDescent="0.3">
      <c r="A1258" s="1021">
        <v>1257</v>
      </c>
      <c r="B1258" s="2004" t="s">
        <v>2063</v>
      </c>
      <c r="D1258" s="1015"/>
    </row>
    <row r="1259" spans="1:4" ht="102.75" thickBot="1" x14ac:dyDescent="0.3">
      <c r="A1259" s="1021">
        <v>1258</v>
      </c>
      <c r="B1259" s="2077" t="s">
        <v>2386</v>
      </c>
      <c r="D1259" s="1015"/>
    </row>
    <row r="1260" spans="1:4" ht="30" x14ac:dyDescent="0.25">
      <c r="A1260" s="1021">
        <v>1259</v>
      </c>
      <c r="B1260" s="2003" t="s">
        <v>2064</v>
      </c>
      <c r="D1260" s="1015"/>
    </row>
    <row r="1261" spans="1:4" ht="45" x14ac:dyDescent="0.25">
      <c r="A1261" s="1021">
        <v>1260</v>
      </c>
      <c r="B1261" s="2004" t="s">
        <v>2387</v>
      </c>
      <c r="D1261" s="1015"/>
    </row>
    <row r="1262" spans="1:4" ht="21" x14ac:dyDescent="0.25">
      <c r="A1262" s="1021">
        <v>1261</v>
      </c>
      <c r="B1262" s="2012" t="s">
        <v>2065</v>
      </c>
      <c r="D1262" s="1015"/>
    </row>
    <row r="1263" spans="1:4" x14ac:dyDescent="0.25">
      <c r="A1263" s="1021">
        <v>1262</v>
      </c>
      <c r="B1263" s="1981" t="s">
        <v>2066</v>
      </c>
      <c r="D1263" s="1015"/>
    </row>
    <row r="1264" spans="1:4" ht="22.5" x14ac:dyDescent="0.25">
      <c r="A1264" s="1021">
        <v>1263</v>
      </c>
      <c r="B1264" s="2004" t="s">
        <v>2067</v>
      </c>
      <c r="D1264" s="1015"/>
    </row>
    <row r="1265" spans="1:4" ht="33.75" x14ac:dyDescent="0.25">
      <c r="A1265" s="1021">
        <v>1264</v>
      </c>
      <c r="B1265" s="2004" t="s">
        <v>2068</v>
      </c>
      <c r="D1265" s="1015"/>
    </row>
    <row r="1266" spans="1:4" ht="22.5" x14ac:dyDescent="0.25">
      <c r="A1266" s="1021">
        <v>1265</v>
      </c>
      <c r="B1266" s="2004" t="s">
        <v>2069</v>
      </c>
      <c r="D1266" s="1015"/>
    </row>
    <row r="1267" spans="1:4" x14ac:dyDescent="0.25">
      <c r="A1267" s="1021">
        <v>1266</v>
      </c>
      <c r="B1267" s="1981" t="s">
        <v>2070</v>
      </c>
      <c r="D1267" s="1015"/>
    </row>
    <row r="1268" spans="1:4" x14ac:dyDescent="0.25">
      <c r="A1268" s="1021">
        <v>1267</v>
      </c>
      <c r="B1268" s="2079" t="s">
        <v>2071</v>
      </c>
      <c r="D1268" s="1015"/>
    </row>
    <row r="1269" spans="1:4" x14ac:dyDescent="0.25">
      <c r="A1269" s="1021">
        <v>1268</v>
      </c>
      <c r="B1269" s="2079" t="s">
        <v>2072</v>
      </c>
      <c r="D1269" s="1015"/>
    </row>
    <row r="1270" spans="1:4" x14ac:dyDescent="0.25">
      <c r="A1270" s="1021">
        <v>1269</v>
      </c>
      <c r="B1270" s="2004" t="s">
        <v>2073</v>
      </c>
      <c r="D1270" s="1015"/>
    </row>
    <row r="1271" spans="1:4" x14ac:dyDescent="0.25">
      <c r="A1271" s="1021">
        <v>1270</v>
      </c>
      <c r="B1271" s="1981" t="s">
        <v>2388</v>
      </c>
      <c r="D1271" s="1015"/>
    </row>
    <row r="1272" spans="1:4" x14ac:dyDescent="0.25">
      <c r="A1272" s="1021">
        <v>1271</v>
      </c>
      <c r="B1272" s="2028" t="s">
        <v>2074</v>
      </c>
      <c r="D1272" s="1015"/>
    </row>
    <row r="1273" spans="1:4" x14ac:dyDescent="0.25">
      <c r="A1273" s="1021">
        <v>1272</v>
      </c>
      <c r="B1273" s="2070" t="s">
        <v>2075</v>
      </c>
      <c r="D1273" s="1015"/>
    </row>
    <row r="1274" spans="1:4" x14ac:dyDescent="0.25">
      <c r="A1274" s="1021">
        <v>1273</v>
      </c>
      <c r="B1274" s="1981" t="s">
        <v>2076</v>
      </c>
      <c r="D1274" s="1015"/>
    </row>
    <row r="1275" spans="1:4" x14ac:dyDescent="0.25">
      <c r="A1275" s="1021">
        <v>1274</v>
      </c>
      <c r="B1275" s="2079" t="s">
        <v>2077</v>
      </c>
      <c r="D1275" s="1015"/>
    </row>
    <row r="1276" spans="1:4" x14ac:dyDescent="0.25">
      <c r="A1276" s="1021">
        <v>1275</v>
      </c>
      <c r="B1276" s="1981" t="s">
        <v>2389</v>
      </c>
      <c r="D1276" s="1015"/>
    </row>
    <row r="1277" spans="1:4" ht="33.75" x14ac:dyDescent="0.25">
      <c r="A1277" s="1021">
        <v>1276</v>
      </c>
      <c r="B1277" s="2004" t="s">
        <v>2390</v>
      </c>
      <c r="D1277" s="1015"/>
    </row>
    <row r="1278" spans="1:4" ht="21" x14ac:dyDescent="0.25">
      <c r="A1278" s="1021">
        <v>1277</v>
      </c>
      <c r="B1278" s="2012" t="s">
        <v>2078</v>
      </c>
      <c r="D1278" s="1015"/>
    </row>
    <row r="1279" spans="1:4" x14ac:dyDescent="0.25">
      <c r="A1279" s="1021">
        <v>1278</v>
      </c>
      <c r="B1279" s="2079" t="s">
        <v>2079</v>
      </c>
      <c r="D1279" s="1015"/>
    </row>
    <row r="1280" spans="1:4" x14ac:dyDescent="0.25">
      <c r="A1280" s="1021">
        <v>1279</v>
      </c>
      <c r="B1280" s="2079" t="s">
        <v>2080</v>
      </c>
      <c r="D1280" s="1015"/>
    </row>
    <row r="1281" spans="1:4" x14ac:dyDescent="0.25">
      <c r="A1281" s="1021">
        <v>1280</v>
      </c>
      <c r="B1281" s="1981" t="s">
        <v>2081</v>
      </c>
      <c r="D1281" s="1015"/>
    </row>
    <row r="1282" spans="1:4" ht="33.75" x14ac:dyDescent="0.25">
      <c r="A1282" s="1021">
        <v>1281</v>
      </c>
      <c r="B1282" s="2004" t="s">
        <v>2082</v>
      </c>
      <c r="D1282" s="1015"/>
    </row>
    <row r="1283" spans="1:4" ht="22.5" x14ac:dyDescent="0.25">
      <c r="A1283" s="1021">
        <v>1282</v>
      </c>
      <c r="B1283" s="2004" t="s">
        <v>2083</v>
      </c>
      <c r="D1283" s="1015"/>
    </row>
    <row r="1284" spans="1:4" x14ac:dyDescent="0.25">
      <c r="A1284" s="1021">
        <v>1283</v>
      </c>
      <c r="B1284" s="1981" t="s">
        <v>2391</v>
      </c>
      <c r="D1284" s="1015"/>
    </row>
    <row r="1285" spans="1:4" ht="56.25" x14ac:dyDescent="0.25">
      <c r="A1285" s="1021">
        <v>1284</v>
      </c>
      <c r="B1285" s="2004" t="s">
        <v>2392</v>
      </c>
      <c r="D1285" s="1015"/>
    </row>
    <row r="1286" spans="1:4" x14ac:dyDescent="0.25">
      <c r="A1286" s="1021">
        <v>1285</v>
      </c>
      <c r="B1286" s="1976" t="s">
        <v>2084</v>
      </c>
      <c r="D1286" s="1015"/>
    </row>
    <row r="1287" spans="1:4" x14ac:dyDescent="0.25">
      <c r="A1287" s="1021">
        <v>1286</v>
      </c>
      <c r="B1287" s="2082" t="s">
        <v>2085</v>
      </c>
      <c r="D1287" s="1015" t="s">
        <v>911</v>
      </c>
    </row>
    <row r="1288" spans="1:4" x14ac:dyDescent="0.25">
      <c r="A1288" s="1021">
        <v>1287</v>
      </c>
      <c r="B1288" s="2082" t="s">
        <v>2086</v>
      </c>
      <c r="D1288" s="1015" t="s">
        <v>912</v>
      </c>
    </row>
    <row r="1289" spans="1:4" x14ac:dyDescent="0.25">
      <c r="A1289" s="1021">
        <v>1288</v>
      </c>
      <c r="B1289" s="2083" t="s">
        <v>2087</v>
      </c>
      <c r="D1289" s="1015"/>
    </row>
    <row r="1290" spans="1:4" x14ac:dyDescent="0.25">
      <c r="A1290" s="1021">
        <v>1289</v>
      </c>
      <c r="B1290" s="2083" t="s">
        <v>2088</v>
      </c>
      <c r="D1290" s="1015"/>
    </row>
    <row r="1291" spans="1:4" x14ac:dyDescent="0.25">
      <c r="A1291" s="1021">
        <v>1290</v>
      </c>
      <c r="B1291" s="2083" t="s">
        <v>2089</v>
      </c>
      <c r="D1291" s="1015"/>
    </row>
    <row r="1292" spans="1:4" x14ac:dyDescent="0.25">
      <c r="A1292" s="1021">
        <v>1291</v>
      </c>
      <c r="B1292" s="2083" t="s">
        <v>2090</v>
      </c>
      <c r="D1292" s="1015"/>
    </row>
    <row r="1293" spans="1:4" x14ac:dyDescent="0.25">
      <c r="A1293" s="1021">
        <v>1292</v>
      </c>
      <c r="B1293" s="2083" t="s">
        <v>2091</v>
      </c>
      <c r="D1293" s="1015"/>
    </row>
    <row r="1294" spans="1:4" x14ac:dyDescent="0.25">
      <c r="A1294" s="1021">
        <v>1293</v>
      </c>
      <c r="B1294" s="2083" t="s">
        <v>2092</v>
      </c>
      <c r="D1294" s="1015"/>
    </row>
    <row r="1295" spans="1:4" x14ac:dyDescent="0.25">
      <c r="A1295" s="1021">
        <v>1294</v>
      </c>
      <c r="B1295" s="2083" t="s">
        <v>2093</v>
      </c>
      <c r="D1295" s="1015"/>
    </row>
    <row r="1296" spans="1:4" x14ac:dyDescent="0.25">
      <c r="A1296" s="1021">
        <v>1295</v>
      </c>
      <c r="B1296" s="2083" t="s">
        <v>2094</v>
      </c>
      <c r="D1296" s="1015"/>
    </row>
    <row r="1297" spans="1:4" x14ac:dyDescent="0.25">
      <c r="A1297" s="1021">
        <v>1296</v>
      </c>
      <c r="B1297" s="2083" t="s">
        <v>2095</v>
      </c>
      <c r="D1297" s="1015"/>
    </row>
    <row r="1298" spans="1:4" x14ac:dyDescent="0.25">
      <c r="A1298" s="1021">
        <v>1297</v>
      </c>
      <c r="B1298" s="2083" t="s">
        <v>2096</v>
      </c>
      <c r="D1298" s="1015"/>
    </row>
    <row r="1299" spans="1:4" x14ac:dyDescent="0.25">
      <c r="A1299" s="1021">
        <v>1298</v>
      </c>
      <c r="B1299" s="2083" t="s">
        <v>2097</v>
      </c>
      <c r="D1299" s="1015"/>
    </row>
    <row r="1300" spans="1:4" x14ac:dyDescent="0.25">
      <c r="A1300" s="1021">
        <v>1299</v>
      </c>
      <c r="B1300" s="2083" t="s">
        <v>2098</v>
      </c>
      <c r="D1300" s="1015"/>
    </row>
    <row r="1301" spans="1:4" x14ac:dyDescent="0.25">
      <c r="A1301" s="1021">
        <v>1300</v>
      </c>
      <c r="B1301" s="2084" t="s">
        <v>2099</v>
      </c>
      <c r="D1301" s="1015"/>
    </row>
    <row r="1302" spans="1:4" x14ac:dyDescent="0.25">
      <c r="A1302" s="1021">
        <v>1301</v>
      </c>
      <c r="B1302" s="2084" t="s">
        <v>2100</v>
      </c>
      <c r="D1302" s="1015"/>
    </row>
    <row r="1303" spans="1:4" x14ac:dyDescent="0.25">
      <c r="A1303" s="1021">
        <v>1302</v>
      </c>
      <c r="B1303" s="2083" t="s">
        <v>2101</v>
      </c>
      <c r="D1303" s="1015"/>
    </row>
    <row r="1304" spans="1:4" x14ac:dyDescent="0.25">
      <c r="A1304" s="1021">
        <v>1303</v>
      </c>
      <c r="B1304" s="2084" t="s">
        <v>2102</v>
      </c>
      <c r="D1304" s="1015"/>
    </row>
    <row r="1305" spans="1:4" x14ac:dyDescent="0.25">
      <c r="A1305" s="1021">
        <v>1304</v>
      </c>
      <c r="B1305" s="2084" t="s">
        <v>2103</v>
      </c>
      <c r="D1305" s="1015"/>
    </row>
    <row r="1306" spans="1:4" x14ac:dyDescent="0.25">
      <c r="A1306" s="1021">
        <v>1305</v>
      </c>
      <c r="B1306" s="2083" t="s">
        <v>2104</v>
      </c>
      <c r="D1306" s="1015"/>
    </row>
    <row r="1307" spans="1:4" x14ac:dyDescent="0.25">
      <c r="A1307" s="1021">
        <v>1306</v>
      </c>
      <c r="B1307" s="2083" t="s">
        <v>2105</v>
      </c>
      <c r="D1307" s="1015"/>
    </row>
    <row r="1308" spans="1:4" x14ac:dyDescent="0.25">
      <c r="A1308" s="1021">
        <v>1307</v>
      </c>
      <c r="B1308" s="2083" t="s">
        <v>2106</v>
      </c>
      <c r="D1308" s="1015"/>
    </row>
    <row r="1309" spans="1:4" x14ac:dyDescent="0.25">
      <c r="A1309" s="1021">
        <v>1308</v>
      </c>
      <c r="B1309" s="2083" t="s">
        <v>2107</v>
      </c>
      <c r="D1309" s="1015"/>
    </row>
    <row r="1310" spans="1:4" x14ac:dyDescent="0.25">
      <c r="A1310" s="1021">
        <v>1309</v>
      </c>
      <c r="B1310" s="2083" t="s">
        <v>2108</v>
      </c>
      <c r="D1310" s="1015"/>
    </row>
    <row r="1311" spans="1:4" x14ac:dyDescent="0.25">
      <c r="A1311" s="1021">
        <v>1310</v>
      </c>
      <c r="B1311" s="2083" t="s">
        <v>2109</v>
      </c>
      <c r="D1311" s="1015"/>
    </row>
    <row r="1312" spans="1:4" x14ac:dyDescent="0.25">
      <c r="A1312" s="1021">
        <v>1311</v>
      </c>
      <c r="B1312" s="2084" t="s">
        <v>2110</v>
      </c>
      <c r="D1312" s="1015"/>
    </row>
    <row r="1313" spans="1:4" x14ac:dyDescent="0.25">
      <c r="A1313" s="1021">
        <v>1312</v>
      </c>
      <c r="B1313" s="2084" t="s">
        <v>2111</v>
      </c>
      <c r="D1313" s="1015"/>
    </row>
    <row r="1314" spans="1:4" x14ac:dyDescent="0.25">
      <c r="A1314" s="1021">
        <v>1313</v>
      </c>
      <c r="B1314" s="2083" t="s">
        <v>2112</v>
      </c>
      <c r="D1314" s="1015"/>
    </row>
    <row r="1315" spans="1:4" x14ac:dyDescent="0.25">
      <c r="A1315" s="1021">
        <v>1314</v>
      </c>
      <c r="B1315" s="2083" t="s">
        <v>2113</v>
      </c>
      <c r="D1315" s="1015"/>
    </row>
    <row r="1316" spans="1:4" x14ac:dyDescent="0.25">
      <c r="A1316" s="1021">
        <v>1315</v>
      </c>
      <c r="B1316" s="2083" t="s">
        <v>2114</v>
      </c>
      <c r="D1316" s="1015"/>
    </row>
    <row r="1317" spans="1:4" x14ac:dyDescent="0.25">
      <c r="A1317" s="1021">
        <v>1316</v>
      </c>
      <c r="B1317" s="2083" t="s">
        <v>2115</v>
      </c>
      <c r="D1317" s="1015"/>
    </row>
    <row r="1318" spans="1:4" x14ac:dyDescent="0.25">
      <c r="A1318" s="1021">
        <v>1317</v>
      </c>
      <c r="B1318" s="2083" t="s">
        <v>2116</v>
      </c>
      <c r="D1318" s="1015"/>
    </row>
    <row r="1319" spans="1:4" x14ac:dyDescent="0.25">
      <c r="A1319" s="1021">
        <v>1318</v>
      </c>
      <c r="B1319" s="2083" t="s">
        <v>2117</v>
      </c>
      <c r="D1319" s="1015"/>
    </row>
    <row r="1320" spans="1:4" x14ac:dyDescent="0.25">
      <c r="A1320" s="1021">
        <v>1319</v>
      </c>
      <c r="B1320" s="2084" t="s">
        <v>2118</v>
      </c>
      <c r="D1320" s="1015"/>
    </row>
    <row r="1321" spans="1:4" x14ac:dyDescent="0.25">
      <c r="A1321" s="1021">
        <v>1320</v>
      </c>
      <c r="B1321" s="2084" t="s">
        <v>2119</v>
      </c>
      <c r="D1321" s="1015"/>
    </row>
    <row r="1322" spans="1:4" x14ac:dyDescent="0.25">
      <c r="A1322" s="1021">
        <v>1321</v>
      </c>
      <c r="B1322" s="2084" t="s">
        <v>2120</v>
      </c>
      <c r="D1322" s="1015"/>
    </row>
    <row r="1323" spans="1:4" x14ac:dyDescent="0.25">
      <c r="A1323" s="1021">
        <v>1322</v>
      </c>
      <c r="B1323" s="2084" t="s">
        <v>2121</v>
      </c>
      <c r="D1323" s="1015"/>
    </row>
    <row r="1324" spans="1:4" x14ac:dyDescent="0.25">
      <c r="A1324" s="1021">
        <v>1323</v>
      </c>
      <c r="B1324" s="2084" t="s">
        <v>2122</v>
      </c>
      <c r="D1324" s="1015"/>
    </row>
    <row r="1325" spans="1:4" x14ac:dyDescent="0.25">
      <c r="A1325" s="1021">
        <v>1324</v>
      </c>
      <c r="B1325" s="2084" t="s">
        <v>2123</v>
      </c>
      <c r="D1325" s="1015"/>
    </row>
    <row r="1326" spans="1:4" x14ac:dyDescent="0.25">
      <c r="A1326" s="1021">
        <v>1325</v>
      </c>
      <c r="B1326" s="2084" t="s">
        <v>2124</v>
      </c>
      <c r="D1326" s="1015"/>
    </row>
    <row r="1327" spans="1:4" x14ac:dyDescent="0.25">
      <c r="A1327" s="1021">
        <v>1326</v>
      </c>
      <c r="B1327" s="2084" t="s">
        <v>2125</v>
      </c>
      <c r="D1327" s="1015"/>
    </row>
    <row r="1328" spans="1:4" x14ac:dyDescent="0.25">
      <c r="A1328" s="1021">
        <v>1327</v>
      </c>
      <c r="B1328" s="2084" t="s">
        <v>2126</v>
      </c>
      <c r="D1328" s="1015"/>
    </row>
    <row r="1329" spans="1:4" x14ac:dyDescent="0.25">
      <c r="A1329" s="1021">
        <v>1328</v>
      </c>
      <c r="B1329" s="2084" t="s">
        <v>2127</v>
      </c>
      <c r="D1329" s="1015"/>
    </row>
    <row r="1330" spans="1:4" x14ac:dyDescent="0.25">
      <c r="A1330" s="1021">
        <v>1329</v>
      </c>
      <c r="B1330" s="2084" t="s">
        <v>2128</v>
      </c>
      <c r="D1330" s="1015"/>
    </row>
    <row r="1331" spans="1:4" x14ac:dyDescent="0.25">
      <c r="A1331" s="1021">
        <v>1330</v>
      </c>
      <c r="B1331" s="2084" t="s">
        <v>2129</v>
      </c>
      <c r="D1331" s="1015"/>
    </row>
    <row r="1332" spans="1:4" x14ac:dyDescent="0.25">
      <c r="A1332" s="1021">
        <v>1331</v>
      </c>
      <c r="B1332" s="2083" t="s">
        <v>264</v>
      </c>
      <c r="D1332" s="1015"/>
    </row>
    <row r="1333" spans="1:4" x14ac:dyDescent="0.25">
      <c r="A1333" s="1021">
        <v>1332</v>
      </c>
      <c r="B1333" s="2083" t="s">
        <v>2130</v>
      </c>
      <c r="D1333" s="1015"/>
    </row>
    <row r="1334" spans="1:4" x14ac:dyDescent="0.25">
      <c r="A1334" s="1021">
        <v>1333</v>
      </c>
      <c r="B1334" s="2084" t="s">
        <v>2131</v>
      </c>
      <c r="D1334" s="1015"/>
    </row>
    <row r="1335" spans="1:4" x14ac:dyDescent="0.25">
      <c r="A1335" s="1021">
        <v>1334</v>
      </c>
      <c r="B1335" s="2084" t="s">
        <v>2132</v>
      </c>
      <c r="D1335" s="1015"/>
    </row>
    <row r="1336" spans="1:4" x14ac:dyDescent="0.25">
      <c r="A1336" s="1021">
        <v>1335</v>
      </c>
      <c r="B1336" s="2084" t="s">
        <v>2133</v>
      </c>
      <c r="D1336" s="1015"/>
    </row>
    <row r="1337" spans="1:4" x14ac:dyDescent="0.25">
      <c r="A1337" s="1021">
        <v>1336</v>
      </c>
      <c r="B1337" s="2083" t="s">
        <v>2134</v>
      </c>
      <c r="D1337" s="1015"/>
    </row>
    <row r="1338" spans="1:4" x14ac:dyDescent="0.25">
      <c r="A1338" s="1021">
        <v>1337</v>
      </c>
      <c r="B1338" s="2083" t="s">
        <v>2135</v>
      </c>
      <c r="D1338" s="1015"/>
    </row>
    <row r="1339" spans="1:4" x14ac:dyDescent="0.25">
      <c r="A1339" s="1021">
        <v>1338</v>
      </c>
      <c r="B1339" s="2085" t="s">
        <v>2136</v>
      </c>
      <c r="D1339" s="1015"/>
    </row>
    <row r="1340" spans="1:4" x14ac:dyDescent="0.25">
      <c r="A1340" s="1021">
        <v>1339</v>
      </c>
      <c r="B1340" s="2083" t="s">
        <v>2137</v>
      </c>
      <c r="D1340" s="1015"/>
    </row>
    <row r="1341" spans="1:4" x14ac:dyDescent="0.25">
      <c r="A1341" s="1021">
        <v>1340</v>
      </c>
      <c r="B1341" s="2083" t="s">
        <v>2138</v>
      </c>
      <c r="D1341" s="1015"/>
    </row>
    <row r="1342" spans="1:4" x14ac:dyDescent="0.25">
      <c r="A1342" s="1021">
        <v>1341</v>
      </c>
      <c r="B1342" s="2083" t="s">
        <v>2139</v>
      </c>
      <c r="D1342" s="1015"/>
    </row>
    <row r="1343" spans="1:4" x14ac:dyDescent="0.25">
      <c r="A1343" s="1021">
        <v>1342</v>
      </c>
      <c r="B1343" s="2083" t="s">
        <v>2140</v>
      </c>
      <c r="D1343" s="1015"/>
    </row>
    <row r="1344" spans="1:4" x14ac:dyDescent="0.25">
      <c r="A1344" s="1021">
        <v>1343</v>
      </c>
      <c r="B1344" s="2083" t="s">
        <v>2141</v>
      </c>
      <c r="D1344" s="1015"/>
    </row>
    <row r="1345" spans="1:4" x14ac:dyDescent="0.25">
      <c r="A1345" s="1021">
        <v>1344</v>
      </c>
      <c r="B1345" s="2083" t="s">
        <v>2142</v>
      </c>
      <c r="D1345" s="1015"/>
    </row>
    <row r="1346" spans="1:4" x14ac:dyDescent="0.25">
      <c r="A1346" s="1021">
        <v>1345</v>
      </c>
      <c r="B1346" s="2083" t="s">
        <v>2143</v>
      </c>
      <c r="D1346" s="1015"/>
    </row>
    <row r="1347" spans="1:4" x14ac:dyDescent="0.25">
      <c r="A1347" s="1021">
        <v>1346</v>
      </c>
      <c r="B1347" s="2083" t="s">
        <v>2144</v>
      </c>
      <c r="D1347" s="1015"/>
    </row>
    <row r="1348" spans="1:4" x14ac:dyDescent="0.25">
      <c r="A1348" s="1021">
        <v>1347</v>
      </c>
      <c r="B1348" s="2083" t="s">
        <v>2145</v>
      </c>
      <c r="D1348" s="1015"/>
    </row>
    <row r="1349" spans="1:4" x14ac:dyDescent="0.25">
      <c r="A1349" s="1021">
        <v>1348</v>
      </c>
      <c r="B1349" s="2083" t="s">
        <v>2146</v>
      </c>
      <c r="D1349" s="1015"/>
    </row>
    <row r="1350" spans="1:4" x14ac:dyDescent="0.25">
      <c r="A1350" s="1021">
        <v>1349</v>
      </c>
      <c r="B1350" s="2083" t="s">
        <v>2147</v>
      </c>
      <c r="D1350" s="1015"/>
    </row>
    <row r="1351" spans="1:4" x14ac:dyDescent="0.25">
      <c r="A1351" s="1021">
        <v>1350</v>
      </c>
      <c r="B1351" s="2083" t="s">
        <v>2148</v>
      </c>
      <c r="D1351" s="1015"/>
    </row>
    <row r="1352" spans="1:4" x14ac:dyDescent="0.25">
      <c r="A1352" s="1021">
        <v>1351</v>
      </c>
      <c r="B1352" s="2083" t="s">
        <v>2149</v>
      </c>
      <c r="D1352" s="1015"/>
    </row>
    <row r="1353" spans="1:4" x14ac:dyDescent="0.25">
      <c r="A1353" s="1021">
        <v>1352</v>
      </c>
      <c r="B1353" s="2083" t="s">
        <v>2150</v>
      </c>
      <c r="D1353" s="1015"/>
    </row>
    <row r="1354" spans="1:4" x14ac:dyDescent="0.25">
      <c r="A1354" s="1021">
        <v>1353</v>
      </c>
      <c r="B1354" s="2083" t="s">
        <v>2151</v>
      </c>
      <c r="D1354" s="1015"/>
    </row>
    <row r="1355" spans="1:4" x14ac:dyDescent="0.25">
      <c r="A1355" s="1021">
        <v>1354</v>
      </c>
      <c r="B1355" s="2083" t="s">
        <v>183</v>
      </c>
      <c r="D1355" s="1015"/>
    </row>
    <row r="1356" spans="1:4" x14ac:dyDescent="0.25">
      <c r="A1356" s="1021">
        <v>1355</v>
      </c>
      <c r="B1356" s="2083" t="s">
        <v>2152</v>
      </c>
      <c r="D1356" s="1015"/>
    </row>
    <row r="1357" spans="1:4" x14ac:dyDescent="0.25">
      <c r="A1357" s="1021">
        <v>1356</v>
      </c>
      <c r="B1357" s="2083" t="s">
        <v>2153</v>
      </c>
      <c r="D1357" s="1015"/>
    </row>
    <row r="1358" spans="1:4" x14ac:dyDescent="0.25">
      <c r="A1358" s="1021">
        <v>1357</v>
      </c>
      <c r="B1358" s="2083" t="s">
        <v>2154</v>
      </c>
      <c r="D1358" s="1015"/>
    </row>
    <row r="1359" spans="1:4" x14ac:dyDescent="0.25">
      <c r="A1359" s="1021">
        <v>1358</v>
      </c>
      <c r="B1359" s="2083" t="s">
        <v>2155</v>
      </c>
      <c r="D1359" s="1015"/>
    </row>
    <row r="1360" spans="1:4" x14ac:dyDescent="0.25">
      <c r="A1360" s="1021">
        <v>1359</v>
      </c>
      <c r="B1360" s="2083" t="s">
        <v>2156</v>
      </c>
      <c r="D1360" s="1015"/>
    </row>
    <row r="1361" spans="1:4" x14ac:dyDescent="0.25">
      <c r="A1361" s="1021">
        <v>1360</v>
      </c>
      <c r="B1361" s="2083" t="s">
        <v>2157</v>
      </c>
      <c r="D1361" s="1015"/>
    </row>
    <row r="1362" spans="1:4" x14ac:dyDescent="0.25">
      <c r="A1362" s="1021">
        <v>1361</v>
      </c>
      <c r="B1362" s="2083" t="s">
        <v>2158</v>
      </c>
      <c r="D1362" s="1015"/>
    </row>
    <row r="1363" spans="1:4" x14ac:dyDescent="0.25">
      <c r="A1363" s="1021">
        <v>1362</v>
      </c>
      <c r="B1363" s="2083" t="s">
        <v>2159</v>
      </c>
      <c r="D1363" s="1015"/>
    </row>
    <row r="1364" spans="1:4" x14ac:dyDescent="0.25">
      <c r="A1364" s="1021">
        <v>1363</v>
      </c>
      <c r="B1364" s="2083" t="s">
        <v>2160</v>
      </c>
      <c r="D1364" s="1015"/>
    </row>
    <row r="1365" spans="1:4" x14ac:dyDescent="0.25">
      <c r="A1365" s="1021">
        <v>1364</v>
      </c>
      <c r="B1365" s="2083" t="s">
        <v>2161</v>
      </c>
      <c r="D1365" s="1015"/>
    </row>
    <row r="1366" spans="1:4" x14ac:dyDescent="0.25">
      <c r="A1366" s="1021">
        <v>1365</v>
      </c>
      <c r="B1366" s="2084" t="s">
        <v>119</v>
      </c>
      <c r="D1366" s="1015"/>
    </row>
    <row r="1367" spans="1:4" x14ac:dyDescent="0.25">
      <c r="A1367" s="1021">
        <v>1366</v>
      </c>
      <c r="B1367" s="2084" t="s">
        <v>120</v>
      </c>
      <c r="D1367" s="1015"/>
    </row>
    <row r="1368" spans="1:4" x14ac:dyDescent="0.25">
      <c r="A1368" s="1021">
        <v>1367</v>
      </c>
      <c r="B1368" s="2083" t="s">
        <v>121</v>
      </c>
      <c r="D1368" s="1015"/>
    </row>
    <row r="1369" spans="1:4" x14ac:dyDescent="0.25">
      <c r="A1369" s="1021">
        <v>1368</v>
      </c>
      <c r="B1369" s="2083" t="s">
        <v>122</v>
      </c>
      <c r="D1369" s="1015"/>
    </row>
    <row r="1370" spans="1:4" x14ac:dyDescent="0.25">
      <c r="A1370" s="1021">
        <v>1369</v>
      </c>
      <c r="B1370" s="2085" t="s">
        <v>459</v>
      </c>
      <c r="D1370" s="1015"/>
    </row>
    <row r="1371" spans="1:4" x14ac:dyDescent="0.25">
      <c r="A1371" s="1021">
        <v>1370</v>
      </c>
      <c r="B1371" s="2083" t="s">
        <v>123</v>
      </c>
      <c r="D1371" s="1015"/>
    </row>
    <row r="1372" spans="1:4" x14ac:dyDescent="0.25">
      <c r="A1372" s="1021">
        <v>1371</v>
      </c>
      <c r="B1372" s="2083" t="s">
        <v>124</v>
      </c>
      <c r="D1372" s="1015"/>
    </row>
    <row r="1373" spans="1:4" x14ac:dyDescent="0.25">
      <c r="A1373" s="1021">
        <v>1372</v>
      </c>
      <c r="B1373" s="2083" t="s">
        <v>125</v>
      </c>
      <c r="D1373" s="1015"/>
    </row>
    <row r="1374" spans="1:4" x14ac:dyDescent="0.25">
      <c r="A1374" s="1021">
        <v>1373</v>
      </c>
      <c r="B1374" s="2083" t="s">
        <v>126</v>
      </c>
      <c r="D1374" s="1015"/>
    </row>
    <row r="1375" spans="1:4" x14ac:dyDescent="0.25">
      <c r="A1375" s="1021">
        <v>1374</v>
      </c>
      <c r="B1375" s="2083" t="s">
        <v>127</v>
      </c>
      <c r="D1375" s="1015"/>
    </row>
    <row r="1376" spans="1:4" x14ac:dyDescent="0.25">
      <c r="A1376" s="1021">
        <v>1375</v>
      </c>
      <c r="B1376" s="2083" t="s">
        <v>128</v>
      </c>
      <c r="D1376" s="1015"/>
    </row>
    <row r="1377" spans="1:4" x14ac:dyDescent="0.25">
      <c r="A1377" s="1021">
        <v>1376</v>
      </c>
      <c r="B1377" s="2083" t="s">
        <v>129</v>
      </c>
      <c r="D1377" s="1015"/>
    </row>
    <row r="1378" spans="1:4" x14ac:dyDescent="0.25">
      <c r="A1378" s="1021">
        <v>1377</v>
      </c>
      <c r="B1378" s="2083" t="s">
        <v>130</v>
      </c>
      <c r="D1378" s="1015"/>
    </row>
    <row r="1379" spans="1:4" x14ac:dyDescent="0.25">
      <c r="A1379" s="1021">
        <v>1378</v>
      </c>
      <c r="B1379" s="2083" t="s">
        <v>329</v>
      </c>
      <c r="D1379" s="1015"/>
    </row>
    <row r="1380" spans="1:4" x14ac:dyDescent="0.25">
      <c r="A1380" s="1021">
        <v>1379</v>
      </c>
      <c r="B1380" s="2083" t="s">
        <v>131</v>
      </c>
      <c r="D1380" s="1015"/>
    </row>
    <row r="1381" spans="1:4" x14ac:dyDescent="0.25">
      <c r="A1381" s="1021">
        <v>1380</v>
      </c>
      <c r="B1381" s="2083" t="s">
        <v>132</v>
      </c>
      <c r="D1381" s="1015"/>
    </row>
    <row r="1382" spans="1:4" x14ac:dyDescent="0.25">
      <c r="A1382" s="1021">
        <v>1381</v>
      </c>
      <c r="B1382" s="2083" t="s">
        <v>133</v>
      </c>
      <c r="D1382" s="1015"/>
    </row>
    <row r="1383" spans="1:4" x14ac:dyDescent="0.25">
      <c r="A1383" s="1021">
        <v>1382</v>
      </c>
      <c r="B1383" s="2083" t="s">
        <v>330</v>
      </c>
      <c r="D1383" s="1015"/>
    </row>
    <row r="1384" spans="1:4" x14ac:dyDescent="0.25">
      <c r="A1384" s="1021">
        <v>1383</v>
      </c>
      <c r="B1384" s="2083" t="s">
        <v>134</v>
      </c>
      <c r="D1384" s="1015"/>
    </row>
    <row r="1385" spans="1:4" x14ac:dyDescent="0.25">
      <c r="A1385" s="1021">
        <v>1384</v>
      </c>
      <c r="B1385" s="2083" t="s">
        <v>135</v>
      </c>
      <c r="D1385" s="1015"/>
    </row>
    <row r="1386" spans="1:4" x14ac:dyDescent="0.25">
      <c r="A1386" s="1021">
        <v>1385</v>
      </c>
      <c r="B1386" s="2083" t="s">
        <v>136</v>
      </c>
      <c r="D1386" s="1015"/>
    </row>
    <row r="1387" spans="1:4" x14ac:dyDescent="0.25">
      <c r="A1387" s="1021">
        <v>1386</v>
      </c>
      <c r="B1387" s="2083" t="s">
        <v>137</v>
      </c>
      <c r="D1387" s="1015"/>
    </row>
    <row r="1388" spans="1:4" x14ac:dyDescent="0.25">
      <c r="A1388" s="1021">
        <v>1387</v>
      </c>
      <c r="B1388" s="2083" t="s">
        <v>331</v>
      </c>
      <c r="D1388" s="1015"/>
    </row>
    <row r="1389" spans="1:4" x14ac:dyDescent="0.25">
      <c r="A1389" s="1021">
        <v>1388</v>
      </c>
      <c r="B1389" s="2083" t="s">
        <v>138</v>
      </c>
      <c r="D1389" s="1015"/>
    </row>
    <row r="1390" spans="1:4" x14ac:dyDescent="0.25">
      <c r="A1390" s="1021">
        <v>1389</v>
      </c>
      <c r="B1390" s="2083" t="s">
        <v>139</v>
      </c>
      <c r="D1390" s="1015"/>
    </row>
    <row r="1391" spans="1:4" x14ac:dyDescent="0.25">
      <c r="A1391" s="1021">
        <v>1390</v>
      </c>
      <c r="B1391" s="2083" t="s">
        <v>140</v>
      </c>
      <c r="D1391" s="1015"/>
    </row>
    <row r="1392" spans="1:4" x14ac:dyDescent="0.25">
      <c r="A1392" s="1021">
        <v>1391</v>
      </c>
      <c r="B1392" s="2083" t="s">
        <v>141</v>
      </c>
      <c r="D1392" s="1015"/>
    </row>
    <row r="1393" spans="1:4" x14ac:dyDescent="0.25">
      <c r="A1393" s="1021">
        <v>1392</v>
      </c>
      <c r="B1393" s="2083" t="s">
        <v>142</v>
      </c>
      <c r="D1393" s="1015"/>
    </row>
    <row r="1394" spans="1:4" x14ac:dyDescent="0.25">
      <c r="A1394" s="1021">
        <v>1393</v>
      </c>
      <c r="B1394" s="2083" t="s">
        <v>143</v>
      </c>
      <c r="D1394" s="1015"/>
    </row>
    <row r="1395" spans="1:4" x14ac:dyDescent="0.25">
      <c r="A1395" s="1021">
        <v>1394</v>
      </c>
      <c r="B1395" s="2083" t="s">
        <v>144</v>
      </c>
      <c r="D1395" s="1015"/>
    </row>
    <row r="1396" spans="1:4" x14ac:dyDescent="0.25">
      <c r="A1396" s="1021">
        <v>1395</v>
      </c>
      <c r="B1396" s="2083" t="s">
        <v>145</v>
      </c>
      <c r="D1396" s="1015"/>
    </row>
    <row r="1397" spans="1:4" x14ac:dyDescent="0.25">
      <c r="A1397" s="1021">
        <v>1396</v>
      </c>
      <c r="B1397" s="2084" t="s">
        <v>516</v>
      </c>
      <c r="D1397" s="1015"/>
    </row>
    <row r="1398" spans="1:4" x14ac:dyDescent="0.25">
      <c r="A1398" s="1021">
        <v>1397</v>
      </c>
      <c r="B1398" s="2084" t="s">
        <v>515</v>
      </c>
      <c r="D1398" s="1015"/>
    </row>
    <row r="1399" spans="1:4" x14ac:dyDescent="0.25">
      <c r="A1399" s="1021">
        <v>1398</v>
      </c>
      <c r="B1399" s="2084" t="s">
        <v>2162</v>
      </c>
      <c r="D1399" s="1015"/>
    </row>
    <row r="1400" spans="1:4" x14ac:dyDescent="0.25">
      <c r="A1400" s="1021">
        <v>1399</v>
      </c>
      <c r="B1400" s="2084" t="s">
        <v>2163</v>
      </c>
      <c r="D1400" s="1015"/>
    </row>
    <row r="1401" spans="1:4" x14ac:dyDescent="0.25">
      <c r="A1401" s="1021">
        <v>1400</v>
      </c>
      <c r="B1401" s="2084" t="s">
        <v>2164</v>
      </c>
      <c r="D1401" s="1015"/>
    </row>
    <row r="1402" spans="1:4" x14ac:dyDescent="0.25">
      <c r="A1402" s="1021">
        <v>1401</v>
      </c>
      <c r="B1402" s="2084" t="s">
        <v>2165</v>
      </c>
      <c r="D1402" s="1015"/>
    </row>
    <row r="1403" spans="1:4" x14ac:dyDescent="0.25">
      <c r="A1403" s="1021">
        <v>1402</v>
      </c>
      <c r="B1403" s="2084" t="s">
        <v>2166</v>
      </c>
      <c r="D1403" s="1015"/>
    </row>
    <row r="1404" spans="1:4" x14ac:dyDescent="0.25">
      <c r="A1404" s="1021">
        <v>1403</v>
      </c>
      <c r="B1404" s="2084" t="s">
        <v>2167</v>
      </c>
      <c r="D1404" s="1015"/>
    </row>
    <row r="1405" spans="1:4" x14ac:dyDescent="0.25">
      <c r="A1405" s="1021">
        <v>1404</v>
      </c>
      <c r="B1405" s="2084" t="s">
        <v>2168</v>
      </c>
      <c r="D1405" s="1015"/>
    </row>
    <row r="1406" spans="1:4" x14ac:dyDescent="0.25">
      <c r="A1406" s="1021">
        <v>1405</v>
      </c>
      <c r="B1406" s="2084" t="s">
        <v>2169</v>
      </c>
      <c r="D1406" s="1015"/>
    </row>
    <row r="1407" spans="1:4" x14ac:dyDescent="0.25">
      <c r="A1407" s="1021">
        <v>1406</v>
      </c>
      <c r="B1407" s="2084" t="s">
        <v>2170</v>
      </c>
      <c r="D1407" s="1015"/>
    </row>
    <row r="1408" spans="1:4" x14ac:dyDescent="0.25">
      <c r="A1408" s="1021">
        <v>1407</v>
      </c>
      <c r="B1408" s="2084" t="s">
        <v>2171</v>
      </c>
      <c r="D1408" s="1015"/>
    </row>
    <row r="1409" spans="1:4" x14ac:dyDescent="0.25">
      <c r="A1409" s="1021">
        <v>1408</v>
      </c>
      <c r="B1409" s="2084" t="s">
        <v>2172</v>
      </c>
      <c r="D1409" s="1015"/>
    </row>
    <row r="1410" spans="1:4" x14ac:dyDescent="0.25">
      <c r="A1410" s="1021">
        <v>1409</v>
      </c>
      <c r="B1410" s="2084" t="s">
        <v>2173</v>
      </c>
      <c r="D1410" s="1015"/>
    </row>
    <row r="1411" spans="1:4" x14ac:dyDescent="0.25">
      <c r="A1411" s="1021">
        <v>1410</v>
      </c>
      <c r="B1411" s="2084" t="s">
        <v>2174</v>
      </c>
      <c r="D1411" s="1015"/>
    </row>
    <row r="1412" spans="1:4" x14ac:dyDescent="0.25">
      <c r="A1412" s="1021">
        <v>1411</v>
      </c>
      <c r="B1412" s="2084" t="s">
        <v>2175</v>
      </c>
      <c r="D1412" s="1015"/>
    </row>
    <row r="1413" spans="1:4" x14ac:dyDescent="0.25">
      <c r="A1413" s="1021">
        <v>1412</v>
      </c>
      <c r="B1413" s="2084" t="s">
        <v>2176</v>
      </c>
      <c r="D1413" s="1015"/>
    </row>
    <row r="1414" spans="1:4" x14ac:dyDescent="0.25">
      <c r="A1414" s="1021">
        <v>1413</v>
      </c>
      <c r="B1414" s="2084" t="s">
        <v>2177</v>
      </c>
      <c r="D1414" s="1015"/>
    </row>
    <row r="1415" spans="1:4" x14ac:dyDescent="0.25">
      <c r="A1415" s="1021">
        <v>1414</v>
      </c>
      <c r="B1415" s="2084" t="s">
        <v>2178</v>
      </c>
      <c r="D1415" s="1015"/>
    </row>
    <row r="1416" spans="1:4" x14ac:dyDescent="0.25">
      <c r="A1416" s="1021">
        <v>1415</v>
      </c>
      <c r="B1416" s="2084" t="s">
        <v>2179</v>
      </c>
      <c r="D1416" s="1015"/>
    </row>
    <row r="1417" spans="1:4" x14ac:dyDescent="0.25">
      <c r="A1417" s="1021">
        <v>1416</v>
      </c>
      <c r="B1417" s="2084" t="s">
        <v>2180</v>
      </c>
      <c r="D1417" s="1015"/>
    </row>
    <row r="1418" spans="1:4" x14ac:dyDescent="0.25">
      <c r="A1418" s="1021">
        <v>1417</v>
      </c>
      <c r="B1418" s="2084" t="s">
        <v>2181</v>
      </c>
      <c r="D1418" s="1015"/>
    </row>
    <row r="1419" spans="1:4" x14ac:dyDescent="0.25">
      <c r="A1419" s="1021">
        <v>1418</v>
      </c>
      <c r="B1419" s="2084" t="s">
        <v>2182</v>
      </c>
      <c r="D1419" s="1015"/>
    </row>
    <row r="1420" spans="1:4" x14ac:dyDescent="0.25">
      <c r="A1420" s="1021">
        <v>1419</v>
      </c>
      <c r="B1420" s="2084" t="s">
        <v>2183</v>
      </c>
      <c r="D1420" s="1015"/>
    </row>
    <row r="1421" spans="1:4" x14ac:dyDescent="0.25">
      <c r="A1421" s="1021">
        <v>1420</v>
      </c>
      <c r="B1421" s="2084" t="s">
        <v>2184</v>
      </c>
      <c r="D1421" s="1015"/>
    </row>
    <row r="1422" spans="1:4" x14ac:dyDescent="0.25">
      <c r="A1422" s="1021">
        <v>1421</v>
      </c>
      <c r="B1422" s="2084" t="s">
        <v>2185</v>
      </c>
      <c r="D1422" s="1015"/>
    </row>
    <row r="1423" spans="1:4" x14ac:dyDescent="0.25">
      <c r="A1423" s="1021">
        <v>1422</v>
      </c>
      <c r="B1423" s="2084" t="s">
        <v>2186</v>
      </c>
      <c r="D1423" s="1015"/>
    </row>
    <row r="1424" spans="1:4" x14ac:dyDescent="0.25">
      <c r="A1424" s="1021">
        <v>1423</v>
      </c>
      <c r="B1424" s="2084" t="s">
        <v>2187</v>
      </c>
    </row>
    <row r="1425" spans="1:4" x14ac:dyDescent="0.25">
      <c r="A1425" s="1021">
        <v>1424</v>
      </c>
      <c r="B1425" s="2084" t="s">
        <v>2188</v>
      </c>
      <c r="D1425" s="1015"/>
    </row>
    <row r="1426" spans="1:4" x14ac:dyDescent="0.25">
      <c r="A1426" s="1021">
        <v>1425</v>
      </c>
      <c r="B1426" s="2084" t="s">
        <v>2189</v>
      </c>
      <c r="D1426" s="1015"/>
    </row>
    <row r="1427" spans="1:4" x14ac:dyDescent="0.25">
      <c r="A1427" s="1021">
        <v>1426</v>
      </c>
      <c r="B1427" s="2084" t="s">
        <v>2190</v>
      </c>
      <c r="D1427" s="1015"/>
    </row>
    <row r="1428" spans="1:4" x14ac:dyDescent="0.25">
      <c r="A1428" s="1021">
        <v>1427</v>
      </c>
      <c r="B1428" s="2086" t="s">
        <v>2191</v>
      </c>
      <c r="D1428" s="1015"/>
    </row>
    <row r="1429" spans="1:4" x14ac:dyDescent="0.25">
      <c r="A1429" s="1021">
        <v>1428</v>
      </c>
      <c r="B1429" s="2083" t="s">
        <v>2192</v>
      </c>
      <c r="D1429" s="1015"/>
    </row>
    <row r="1430" spans="1:4" x14ac:dyDescent="0.25">
      <c r="A1430" s="1021">
        <v>1429</v>
      </c>
      <c r="B1430" s="2083" t="s">
        <v>2193</v>
      </c>
      <c r="D1430" s="1015"/>
    </row>
    <row r="1431" spans="1:4" x14ac:dyDescent="0.25">
      <c r="A1431" s="1021">
        <v>1430</v>
      </c>
      <c r="B1431" s="2083" t="s">
        <v>2194</v>
      </c>
      <c r="D1431" s="1015"/>
    </row>
    <row r="1432" spans="1:4" x14ac:dyDescent="0.25">
      <c r="A1432" s="1021">
        <v>1431</v>
      </c>
      <c r="B1432" s="2087" t="s">
        <v>2195</v>
      </c>
      <c r="D1432" s="1015"/>
    </row>
    <row r="1433" spans="1:4" x14ac:dyDescent="0.25">
      <c r="A1433" s="1021">
        <v>1432</v>
      </c>
      <c r="B1433" s="2087" t="s">
        <v>2196</v>
      </c>
      <c r="D1433" s="1015"/>
    </row>
    <row r="1434" spans="1:4" x14ac:dyDescent="0.25">
      <c r="A1434" s="1021">
        <v>1433</v>
      </c>
      <c r="B1434" s="2087" t="s">
        <v>2197</v>
      </c>
      <c r="D1434" s="1015"/>
    </row>
    <row r="1435" spans="1:4" x14ac:dyDescent="0.25">
      <c r="A1435" s="1021">
        <v>1434</v>
      </c>
      <c r="B1435" s="2087" t="s">
        <v>2198</v>
      </c>
      <c r="D1435" s="1015"/>
    </row>
    <row r="1436" spans="1:4" x14ac:dyDescent="0.25">
      <c r="A1436" s="1021">
        <v>1435</v>
      </c>
      <c r="B1436" s="2087" t="s">
        <v>2199</v>
      </c>
      <c r="D1436" s="1015"/>
    </row>
    <row r="1437" spans="1:4" x14ac:dyDescent="0.25">
      <c r="A1437" s="1021">
        <v>1436</v>
      </c>
      <c r="B1437" s="2087" t="s">
        <v>2200</v>
      </c>
      <c r="D1437" s="1015"/>
    </row>
    <row r="1438" spans="1:4" x14ac:dyDescent="0.25">
      <c r="A1438" s="1021">
        <v>1437</v>
      </c>
      <c r="B1438" s="2087" t="s">
        <v>2201</v>
      </c>
      <c r="D1438" s="1015"/>
    </row>
    <row r="1439" spans="1:4" x14ac:dyDescent="0.25">
      <c r="A1439" s="1021">
        <v>1438</v>
      </c>
      <c r="B1439" s="2087" t="s">
        <v>2202</v>
      </c>
      <c r="D1439" s="1015"/>
    </row>
    <row r="1440" spans="1:4" x14ac:dyDescent="0.25">
      <c r="A1440" s="1021">
        <v>1439</v>
      </c>
      <c r="B1440" s="2087" t="s">
        <v>2203</v>
      </c>
      <c r="D1440" s="1015"/>
    </row>
    <row r="1441" spans="1:4" x14ac:dyDescent="0.25">
      <c r="A1441" s="1021">
        <v>1440</v>
      </c>
      <c r="B1441" s="2087" t="s">
        <v>2204</v>
      </c>
      <c r="D1441" s="1015"/>
    </row>
    <row r="1442" spans="1:4" x14ac:dyDescent="0.25">
      <c r="A1442" s="1021">
        <v>1441</v>
      </c>
      <c r="B1442" s="2087" t="s">
        <v>2205</v>
      </c>
      <c r="D1442" s="1015"/>
    </row>
    <row r="1443" spans="1:4" x14ac:dyDescent="0.25">
      <c r="A1443" s="1021">
        <v>1442</v>
      </c>
      <c r="B1443" s="2087" t="s">
        <v>2206</v>
      </c>
      <c r="D1443" s="1015"/>
    </row>
    <row r="1444" spans="1:4" x14ac:dyDescent="0.25">
      <c r="A1444" s="1021">
        <v>1443</v>
      </c>
      <c r="B1444" s="2087" t="s">
        <v>2207</v>
      </c>
      <c r="D1444" s="1015"/>
    </row>
    <row r="1445" spans="1:4" x14ac:dyDescent="0.25">
      <c r="A1445" s="1021">
        <v>1444</v>
      </c>
      <c r="B1445" s="2087" t="s">
        <v>2208</v>
      </c>
      <c r="D1445" s="1015"/>
    </row>
    <row r="1446" spans="1:4" x14ac:dyDescent="0.25">
      <c r="A1446" s="1021">
        <v>1445</v>
      </c>
      <c r="B1446" s="2087" t="s">
        <v>2209</v>
      </c>
      <c r="D1446" s="1015"/>
    </row>
    <row r="1447" spans="1:4" x14ac:dyDescent="0.25">
      <c r="A1447" s="1021">
        <v>1446</v>
      </c>
      <c r="B1447" s="2087" t="s">
        <v>2210</v>
      </c>
      <c r="D1447" s="1015"/>
    </row>
    <row r="1448" spans="1:4" x14ac:dyDescent="0.25">
      <c r="A1448" s="1021">
        <v>1447</v>
      </c>
      <c r="B1448" s="2087" t="s">
        <v>2211</v>
      </c>
      <c r="D1448" s="1015"/>
    </row>
    <row r="1449" spans="1:4" x14ac:dyDescent="0.25">
      <c r="A1449" s="1021">
        <v>1448</v>
      </c>
      <c r="B1449" s="2087" t="s">
        <v>2212</v>
      </c>
      <c r="D1449" s="1015"/>
    </row>
    <row r="1450" spans="1:4" x14ac:dyDescent="0.25">
      <c r="A1450" s="1021">
        <v>1449</v>
      </c>
      <c r="B1450" s="2087" t="s">
        <v>2213</v>
      </c>
      <c r="D1450" s="1015"/>
    </row>
    <row r="1451" spans="1:4" x14ac:dyDescent="0.25">
      <c r="A1451" s="1021">
        <v>1450</v>
      </c>
      <c r="B1451" s="2087" t="s">
        <v>2214</v>
      </c>
      <c r="D1451" s="1015"/>
    </row>
    <row r="1452" spans="1:4" x14ac:dyDescent="0.25">
      <c r="A1452" s="1021">
        <v>1451</v>
      </c>
      <c r="B1452" s="2087" t="s">
        <v>2215</v>
      </c>
      <c r="D1452" s="1015"/>
    </row>
    <row r="1453" spans="1:4" x14ac:dyDescent="0.25">
      <c r="A1453" s="1021">
        <v>1452</v>
      </c>
      <c r="B1453" s="2087" t="s">
        <v>2216</v>
      </c>
      <c r="D1453" s="1015"/>
    </row>
    <row r="1454" spans="1:4" x14ac:dyDescent="0.25">
      <c r="A1454" s="1021">
        <v>1453</v>
      </c>
      <c r="B1454" s="2087" t="s">
        <v>2217</v>
      </c>
      <c r="D1454" s="1015"/>
    </row>
    <row r="1455" spans="1:4" x14ac:dyDescent="0.25">
      <c r="A1455" s="1021">
        <v>1454</v>
      </c>
      <c r="B1455" s="2087" t="s">
        <v>2218</v>
      </c>
      <c r="D1455" s="1015"/>
    </row>
    <row r="1456" spans="1:4" x14ac:dyDescent="0.25">
      <c r="A1456" s="1021">
        <v>1455</v>
      </c>
      <c r="B1456" s="2087" t="s">
        <v>2219</v>
      </c>
      <c r="D1456" s="1015"/>
    </row>
    <row r="1457" spans="1:4" x14ac:dyDescent="0.25">
      <c r="A1457" s="1021">
        <v>1456</v>
      </c>
      <c r="B1457" s="2087" t="s">
        <v>2220</v>
      </c>
      <c r="D1457" s="1015"/>
    </row>
    <row r="1458" spans="1:4" x14ac:dyDescent="0.25">
      <c r="A1458" s="1021">
        <v>1457</v>
      </c>
      <c r="B1458" s="2087" t="s">
        <v>2221</v>
      </c>
      <c r="D1458" s="1015"/>
    </row>
    <row r="1459" spans="1:4" x14ac:dyDescent="0.25">
      <c r="A1459" s="1021">
        <v>1458</v>
      </c>
      <c r="B1459" s="2086" t="s">
        <v>2222</v>
      </c>
      <c r="D1459" s="1015"/>
    </row>
    <row r="1460" spans="1:4" x14ac:dyDescent="0.25">
      <c r="A1460" s="1021">
        <v>1459</v>
      </c>
      <c r="B1460" s="2088" t="s">
        <v>2223</v>
      </c>
      <c r="D1460" s="1015"/>
    </row>
    <row r="1461" spans="1:4" x14ac:dyDescent="0.25">
      <c r="A1461" s="1021">
        <v>1460</v>
      </c>
      <c r="B1461" s="2088" t="s">
        <v>2224</v>
      </c>
      <c r="D1461" s="1015"/>
    </row>
    <row r="1462" spans="1:4" x14ac:dyDescent="0.25">
      <c r="A1462" s="1021">
        <v>1461</v>
      </c>
      <c r="B1462" s="2088" t="s">
        <v>2225</v>
      </c>
      <c r="D1462" s="1015"/>
    </row>
    <row r="1463" spans="1:4" x14ac:dyDescent="0.25">
      <c r="A1463" s="1021">
        <v>1462</v>
      </c>
      <c r="B1463" s="2088" t="s">
        <v>2226</v>
      </c>
      <c r="D1463" s="1015"/>
    </row>
    <row r="1464" spans="1:4" x14ac:dyDescent="0.25">
      <c r="A1464" s="1021">
        <v>1463</v>
      </c>
      <c r="B1464" s="2088" t="s">
        <v>363</v>
      </c>
      <c r="D1464" s="1015"/>
    </row>
    <row r="1465" spans="1:4" x14ac:dyDescent="0.25">
      <c r="A1465" s="1021">
        <v>1464</v>
      </c>
      <c r="B1465" s="2089" t="s">
        <v>190</v>
      </c>
      <c r="D1465" s="1015"/>
    </row>
    <row r="1466" spans="1:4" x14ac:dyDescent="0.25">
      <c r="A1466" s="1021">
        <v>1465</v>
      </c>
      <c r="B1466" s="2090" t="s">
        <v>2227</v>
      </c>
      <c r="D1466" s="1015"/>
    </row>
    <row r="1467" spans="1:4" x14ac:dyDescent="0.25">
      <c r="A1467" s="1021">
        <v>1466</v>
      </c>
      <c r="B1467" s="2090" t="s">
        <v>2228</v>
      </c>
      <c r="D1467" s="1015"/>
    </row>
    <row r="1468" spans="1:4" x14ac:dyDescent="0.25">
      <c r="A1468" s="1021">
        <v>1467</v>
      </c>
      <c r="B1468" s="2090" t="s">
        <v>2229</v>
      </c>
      <c r="D1468" s="1015"/>
    </row>
    <row r="1469" spans="1:4" x14ac:dyDescent="0.25">
      <c r="A1469" s="1021">
        <v>1468</v>
      </c>
      <c r="B1469" s="2091" t="s">
        <v>2230</v>
      </c>
      <c r="D1469" s="1015"/>
    </row>
    <row r="1470" spans="1:4" x14ac:dyDescent="0.25">
      <c r="A1470" s="1021">
        <v>1469</v>
      </c>
      <c r="B1470" s="2091" t="s">
        <v>2231</v>
      </c>
      <c r="D1470" s="1015"/>
    </row>
    <row r="1471" spans="1:4" x14ac:dyDescent="0.25">
      <c r="A1471" s="1021">
        <v>1470</v>
      </c>
      <c r="B1471" s="2091" t="s">
        <v>2232</v>
      </c>
      <c r="D1471" s="1015"/>
    </row>
    <row r="1472" spans="1:4" x14ac:dyDescent="0.25">
      <c r="A1472" s="1021">
        <v>1471</v>
      </c>
      <c r="B1472" s="2092" t="s">
        <v>2233</v>
      </c>
      <c r="D1472" s="1015"/>
    </row>
    <row r="1473" spans="1:4" x14ac:dyDescent="0.25">
      <c r="A1473" s="1021">
        <v>1472</v>
      </c>
      <c r="B1473" s="2092" t="s">
        <v>53</v>
      </c>
      <c r="D1473" s="1015"/>
    </row>
    <row r="1474" spans="1:4" x14ac:dyDescent="0.25">
      <c r="A1474" s="1021">
        <v>1473</v>
      </c>
      <c r="B1474" s="2092" t="s">
        <v>2234</v>
      </c>
      <c r="D1474" s="1015"/>
    </row>
    <row r="1475" spans="1:4" x14ac:dyDescent="0.25">
      <c r="A1475" s="1021">
        <v>1474</v>
      </c>
      <c r="B1475" s="2092" t="s">
        <v>2235</v>
      </c>
      <c r="D1475" s="1015"/>
    </row>
    <row r="1476" spans="1:4" x14ac:dyDescent="0.25">
      <c r="A1476" s="1021">
        <v>1475</v>
      </c>
      <c r="B1476" s="2092" t="s">
        <v>2236</v>
      </c>
      <c r="D1476" s="1015"/>
    </row>
    <row r="1477" spans="1:4" x14ac:dyDescent="0.25">
      <c r="A1477" s="1021">
        <v>1476</v>
      </c>
      <c r="B1477" s="2092" t="s">
        <v>2237</v>
      </c>
      <c r="D1477" s="1015"/>
    </row>
    <row r="1478" spans="1:4" x14ac:dyDescent="0.25">
      <c r="A1478" s="1021">
        <v>1477</v>
      </c>
      <c r="B1478" s="2092" t="s">
        <v>2238</v>
      </c>
      <c r="D1478" s="1015"/>
    </row>
    <row r="1479" spans="1:4" x14ac:dyDescent="0.25">
      <c r="A1479" s="1021">
        <v>1478</v>
      </c>
      <c r="B1479" s="2092" t="s">
        <v>2239</v>
      </c>
      <c r="D1479" s="1015"/>
    </row>
    <row r="1480" spans="1:4" x14ac:dyDescent="0.25">
      <c r="A1480" s="1021">
        <v>1479</v>
      </c>
      <c r="B1480" s="2092" t="s">
        <v>2240</v>
      </c>
      <c r="D1480" s="1015"/>
    </row>
    <row r="1481" spans="1:4" x14ac:dyDescent="0.25">
      <c r="A1481" s="1021">
        <v>1480</v>
      </c>
      <c r="B1481" s="2092" t="s">
        <v>2241</v>
      </c>
      <c r="D1481" s="1015"/>
    </row>
    <row r="1482" spans="1:4" x14ac:dyDescent="0.25">
      <c r="A1482" s="1021">
        <v>1481</v>
      </c>
      <c r="B1482" s="2092" t="s">
        <v>2242</v>
      </c>
      <c r="D1482" s="1015"/>
    </row>
    <row r="1483" spans="1:4" x14ac:dyDescent="0.25">
      <c r="A1483" s="1021">
        <v>1482</v>
      </c>
      <c r="B1483" s="2092" t="s">
        <v>2243</v>
      </c>
      <c r="D1483" s="1015"/>
    </row>
    <row r="1484" spans="1:4" x14ac:dyDescent="0.25">
      <c r="A1484" s="1021">
        <v>1483</v>
      </c>
      <c r="B1484" s="2092" t="s">
        <v>2244</v>
      </c>
      <c r="D1484" s="1015"/>
    </row>
    <row r="1485" spans="1:4" x14ac:dyDescent="0.25">
      <c r="A1485" s="1021">
        <v>1484</v>
      </c>
      <c r="B1485" s="2092" t="s">
        <v>2245</v>
      </c>
      <c r="D1485" s="1015"/>
    </row>
    <row r="1486" spans="1:4" x14ac:dyDescent="0.25">
      <c r="A1486" s="1021">
        <v>1485</v>
      </c>
      <c r="B1486" s="2092" t="s">
        <v>2246</v>
      </c>
      <c r="D1486" s="1015"/>
    </row>
    <row r="1487" spans="1:4" x14ac:dyDescent="0.25">
      <c r="A1487" s="1021">
        <v>1486</v>
      </c>
      <c r="B1487" s="2092" t="s">
        <v>2247</v>
      </c>
      <c r="D1487" s="1015"/>
    </row>
    <row r="1488" spans="1:4" x14ac:dyDescent="0.25">
      <c r="A1488" s="1021">
        <v>1487</v>
      </c>
      <c r="B1488" s="2092" t="s">
        <v>2248</v>
      </c>
      <c r="D1488" s="1015"/>
    </row>
    <row r="1489" spans="1:4" x14ac:dyDescent="0.25">
      <c r="A1489" s="1021">
        <v>1488</v>
      </c>
      <c r="B1489" s="2092" t="s">
        <v>2249</v>
      </c>
      <c r="D1489" s="1015"/>
    </row>
    <row r="1490" spans="1:4" x14ac:dyDescent="0.25">
      <c r="A1490" s="1021">
        <v>1489</v>
      </c>
      <c r="B1490" s="2092" t="s">
        <v>2250</v>
      </c>
      <c r="D1490" s="1015"/>
    </row>
    <row r="1491" spans="1:4" x14ac:dyDescent="0.25">
      <c r="A1491" s="1021">
        <v>1490</v>
      </c>
      <c r="B1491" s="2092" t="s">
        <v>2251</v>
      </c>
      <c r="D1491" s="1015"/>
    </row>
    <row r="1492" spans="1:4" x14ac:dyDescent="0.25">
      <c r="A1492" s="1021">
        <v>1491</v>
      </c>
      <c r="B1492" s="2092" t="s">
        <v>2252</v>
      </c>
      <c r="D1492" s="1015"/>
    </row>
    <row r="1493" spans="1:4" x14ac:dyDescent="0.25">
      <c r="A1493" s="1021">
        <v>1492</v>
      </c>
      <c r="B1493" s="2092" t="s">
        <v>2253</v>
      </c>
      <c r="D1493" s="1015"/>
    </row>
    <row r="1494" spans="1:4" x14ac:dyDescent="0.25">
      <c r="A1494" s="1021">
        <v>1493</v>
      </c>
      <c r="B1494" s="2092" t="s">
        <v>2254</v>
      </c>
      <c r="D1494" s="1015"/>
    </row>
    <row r="1495" spans="1:4" x14ac:dyDescent="0.25">
      <c r="A1495" s="1021">
        <v>1494</v>
      </c>
      <c r="B1495" s="2092" t="s">
        <v>2255</v>
      </c>
      <c r="D1495" s="1015"/>
    </row>
    <row r="1496" spans="1:4" x14ac:dyDescent="0.25">
      <c r="A1496" s="1021">
        <v>1495</v>
      </c>
      <c r="B1496" s="2092" t="s">
        <v>2256</v>
      </c>
      <c r="D1496" s="1015"/>
    </row>
    <row r="1497" spans="1:4" x14ac:dyDescent="0.25">
      <c r="A1497" s="1021">
        <v>1496</v>
      </c>
      <c r="B1497" s="2092" t="s">
        <v>2257</v>
      </c>
      <c r="D1497" s="1015"/>
    </row>
    <row r="1498" spans="1:4" x14ac:dyDescent="0.25">
      <c r="A1498" s="1021">
        <v>1497</v>
      </c>
      <c r="B1498" s="2092" t="s">
        <v>2258</v>
      </c>
      <c r="D1498" s="1015"/>
    </row>
    <row r="1499" spans="1:4" x14ac:dyDescent="0.25">
      <c r="A1499" s="1021">
        <v>1498</v>
      </c>
      <c r="B1499" s="2092" t="s">
        <v>2259</v>
      </c>
      <c r="D1499" s="1015"/>
    </row>
    <row r="1500" spans="1:4" x14ac:dyDescent="0.25">
      <c r="A1500" s="1021">
        <v>1499</v>
      </c>
      <c r="B1500" s="2092" t="s">
        <v>2260</v>
      </c>
      <c r="D1500" s="1015"/>
    </row>
    <row r="1501" spans="1:4" x14ac:dyDescent="0.25">
      <c r="A1501" s="1021">
        <v>1500</v>
      </c>
      <c r="B1501" s="2092" t="s">
        <v>2261</v>
      </c>
      <c r="D1501" s="1015"/>
    </row>
    <row r="1502" spans="1:4" x14ac:dyDescent="0.25">
      <c r="A1502" s="1021">
        <v>1501</v>
      </c>
      <c r="B1502" s="2093" t="s">
        <v>2393</v>
      </c>
      <c r="D1502" s="1015"/>
    </row>
    <row r="1503" spans="1:4" x14ac:dyDescent="0.25">
      <c r="A1503" s="1021">
        <v>1502</v>
      </c>
      <c r="B1503" s="2092" t="s">
        <v>2262</v>
      </c>
      <c r="D1503" s="1015"/>
    </row>
    <row r="1504" spans="1:4" x14ac:dyDescent="0.25">
      <c r="A1504" s="1021">
        <v>1503</v>
      </c>
      <c r="B1504" s="2092" t="s">
        <v>2263</v>
      </c>
      <c r="D1504" s="1015"/>
    </row>
    <row r="1505" spans="1:4" x14ac:dyDescent="0.25">
      <c r="A1505" s="1021">
        <v>1504</v>
      </c>
      <c r="B1505" s="2092" t="s">
        <v>2264</v>
      </c>
      <c r="D1505" s="1015"/>
    </row>
    <row r="1506" spans="1:4" x14ac:dyDescent="0.25">
      <c r="A1506" s="1021">
        <v>1505</v>
      </c>
      <c r="B1506" s="2092" t="s">
        <v>2265</v>
      </c>
      <c r="D1506" s="1015"/>
    </row>
    <row r="1507" spans="1:4" x14ac:dyDescent="0.25">
      <c r="A1507" s="1021">
        <v>1506</v>
      </c>
      <c r="B1507" s="2092" t="s">
        <v>2266</v>
      </c>
      <c r="D1507" s="1015"/>
    </row>
    <row r="1508" spans="1:4" x14ac:dyDescent="0.25">
      <c r="A1508" s="1021">
        <v>1507</v>
      </c>
      <c r="B1508" s="2092" t="s">
        <v>2267</v>
      </c>
      <c r="D1508" s="1015"/>
    </row>
    <row r="1509" spans="1:4" x14ac:dyDescent="0.25">
      <c r="A1509" s="1021">
        <v>1508</v>
      </c>
      <c r="B1509" s="2092" t="s">
        <v>2268</v>
      </c>
      <c r="D1509" s="1015"/>
    </row>
    <row r="1510" spans="1:4" x14ac:dyDescent="0.25">
      <c r="A1510" s="1021">
        <v>1509</v>
      </c>
      <c r="B1510" s="2092" t="s">
        <v>2269</v>
      </c>
      <c r="D1510" s="1015"/>
    </row>
    <row r="1511" spans="1:4" x14ac:dyDescent="0.25">
      <c r="A1511" s="1021">
        <v>1510</v>
      </c>
      <c r="B1511" s="2092" t="s">
        <v>2270</v>
      </c>
      <c r="D1511" s="1015"/>
    </row>
    <row r="1512" spans="1:4" x14ac:dyDescent="0.25">
      <c r="A1512" s="1021">
        <v>1511</v>
      </c>
      <c r="B1512" s="2092" t="s">
        <v>2271</v>
      </c>
      <c r="D1512" s="1015"/>
    </row>
    <row r="1513" spans="1:4" x14ac:dyDescent="0.25">
      <c r="A1513" s="1021">
        <v>1512</v>
      </c>
      <c r="B1513" s="2092" t="s">
        <v>2272</v>
      </c>
      <c r="D1513" s="1015"/>
    </row>
    <row r="1514" spans="1:4" x14ac:dyDescent="0.25">
      <c r="A1514" s="1021">
        <v>1513</v>
      </c>
      <c r="B1514" s="2092" t="s">
        <v>2273</v>
      </c>
      <c r="D1514" s="1015"/>
    </row>
    <row r="1515" spans="1:4" x14ac:dyDescent="0.25">
      <c r="A1515" s="1021">
        <v>1514</v>
      </c>
      <c r="B1515" s="2093" t="s">
        <v>2274</v>
      </c>
      <c r="D1515" s="1015"/>
    </row>
    <row r="1516" spans="1:4" x14ac:dyDescent="0.25">
      <c r="A1516" s="1021">
        <v>1515</v>
      </c>
      <c r="B1516" s="2092" t="s">
        <v>2275</v>
      </c>
      <c r="D1516" s="1015"/>
    </row>
    <row r="1517" spans="1:4" x14ac:dyDescent="0.25">
      <c r="A1517" s="1021">
        <v>1516</v>
      </c>
      <c r="B1517" s="2092" t="s">
        <v>2276</v>
      </c>
      <c r="D1517" s="1015"/>
    </row>
    <row r="1518" spans="1:4" x14ac:dyDescent="0.25">
      <c r="A1518" s="1021">
        <v>1517</v>
      </c>
      <c r="B1518" s="2092" t="s">
        <v>2277</v>
      </c>
      <c r="D1518" s="1015"/>
    </row>
    <row r="1519" spans="1:4" x14ac:dyDescent="0.25">
      <c r="A1519" s="1021">
        <v>1518</v>
      </c>
      <c r="B1519" s="2092" t="s">
        <v>2278</v>
      </c>
      <c r="D1519" s="1015"/>
    </row>
    <row r="1520" spans="1:4" x14ac:dyDescent="0.25">
      <c r="A1520" s="1021">
        <v>1519</v>
      </c>
      <c r="B1520" s="2092" t="s">
        <v>2279</v>
      </c>
      <c r="D1520" s="1015"/>
    </row>
    <row r="1521" spans="1:4" x14ac:dyDescent="0.25">
      <c r="A1521" s="1021">
        <v>1520</v>
      </c>
      <c r="B1521" s="2092" t="s">
        <v>2280</v>
      </c>
      <c r="D1521" s="1015"/>
    </row>
    <row r="1522" spans="1:4" x14ac:dyDescent="0.25">
      <c r="A1522" s="1021">
        <v>1521</v>
      </c>
      <c r="B1522" s="2092" t="s">
        <v>1915</v>
      </c>
      <c r="D1522" s="1015"/>
    </row>
    <row r="1523" spans="1:4" x14ac:dyDescent="0.25">
      <c r="A1523" s="1021">
        <v>1522</v>
      </c>
      <c r="B1523" s="2092" t="s">
        <v>2281</v>
      </c>
      <c r="D1523" s="1015"/>
    </row>
    <row r="1524" spans="1:4" x14ac:dyDescent="0.25">
      <c r="A1524" s="1021">
        <v>1523</v>
      </c>
      <c r="B1524" s="2092" t="s">
        <v>2282</v>
      </c>
      <c r="D1524" s="1015"/>
    </row>
    <row r="1525" spans="1:4" x14ac:dyDescent="0.25">
      <c r="A1525" s="1021">
        <v>1524</v>
      </c>
      <c r="B1525" s="2092" t="s">
        <v>2283</v>
      </c>
      <c r="D1525" s="1015"/>
    </row>
    <row r="1526" spans="1:4" x14ac:dyDescent="0.25">
      <c r="A1526" s="1021">
        <v>1525</v>
      </c>
      <c r="B1526" s="2092" t="s">
        <v>316</v>
      </c>
      <c r="D1526" s="1015"/>
    </row>
    <row r="1527" spans="1:4" x14ac:dyDescent="0.25">
      <c r="A1527" s="1021">
        <v>1526</v>
      </c>
      <c r="B1527" s="2092" t="s">
        <v>317</v>
      </c>
      <c r="D1527" s="1015"/>
    </row>
    <row r="1528" spans="1:4" x14ac:dyDescent="0.25">
      <c r="A1528" s="1021">
        <v>1527</v>
      </c>
      <c r="B1528" s="2092" t="s">
        <v>2284</v>
      </c>
      <c r="D1528" s="1015"/>
    </row>
    <row r="1529" spans="1:4" x14ac:dyDescent="0.25">
      <c r="A1529" s="1021">
        <v>1528</v>
      </c>
      <c r="B1529" s="2092" t="s">
        <v>2285</v>
      </c>
      <c r="D1529" s="1015"/>
    </row>
    <row r="1530" spans="1:4" x14ac:dyDescent="0.25">
      <c r="A1530" s="1021">
        <v>1529</v>
      </c>
      <c r="B1530" s="2092" t="s">
        <v>2286</v>
      </c>
      <c r="D1530" s="1015"/>
    </row>
    <row r="1531" spans="1:4" x14ac:dyDescent="0.25">
      <c r="A1531" s="1021">
        <v>1530</v>
      </c>
      <c r="B1531" s="2086" t="s">
        <v>2287</v>
      </c>
      <c r="D1531" s="1015"/>
    </row>
    <row r="1532" spans="1:4" x14ac:dyDescent="0.25">
      <c r="A1532" s="1021">
        <v>1531</v>
      </c>
      <c r="B1532" s="2092" t="s">
        <v>1499</v>
      </c>
      <c r="D1532" s="1015"/>
    </row>
    <row r="1533" spans="1:4" x14ac:dyDescent="0.25">
      <c r="A1533" s="1021">
        <v>1532</v>
      </c>
      <c r="B1533" s="2092" t="s">
        <v>2288</v>
      </c>
      <c r="D1533" s="1015"/>
    </row>
    <row r="1534" spans="1:4" x14ac:dyDescent="0.25">
      <c r="A1534" s="1021">
        <v>1533</v>
      </c>
      <c r="B1534" s="2094" t="s">
        <v>2289</v>
      </c>
      <c r="D1534" s="1015"/>
    </row>
    <row r="1535" spans="1:4" x14ac:dyDescent="0.25">
      <c r="A1535" s="1021">
        <v>1534</v>
      </c>
      <c r="B1535" s="2094" t="s">
        <v>2290</v>
      </c>
      <c r="D1535" s="1015"/>
    </row>
    <row r="1536" spans="1:4" x14ac:dyDescent="0.25">
      <c r="A1536" s="1021">
        <v>1535</v>
      </c>
      <c r="B1536" s="2094" t="s">
        <v>2291</v>
      </c>
      <c r="D1536" s="1015" t="s">
        <v>903</v>
      </c>
    </row>
    <row r="1537" spans="1:4" x14ac:dyDescent="0.25">
      <c r="A1537" s="1021">
        <v>1536</v>
      </c>
      <c r="B1537" s="2094" t="s">
        <v>2292</v>
      </c>
      <c r="D1537" s="1015"/>
    </row>
    <row r="1538" spans="1:4" x14ac:dyDescent="0.25">
      <c r="A1538" s="1021">
        <v>1537</v>
      </c>
      <c r="B1538" s="2094" t="s">
        <v>2293</v>
      </c>
      <c r="D1538" s="1015"/>
    </row>
    <row r="1539" spans="1:4" x14ac:dyDescent="0.25">
      <c r="A1539" s="1021">
        <v>1538</v>
      </c>
      <c r="B1539" s="2094" t="s">
        <v>2294</v>
      </c>
      <c r="D1539" s="1015"/>
    </row>
    <row r="1540" spans="1:4" x14ac:dyDescent="0.25">
      <c r="A1540" s="1021">
        <v>1539</v>
      </c>
      <c r="B1540" s="2094" t="s">
        <v>2295</v>
      </c>
      <c r="D1540" s="1015"/>
    </row>
    <row r="1541" spans="1:4" s="1019" customFormat="1" x14ac:dyDescent="0.25">
      <c r="A1541" s="1021">
        <v>1540</v>
      </c>
      <c r="B1541" s="2095" t="s">
        <v>2296</v>
      </c>
      <c r="C1541" s="264"/>
      <c r="D1541" s="1018"/>
    </row>
    <row r="1542" spans="1:4" s="1019" customFormat="1" x14ac:dyDescent="0.25">
      <c r="A1542" s="1237">
        <v>1999</v>
      </c>
      <c r="B1542" s="1238" t="s">
        <v>2297</v>
      </c>
      <c r="C1542" s="264"/>
      <c r="D1542" s="1018"/>
    </row>
    <row r="1543" spans="1:4" ht="51" x14ac:dyDescent="0.25">
      <c r="A1543" s="1021">
        <v>2000</v>
      </c>
      <c r="B1543" s="1226" t="s">
        <v>2298</v>
      </c>
      <c r="D1543" s="1015" t="s">
        <v>676</v>
      </c>
    </row>
    <row r="1544" spans="1:4" x14ac:dyDescent="0.25">
      <c r="A1544" s="1021">
        <v>2001</v>
      </c>
      <c r="B1544" s="1193" t="s">
        <v>2299</v>
      </c>
      <c r="D1544" s="1015" t="s">
        <v>677</v>
      </c>
    </row>
    <row r="1545" spans="1:4" ht="63.75" x14ac:dyDescent="0.25">
      <c r="A1545" s="1021">
        <v>2002</v>
      </c>
      <c r="B1545" s="1226" t="s">
        <v>2300</v>
      </c>
      <c r="D1545" s="1015" t="s">
        <v>678</v>
      </c>
    </row>
    <row r="1546" spans="1:4" ht="54.75" thickBot="1" x14ac:dyDescent="0.3">
      <c r="A1546" s="1021">
        <v>2003</v>
      </c>
      <c r="B1546" s="1227" t="s">
        <v>2301</v>
      </c>
      <c r="D1546" s="1015" t="s">
        <v>679</v>
      </c>
    </row>
    <row r="1547" spans="1:4" ht="15.75" thickBot="1" x14ac:dyDescent="0.3">
      <c r="A1547" s="1021">
        <v>2004</v>
      </c>
      <c r="B1547" s="1194" t="s">
        <v>2302</v>
      </c>
      <c r="D1547" s="1015" t="s">
        <v>680</v>
      </c>
    </row>
    <row r="1548" spans="1:4" ht="15.75" thickBot="1" x14ac:dyDescent="0.3">
      <c r="A1548" s="1021">
        <v>2005</v>
      </c>
      <c r="B1548" s="1228" t="s">
        <v>2303</v>
      </c>
      <c r="D1548" s="1015" t="s">
        <v>681</v>
      </c>
    </row>
    <row r="1549" spans="1:4" ht="15.75" thickBot="1" x14ac:dyDescent="0.3">
      <c r="A1549" s="1021">
        <v>2006</v>
      </c>
      <c r="B1549" s="1229" t="s">
        <v>2304</v>
      </c>
      <c r="D1549" s="1015" t="s">
        <v>682</v>
      </c>
    </row>
    <row r="1550" spans="1:4" x14ac:dyDescent="0.25">
      <c r="A1550" s="1021">
        <v>2007</v>
      </c>
      <c r="B1550" s="2096" t="s">
        <v>2305</v>
      </c>
      <c r="D1550" s="1015" t="s">
        <v>683</v>
      </c>
    </row>
    <row r="1551" spans="1:4" ht="22.5" x14ac:dyDescent="0.25">
      <c r="A1551" s="1021">
        <v>2008</v>
      </c>
      <c r="B1551" s="2096" t="s">
        <v>2306</v>
      </c>
      <c r="D1551" s="1015" t="s">
        <v>684</v>
      </c>
    </row>
    <row r="1552" spans="1:4" ht="15.75" thickBot="1" x14ac:dyDescent="0.3">
      <c r="A1552" s="1021">
        <v>2009</v>
      </c>
      <c r="B1552" s="1231" t="s">
        <v>2307</v>
      </c>
      <c r="D1552" s="1015" t="s">
        <v>685</v>
      </c>
    </row>
    <row r="1553" spans="1:4" ht="38.25" x14ac:dyDescent="0.25">
      <c r="A1553" s="1021">
        <v>2010</v>
      </c>
      <c r="B1553" s="2097" t="s">
        <v>2308</v>
      </c>
      <c r="D1553" s="1015" t="s">
        <v>686</v>
      </c>
    </row>
    <row r="1554" spans="1:4" ht="33.75" x14ac:dyDescent="0.25">
      <c r="A1554" s="1021">
        <v>2011</v>
      </c>
      <c r="B1554" s="1230" t="s">
        <v>2394</v>
      </c>
      <c r="D1554" s="1015" t="s">
        <v>687</v>
      </c>
    </row>
    <row r="1555" spans="1:4" x14ac:dyDescent="0.25">
      <c r="A1555" s="1021">
        <v>2012</v>
      </c>
      <c r="B1555" s="1232" t="s">
        <v>2309</v>
      </c>
      <c r="D1555" s="1015" t="s">
        <v>688</v>
      </c>
    </row>
    <row r="1556" spans="1:4" ht="33.75" x14ac:dyDescent="0.25">
      <c r="A1556" s="1021">
        <v>2013</v>
      </c>
      <c r="B1556" s="1230" t="s">
        <v>2310</v>
      </c>
      <c r="D1556" s="1015" t="s">
        <v>689</v>
      </c>
    </row>
    <row r="1557" spans="1:4" ht="15.75" thickBot="1" x14ac:dyDescent="0.3">
      <c r="A1557" s="1021">
        <v>2014</v>
      </c>
      <c r="B1557" s="1233" t="s">
        <v>2311</v>
      </c>
      <c r="D1557" s="1015" t="s">
        <v>754</v>
      </c>
    </row>
    <row r="1558" spans="1:4" ht="31.5" x14ac:dyDescent="0.25">
      <c r="A1558" s="1021">
        <v>2015</v>
      </c>
      <c r="B1558" s="1234" t="s">
        <v>2312</v>
      </c>
      <c r="D1558" s="1015" t="s">
        <v>690</v>
      </c>
    </row>
    <row r="1559" spans="1:4" ht="25.5" x14ac:dyDescent="0.25">
      <c r="A1559" s="1021">
        <v>2016</v>
      </c>
      <c r="B1559" s="1235" t="s">
        <v>2313</v>
      </c>
      <c r="D1559" s="1015" t="s">
        <v>692</v>
      </c>
    </row>
    <row r="1560" spans="1:4" ht="25.5" x14ac:dyDescent="0.25">
      <c r="A1560" s="1021">
        <v>2017</v>
      </c>
      <c r="B1560" s="1235" t="s">
        <v>2314</v>
      </c>
      <c r="D1560" s="1015" t="s">
        <v>693</v>
      </c>
    </row>
    <row r="1561" spans="1:4" ht="30" x14ac:dyDescent="0.25">
      <c r="A1561" s="1021">
        <v>2018</v>
      </c>
      <c r="B1561" s="1236" t="s">
        <v>2315</v>
      </c>
      <c r="D1561" s="1015" t="s">
        <v>694</v>
      </c>
    </row>
    <row r="1562" spans="1:4" ht="45" x14ac:dyDescent="0.25">
      <c r="A1562" s="1021">
        <v>2019</v>
      </c>
      <c r="B1562" s="1230" t="s">
        <v>2316</v>
      </c>
      <c r="D1562" s="1015" t="s">
        <v>695</v>
      </c>
    </row>
    <row r="1563" spans="1:4" x14ac:dyDescent="0.25">
      <c r="A1563" s="1021">
        <v>2020</v>
      </c>
      <c r="B1563" s="1232" t="s">
        <v>2395</v>
      </c>
      <c r="D1563" s="1015" t="s">
        <v>696</v>
      </c>
    </row>
    <row r="1564" spans="1:4" ht="22.5" x14ac:dyDescent="0.25">
      <c r="A1564" s="1021">
        <v>2021</v>
      </c>
      <c r="B1564" s="1230" t="s">
        <v>2396</v>
      </c>
      <c r="D1564" s="1015" t="s">
        <v>697</v>
      </c>
    </row>
    <row r="1565" spans="1:4" x14ac:dyDescent="0.25">
      <c r="A1565" s="1021">
        <v>2022</v>
      </c>
      <c r="B1565" s="1232" t="s">
        <v>2397</v>
      </c>
      <c r="D1565" s="1015" t="s">
        <v>698</v>
      </c>
    </row>
    <row r="1566" spans="1:4" ht="45" x14ac:dyDescent="0.25">
      <c r="A1566" s="1021">
        <v>2023</v>
      </c>
      <c r="B1566" s="1230" t="s">
        <v>2398</v>
      </c>
      <c r="D1566" s="1015" t="s">
        <v>699</v>
      </c>
    </row>
    <row r="1567" spans="1:4" ht="25.5" x14ac:dyDescent="0.25">
      <c r="A1567" s="1021">
        <v>2024</v>
      </c>
      <c r="B1567" s="2097" t="s">
        <v>2399</v>
      </c>
      <c r="D1567" s="1015" t="s">
        <v>700</v>
      </c>
    </row>
    <row r="1568" spans="1:4" ht="22.5" x14ac:dyDescent="0.25">
      <c r="A1568" s="1021">
        <v>2025</v>
      </c>
      <c r="B1568" s="2096" t="s">
        <v>2400</v>
      </c>
      <c r="D1568" s="1015" t="s">
        <v>701</v>
      </c>
    </row>
    <row r="1569" spans="1:4" ht="22.5" x14ac:dyDescent="0.25">
      <c r="A1569" s="1021">
        <v>2026</v>
      </c>
      <c r="B1569" s="2096" t="s">
        <v>2401</v>
      </c>
      <c r="D1569" s="1015" t="s">
        <v>702</v>
      </c>
    </row>
    <row r="1570" spans="1:4" ht="22.5" x14ac:dyDescent="0.25">
      <c r="A1570" s="1021">
        <v>2027</v>
      </c>
      <c r="B1570" s="2096" t="s">
        <v>2402</v>
      </c>
      <c r="D1570" s="1015" t="s">
        <v>703</v>
      </c>
    </row>
    <row r="1571" spans="1:4" ht="22.5" x14ac:dyDescent="0.25">
      <c r="A1571" s="1021">
        <v>2028</v>
      </c>
      <c r="B1571" s="2096" t="s">
        <v>2403</v>
      </c>
      <c r="D1571" s="1015" t="s">
        <v>704</v>
      </c>
    </row>
    <row r="1572" spans="1:4" ht="22.5" x14ac:dyDescent="0.25">
      <c r="A1572" s="1021">
        <v>2029</v>
      </c>
      <c r="B1572" s="2096" t="s">
        <v>2404</v>
      </c>
      <c r="D1572" s="1015" t="s">
        <v>705</v>
      </c>
    </row>
    <row r="1573" spans="1:4" ht="22.5" x14ac:dyDescent="0.25">
      <c r="A1573" s="1021">
        <v>2030</v>
      </c>
      <c r="B1573" s="2096" t="s">
        <v>2405</v>
      </c>
      <c r="D1573" s="1015" t="s">
        <v>706</v>
      </c>
    </row>
    <row r="1574" spans="1:4" x14ac:dyDescent="0.25">
      <c r="A1574" s="1021">
        <v>2031</v>
      </c>
      <c r="B1574" s="2096" t="s">
        <v>2406</v>
      </c>
      <c r="D1574" s="1015" t="s">
        <v>707</v>
      </c>
    </row>
    <row r="1575" spans="1:4" ht="15.75" thickBot="1" x14ac:dyDescent="0.3">
      <c r="A1575" s="1021">
        <v>2032</v>
      </c>
      <c r="B1575" s="2098" t="s">
        <v>2407</v>
      </c>
      <c r="D1575" s="1015" t="s">
        <v>708</v>
      </c>
    </row>
    <row r="1576" spans="1:4" ht="15.75" thickBot="1" x14ac:dyDescent="0.3">
      <c r="A1576" s="1021">
        <v>2033</v>
      </c>
      <c r="B1576" s="2098" t="s">
        <v>2408</v>
      </c>
      <c r="D1576" s="1015" t="s">
        <v>709</v>
      </c>
    </row>
    <row r="1577" spans="1:4" ht="15.75" thickBot="1" x14ac:dyDescent="0.3">
      <c r="A1577" s="1021">
        <v>2034</v>
      </c>
      <c r="B1577" s="2098" t="s">
        <v>2409</v>
      </c>
      <c r="D1577" s="1015" t="s">
        <v>710</v>
      </c>
    </row>
    <row r="1578" spans="1:4" ht="15.75" thickBot="1" x14ac:dyDescent="0.3">
      <c r="A1578" s="1021">
        <v>2035</v>
      </c>
      <c r="B1578" s="2098" t="s">
        <v>2410</v>
      </c>
      <c r="D1578" s="1015" t="s">
        <v>711</v>
      </c>
    </row>
    <row r="1579" spans="1:4" ht="15.75" thickBot="1" x14ac:dyDescent="0.3">
      <c r="A1579" s="1021">
        <v>2036</v>
      </c>
      <c r="B1579" s="2098" t="s">
        <v>2411</v>
      </c>
      <c r="D1579" s="1015" t="s">
        <v>712</v>
      </c>
    </row>
    <row r="1580" spans="1:4" x14ac:dyDescent="0.25">
      <c r="A1580" s="1021">
        <v>2037</v>
      </c>
      <c r="B1580" s="2097" t="s">
        <v>2412</v>
      </c>
      <c r="D1580" s="1015" t="s">
        <v>713</v>
      </c>
    </row>
    <row r="1581" spans="1:4" ht="22.5" x14ac:dyDescent="0.25">
      <c r="A1581" s="1021">
        <v>2038</v>
      </c>
      <c r="B1581" s="1230" t="s">
        <v>2413</v>
      </c>
      <c r="D1581" s="1015" t="s">
        <v>714</v>
      </c>
    </row>
    <row r="1582" spans="1:4" ht="25.5" x14ac:dyDescent="0.25">
      <c r="A1582" s="1021">
        <v>2039</v>
      </c>
      <c r="B1582" s="2097" t="s">
        <v>2414</v>
      </c>
      <c r="D1582" s="1015" t="s">
        <v>715</v>
      </c>
    </row>
    <row r="1583" spans="1:4" ht="45" x14ac:dyDescent="0.25">
      <c r="A1583" s="1021">
        <v>2040</v>
      </c>
      <c r="B1583" s="2096" t="s">
        <v>2416</v>
      </c>
      <c r="D1583" s="1015" t="s">
        <v>716</v>
      </c>
    </row>
    <row r="1584" spans="1:4" ht="22.5" x14ac:dyDescent="0.25">
      <c r="A1584" s="1021">
        <v>2041</v>
      </c>
      <c r="B1584" s="2096" t="s">
        <v>2415</v>
      </c>
      <c r="D1584" s="1015" t="s">
        <v>717</v>
      </c>
    </row>
    <row r="1585" spans="1:4" ht="25.5" x14ac:dyDescent="0.25">
      <c r="A1585" s="1021">
        <v>2042</v>
      </c>
      <c r="B1585" s="2097" t="s">
        <v>2434</v>
      </c>
      <c r="D1585" s="1015" t="s">
        <v>718</v>
      </c>
    </row>
    <row r="1586" spans="1:4" x14ac:dyDescent="0.25">
      <c r="A1586" s="1021">
        <v>2043</v>
      </c>
      <c r="B1586" s="2096" t="s">
        <v>2417</v>
      </c>
      <c r="D1586" s="1015" t="s">
        <v>719</v>
      </c>
    </row>
    <row r="1587" spans="1:4" x14ac:dyDescent="0.25">
      <c r="A1587" s="1021">
        <v>2044</v>
      </c>
      <c r="B1587" s="2099" t="s">
        <v>2421</v>
      </c>
      <c r="D1587" s="1015" t="s">
        <v>720</v>
      </c>
    </row>
    <row r="1588" spans="1:4" ht="22.5" x14ac:dyDescent="0.25">
      <c r="A1588" s="1021">
        <v>2045</v>
      </c>
      <c r="B1588" s="2096" t="s">
        <v>2587</v>
      </c>
      <c r="D1588" s="1015" t="s">
        <v>721</v>
      </c>
    </row>
    <row r="1589" spans="1:4" ht="22.5" x14ac:dyDescent="0.25">
      <c r="A1589" s="1021">
        <v>2046</v>
      </c>
      <c r="B1589" s="2096" t="s">
        <v>2418</v>
      </c>
      <c r="D1589" s="1015" t="s">
        <v>722</v>
      </c>
    </row>
    <row r="1590" spans="1:4" ht="45" x14ac:dyDescent="0.25">
      <c r="A1590" s="1021">
        <v>2047</v>
      </c>
      <c r="B1590" s="2096" t="s">
        <v>2419</v>
      </c>
      <c r="D1590" s="1015" t="s">
        <v>723</v>
      </c>
    </row>
    <row r="1591" spans="1:4" ht="22.5" x14ac:dyDescent="0.25">
      <c r="A1591" s="1021">
        <v>2048</v>
      </c>
      <c r="B1591" s="2096" t="s">
        <v>2420</v>
      </c>
      <c r="D1591" s="1015" t="s">
        <v>724</v>
      </c>
    </row>
    <row r="1592" spans="1:4" ht="25.5" x14ac:dyDescent="0.25">
      <c r="A1592" s="1021">
        <v>2049</v>
      </c>
      <c r="B1592" s="2097" t="s">
        <v>2424</v>
      </c>
      <c r="D1592" s="1015" t="s">
        <v>725</v>
      </c>
    </row>
    <row r="1593" spans="1:4" ht="45" x14ac:dyDescent="0.25">
      <c r="A1593" s="1021">
        <v>2050</v>
      </c>
      <c r="B1593" s="2096" t="s">
        <v>2425</v>
      </c>
      <c r="D1593" s="1015" t="s">
        <v>726</v>
      </c>
    </row>
    <row r="1594" spans="1:4" ht="25.5" x14ac:dyDescent="0.25">
      <c r="A1594" s="1021">
        <v>2051</v>
      </c>
      <c r="B1594" s="2097" t="s">
        <v>2422</v>
      </c>
      <c r="D1594" s="1015" t="s">
        <v>727</v>
      </c>
    </row>
    <row r="1595" spans="1:4" ht="22.5" x14ac:dyDescent="0.25">
      <c r="A1595" s="1021">
        <v>2052</v>
      </c>
      <c r="B1595" s="2096" t="s">
        <v>2423</v>
      </c>
      <c r="D1595" s="1015" t="s">
        <v>728</v>
      </c>
    </row>
    <row r="1596" spans="1:4" x14ac:dyDescent="0.25">
      <c r="A1596" s="1021">
        <v>2053</v>
      </c>
      <c r="B1596" s="2097" t="s">
        <v>2426</v>
      </c>
      <c r="D1596" s="1015" t="s">
        <v>729</v>
      </c>
    </row>
    <row r="1597" spans="1:4" ht="22.5" x14ac:dyDescent="0.25">
      <c r="A1597" s="1021">
        <v>2054</v>
      </c>
      <c r="B1597" s="2096" t="s">
        <v>2427</v>
      </c>
      <c r="D1597" s="1015" t="s">
        <v>730</v>
      </c>
    </row>
    <row r="1598" spans="1:4" ht="25.5" x14ac:dyDescent="0.25">
      <c r="A1598" s="1021">
        <v>2055</v>
      </c>
      <c r="B1598" s="2097" t="s">
        <v>2432</v>
      </c>
      <c r="D1598" s="1015" t="s">
        <v>731</v>
      </c>
    </row>
    <row r="1599" spans="1:4" x14ac:dyDescent="0.25">
      <c r="A1599" s="1021">
        <v>2056</v>
      </c>
      <c r="B1599" s="2096" t="s">
        <v>2428</v>
      </c>
      <c r="D1599" s="1015" t="s">
        <v>732</v>
      </c>
    </row>
    <row r="1600" spans="1:4" x14ac:dyDescent="0.25">
      <c r="A1600" s="1021">
        <v>2057</v>
      </c>
      <c r="B1600" s="2099" t="s">
        <v>2433</v>
      </c>
      <c r="D1600" s="1015" t="s">
        <v>733</v>
      </c>
    </row>
    <row r="1601" spans="1:4" ht="45" x14ac:dyDescent="0.25">
      <c r="A1601" s="1021">
        <v>2058</v>
      </c>
      <c r="B1601" s="2096" t="s">
        <v>2588</v>
      </c>
      <c r="D1601" s="1015" t="s">
        <v>734</v>
      </c>
    </row>
    <row r="1602" spans="1:4" x14ac:dyDescent="0.25">
      <c r="A1602" s="1021">
        <v>2059</v>
      </c>
      <c r="B1602" s="2097" t="s">
        <v>2429</v>
      </c>
      <c r="D1602" s="1015" t="s">
        <v>735</v>
      </c>
    </row>
    <row r="1603" spans="1:4" ht="22.5" x14ac:dyDescent="0.25">
      <c r="A1603" s="1021">
        <v>2060</v>
      </c>
      <c r="B1603" s="2096" t="s">
        <v>2430</v>
      </c>
      <c r="D1603" s="1015" t="s">
        <v>736</v>
      </c>
    </row>
    <row r="1604" spans="1:4" ht="42" x14ac:dyDescent="0.25">
      <c r="A1604" s="1021">
        <v>2061</v>
      </c>
      <c r="B1604" s="2100" t="s">
        <v>2431</v>
      </c>
      <c r="D1604" s="1015" t="s">
        <v>737</v>
      </c>
    </row>
    <row r="1605" spans="1:4" ht="33.75" x14ac:dyDescent="0.25">
      <c r="A1605" s="1021">
        <v>2062</v>
      </c>
      <c r="B1605" s="2096" t="s">
        <v>2437</v>
      </c>
      <c r="D1605" s="1015" t="s">
        <v>738</v>
      </c>
    </row>
    <row r="1606" spans="1:4" ht="22.5" x14ac:dyDescent="0.25">
      <c r="A1606" s="1021">
        <v>2063</v>
      </c>
      <c r="B1606" s="2096" t="s">
        <v>2435</v>
      </c>
      <c r="D1606" s="1015" t="s">
        <v>739</v>
      </c>
    </row>
    <row r="1607" spans="1:4" ht="56.25" x14ac:dyDescent="0.25">
      <c r="A1607" s="1021">
        <v>2064</v>
      </c>
      <c r="B1607" s="2096" t="s">
        <v>2436</v>
      </c>
      <c r="D1607" s="1015" t="s">
        <v>740</v>
      </c>
    </row>
    <row r="1608" spans="1:4" ht="33.75" x14ac:dyDescent="0.25">
      <c r="A1608" s="1021">
        <v>2065</v>
      </c>
      <c r="B1608" s="2096" t="s">
        <v>2438</v>
      </c>
      <c r="D1608" s="1015" t="s">
        <v>741</v>
      </c>
    </row>
    <row r="1609" spans="1:4" ht="45" x14ac:dyDescent="0.25">
      <c r="A1609" s="1021">
        <v>2066</v>
      </c>
      <c r="B1609" s="2096" t="s">
        <v>2439</v>
      </c>
      <c r="D1609" s="1015" t="s">
        <v>742</v>
      </c>
    </row>
    <row r="1610" spans="1:4" ht="15.75" thickBot="1" x14ac:dyDescent="0.3">
      <c r="A1610" s="1021">
        <v>2067</v>
      </c>
      <c r="B1610" s="2101" t="s">
        <v>2440</v>
      </c>
      <c r="D1610" s="1015" t="s">
        <v>743</v>
      </c>
    </row>
    <row r="1611" spans="1:4" ht="15.75" thickBot="1" x14ac:dyDescent="0.3">
      <c r="A1611" s="1021">
        <v>2068</v>
      </c>
      <c r="B1611" s="2101" t="s">
        <v>2441</v>
      </c>
      <c r="D1611" s="1015" t="s">
        <v>744</v>
      </c>
    </row>
    <row r="1612" spans="1:4" ht="15.75" thickBot="1" x14ac:dyDescent="0.3">
      <c r="A1612" s="1021">
        <v>2069</v>
      </c>
      <c r="B1612" s="2102" t="s">
        <v>2442</v>
      </c>
      <c r="D1612" s="1015" t="s">
        <v>899</v>
      </c>
    </row>
    <row r="1613" spans="1:4" ht="22.5" x14ac:dyDescent="0.25">
      <c r="A1613" s="1021">
        <v>2070</v>
      </c>
      <c r="B1613" s="2096" t="s">
        <v>2443</v>
      </c>
      <c r="D1613" s="1015" t="s">
        <v>745</v>
      </c>
    </row>
    <row r="1614" spans="1:4" ht="22.5" x14ac:dyDescent="0.25">
      <c r="A1614" s="1021">
        <v>2071</v>
      </c>
      <c r="B1614" s="2096" t="s">
        <v>2444</v>
      </c>
      <c r="D1614" s="1015" t="s">
        <v>746</v>
      </c>
    </row>
    <row r="1615" spans="1:4" ht="22.5" x14ac:dyDescent="0.25">
      <c r="A1615" s="1021">
        <v>2072</v>
      </c>
      <c r="B1615" s="2096" t="s">
        <v>2445</v>
      </c>
      <c r="D1615" s="1015" t="s">
        <v>747</v>
      </c>
    </row>
    <row r="1616" spans="1:4" ht="15.75" thickBot="1" x14ac:dyDescent="0.3">
      <c r="A1616" s="1021">
        <v>2073</v>
      </c>
      <c r="B1616" s="2096" t="s">
        <v>2446</v>
      </c>
      <c r="D1616" s="1015" t="s">
        <v>749</v>
      </c>
    </row>
    <row r="1617" spans="1:4" ht="15.75" thickBot="1" x14ac:dyDescent="0.3">
      <c r="A1617" s="1021">
        <v>2074</v>
      </c>
      <c r="B1617" s="2103" t="s">
        <v>2447</v>
      </c>
      <c r="D1617" s="1015" t="s">
        <v>799</v>
      </c>
    </row>
    <row r="1618" spans="1:4" ht="15.75" thickBot="1" x14ac:dyDescent="0.3">
      <c r="A1618" s="1021">
        <v>2075</v>
      </c>
      <c r="B1618" s="2104" t="s">
        <v>2448</v>
      </c>
      <c r="D1618" s="1015" t="s">
        <v>753</v>
      </c>
    </row>
    <row r="1619" spans="1:4" ht="90" x14ac:dyDescent="0.25">
      <c r="A1619" s="1021">
        <v>2076</v>
      </c>
      <c r="B1619" s="2096" t="s">
        <v>2449</v>
      </c>
      <c r="D1619" s="1015" t="s">
        <v>755</v>
      </c>
    </row>
    <row r="1620" spans="1:4" x14ac:dyDescent="0.25">
      <c r="A1620" s="1021">
        <v>2077</v>
      </c>
      <c r="B1620" s="2096" t="s">
        <v>2450</v>
      </c>
      <c r="D1620" s="1015" t="s">
        <v>756</v>
      </c>
    </row>
    <row r="1621" spans="1:4" ht="22.5" x14ac:dyDescent="0.25">
      <c r="A1621" s="1021">
        <v>2078</v>
      </c>
      <c r="B1621" s="2096" t="s">
        <v>2451</v>
      </c>
      <c r="D1621" s="1015" t="s">
        <v>757</v>
      </c>
    </row>
    <row r="1622" spans="1:4" ht="15.75" thickBot="1" x14ac:dyDescent="0.3">
      <c r="A1622" s="1021">
        <v>2079</v>
      </c>
      <c r="B1622" s="1195" t="s">
        <v>2452</v>
      </c>
      <c r="D1622" s="1015" t="s">
        <v>758</v>
      </c>
    </row>
    <row r="1623" spans="1:4" ht="15.75" x14ac:dyDescent="0.25">
      <c r="A1623" s="1021">
        <v>2080</v>
      </c>
      <c r="B1623" s="2105" t="s">
        <v>2453</v>
      </c>
      <c r="D1623" s="1015" t="s">
        <v>871</v>
      </c>
    </row>
    <row r="1624" spans="1:4" x14ac:dyDescent="0.25">
      <c r="A1624" s="1021">
        <v>2081</v>
      </c>
      <c r="B1624" s="2097" t="s">
        <v>2454</v>
      </c>
      <c r="D1624" s="1015" t="s">
        <v>759</v>
      </c>
    </row>
    <row r="1625" spans="1:4" ht="22.5" x14ac:dyDescent="0.25">
      <c r="A1625" s="1021">
        <v>2082</v>
      </c>
      <c r="B1625" s="2096" t="s">
        <v>2455</v>
      </c>
      <c r="D1625" s="1015" t="s">
        <v>760</v>
      </c>
    </row>
    <row r="1626" spans="1:4" ht="22.5" x14ac:dyDescent="0.25">
      <c r="A1626" s="1021">
        <v>2083</v>
      </c>
      <c r="B1626" s="2096" t="s">
        <v>2456</v>
      </c>
      <c r="D1626" s="1015" t="s">
        <v>761</v>
      </c>
    </row>
    <row r="1627" spans="1:4" ht="56.25" x14ac:dyDescent="0.25">
      <c r="A1627" s="1021">
        <v>2084</v>
      </c>
      <c r="B1627" s="2096" t="s">
        <v>2457</v>
      </c>
      <c r="D1627" s="1015" t="s">
        <v>762</v>
      </c>
    </row>
    <row r="1628" spans="1:4" ht="67.5" x14ac:dyDescent="0.25">
      <c r="A1628" s="1021">
        <v>2085</v>
      </c>
      <c r="B1628" s="2096" t="s">
        <v>2458</v>
      </c>
      <c r="D1628" s="1015" t="s">
        <v>763</v>
      </c>
    </row>
    <row r="1629" spans="1:4" ht="34.5" thickBot="1" x14ac:dyDescent="0.3">
      <c r="A1629" s="1021">
        <v>2086</v>
      </c>
      <c r="B1629" s="2096" t="s">
        <v>2459</v>
      </c>
      <c r="D1629" s="1015" t="s">
        <v>764</v>
      </c>
    </row>
    <row r="1630" spans="1:4" ht="15.75" thickBot="1" x14ac:dyDescent="0.3">
      <c r="A1630" s="1021">
        <v>2087</v>
      </c>
      <c r="B1630" s="2106" t="s">
        <v>2460</v>
      </c>
      <c r="D1630" s="1015" t="s">
        <v>765</v>
      </c>
    </row>
    <row r="1631" spans="1:4" ht="15.75" thickBot="1" x14ac:dyDescent="0.3">
      <c r="A1631" s="1021">
        <v>2088</v>
      </c>
      <c r="B1631" s="2107" t="s">
        <v>2461</v>
      </c>
      <c r="D1631" s="1015" t="s">
        <v>872</v>
      </c>
    </row>
    <row r="1632" spans="1:4" ht="15.75" thickBot="1" x14ac:dyDescent="0.3">
      <c r="A1632" s="1021">
        <v>2089</v>
      </c>
      <c r="B1632" s="2107" t="s">
        <v>2462</v>
      </c>
      <c r="D1632" s="1015" t="s">
        <v>869</v>
      </c>
    </row>
    <row r="1633" spans="1:4" ht="15.75" thickBot="1" x14ac:dyDescent="0.3">
      <c r="A1633" s="1021">
        <v>2090</v>
      </c>
      <c r="B1633" s="2107" t="s">
        <v>2463</v>
      </c>
      <c r="D1633" s="1015" t="s">
        <v>766</v>
      </c>
    </row>
    <row r="1634" spans="1:4" x14ac:dyDescent="0.25">
      <c r="A1634" s="1021">
        <v>2091</v>
      </c>
      <c r="B1634" s="2097" t="s">
        <v>2464</v>
      </c>
      <c r="D1634" s="1015" t="s">
        <v>767</v>
      </c>
    </row>
    <row r="1635" spans="1:4" ht="22.5" x14ac:dyDescent="0.25">
      <c r="A1635" s="1021">
        <v>2092</v>
      </c>
      <c r="B1635" s="2096" t="s">
        <v>2465</v>
      </c>
      <c r="D1635" s="1015" t="s">
        <v>768</v>
      </c>
    </row>
    <row r="1636" spans="1:4" ht="22.5" x14ac:dyDescent="0.25">
      <c r="A1636" s="1021">
        <v>2093</v>
      </c>
      <c r="B1636" s="2096" t="s">
        <v>2466</v>
      </c>
      <c r="D1636" s="1015" t="s">
        <v>769</v>
      </c>
    </row>
    <row r="1637" spans="1:4" x14ac:dyDescent="0.25">
      <c r="A1637" s="1021">
        <v>2094</v>
      </c>
      <c r="B1637" s="2096" t="s">
        <v>2467</v>
      </c>
      <c r="D1637" s="1015" t="s">
        <v>770</v>
      </c>
    </row>
    <row r="1638" spans="1:4" x14ac:dyDescent="0.25">
      <c r="A1638" s="1021">
        <v>2095</v>
      </c>
      <c r="B1638" s="2096" t="s">
        <v>2468</v>
      </c>
      <c r="D1638" s="1015" t="s">
        <v>774</v>
      </c>
    </row>
    <row r="1639" spans="1:4" ht="32.25" thickBot="1" x14ac:dyDescent="0.3">
      <c r="A1639" s="1021">
        <v>2096</v>
      </c>
      <c r="B1639" s="2100" t="s">
        <v>2469</v>
      </c>
      <c r="D1639" s="1015" t="s">
        <v>771</v>
      </c>
    </row>
    <row r="1640" spans="1:4" ht="15.75" thickBot="1" x14ac:dyDescent="0.3">
      <c r="A1640" s="1021">
        <v>2097</v>
      </c>
      <c r="B1640" s="2108" t="s">
        <v>2470</v>
      </c>
      <c r="D1640" s="1015" t="s">
        <v>772</v>
      </c>
    </row>
    <row r="1641" spans="1:4" ht="15.75" thickBot="1" x14ac:dyDescent="0.3">
      <c r="A1641" s="1021">
        <v>2098</v>
      </c>
      <c r="B1641" s="2109" t="s">
        <v>2471</v>
      </c>
      <c r="D1641" s="1015" t="s">
        <v>773</v>
      </c>
    </row>
    <row r="1642" spans="1:4" ht="31.5" x14ac:dyDescent="0.25">
      <c r="A1642" s="1021">
        <v>2099</v>
      </c>
      <c r="B1642" s="2100" t="s">
        <v>2472</v>
      </c>
      <c r="D1642" s="1015" t="s">
        <v>775</v>
      </c>
    </row>
    <row r="1643" spans="1:4" ht="42" x14ac:dyDescent="0.25">
      <c r="A1643" s="1021">
        <v>2100</v>
      </c>
      <c r="B1643" s="2100" t="s">
        <v>2473</v>
      </c>
      <c r="D1643" s="1015" t="s">
        <v>776</v>
      </c>
    </row>
    <row r="1644" spans="1:4" ht="34.5" thickBot="1" x14ac:dyDescent="0.3">
      <c r="A1644" s="1021">
        <v>2101</v>
      </c>
      <c r="B1644" s="2096" t="s">
        <v>2474</v>
      </c>
      <c r="D1644" s="1015" t="s">
        <v>777</v>
      </c>
    </row>
    <row r="1645" spans="1:4" ht="15.75" thickBot="1" x14ac:dyDescent="0.3">
      <c r="A1645" s="1021">
        <v>2102</v>
      </c>
      <c r="B1645" s="2110" t="s">
        <v>2475</v>
      </c>
      <c r="D1645" s="1015" t="s">
        <v>857</v>
      </c>
    </row>
    <row r="1646" spans="1:4" ht="22.5" x14ac:dyDescent="0.25">
      <c r="A1646" s="1021">
        <v>2103</v>
      </c>
      <c r="B1646" s="2096" t="s">
        <v>2476</v>
      </c>
      <c r="D1646" s="1015" t="s">
        <v>778</v>
      </c>
    </row>
    <row r="1647" spans="1:4" ht="33.75" x14ac:dyDescent="0.25">
      <c r="A1647" s="1021">
        <v>2104</v>
      </c>
      <c r="B1647" s="2096" t="s">
        <v>2477</v>
      </c>
      <c r="D1647" s="1015" t="s">
        <v>779</v>
      </c>
    </row>
    <row r="1648" spans="1:4" x14ac:dyDescent="0.25">
      <c r="A1648" s="1021">
        <v>2105</v>
      </c>
      <c r="B1648" s="2097" t="s">
        <v>2478</v>
      </c>
      <c r="D1648" s="1015" t="s">
        <v>780</v>
      </c>
    </row>
    <row r="1649" spans="1:4" ht="22.5" x14ac:dyDescent="0.25">
      <c r="A1649" s="1021">
        <v>2106</v>
      </c>
      <c r="B1649" s="2096" t="s">
        <v>2479</v>
      </c>
      <c r="D1649" s="1015" t="s">
        <v>781</v>
      </c>
    </row>
    <row r="1650" spans="1:4" ht="23.25" thickBot="1" x14ac:dyDescent="0.3">
      <c r="A1650" s="1021">
        <v>2107</v>
      </c>
      <c r="B1650" s="2096" t="s">
        <v>2480</v>
      </c>
      <c r="D1650" s="1015" t="s">
        <v>782</v>
      </c>
    </row>
    <row r="1651" spans="1:4" ht="15.75" thickBot="1" x14ac:dyDescent="0.3">
      <c r="A1651" s="1021">
        <v>2108</v>
      </c>
      <c r="B1651" s="2106" t="s">
        <v>2481</v>
      </c>
      <c r="D1651" s="1015" t="s">
        <v>783</v>
      </c>
    </row>
    <row r="1652" spans="1:4" ht="25.5" x14ac:dyDescent="0.25">
      <c r="A1652" s="1021">
        <v>2109</v>
      </c>
      <c r="B1652" s="2097" t="s">
        <v>2482</v>
      </c>
      <c r="D1652" s="1015" t="s">
        <v>784</v>
      </c>
    </row>
    <row r="1653" spans="1:4" ht="15.75" thickBot="1" x14ac:dyDescent="0.3">
      <c r="A1653" s="1021">
        <v>2110</v>
      </c>
      <c r="B1653" s="2097" t="s">
        <v>2483</v>
      </c>
      <c r="D1653" s="1015" t="s">
        <v>785</v>
      </c>
    </row>
    <row r="1654" spans="1:4" ht="15.75" thickBot="1" x14ac:dyDescent="0.3">
      <c r="A1654" s="1021">
        <v>2111</v>
      </c>
      <c r="B1654" s="2111" t="s">
        <v>2484</v>
      </c>
      <c r="D1654" s="1015" t="s">
        <v>786</v>
      </c>
    </row>
    <row r="1655" spans="1:4" ht="34.5" thickBot="1" x14ac:dyDescent="0.3">
      <c r="A1655" s="1021">
        <v>2112</v>
      </c>
      <c r="B1655" s="2112" t="s">
        <v>2485</v>
      </c>
      <c r="D1655" s="1015" t="s">
        <v>787</v>
      </c>
    </row>
    <row r="1656" spans="1:4" ht="15.75" thickBot="1" x14ac:dyDescent="0.3">
      <c r="A1656" s="1021">
        <v>2113</v>
      </c>
      <c r="B1656" s="2107" t="s">
        <v>2486</v>
      </c>
      <c r="D1656" s="1015" t="s">
        <v>788</v>
      </c>
    </row>
    <row r="1657" spans="1:4" ht="25.5" x14ac:dyDescent="0.25">
      <c r="A1657" s="1021">
        <v>2114</v>
      </c>
      <c r="B1657" s="2097" t="s">
        <v>2487</v>
      </c>
      <c r="D1657" s="1015" t="s">
        <v>789</v>
      </c>
    </row>
    <row r="1658" spans="1:4" ht="34.5" thickBot="1" x14ac:dyDescent="0.3">
      <c r="A1658" s="1021">
        <v>2115</v>
      </c>
      <c r="B1658" s="2096" t="s">
        <v>2488</v>
      </c>
      <c r="D1658" s="1015" t="s">
        <v>790</v>
      </c>
    </row>
    <row r="1659" spans="1:4" ht="15.75" thickBot="1" x14ac:dyDescent="0.3">
      <c r="A1659" s="1021">
        <v>2116</v>
      </c>
      <c r="B1659" s="2106" t="s">
        <v>2489</v>
      </c>
      <c r="D1659" s="1015" t="s">
        <v>791</v>
      </c>
    </row>
    <row r="1660" spans="1:4" ht="33.75" x14ac:dyDescent="0.25">
      <c r="A1660" s="1021">
        <v>2117</v>
      </c>
      <c r="B1660" s="2096" t="s">
        <v>2490</v>
      </c>
      <c r="D1660" s="1015" t="s">
        <v>792</v>
      </c>
    </row>
    <row r="1661" spans="1:4" ht="26.25" thickBot="1" x14ac:dyDescent="0.3">
      <c r="A1661" s="1021">
        <v>2118</v>
      </c>
      <c r="B1661" s="2104" t="s">
        <v>2491</v>
      </c>
      <c r="D1661" s="1015" t="s">
        <v>793</v>
      </c>
    </row>
    <row r="1662" spans="1:4" ht="15.75" thickBot="1" x14ac:dyDescent="0.3">
      <c r="A1662" s="1021">
        <v>2119</v>
      </c>
      <c r="B1662" s="2107" t="s">
        <v>2492</v>
      </c>
      <c r="D1662" s="1015" t="s">
        <v>794</v>
      </c>
    </row>
    <row r="1663" spans="1:4" x14ac:dyDescent="0.25">
      <c r="A1663" s="1021">
        <v>2120</v>
      </c>
      <c r="B1663" s="2097" t="s">
        <v>2493</v>
      </c>
      <c r="D1663" s="1015" t="s">
        <v>797</v>
      </c>
    </row>
    <row r="1664" spans="1:4" ht="33.75" x14ac:dyDescent="0.25">
      <c r="A1664" s="1021">
        <v>2121</v>
      </c>
      <c r="B1664" s="2096" t="s">
        <v>2499</v>
      </c>
      <c r="D1664" s="1015" t="s">
        <v>795</v>
      </c>
    </row>
    <row r="1665" spans="1:4" x14ac:dyDescent="0.25">
      <c r="A1665" s="1021">
        <v>2122</v>
      </c>
      <c r="B1665" s="1196" t="s">
        <v>2494</v>
      </c>
      <c r="D1665" s="1015" t="s">
        <v>803</v>
      </c>
    </row>
    <row r="1666" spans="1:4" x14ac:dyDescent="0.25">
      <c r="A1666" s="1021">
        <v>2123</v>
      </c>
      <c r="B1666" s="2096" t="s">
        <v>2495</v>
      </c>
      <c r="D1666" s="1015" t="s">
        <v>804</v>
      </c>
    </row>
    <row r="1667" spans="1:4" x14ac:dyDescent="0.25">
      <c r="A1667" s="1021">
        <v>2124</v>
      </c>
      <c r="B1667" s="1196" t="s">
        <v>655</v>
      </c>
      <c r="D1667" s="1015" t="s">
        <v>805</v>
      </c>
    </row>
    <row r="1668" spans="1:4" x14ac:dyDescent="0.25">
      <c r="A1668" s="1021">
        <v>2125</v>
      </c>
      <c r="B1668" s="2113" t="s">
        <v>2496</v>
      </c>
      <c r="D1668" s="1015" t="s">
        <v>813</v>
      </c>
    </row>
    <row r="1669" spans="1:4" x14ac:dyDescent="0.25">
      <c r="A1669" s="1021">
        <v>2126</v>
      </c>
      <c r="B1669" s="2114" t="s">
        <v>2497</v>
      </c>
      <c r="D1669" s="1015" t="s">
        <v>814</v>
      </c>
    </row>
    <row r="1670" spans="1:4" x14ac:dyDescent="0.25">
      <c r="A1670" s="1021">
        <v>2127</v>
      </c>
      <c r="B1670" s="2115" t="s">
        <v>2498</v>
      </c>
      <c r="D1670" s="1015" t="s">
        <v>811</v>
      </c>
    </row>
    <row r="1671" spans="1:4" ht="45.75" thickBot="1" x14ac:dyDescent="0.3">
      <c r="A1671" s="1021">
        <v>2128</v>
      </c>
      <c r="B1671" s="2116" t="s">
        <v>2500</v>
      </c>
      <c r="D1671" s="1015" t="s">
        <v>796</v>
      </c>
    </row>
    <row r="1672" spans="1:4" ht="15.75" thickBot="1" x14ac:dyDescent="0.3">
      <c r="A1672" s="1021">
        <v>2129</v>
      </c>
      <c r="B1672" s="2117" t="s">
        <v>2501</v>
      </c>
      <c r="D1672" s="1015" t="s">
        <v>798</v>
      </c>
    </row>
    <row r="1673" spans="1:4" ht="15.75" thickBot="1" x14ac:dyDescent="0.3">
      <c r="A1673" s="1021">
        <v>2130</v>
      </c>
      <c r="B1673" s="2121" t="s">
        <v>2502</v>
      </c>
      <c r="D1673" s="1015" t="s">
        <v>800</v>
      </c>
    </row>
    <row r="1674" spans="1:4" ht="15.75" thickBot="1" x14ac:dyDescent="0.3">
      <c r="A1674" s="1021">
        <v>2131</v>
      </c>
      <c r="B1674" s="2119" t="s">
        <v>2503</v>
      </c>
      <c r="D1674" s="1015" t="s">
        <v>802</v>
      </c>
    </row>
    <row r="1675" spans="1:4" x14ac:dyDescent="0.25">
      <c r="A1675" s="1021">
        <v>2132</v>
      </c>
      <c r="B1675" s="2118" t="s">
        <v>2504</v>
      </c>
      <c r="D1675" s="1015" t="s">
        <v>801</v>
      </c>
    </row>
    <row r="1676" spans="1:4" ht="45" x14ac:dyDescent="0.25">
      <c r="A1676" s="1021">
        <v>2133</v>
      </c>
      <c r="B1676" s="2116" t="s">
        <v>2589</v>
      </c>
      <c r="D1676" s="1015" t="s">
        <v>806</v>
      </c>
    </row>
    <row r="1677" spans="1:4" ht="34.5" thickBot="1" x14ac:dyDescent="0.3">
      <c r="A1677" s="1021">
        <v>2134</v>
      </c>
      <c r="B1677" s="2116" t="s">
        <v>2505</v>
      </c>
      <c r="D1677" s="1015" t="s">
        <v>807</v>
      </c>
    </row>
    <row r="1678" spans="1:4" ht="15.75" thickBot="1" x14ac:dyDescent="0.3">
      <c r="A1678" s="1021">
        <v>2135</v>
      </c>
      <c r="B1678" s="2117" t="s">
        <v>2506</v>
      </c>
      <c r="D1678" s="1015" t="s">
        <v>870</v>
      </c>
    </row>
    <row r="1679" spans="1:4" ht="45.75" thickBot="1" x14ac:dyDescent="0.3">
      <c r="A1679" s="1021">
        <v>2136</v>
      </c>
      <c r="B1679" s="2116" t="s">
        <v>2590</v>
      </c>
      <c r="D1679" s="1015" t="s">
        <v>808</v>
      </c>
    </row>
    <row r="1680" spans="1:4" ht="15.75" thickBot="1" x14ac:dyDescent="0.3">
      <c r="A1680" s="1021">
        <v>2137</v>
      </c>
      <c r="B1680" s="2117" t="s">
        <v>2507</v>
      </c>
      <c r="D1680" s="1015" t="s">
        <v>809</v>
      </c>
    </row>
    <row r="1681" spans="1:4" ht="15.75" thickBot="1" x14ac:dyDescent="0.3">
      <c r="A1681" s="1021">
        <v>2138</v>
      </c>
      <c r="B1681" s="2120" t="s">
        <v>2508</v>
      </c>
      <c r="D1681" s="1015" t="s">
        <v>868</v>
      </c>
    </row>
    <row r="1682" spans="1:4" ht="34.5" thickBot="1" x14ac:dyDescent="0.3">
      <c r="A1682" s="1021">
        <v>2139</v>
      </c>
      <c r="B1682" s="2116" t="s">
        <v>2509</v>
      </c>
      <c r="D1682" s="1015" t="s">
        <v>810</v>
      </c>
    </row>
    <row r="1683" spans="1:4" ht="15.75" thickBot="1" x14ac:dyDescent="0.3">
      <c r="A1683" s="1021">
        <v>2140</v>
      </c>
      <c r="B1683" s="2117" t="s">
        <v>2510</v>
      </c>
      <c r="D1683" s="1015" t="s">
        <v>812</v>
      </c>
    </row>
    <row r="1684" spans="1:4" ht="22.5" x14ac:dyDescent="0.25">
      <c r="A1684" s="1021">
        <v>2141</v>
      </c>
      <c r="B1684" s="2096" t="s">
        <v>2517</v>
      </c>
      <c r="D1684" s="1015" t="s">
        <v>815</v>
      </c>
    </row>
    <row r="1685" spans="1:4" ht="22.5" x14ac:dyDescent="0.25">
      <c r="A1685" s="1021">
        <v>2142</v>
      </c>
      <c r="B1685" s="2096" t="s">
        <v>2511</v>
      </c>
      <c r="D1685" s="1015" t="s">
        <v>842</v>
      </c>
    </row>
    <row r="1686" spans="1:4" ht="22.5" x14ac:dyDescent="0.25">
      <c r="A1686" s="1021">
        <v>2143</v>
      </c>
      <c r="B1686" s="2096" t="s">
        <v>2518</v>
      </c>
      <c r="D1686" s="1015" t="s">
        <v>816</v>
      </c>
    </row>
    <row r="1687" spans="1:4" ht="22.5" x14ac:dyDescent="0.25">
      <c r="A1687" s="1021">
        <v>2144</v>
      </c>
      <c r="B1687" s="2096" t="s">
        <v>2519</v>
      </c>
      <c r="D1687" s="1015" t="s">
        <v>817</v>
      </c>
    </row>
    <row r="1688" spans="1:4" ht="22.5" x14ac:dyDescent="0.25">
      <c r="A1688" s="1021">
        <v>2145</v>
      </c>
      <c r="B1688" s="2096" t="s">
        <v>2520</v>
      </c>
      <c r="D1688" s="1015" t="s">
        <v>818</v>
      </c>
    </row>
    <row r="1689" spans="1:4" ht="22.5" x14ac:dyDescent="0.25">
      <c r="A1689" s="1021">
        <v>2146</v>
      </c>
      <c r="B1689" s="2096" t="s">
        <v>2521</v>
      </c>
      <c r="D1689" s="1015" t="s">
        <v>819</v>
      </c>
    </row>
    <row r="1690" spans="1:4" ht="21" x14ac:dyDescent="0.25">
      <c r="A1690" s="1021">
        <v>2147</v>
      </c>
      <c r="B1690" s="2100" t="s">
        <v>2512</v>
      </c>
      <c r="D1690" s="1015" t="s">
        <v>820</v>
      </c>
    </row>
    <row r="1691" spans="1:4" ht="22.5" x14ac:dyDescent="0.25">
      <c r="A1691" s="1021">
        <v>2148</v>
      </c>
      <c r="B1691" s="2096" t="s">
        <v>2513</v>
      </c>
      <c r="D1691" s="1015" t="s">
        <v>821</v>
      </c>
    </row>
    <row r="1692" spans="1:4" ht="23.25" thickBot="1" x14ac:dyDescent="0.3">
      <c r="A1692" s="1021">
        <v>2149</v>
      </c>
      <c r="B1692" s="2096" t="s">
        <v>2514</v>
      </c>
      <c r="D1692" s="1015" t="s">
        <v>822</v>
      </c>
    </row>
    <row r="1693" spans="1:4" ht="15.75" thickBot="1" x14ac:dyDescent="0.3">
      <c r="A1693" s="1021">
        <v>2150</v>
      </c>
      <c r="B1693" s="2106" t="s">
        <v>2515</v>
      </c>
      <c r="D1693" s="1015" t="s">
        <v>823</v>
      </c>
    </row>
    <row r="1694" spans="1:4" ht="15.75" thickBot="1" x14ac:dyDescent="0.3">
      <c r="A1694" s="1021">
        <v>2151</v>
      </c>
      <c r="B1694" s="2107" t="s">
        <v>2516</v>
      </c>
      <c r="D1694" s="1015" t="s">
        <v>824</v>
      </c>
    </row>
    <row r="1695" spans="1:4" x14ac:dyDescent="0.25">
      <c r="A1695" s="1021">
        <v>2152</v>
      </c>
      <c r="B1695" s="2121" t="s">
        <v>2522</v>
      </c>
      <c r="D1695" s="1015" t="s">
        <v>825</v>
      </c>
    </row>
    <row r="1696" spans="1:4" ht="67.5" x14ac:dyDescent="0.25">
      <c r="A1696" s="1021">
        <v>2153</v>
      </c>
      <c r="B1696" s="2096" t="s">
        <v>2523</v>
      </c>
      <c r="D1696" s="1015" t="s">
        <v>826</v>
      </c>
    </row>
    <row r="1697" spans="1:4" ht="34.5" thickBot="1" x14ac:dyDescent="0.3">
      <c r="A1697" s="1021">
        <v>2154</v>
      </c>
      <c r="B1697" s="2096" t="s">
        <v>2524</v>
      </c>
      <c r="D1697" s="1015" t="s">
        <v>827</v>
      </c>
    </row>
    <row r="1698" spans="1:4" ht="15.75" thickBot="1" x14ac:dyDescent="0.3">
      <c r="A1698" s="1021">
        <v>2155</v>
      </c>
      <c r="B1698" s="2106" t="s">
        <v>2525</v>
      </c>
      <c r="D1698" s="1015" t="s">
        <v>828</v>
      </c>
    </row>
    <row r="1699" spans="1:4" ht="15.75" thickBot="1" x14ac:dyDescent="0.3">
      <c r="A1699" s="1021">
        <v>2156</v>
      </c>
      <c r="B1699" s="2107" t="s">
        <v>2526</v>
      </c>
      <c r="D1699" s="1015" t="s">
        <v>829</v>
      </c>
    </row>
    <row r="1700" spans="1:4" ht="15.75" thickBot="1" x14ac:dyDescent="0.3">
      <c r="A1700" s="1021">
        <v>2157</v>
      </c>
      <c r="B1700" s="2107" t="s">
        <v>2527</v>
      </c>
      <c r="D1700" s="1015" t="s">
        <v>830</v>
      </c>
    </row>
    <row r="1701" spans="1:4" ht="15.75" thickBot="1" x14ac:dyDescent="0.3">
      <c r="A1701" s="1021">
        <v>2158</v>
      </c>
      <c r="B1701" s="2107" t="s">
        <v>2528</v>
      </c>
      <c r="D1701" s="1015" t="s">
        <v>831</v>
      </c>
    </row>
    <row r="1702" spans="1:4" ht="15.75" thickBot="1" x14ac:dyDescent="0.3">
      <c r="A1702" s="1021">
        <v>2159</v>
      </c>
      <c r="B1702" s="2122" t="s">
        <v>2529</v>
      </c>
      <c r="D1702" s="1015" t="s">
        <v>832</v>
      </c>
    </row>
    <row r="1703" spans="1:4" ht="15.75" thickBot="1" x14ac:dyDescent="0.3">
      <c r="A1703" s="1021">
        <v>2160</v>
      </c>
      <c r="B1703" s="2122" t="s">
        <v>2530</v>
      </c>
      <c r="D1703" s="1015" t="s">
        <v>833</v>
      </c>
    </row>
    <row r="1704" spans="1:4" ht="15.75" thickBot="1" x14ac:dyDescent="0.3">
      <c r="A1704" s="1021">
        <v>2161</v>
      </c>
      <c r="B1704" s="2107" t="s">
        <v>2531</v>
      </c>
      <c r="D1704" s="1015" t="s">
        <v>834</v>
      </c>
    </row>
    <row r="1705" spans="1:4" ht="25.5" x14ac:dyDescent="0.25">
      <c r="A1705" s="1021">
        <v>2162</v>
      </c>
      <c r="B1705" s="2097" t="s">
        <v>2532</v>
      </c>
      <c r="D1705" s="1015" t="s">
        <v>835</v>
      </c>
    </row>
    <row r="1706" spans="1:4" ht="23.25" thickBot="1" x14ac:dyDescent="0.3">
      <c r="A1706" s="1021">
        <v>2163</v>
      </c>
      <c r="B1706" s="2096" t="s">
        <v>2605</v>
      </c>
      <c r="D1706" s="1015" t="s">
        <v>836</v>
      </c>
    </row>
    <row r="1707" spans="1:4" ht="15.75" thickBot="1" x14ac:dyDescent="0.3">
      <c r="A1707" s="1021">
        <v>2164</v>
      </c>
      <c r="B1707" s="2106" t="s">
        <v>2606</v>
      </c>
      <c r="D1707" s="1015" t="s">
        <v>837</v>
      </c>
    </row>
    <row r="1708" spans="1:4" ht="15.75" thickBot="1" x14ac:dyDescent="0.3">
      <c r="A1708" s="1021">
        <v>2165</v>
      </c>
      <c r="B1708" s="2107" t="s">
        <v>624</v>
      </c>
      <c r="D1708" s="1015" t="s">
        <v>838</v>
      </c>
    </row>
    <row r="1709" spans="1:4" ht="15.75" thickBot="1" x14ac:dyDescent="0.3">
      <c r="A1709" s="1021">
        <v>2166</v>
      </c>
      <c r="B1709" s="2107" t="s">
        <v>2533</v>
      </c>
      <c r="D1709" s="1015" t="s">
        <v>839</v>
      </c>
    </row>
    <row r="1710" spans="1:4" ht="15.75" thickBot="1" x14ac:dyDescent="0.3">
      <c r="A1710" s="1021">
        <v>2167</v>
      </c>
      <c r="B1710" s="2107" t="s">
        <v>2607</v>
      </c>
      <c r="D1710" s="1015" t="s">
        <v>840</v>
      </c>
    </row>
    <row r="1711" spans="1:4" ht="22.5" x14ac:dyDescent="0.25">
      <c r="A1711" s="1021">
        <v>2168</v>
      </c>
      <c r="B1711" s="2096" t="s">
        <v>2591</v>
      </c>
      <c r="D1711" s="1015" t="s">
        <v>841</v>
      </c>
    </row>
    <row r="1712" spans="1:4" ht="15.75" thickBot="1" x14ac:dyDescent="0.3">
      <c r="A1712" s="1021">
        <v>2169</v>
      </c>
      <c r="B1712" s="2123" t="s">
        <v>2534</v>
      </c>
      <c r="D1712" s="1015" t="s">
        <v>845</v>
      </c>
    </row>
    <row r="1713" spans="1:4" x14ac:dyDescent="0.25">
      <c r="A1713" s="1021">
        <v>2170</v>
      </c>
      <c r="B1713" s="2099" t="s">
        <v>2535</v>
      </c>
      <c r="D1713" s="1015" t="s">
        <v>846</v>
      </c>
    </row>
    <row r="1714" spans="1:4" ht="25.5" x14ac:dyDescent="0.25">
      <c r="A1714" s="1021">
        <v>2171</v>
      </c>
      <c r="B1714" s="2097" t="s">
        <v>2536</v>
      </c>
      <c r="D1714" s="1015" t="s">
        <v>847</v>
      </c>
    </row>
    <row r="1715" spans="1:4" x14ac:dyDescent="0.25">
      <c r="A1715" s="1021">
        <v>2172</v>
      </c>
      <c r="B1715" s="2124" t="s">
        <v>2537</v>
      </c>
      <c r="D1715" s="1015" t="s">
        <v>848</v>
      </c>
    </row>
    <row r="1716" spans="1:4" x14ac:dyDescent="0.25">
      <c r="A1716" s="1021">
        <v>2173</v>
      </c>
      <c r="B1716" s="2124" t="s">
        <v>2538</v>
      </c>
      <c r="D1716" s="1015" t="s">
        <v>849</v>
      </c>
    </row>
    <row r="1717" spans="1:4" x14ac:dyDescent="0.25">
      <c r="A1717" s="1021">
        <v>2174</v>
      </c>
      <c r="B1717" s="2125" t="s">
        <v>2539</v>
      </c>
      <c r="D1717" s="1015" t="s">
        <v>850</v>
      </c>
    </row>
    <row r="1718" spans="1:4" x14ac:dyDescent="0.25">
      <c r="A1718" s="1021">
        <v>2175</v>
      </c>
      <c r="B1718" s="2124" t="s">
        <v>2567</v>
      </c>
      <c r="D1718" s="1015" t="s">
        <v>851</v>
      </c>
    </row>
    <row r="1719" spans="1:4" x14ac:dyDescent="0.25">
      <c r="A1719" s="1021">
        <v>2176</v>
      </c>
      <c r="B1719" s="2125" t="s">
        <v>2540</v>
      </c>
      <c r="D1719" s="1015" t="s">
        <v>852</v>
      </c>
    </row>
    <row r="1720" spans="1:4" x14ac:dyDescent="0.25">
      <c r="A1720" s="1021">
        <v>2177</v>
      </c>
      <c r="B1720" s="2126" t="s">
        <v>2541</v>
      </c>
      <c r="D1720" s="1015" t="s">
        <v>853</v>
      </c>
    </row>
    <row r="1721" spans="1:4" ht="56.25" x14ac:dyDescent="0.25">
      <c r="A1721" s="1021">
        <v>2178</v>
      </c>
      <c r="B1721" s="2096" t="s">
        <v>2542</v>
      </c>
      <c r="D1721" s="1015" t="s">
        <v>854</v>
      </c>
    </row>
    <row r="1722" spans="1:4" ht="30" x14ac:dyDescent="0.25">
      <c r="A1722" s="1021">
        <v>2179</v>
      </c>
      <c r="B1722" s="2099" t="s">
        <v>2543</v>
      </c>
      <c r="D1722" s="1015" t="s">
        <v>855</v>
      </c>
    </row>
    <row r="1723" spans="1:4" ht="15.75" thickBot="1" x14ac:dyDescent="0.3">
      <c r="A1723" s="1021">
        <v>2180</v>
      </c>
      <c r="B1723" s="2125" t="s">
        <v>2544</v>
      </c>
      <c r="D1723" s="1015" t="s">
        <v>856</v>
      </c>
    </row>
    <row r="1724" spans="1:4" ht="15.75" thickBot="1" x14ac:dyDescent="0.3">
      <c r="A1724" s="1021">
        <v>2181</v>
      </c>
      <c r="B1724" s="2106" t="s">
        <v>2545</v>
      </c>
      <c r="D1724" s="1015" t="s">
        <v>858</v>
      </c>
    </row>
    <row r="1725" spans="1:4" ht="23.25" thickBot="1" x14ac:dyDescent="0.3">
      <c r="A1725" s="1021">
        <v>2182</v>
      </c>
      <c r="B1725" s="2112" t="s">
        <v>2546</v>
      </c>
      <c r="D1725" s="1015" t="s">
        <v>859</v>
      </c>
    </row>
    <row r="1726" spans="1:4" ht="15.75" thickBot="1" x14ac:dyDescent="0.3">
      <c r="A1726" s="1021">
        <v>2183</v>
      </c>
      <c r="B1726" s="2112" t="s">
        <v>2547</v>
      </c>
      <c r="D1726" s="1015" t="s">
        <v>860</v>
      </c>
    </row>
    <row r="1727" spans="1:4" ht="90" thickBot="1" x14ac:dyDescent="0.3">
      <c r="A1727" s="1021">
        <v>2184</v>
      </c>
      <c r="B1727" s="2127" t="s">
        <v>2548</v>
      </c>
      <c r="D1727" s="1015" t="s">
        <v>861</v>
      </c>
    </row>
    <row r="1728" spans="1:4" ht="15.75" thickBot="1" x14ac:dyDescent="0.3">
      <c r="A1728" s="1021">
        <v>2185</v>
      </c>
      <c r="B1728" s="2123" t="s">
        <v>2608</v>
      </c>
      <c r="D1728" s="1015" t="s">
        <v>875</v>
      </c>
    </row>
    <row r="1729" spans="1:4" ht="15.75" thickBot="1" x14ac:dyDescent="0.3">
      <c r="A1729" s="1021">
        <v>2186</v>
      </c>
      <c r="B1729" s="2128" t="s">
        <v>2549</v>
      </c>
      <c r="D1729" s="1015" t="s">
        <v>862</v>
      </c>
    </row>
    <row r="1730" spans="1:4" ht="15.75" thickBot="1" x14ac:dyDescent="0.3">
      <c r="A1730" s="1021">
        <v>2187</v>
      </c>
      <c r="B1730" s="2120" t="s">
        <v>2550</v>
      </c>
      <c r="D1730" s="1015" t="s">
        <v>863</v>
      </c>
    </row>
    <row r="1731" spans="1:4" ht="15.75" thickBot="1" x14ac:dyDescent="0.3">
      <c r="A1731" s="1021">
        <v>2188</v>
      </c>
      <c r="B1731" s="2120" t="s">
        <v>1937</v>
      </c>
      <c r="D1731" s="1015" t="s">
        <v>864</v>
      </c>
    </row>
    <row r="1732" spans="1:4" ht="15.75" thickBot="1" x14ac:dyDescent="0.3">
      <c r="A1732" s="1021">
        <v>2189</v>
      </c>
      <c r="B1732" s="2129" t="s">
        <v>2551</v>
      </c>
      <c r="D1732" s="1015" t="s">
        <v>865</v>
      </c>
    </row>
    <row r="1733" spans="1:4" ht="15.75" thickBot="1" x14ac:dyDescent="0.3">
      <c r="A1733" s="1021">
        <v>2190</v>
      </c>
      <c r="B1733" s="2129" t="s">
        <v>2552</v>
      </c>
      <c r="D1733" s="1015" t="s">
        <v>866</v>
      </c>
    </row>
    <row r="1734" spans="1:4" ht="15.75" thickBot="1" x14ac:dyDescent="0.3">
      <c r="A1734" s="1021">
        <v>2191</v>
      </c>
      <c r="B1734" s="2130" t="s">
        <v>2553</v>
      </c>
      <c r="D1734" s="1015" t="s">
        <v>867</v>
      </c>
    </row>
    <row r="1735" spans="1:4" ht="15.75" thickBot="1" x14ac:dyDescent="0.3">
      <c r="A1735" s="1021">
        <v>2192</v>
      </c>
      <c r="B1735" s="2096" t="s">
        <v>2554</v>
      </c>
      <c r="D1735" s="1015" t="s">
        <v>876</v>
      </c>
    </row>
    <row r="1736" spans="1:4" ht="15.75" thickBot="1" x14ac:dyDescent="0.3">
      <c r="A1736" s="1021">
        <v>2193</v>
      </c>
      <c r="B1736" s="2131" t="s">
        <v>2555</v>
      </c>
      <c r="D1736" s="1015" t="s">
        <v>877</v>
      </c>
    </row>
    <row r="1737" spans="1:4" ht="15.75" thickBot="1" x14ac:dyDescent="0.3">
      <c r="A1737" s="1021">
        <v>2194</v>
      </c>
      <c r="B1737" s="2132" t="s">
        <v>2556</v>
      </c>
      <c r="D1737" s="1015" t="s">
        <v>878</v>
      </c>
    </row>
    <row r="1738" spans="1:4" ht="15.75" thickBot="1" x14ac:dyDescent="0.3">
      <c r="A1738" s="1021">
        <v>2195</v>
      </c>
      <c r="B1738" s="2133" t="s">
        <v>2557</v>
      </c>
      <c r="D1738" s="1015" t="s">
        <v>879</v>
      </c>
    </row>
    <row r="1739" spans="1:4" x14ac:dyDescent="0.25">
      <c r="A1739" s="1021">
        <v>2196</v>
      </c>
      <c r="B1739" s="2125" t="s">
        <v>2558</v>
      </c>
      <c r="D1739" s="1015" t="s">
        <v>880</v>
      </c>
    </row>
    <row r="1740" spans="1:4" ht="22.5" x14ac:dyDescent="0.25">
      <c r="A1740" s="1021">
        <v>2197</v>
      </c>
      <c r="B1740" s="2096" t="s">
        <v>2559</v>
      </c>
      <c r="D1740" s="1015" t="s">
        <v>881</v>
      </c>
    </row>
    <row r="1741" spans="1:4" ht="42.75" thickBot="1" x14ac:dyDescent="0.3">
      <c r="A1741" s="1021">
        <v>2198</v>
      </c>
      <c r="B1741" s="2100" t="s">
        <v>2560</v>
      </c>
      <c r="D1741" s="1015" t="s">
        <v>882</v>
      </c>
    </row>
    <row r="1742" spans="1:4" ht="15.75" thickBot="1" x14ac:dyDescent="0.3">
      <c r="A1742" s="1021">
        <v>2199</v>
      </c>
      <c r="B1742" s="2134" t="s">
        <v>2561</v>
      </c>
      <c r="D1742" s="1015" t="s">
        <v>883</v>
      </c>
    </row>
    <row r="1743" spans="1:4" ht="15.75" thickBot="1" x14ac:dyDescent="0.3">
      <c r="A1743" s="1021">
        <v>2200</v>
      </c>
      <c r="B1743" s="2135" t="s">
        <v>2562</v>
      </c>
      <c r="D1743" s="1015" t="s">
        <v>884</v>
      </c>
    </row>
    <row r="1744" spans="1:4" ht="15.75" x14ac:dyDescent="0.25">
      <c r="A1744" s="1021">
        <v>2201</v>
      </c>
      <c r="B1744" s="2136" t="s">
        <v>2563</v>
      </c>
      <c r="D1744" s="1015" t="s">
        <v>885</v>
      </c>
    </row>
    <row r="1745" spans="1:4" x14ac:dyDescent="0.25">
      <c r="A1745" s="1021">
        <v>2202</v>
      </c>
      <c r="B1745" s="2136" t="s">
        <v>2564</v>
      </c>
      <c r="D1745" s="1015" t="s">
        <v>886</v>
      </c>
    </row>
    <row r="1746" spans="1:4" x14ac:dyDescent="0.25">
      <c r="A1746" s="1021">
        <v>2203</v>
      </c>
      <c r="B1746" s="2136" t="s">
        <v>2565</v>
      </c>
      <c r="D1746" s="1015" t="s">
        <v>887</v>
      </c>
    </row>
    <row r="1747" spans="1:4" x14ac:dyDescent="0.25">
      <c r="A1747" s="1021">
        <v>2204</v>
      </c>
      <c r="B1747" s="2136" t="s">
        <v>2566</v>
      </c>
      <c r="D1747" s="1015" t="s">
        <v>888</v>
      </c>
    </row>
    <row r="1748" spans="1:4" x14ac:dyDescent="0.25">
      <c r="A1748" s="1021">
        <v>2205</v>
      </c>
      <c r="B1748" s="2137" t="s">
        <v>2568</v>
      </c>
      <c r="D1748" s="1015" t="s">
        <v>889</v>
      </c>
    </row>
    <row r="1749" spans="1:4" x14ac:dyDescent="0.25">
      <c r="A1749" s="1021">
        <v>2206</v>
      </c>
      <c r="B1749" s="2137" t="s">
        <v>2569</v>
      </c>
      <c r="D1749" s="1015" t="s">
        <v>890</v>
      </c>
    </row>
    <row r="1750" spans="1:4" x14ac:dyDescent="0.25">
      <c r="A1750" s="1021">
        <v>2207</v>
      </c>
      <c r="B1750" s="2137" t="s">
        <v>2570</v>
      </c>
      <c r="D1750" s="1015" t="s">
        <v>891</v>
      </c>
    </row>
    <row r="1751" spans="1:4" x14ac:dyDescent="0.25">
      <c r="A1751" s="1021">
        <v>2208</v>
      </c>
      <c r="B1751" s="2137" t="s">
        <v>2571</v>
      </c>
      <c r="D1751" s="1015" t="s">
        <v>892</v>
      </c>
    </row>
    <row r="1752" spans="1:4" x14ac:dyDescent="0.25">
      <c r="A1752" s="1021">
        <v>2209</v>
      </c>
      <c r="B1752" s="2137" t="s">
        <v>2572</v>
      </c>
      <c r="D1752" s="1015" t="s">
        <v>893</v>
      </c>
    </row>
    <row r="1753" spans="1:4" x14ac:dyDescent="0.25">
      <c r="A1753" s="1021">
        <v>2210</v>
      </c>
      <c r="B1753" s="2137" t="s">
        <v>2573</v>
      </c>
      <c r="D1753" s="1015" t="s">
        <v>894</v>
      </c>
    </row>
    <row r="1754" spans="1:4" ht="15.75" thickBot="1" x14ac:dyDescent="0.3">
      <c r="A1754" s="1021">
        <v>2211</v>
      </c>
      <c r="B1754" s="2137" t="s">
        <v>2574</v>
      </c>
      <c r="D1754" s="1015" t="s">
        <v>895</v>
      </c>
    </row>
    <row r="1755" spans="1:4" ht="15.75" thickBot="1" x14ac:dyDescent="0.3">
      <c r="A1755" s="1021">
        <v>2212</v>
      </c>
      <c r="B1755" s="2138" t="s">
        <v>2575</v>
      </c>
      <c r="D1755" s="1015" t="s">
        <v>896</v>
      </c>
    </row>
    <row r="1756" spans="1:4" ht="15.75" thickBot="1" x14ac:dyDescent="0.3">
      <c r="A1756" s="1021">
        <v>2213</v>
      </c>
      <c r="B1756" s="2139" t="s">
        <v>2576</v>
      </c>
      <c r="D1756" s="1015" t="s">
        <v>897</v>
      </c>
    </row>
    <row r="1757" spans="1:4" ht="15.75" thickBot="1" x14ac:dyDescent="0.3">
      <c r="A1757" s="1021">
        <v>2214</v>
      </c>
      <c r="B1757" s="2139" t="s">
        <v>2577</v>
      </c>
      <c r="D1757" s="1015" t="s">
        <v>898</v>
      </c>
    </row>
    <row r="1758" spans="1:4" ht="15.75" thickBot="1" x14ac:dyDescent="0.3">
      <c r="A1758" s="1021">
        <v>2215</v>
      </c>
      <c r="B1758" s="2139" t="s">
        <v>2578</v>
      </c>
      <c r="D1758" s="1015" t="s">
        <v>900</v>
      </c>
    </row>
    <row r="1759" spans="1:4" ht="15.75" thickBot="1" x14ac:dyDescent="0.3">
      <c r="A1759" s="1021">
        <v>2216</v>
      </c>
      <c r="B1759" s="2139" t="s">
        <v>2579</v>
      </c>
      <c r="D1759" s="1015" t="s">
        <v>901</v>
      </c>
    </row>
    <row r="1760" spans="1:4" ht="15.75" thickBot="1" x14ac:dyDescent="0.3">
      <c r="A1760" s="1021">
        <v>2217</v>
      </c>
      <c r="B1760" s="2139" t="s">
        <v>2580</v>
      </c>
      <c r="D1760" s="1015" t="s">
        <v>902</v>
      </c>
    </row>
    <row r="1761" spans="1:4" ht="15.75" thickBot="1" x14ac:dyDescent="0.3">
      <c r="A1761" s="1021">
        <v>2218</v>
      </c>
      <c r="B1761" s="2139" t="s">
        <v>2581</v>
      </c>
      <c r="D1761" s="1015" t="s">
        <v>904</v>
      </c>
    </row>
    <row r="1762" spans="1:4" ht="15.75" thickBot="1" x14ac:dyDescent="0.3">
      <c r="A1762" s="1021">
        <v>2219</v>
      </c>
      <c r="B1762" s="2139" t="s">
        <v>2582</v>
      </c>
      <c r="D1762" s="1015" t="s">
        <v>905</v>
      </c>
    </row>
    <row r="1763" spans="1:4" ht="15.75" thickBot="1" x14ac:dyDescent="0.3">
      <c r="A1763" s="1021">
        <v>2220</v>
      </c>
      <c r="B1763" s="2139" t="s">
        <v>2583</v>
      </c>
      <c r="D1763" s="1015" t="s">
        <v>906</v>
      </c>
    </row>
    <row r="1764" spans="1:4" ht="15.75" thickBot="1" x14ac:dyDescent="0.3">
      <c r="A1764" s="1021">
        <v>2221</v>
      </c>
      <c r="B1764" s="2139" t="s">
        <v>2584</v>
      </c>
      <c r="D1764" s="1015" t="s">
        <v>907</v>
      </c>
    </row>
    <row r="1765" spans="1:4" ht="15.75" thickBot="1" x14ac:dyDescent="0.3">
      <c r="A1765" s="1021">
        <v>2222</v>
      </c>
      <c r="B1765" s="2139" t="s">
        <v>2585</v>
      </c>
      <c r="D1765" s="1015" t="s">
        <v>908</v>
      </c>
    </row>
    <row r="1766" spans="1:4" ht="15.75" thickBot="1" x14ac:dyDescent="0.3">
      <c r="A1766" s="1021">
        <v>2223</v>
      </c>
      <c r="B1766" s="2139" t="s">
        <v>2586</v>
      </c>
      <c r="D1766" s="1015" t="s">
        <v>909</v>
      </c>
    </row>
    <row r="1767" spans="1:4" ht="56.25" x14ac:dyDescent="0.25">
      <c r="A1767" s="1021">
        <v>2224</v>
      </c>
      <c r="B1767" s="2096" t="s">
        <v>2592</v>
      </c>
      <c r="D1767" s="1015" t="s">
        <v>914</v>
      </c>
    </row>
  </sheetData>
  <sheetProtection sheet="1" objects="1" scenarios="1" formatCells="0" formatColumns="0" formatRows="0"/>
  <autoFilter ref="A1:E1541"/>
  <phoneticPr fontId="34" type="noConversion"/>
  <hyperlinks>
    <hyperlink ref="B1544" r:id="rId1" display="https://ec.europa.eu/info/law/better-regulation/initiatives/ares-2018-5486983_en"/>
    <hyperlink ref="B1547" r:id="rId2" location="JUMP_A_II1" display="C:\Users\heller\AppData\Local\Microsoft\Windows\INetCache\Content.MSO\7060E76A.xls - JUMP_A_II1"/>
    <hyperlink ref="B1622" r:id="rId3" location="JUMP_E_I" display="C:\Users\heller\AppData\Local\Microsoft\Windows\INetCache\Content.MSO\7060E76A.xls - JUMP_E_I"/>
    <hyperlink ref="B1665" r:id="rId4"/>
    <hyperlink ref="B1667" r:id="rId5"/>
    <hyperlink ref="B69" r:id="rId6"/>
    <hyperlink ref="B71" r:id="rId7"/>
  </hyperlinks>
  <pageMargins left="0.7" right="0.7" top="0.78740157499999996" bottom="0.78740157499999996" header="0.3" footer="0.3"/>
  <pageSetup paperSize="9" scale="10" fitToHeight="4" orientation="portrait" r:id="rId8"/>
  <headerFooter>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N93"/>
  <sheetViews>
    <sheetView zoomScaleNormal="100" workbookViewId="0">
      <pane ySplit="3" topLeftCell="A57" activePane="bottomLeft" state="frozen"/>
      <selection sqref="B2:D4"/>
      <selection pane="bottomLeft" sqref="B2:E4"/>
    </sheetView>
  </sheetViews>
  <sheetFormatPr defaultRowHeight="12.75" x14ac:dyDescent="0.2"/>
  <cols>
    <col min="1" max="1" width="4.7109375" style="1011" customWidth="1"/>
    <col min="2" max="2" width="12.7109375" style="1011" customWidth="1"/>
    <col min="3" max="3" width="15.7109375" style="1011" customWidth="1"/>
    <col min="4" max="10" width="12.7109375" style="1011" customWidth="1"/>
    <col min="11" max="11" width="12.7109375" style="668" customWidth="1"/>
    <col min="12" max="12" width="4.7109375" style="668" customWidth="1"/>
    <col min="13" max="256" width="11.42578125" style="668" customWidth="1"/>
    <col min="257" max="16384" width="9.140625" style="668"/>
  </cols>
  <sheetData>
    <row r="1" spans="1:14" ht="13.5" customHeight="1" thickBot="1" x14ac:dyDescent="0.25">
      <c r="A1" s="10" t="s">
        <v>237</v>
      </c>
      <c r="B1" s="789" t="str">
        <f>Translations!$B$2</f>
        <v>Navigācijas josla:</v>
      </c>
      <c r="C1" s="787"/>
      <c r="D1" s="7" t="str">
        <f>Translations!$B$18</f>
        <v>Saturs</v>
      </c>
      <c r="E1" s="7"/>
      <c r="F1" s="7" t="str">
        <f>Translations!$B$19</f>
        <v>Iepriekšējā lapa</v>
      </c>
      <c r="G1" s="7"/>
      <c r="H1" s="7" t="str">
        <f>Translations!$B$3</f>
        <v>Nākamā lapa</v>
      </c>
      <c r="I1" s="7"/>
      <c r="J1" s="7" t="str">
        <f>Translations!$B$4</f>
        <v>Kopsavilkums</v>
      </c>
      <c r="K1" s="7"/>
      <c r="L1" s="216"/>
    </row>
    <row r="2" spans="1:14" ht="13.5" thickBot="1" x14ac:dyDescent="0.25">
      <c r="A2" s="9"/>
      <c r="B2" s="7" t="str">
        <f>Translations!$B$5</f>
        <v>Lapas sākums</v>
      </c>
      <c r="C2" s="7"/>
      <c r="D2" s="4"/>
      <c r="E2" s="3"/>
      <c r="F2" s="3"/>
      <c r="G2" s="3"/>
      <c r="H2" s="3"/>
      <c r="I2" s="3"/>
      <c r="J2" s="3"/>
      <c r="K2" s="3"/>
      <c r="L2" s="216"/>
    </row>
    <row r="3" spans="1:14" ht="13.5" thickBot="1" x14ac:dyDescent="0.25">
      <c r="A3" s="8"/>
      <c r="B3" s="7" t="str">
        <f>Translations!$B$6</f>
        <v>Lapas beigas</v>
      </c>
      <c r="C3" s="7"/>
      <c r="D3" s="6"/>
      <c r="E3" s="5"/>
      <c r="F3" s="5"/>
      <c r="G3" s="5"/>
      <c r="H3" s="5"/>
      <c r="I3" s="5"/>
      <c r="J3" s="5"/>
      <c r="K3" s="5"/>
      <c r="L3" s="216"/>
    </row>
    <row r="4" spans="1:14" x14ac:dyDescent="0.2">
      <c r="A4" s="214"/>
      <c r="B4" s="214"/>
      <c r="C4" s="214"/>
      <c r="D4" s="214"/>
      <c r="E4" s="214"/>
      <c r="F4" s="214"/>
      <c r="G4" s="214"/>
      <c r="H4" s="214"/>
      <c r="I4" s="214"/>
      <c r="J4" s="214"/>
      <c r="K4" s="216"/>
      <c r="L4" s="216"/>
    </row>
    <row r="5" spans="1:14" ht="18" x14ac:dyDescent="0.2">
      <c r="A5" s="32"/>
      <c r="B5" s="1281" t="str">
        <f>Translations!$B$20</f>
        <v>VADLĪNIJAS UN NOSACĪJUMI</v>
      </c>
      <c r="C5" s="1281"/>
      <c r="D5" s="1281"/>
      <c r="E5" s="1281"/>
      <c r="F5" s="1281"/>
      <c r="G5" s="1281"/>
      <c r="H5" s="1281"/>
      <c r="I5" s="1281"/>
      <c r="J5" s="1281"/>
      <c r="K5" s="214"/>
      <c r="L5" s="216"/>
    </row>
    <row r="6" spans="1:14" x14ac:dyDescent="0.2">
      <c r="A6" s="32"/>
      <c r="B6" s="1282"/>
      <c r="C6" s="1282"/>
      <c r="D6" s="1282"/>
      <c r="E6" s="1282"/>
      <c r="F6" s="1282"/>
      <c r="G6" s="1282"/>
      <c r="H6" s="1282"/>
      <c r="I6" s="1282"/>
      <c r="J6" s="1282"/>
      <c r="K6" s="1282"/>
      <c r="L6" s="216"/>
    </row>
    <row r="7" spans="1:14" s="951" customFormat="1" ht="15.75" x14ac:dyDescent="0.25">
      <c r="A7" s="30"/>
      <c r="B7" s="1249" t="str">
        <f>Translations!$B$21</f>
        <v>Vispārīga informācija par šo veidni</v>
      </c>
      <c r="C7" s="1249"/>
      <c r="D7" s="1249"/>
      <c r="E7" s="1249"/>
      <c r="F7" s="1249"/>
      <c r="G7" s="1249"/>
      <c r="H7" s="1249"/>
      <c r="I7" s="1249"/>
      <c r="J7" s="1249"/>
      <c r="K7" s="1249"/>
      <c r="L7" s="23"/>
      <c r="N7" s="668"/>
    </row>
    <row r="8" spans="1:14" s="951" customFormat="1" x14ac:dyDescent="0.2">
      <c r="A8" s="218"/>
      <c r="B8" s="218"/>
      <c r="C8" s="218"/>
      <c r="D8" s="218"/>
      <c r="E8" s="218"/>
      <c r="F8" s="218"/>
      <c r="G8" s="218"/>
      <c r="H8" s="218"/>
      <c r="I8" s="218"/>
      <c r="J8" s="39"/>
      <c r="K8" s="39"/>
      <c r="L8" s="23"/>
      <c r="N8" s="668"/>
    </row>
    <row r="9" spans="1:14" s="951" customFormat="1" ht="25.5" customHeight="1" x14ac:dyDescent="0.2">
      <c r="A9" s="296">
        <v>1</v>
      </c>
      <c r="B9" s="1267" t="str">
        <f>Translations!$B$1543</f>
        <v>Direktīva 2003/87/EK, kurā jaunākie grozījumi izdarīti ar Direktīvu (ES) 2023/959 (turpmāk “ES ETS direktīva”), nosaka, ka dalībvalstīm ir iekārtām jāiedala bezmaksas kvotas, balstoties uz pilnīgi saskaņotiem Kopienas mēroga noteikumiem (10.a panta 1. punkts). Direktīvu var lejupielādēt no šīs vietnes:</v>
      </c>
      <c r="C9" s="1268"/>
      <c r="D9" s="1268"/>
      <c r="E9" s="1268"/>
      <c r="F9" s="1268"/>
      <c r="G9" s="1268"/>
      <c r="H9" s="1268"/>
      <c r="I9" s="1268"/>
      <c r="J9" s="1268"/>
      <c r="K9" s="1268"/>
      <c r="L9" s="23"/>
      <c r="N9" s="668"/>
    </row>
    <row r="10" spans="1:14" s="951" customFormat="1" x14ac:dyDescent="0.2">
      <c r="A10" s="218"/>
      <c r="B10" s="1271" t="s">
        <v>661</v>
      </c>
      <c r="C10" s="1272"/>
      <c r="D10" s="1272"/>
      <c r="E10" s="1272"/>
      <c r="F10" s="1272"/>
      <c r="G10" s="1272"/>
      <c r="H10" s="1272"/>
      <c r="I10" s="1272"/>
      <c r="J10" s="1272"/>
      <c r="K10" s="1272"/>
      <c r="L10" s="23"/>
      <c r="N10" s="668"/>
    </row>
    <row r="11" spans="1:14" s="951" customFormat="1" ht="38.25" customHeight="1" x14ac:dyDescent="0.2">
      <c r="A11" s="296">
        <f>A9+1</f>
        <v>2</v>
      </c>
      <c r="B11" s="1267" t="str">
        <f>Translations!$B$24</f>
        <v>Šie bezmaksas iedales noteikumi ir ietverti Komisijas 2018. gada 19. decembra Deleģētajā regulā (ES) 2019/331, ar ko nosaka Savienības mēroga pārejas noteikumus saskaņotai bezmaksas emisijas kvotu iedalei saskaņā ar Eiropas Parlamenta un Padomes Direktīvas 2003/87/EK 10.a pantu (Bezmaksas kvotu iedales regula, turpmāk “FAR”). Regulu var lejupielādēt no šīs vietnes:</v>
      </c>
      <c r="C11" s="1268"/>
      <c r="D11" s="1268"/>
      <c r="E11" s="1268"/>
      <c r="F11" s="1268"/>
      <c r="G11" s="1268"/>
      <c r="H11" s="1268"/>
      <c r="I11" s="1268"/>
      <c r="J11" s="1268"/>
      <c r="K11" s="1268"/>
      <c r="L11" s="23"/>
      <c r="N11" s="668"/>
    </row>
    <row r="12" spans="1:14" s="951" customFormat="1" x14ac:dyDescent="0.2">
      <c r="A12" s="218"/>
      <c r="B12" s="1269" t="str">
        <f>Translations!$B$1544</f>
        <v>&lt;resurss tiks pievienots vēlāk&gt;</v>
      </c>
      <c r="C12" s="1270"/>
      <c r="D12" s="1270"/>
      <c r="E12" s="1270"/>
      <c r="F12" s="1270"/>
      <c r="G12" s="1270"/>
      <c r="H12" s="1270"/>
      <c r="I12" s="1270"/>
      <c r="J12" s="1270"/>
      <c r="K12" s="1270"/>
      <c r="L12" s="23"/>
      <c r="N12" s="668"/>
    </row>
    <row r="13" spans="1:14" s="951" customFormat="1" ht="38.25" customHeight="1" x14ac:dyDescent="0.2">
      <c r="A13" s="296">
        <f>A11+1</f>
        <v>3</v>
      </c>
      <c r="B13" s="1267" t="str">
        <f>Translations!$B$1545</f>
        <v>Būtisks FAR regulas elements ir datu vākšana, kas dalībvalstīm jāveic, lai no iekārtu operatoriem iegūtu visu relevanto informāciju, kura vajadzīga a) dalībvalstīm provizoriskā bezmaksas kvotu iedales apjoma aprēķināšanai un b) Komisijai līmeņatzīmju vērtību atjaunināšanai. Jāņem vērā, ka šajā datu vākšanā par 2026.–2030. gada iedali daudzi bezmaksas iedales elementi ir mainījušies.</v>
      </c>
      <c r="C13" s="1268"/>
      <c r="D13" s="1268"/>
      <c r="E13" s="1268"/>
      <c r="F13" s="1268"/>
      <c r="G13" s="1268"/>
      <c r="H13" s="1268"/>
      <c r="I13" s="1268"/>
      <c r="J13" s="1268"/>
      <c r="K13" s="1268"/>
      <c r="L13" s="23"/>
      <c r="N13" s="668"/>
    </row>
    <row r="14" spans="1:14" s="951" customFormat="1" ht="12.75" customHeight="1" x14ac:dyDescent="0.2">
      <c r="A14" s="296">
        <f>A13+1</f>
        <v>4</v>
      </c>
      <c r="B14" s="1267" t="str">
        <f>Translations!$B$27</f>
        <v>Šo datu vākšanas veidni pēc Komisijas pasūtījuma izstrādājuši tās konsultanti (Umweltbundesamt GmbH Austria un SQ Consult).</v>
      </c>
      <c r="C14" s="1268"/>
      <c r="D14" s="1268"/>
      <c r="E14" s="1268"/>
      <c r="F14" s="1268"/>
      <c r="G14" s="1268"/>
      <c r="H14" s="1268"/>
      <c r="I14" s="1268"/>
      <c r="J14" s="1268"/>
      <c r="K14" s="1268"/>
      <c r="L14" s="23"/>
      <c r="N14" s="668"/>
    </row>
    <row r="15" spans="1:14" s="951" customFormat="1" ht="12.75" customHeight="1" x14ac:dyDescent="0.2">
      <c r="A15" s="296"/>
      <c r="B15" s="1267" t="str">
        <f>Translations!$B$28</f>
        <v xml:space="preserve">Šajā datnē paustie uzskati ir autoru uzskati, un Komisijas viedoklis var būt atšķirīgs. </v>
      </c>
      <c r="C15" s="1268"/>
      <c r="D15" s="1268"/>
      <c r="E15" s="1268"/>
      <c r="F15" s="1268"/>
      <c r="G15" s="1268"/>
      <c r="H15" s="1268"/>
      <c r="I15" s="1268"/>
      <c r="J15" s="1268"/>
      <c r="K15" s="1268"/>
      <c r="L15" s="23"/>
      <c r="N15" s="668"/>
    </row>
    <row r="16" spans="1:14" s="951" customFormat="1" ht="38.25" customHeight="1" x14ac:dyDescent="0.2">
      <c r="A16" s="296">
        <f>A14+1</f>
        <v>5</v>
      </c>
      <c r="B16" s="1284" t="str">
        <f>Translations!$B$1546</f>
        <v>Šī ir 2026.–2030. gada atjauninātās bāzlīnijas datu vākšanas veidnes pirmā publicētā redakcija. 2024. gada 27. februāra redakcija.</v>
      </c>
      <c r="C16" s="1285"/>
      <c r="D16" s="1285"/>
      <c r="E16" s="1285"/>
      <c r="F16" s="1285"/>
      <c r="G16" s="1285"/>
      <c r="H16" s="1285"/>
      <c r="I16" s="1285"/>
      <c r="J16" s="1285"/>
      <c r="K16" s="1285"/>
      <c r="L16" s="23"/>
      <c r="N16" s="668"/>
    </row>
    <row r="17" spans="1:14" s="951" customFormat="1" x14ac:dyDescent="0.2">
      <c r="A17" s="218"/>
      <c r="B17" s="218"/>
      <c r="C17" s="218"/>
      <c r="D17" s="218"/>
      <c r="E17" s="218"/>
      <c r="F17" s="218"/>
      <c r="G17" s="218"/>
      <c r="H17" s="218"/>
      <c r="I17" s="218"/>
      <c r="J17" s="39"/>
      <c r="K17" s="39"/>
      <c r="L17" s="23"/>
      <c r="N17" s="668"/>
    </row>
    <row r="18" spans="1:14" s="951" customFormat="1" ht="15.75" x14ac:dyDescent="0.25">
      <c r="A18" s="30"/>
      <c r="B18" s="1249" t="str">
        <f>Translations!$B$30</f>
        <v>Kā šo datni izmantot</v>
      </c>
      <c r="C18" s="1249"/>
      <c r="D18" s="1249"/>
      <c r="E18" s="1249"/>
      <c r="F18" s="1249"/>
      <c r="G18" s="1249"/>
      <c r="H18" s="1249"/>
      <c r="I18" s="1249"/>
      <c r="J18" s="1249"/>
      <c r="K18" s="1249"/>
      <c r="L18" s="23"/>
      <c r="N18" s="668"/>
    </row>
    <row r="19" spans="1:14" s="951" customFormat="1" x14ac:dyDescent="0.2">
      <c r="A19" s="218"/>
      <c r="B19" s="218"/>
      <c r="C19" s="218"/>
      <c r="D19" s="218"/>
      <c r="E19" s="218"/>
      <c r="F19" s="218"/>
      <c r="G19" s="218"/>
      <c r="H19" s="218"/>
      <c r="I19" s="218"/>
      <c r="J19" s="39"/>
      <c r="K19" s="39"/>
      <c r="L19" s="23"/>
      <c r="N19" s="668"/>
    </row>
    <row r="20" spans="1:14" s="951" customFormat="1" x14ac:dyDescent="0.2">
      <c r="A20" s="296">
        <f>A16+1</f>
        <v>6</v>
      </c>
      <c r="B20" s="1267" t="str">
        <f>Translations!$B$31</f>
        <v>Jābūt ieslēgtai automātiskajai aprēķināšanai (izvēlnes “Formula”/”Aprēķins” (Formula/Calculation) opcijās).</v>
      </c>
      <c r="C20" s="1268"/>
      <c r="D20" s="1268"/>
      <c r="E20" s="1268"/>
      <c r="F20" s="1268"/>
      <c r="G20" s="1268"/>
      <c r="H20" s="1268"/>
      <c r="I20" s="1268"/>
      <c r="J20" s="1268"/>
      <c r="K20" s="1268"/>
      <c r="L20" s="23"/>
      <c r="N20" s="668"/>
    </row>
    <row r="21" spans="1:14" s="951" customFormat="1" ht="38.25" customHeight="1" x14ac:dyDescent="0.2">
      <c r="A21" s="292"/>
      <c r="B21" s="1267" t="str">
        <f>Translations!$B$32</f>
        <v>Ir ieteicams datni izskatīt no sākuma līdz beigām. Ir dažas funkcijas, kas jums palīdzēs aizpildīt veidlapu atkarībā no iepriekš ievadītās informācijas, piemēram, citas krāsas šūnas, ja informāciju ievadīt nav nepieciešams (sk. krāsu kodus tālāk). Tomēr dažkārt ir lietderīgi datus vispirms ievadīt citā lapā (piemēram, gadījumos, kad jāpiemēro FAR III pielikums, pirms “F_ProductBM” pabeigšanas vispirms jāaizpilda “H_specialBM”).</v>
      </c>
      <c r="C21" s="1268"/>
      <c r="D21" s="1268"/>
      <c r="E21" s="1268"/>
      <c r="F21" s="1268"/>
      <c r="G21" s="1268"/>
      <c r="H21" s="1268"/>
      <c r="I21" s="1268"/>
      <c r="J21" s="1268"/>
      <c r="K21" s="1268"/>
      <c r="L21" s="23"/>
      <c r="N21" s="668"/>
    </row>
    <row r="22" spans="1:14" s="951" customFormat="1" ht="25.5" customHeight="1" x14ac:dyDescent="0.2">
      <c r="A22" s="296"/>
      <c r="B22" s="1267" t="str">
        <f>Translations!$B$33</f>
        <v>Īpaši svarīgi ir aizpildīt lapas “A_InstallationData” II sadaļas 2. punktu (“Izraudzītais bāzlīnijas periods”) un III sadaļu (apakšiekārtu noteikšana). Ja minētajās sadaļās nav ievadīta pareiza informācija, aprēķinu rezultāti var būt nepareizi vai var nebūt iespējams pareizi ievadīt apakšiekārtu datus.</v>
      </c>
      <c r="C22" s="1268"/>
      <c r="D22" s="1268"/>
      <c r="E22" s="1268"/>
      <c r="F22" s="1268"/>
      <c r="G22" s="1268"/>
      <c r="H22" s="1268"/>
      <c r="I22" s="1268"/>
      <c r="J22" s="1268"/>
      <c r="K22" s="1268"/>
      <c r="L22" s="23"/>
      <c r="N22" s="668"/>
    </row>
    <row r="23" spans="1:14" s="951" customFormat="1" ht="39.950000000000003" customHeight="1" x14ac:dyDescent="0.2">
      <c r="A23" s="296">
        <f>A20+1</f>
        <v>7</v>
      </c>
      <c r="B23" s="1267" t="str">
        <f>Translations!$B$34</f>
        <v>Vienmēr, kad paziņojamā vērtība ir nulle, tā ir jāieraksta, nevis jāatstāj šūna neaizpildīta. Ja šūna tiek atstāta neaizpildīta, kompetentā iestāde nevar zināt, vai vērtība nav paziņota, nav relevanta vai nav zināma. Vienmēr jāievada aprēķiniem nepieciešamās vērtības (jo īpaši tad, ja vērtība ir nulle, jo ar dažām formulām nevar iegūt rezultātu, ja nepieciešamās šūnas nav aizpildītas).</v>
      </c>
      <c r="C23" s="1268"/>
      <c r="D23" s="1268"/>
      <c r="E23" s="1268"/>
      <c r="F23" s="1268"/>
      <c r="G23" s="1268"/>
      <c r="H23" s="1268"/>
      <c r="I23" s="1268"/>
      <c r="J23" s="1268"/>
      <c r="K23" s="1268"/>
      <c r="L23" s="23"/>
      <c r="N23" s="668"/>
    </row>
    <row r="24" spans="1:14" s="951" customFormat="1" ht="39.950000000000003" customHeight="1" x14ac:dyDescent="0.2">
      <c r="A24" s="296">
        <f>A23+1</f>
        <v>8</v>
      </c>
      <c r="B24" s="1267" t="str">
        <f>Translations!$B$35</f>
        <v>Vairākos laukos atbildi var izvēlēties no iepriekšnoteiktiem variantiem. Lai izvēlētos variantu šādā nolaižamajā izvēlnē, ar peli noklikšķiniet uz mazās bultiņas šūnas labajā malā vai nospiediet Alt un lejupējo bultiņu, kad šūna ir iezīmēta. Dažos laukos var ievadīt savu tekstu pat tad, ja ir šāda nolaižamā izvēlne. Tā ir tad, kad nolaižamajās izvēlnēs ir tukši ieraksti.</v>
      </c>
      <c r="C24" s="1268"/>
      <c r="D24" s="1268"/>
      <c r="E24" s="1268"/>
      <c r="F24" s="1268"/>
      <c r="G24" s="1268"/>
      <c r="H24" s="1268"/>
      <c r="I24" s="1268"/>
      <c r="J24" s="1268"/>
      <c r="K24" s="1268"/>
      <c r="L24" s="23"/>
      <c r="N24" s="668"/>
    </row>
    <row r="25" spans="1:14" s="951" customFormat="1" ht="25.5" customHeight="1" x14ac:dyDescent="0.2">
      <c r="A25" s="296">
        <f>A24+1</f>
        <v>9</v>
      </c>
      <c r="B25" s="1267" t="str">
        <f>Translations!$B$36</f>
        <v>Ja dati ir ievadīti nepilnīgi, dažkārt tiks parādīti kļūdas ziņojumi. Tomēr kļūdas ziņojumu neparādīšanās negarantē aprēķinu pareizību, jo ne vienmēr ir iespējams pārbaudīt, vai dati ir pilnīgi. Ja zaļajā laukā neparādās nekāds rezultāts, var pieņemt, ka kādu datu vēl trūkst.</v>
      </c>
      <c r="C25" s="1268"/>
      <c r="D25" s="1268"/>
      <c r="E25" s="1268"/>
      <c r="F25" s="1268"/>
      <c r="G25" s="1268"/>
      <c r="H25" s="1268"/>
      <c r="I25" s="1268"/>
      <c r="J25" s="1268"/>
      <c r="K25" s="1268"/>
      <c r="L25" s="23"/>
      <c r="N25" s="668"/>
    </row>
    <row r="26" spans="1:14" s="951" customFormat="1" ht="12.75" customHeight="1" x14ac:dyDescent="0.2">
      <c r="A26" s="296"/>
      <c r="B26" s="1267" t="str">
        <f>Translations!$B$37</f>
        <v>Īpaša uzmanība jāpievērš tam, lai dati atbilstu norādītajām mērvienībām.</v>
      </c>
      <c r="C26" s="1268"/>
      <c r="D26" s="1268"/>
      <c r="E26" s="1268"/>
      <c r="F26" s="1268"/>
      <c r="G26" s="1268"/>
      <c r="H26" s="1268"/>
      <c r="I26" s="1268"/>
      <c r="J26" s="1268"/>
      <c r="K26" s="1268"/>
      <c r="L26" s="23"/>
      <c r="N26" s="668"/>
    </row>
    <row r="27" spans="1:14" s="951" customFormat="1" ht="12.75" customHeight="1" x14ac:dyDescent="0.2">
      <c r="A27" s="296"/>
      <c r="B27" s="295" t="str">
        <f>Translations!$B$38</f>
        <v>Kļūdas ziņojumi parasti ir ļoti īsi vietas trūkuma dēļ. Svarīgākie kļūdu paziņojumi ir šādi:</v>
      </c>
      <c r="C27" s="39"/>
      <c r="D27" s="39"/>
      <c r="E27" s="39"/>
      <c r="F27" s="39"/>
      <c r="G27" s="39"/>
      <c r="H27" s="39"/>
      <c r="I27" s="39"/>
      <c r="J27" s="39"/>
      <c r="K27" s="39"/>
      <c r="L27" s="23"/>
      <c r="N27" s="668"/>
    </row>
    <row r="28" spans="1:14" s="951" customFormat="1" ht="12.75" customHeight="1" x14ac:dyDescent="0.2">
      <c r="A28" s="296"/>
      <c r="B28" s="295"/>
      <c r="C28" s="950" t="str">
        <f>EUconst_Incomplete</f>
        <v>nepilnīgi!</v>
      </c>
      <c r="D28" s="1254" t="str">
        <f>Translations!$B$39</f>
        <v>Tas nozīmē, ka dati nav pietiekami aprēķina veikšanai (piemēram, vienam no gadiem nav norādīts emisijas faktors).</v>
      </c>
      <c r="E28" s="1255"/>
      <c r="F28" s="1255"/>
      <c r="G28" s="1255"/>
      <c r="H28" s="1255"/>
      <c r="I28" s="1255"/>
      <c r="J28" s="1255"/>
      <c r="K28" s="1255"/>
      <c r="L28" s="23"/>
      <c r="N28" s="668"/>
    </row>
    <row r="29" spans="1:14" s="951" customFormat="1" ht="12.75" customHeight="1" x14ac:dyDescent="0.2">
      <c r="A29" s="296"/>
      <c r="B29" s="295"/>
      <c r="C29" s="950" t="str">
        <f>EUconst_Inconsistent</f>
        <v>nesaskanīgas!</v>
      </c>
      <c r="D29" s="1254" t="str">
        <f>Translations!$B$40</f>
        <v>Izraudzītās mērvienības ir nesaskanīgas, un aprēķini, kuru pamatā ir saistītie ievaddati, būs nepareizi.</v>
      </c>
      <c r="E29" s="1255"/>
      <c r="F29" s="1255"/>
      <c r="G29" s="1255"/>
      <c r="H29" s="1255"/>
      <c r="I29" s="1255"/>
      <c r="J29" s="1255"/>
      <c r="K29" s="1255"/>
      <c r="L29" s="23"/>
      <c r="N29" s="668"/>
    </row>
    <row r="30" spans="1:14" s="951" customFormat="1" ht="12.75" customHeight="1" x14ac:dyDescent="0.2">
      <c r="A30" s="296"/>
      <c r="B30" s="295"/>
      <c r="C30" s="950" t="str">
        <f>EUconst_Negative</f>
        <v>negatīva!</v>
      </c>
      <c r="D30" s="1254" t="str">
        <f>Translations!$B$41</f>
        <v>Šajā aprēķinā nedrīkst būt negatīvu vērtību.</v>
      </c>
      <c r="E30" s="1255"/>
      <c r="F30" s="1255"/>
      <c r="G30" s="1255"/>
      <c r="H30" s="1255"/>
      <c r="I30" s="1255"/>
      <c r="J30" s="1255"/>
      <c r="K30" s="1255"/>
      <c r="L30" s="23"/>
      <c r="N30" s="668"/>
    </row>
    <row r="31" spans="1:14" s="951" customFormat="1" ht="12.75" customHeight="1" x14ac:dyDescent="0.2">
      <c r="A31" s="296"/>
      <c r="B31" s="295"/>
      <c r="C31" s="950" t="str">
        <f>EUconst_ConditionalityMissing</f>
        <v>A.II.1-4!</v>
      </c>
      <c r="D31" s="1254" t="str">
        <f>Translations!$B$42</f>
        <v>Šīs ir atsauces uz dokumenta sadaļām. Tas nozīmē, ka norādītajās sadaļās trūkst datu.</v>
      </c>
      <c r="E31" s="1255"/>
      <c r="F31" s="1255"/>
      <c r="G31" s="1255"/>
      <c r="H31" s="1255"/>
      <c r="I31" s="1255"/>
      <c r="J31" s="1255"/>
      <c r="K31" s="1255"/>
      <c r="L31" s="23"/>
      <c r="N31" s="668"/>
    </row>
    <row r="32" spans="1:14" s="951" customFormat="1" ht="12.75" customHeight="1" x14ac:dyDescent="0.2">
      <c r="A32" s="296"/>
      <c r="B32" s="295"/>
      <c r="C32" s="295"/>
      <c r="D32" s="295"/>
      <c r="E32" s="295"/>
      <c r="F32" s="295"/>
      <c r="G32" s="295"/>
      <c r="H32" s="295"/>
      <c r="I32" s="295"/>
      <c r="J32" s="295"/>
      <c r="K32" s="295"/>
      <c r="L32" s="23"/>
      <c r="N32" s="668"/>
    </row>
    <row r="33" spans="1:14" s="952" customFormat="1" ht="12.75" customHeight="1" x14ac:dyDescent="0.2">
      <c r="A33" s="296">
        <f>A25+1</f>
        <v>10</v>
      </c>
      <c r="B33" s="1278" t="str">
        <f>Translations!$B$43</f>
        <v>Krāsu kodi un fonti:</v>
      </c>
      <c r="C33" s="1251"/>
      <c r="D33" s="1251"/>
      <c r="E33" s="1251"/>
      <c r="F33" s="1251"/>
      <c r="G33" s="1251"/>
      <c r="H33" s="1251"/>
      <c r="I33" s="1251"/>
      <c r="J33" s="1251"/>
      <c r="K33" s="1251"/>
      <c r="L33" s="225"/>
      <c r="N33" s="668"/>
    </row>
    <row r="34" spans="1:14" s="952" customFormat="1" ht="12.75" customHeight="1" x14ac:dyDescent="0.2">
      <c r="A34" s="224"/>
      <c r="B34" s="1250" t="str">
        <f>Translations!$B$44</f>
        <v>Melns teksts treknrakstā:</v>
      </c>
      <c r="C34" s="1251"/>
      <c r="D34" s="1257" t="str">
        <f>Translations!$B$45</f>
        <v>Ar šādu tekstu apraksta ievadāmos datus.</v>
      </c>
      <c r="E34" s="1257"/>
      <c r="F34" s="1257"/>
      <c r="G34" s="1257"/>
      <c r="H34" s="1257"/>
      <c r="I34" s="1257"/>
      <c r="J34" s="1257"/>
      <c r="K34" s="1283"/>
      <c r="L34" s="225"/>
      <c r="N34" s="668"/>
    </row>
    <row r="35" spans="1:14" s="952" customFormat="1" x14ac:dyDescent="0.2">
      <c r="A35" s="224"/>
      <c r="B35" s="1274" t="str">
        <f>Translations!$B$46</f>
        <v>Mazāka lieluma teksts kursīvā:</v>
      </c>
      <c r="C35" s="1275"/>
      <c r="D35" s="1257" t="str">
        <f>Translations!$B$47</f>
        <v xml:space="preserve">Ar šādu tekstu tiek sniegti sīkāki paskaidrojumi. </v>
      </c>
      <c r="E35" s="1257"/>
      <c r="F35" s="1257"/>
      <c r="G35" s="1257"/>
      <c r="H35" s="1257"/>
      <c r="I35" s="1257"/>
      <c r="J35" s="1257"/>
      <c r="K35" s="1283"/>
      <c r="L35" s="225"/>
      <c r="N35" s="668"/>
    </row>
    <row r="36" spans="1:14" s="952" customFormat="1" ht="12.75" customHeight="1" x14ac:dyDescent="0.2">
      <c r="A36" s="224"/>
      <c r="B36" s="1262"/>
      <c r="C36" s="1263"/>
      <c r="D36" s="1257" t="str">
        <f>Translations!$B$48</f>
        <v>Dzeltenajos laukos dati jāievada obligāti. Tomēr, ja lauks attiecīgajai iekārtai nav relevants, dati nav jāievada.</v>
      </c>
      <c r="E36" s="1257"/>
      <c r="F36" s="1257"/>
      <c r="G36" s="1257"/>
      <c r="H36" s="1257"/>
      <c r="I36" s="1257"/>
      <c r="J36" s="1257"/>
      <c r="K36" s="1283"/>
      <c r="L36" s="225"/>
      <c r="N36" s="668"/>
    </row>
    <row r="37" spans="1:14" s="952" customFormat="1" x14ac:dyDescent="0.2">
      <c r="A37" s="224"/>
      <c r="B37" s="1264"/>
      <c r="C37" s="1263"/>
      <c r="D37" s="1265" t="str">
        <f>Translations!$B$49</f>
        <v>Gaiši dzelteni lauki nozīmē, ka datu ievade tajos nav obligāta.</v>
      </c>
      <c r="E37" s="1251"/>
      <c r="F37" s="1251"/>
      <c r="G37" s="1251"/>
      <c r="H37" s="1251"/>
      <c r="I37" s="1251"/>
      <c r="J37" s="1251"/>
      <c r="K37" s="1251"/>
      <c r="L37" s="225"/>
      <c r="N37" s="668"/>
    </row>
    <row r="38" spans="1:14" s="952" customFormat="1" x14ac:dyDescent="0.2">
      <c r="A38" s="224"/>
      <c r="B38" s="1258"/>
      <c r="C38" s="1259"/>
      <c r="D38" s="1265" t="str">
        <f>Translations!$B$50</f>
        <v>Zaļos laukos tiek parādīti automātiski aprēķināti rezultāti. Teksts sarkanā krāsā ir kļūdas ziņojumi (trūkst datu u. c.).</v>
      </c>
      <c r="E38" s="1251"/>
      <c r="F38" s="1251"/>
      <c r="G38" s="1251"/>
      <c r="H38" s="1251"/>
      <c r="I38" s="1251"/>
      <c r="J38" s="1251"/>
      <c r="K38" s="1251"/>
      <c r="L38" s="225"/>
      <c r="N38" s="668"/>
    </row>
    <row r="39" spans="1:14" s="952" customFormat="1" ht="12.75" customHeight="1" x14ac:dyDescent="0.2">
      <c r="A39" s="224"/>
      <c r="B39" s="1273"/>
      <c r="C39" s="1259"/>
      <c r="D39" s="1257" t="str">
        <f>Translations!$B$51</f>
        <v>Ēnotajos laukos datu ievade nav relevanta, jo dati ir ievadīti citos laukos.</v>
      </c>
      <c r="E39" s="1257"/>
      <c r="F39" s="1257"/>
      <c r="G39" s="1257"/>
      <c r="H39" s="1257"/>
      <c r="I39" s="1257"/>
      <c r="J39" s="1257"/>
      <c r="K39" s="1283"/>
      <c r="L39" s="225"/>
      <c r="N39" s="668"/>
    </row>
    <row r="40" spans="1:14" s="952" customFormat="1" x14ac:dyDescent="0.2">
      <c r="A40" s="224"/>
      <c r="B40" s="1276"/>
      <c r="C40" s="1276"/>
      <c r="D40" s="1257" t="str">
        <f>Translations!$B$52</f>
        <v>Pelēki ēnotie lauki jāaizpilda dalībvalstīm pirms šīs veidnes pielāgotās versijas publicēšanas.</v>
      </c>
      <c r="E40" s="1251"/>
      <c r="F40" s="1251"/>
      <c r="G40" s="1251"/>
      <c r="H40" s="1251"/>
      <c r="I40" s="1251"/>
      <c r="J40" s="1251"/>
      <c r="K40" s="1251"/>
      <c r="L40" s="225"/>
      <c r="N40" s="668"/>
    </row>
    <row r="41" spans="1:14" s="952" customFormat="1" x14ac:dyDescent="0.2">
      <c r="A41" s="224"/>
      <c r="B41" s="1277"/>
      <c r="C41" s="1277"/>
      <c r="D41" s="1257" t="str">
        <f>Translations!$B$53</f>
        <v>Gaiši pelēkās joslas ir paredzētas navigācijai un hipersaitēm.</v>
      </c>
      <c r="E41" s="1251"/>
      <c r="F41" s="1251"/>
      <c r="G41" s="1251"/>
      <c r="H41" s="1251"/>
      <c r="I41" s="1251"/>
      <c r="J41" s="1251"/>
      <c r="K41" s="1251"/>
      <c r="L41" s="225"/>
      <c r="N41" s="668"/>
    </row>
    <row r="42" spans="1:14" s="952" customFormat="1" x14ac:dyDescent="0.2">
      <c r="A42" s="224"/>
      <c r="B42" s="226"/>
      <c r="C42" s="227"/>
      <c r="D42" s="224"/>
      <c r="E42" s="224"/>
      <c r="F42" s="224"/>
      <c r="G42" s="224"/>
      <c r="H42" s="224"/>
      <c r="I42" s="224"/>
      <c r="J42" s="224"/>
      <c r="K42" s="225"/>
      <c r="L42" s="225"/>
      <c r="N42" s="668"/>
    </row>
    <row r="43" spans="1:14" s="951" customFormat="1" ht="39.950000000000003" customHeight="1" x14ac:dyDescent="0.2">
      <c r="A43" s="296">
        <f>A33+1</f>
        <v>11</v>
      </c>
      <c r="B43" s="1267" t="str">
        <f>Translations!$B$54</f>
        <v>Navigācijas daļā katras lapas augšā ir hipersaites ātrai pārejai uz konkrētām ievaddatu sadaļām. Pirmā rinda (“Saturs”, “Iepriekšējā lapa”, “Nākamā lapa”, “Kopsavilkums”) un punkti “Lapas sākums” un “Lapas beigas” ir visām lapām vienādi. Atkarībā no konkrētās lapas ir pievienoti vēl citi izvēlnes elementi. Ja kādas hipersaites fona krāsa mainās uz sarkanu, tas nozīmē, ka attiecīgajā sadaļā trūkst datu.</v>
      </c>
      <c r="C43" s="1268"/>
      <c r="D43" s="1268"/>
      <c r="E43" s="1268"/>
      <c r="F43" s="1268"/>
      <c r="G43" s="1268"/>
      <c r="H43" s="1268"/>
      <c r="I43" s="1268"/>
      <c r="J43" s="1268"/>
      <c r="K43" s="1268"/>
      <c r="L43" s="23"/>
      <c r="N43" s="668"/>
    </row>
    <row r="44" spans="1:14" s="951" customFormat="1" ht="39.950000000000003" customHeight="1" x14ac:dyDescent="0.2">
      <c r="A44" s="296">
        <f>A43+1</f>
        <v>12</v>
      </c>
      <c r="B44" s="1267" t="str">
        <f>Translations!$B$55</f>
        <v>Šajā veidnē datus var ievadīt tikai dzeltenajos laukos; pārējie lauki ir bloķēti. Tomēr caurredzamības labad nav izmantota parole. Tas ļauj pilnībā aplūkot visas formulas. Ja šo datni izmantojat datu ievadei, iesakām šo aizsardzību saglabāt. Aizsardzību lapām vajadzētu noņemt tikai tam, lai pārbaudītu formulu pareizību. Ieteicams to darīt atsevišķā datnē.</v>
      </c>
      <c r="C44" s="1268"/>
      <c r="D44" s="1268"/>
      <c r="E44" s="1268"/>
      <c r="F44" s="1268"/>
      <c r="G44" s="1268"/>
      <c r="H44" s="1268"/>
      <c r="I44" s="1268"/>
      <c r="J44" s="1268"/>
      <c r="K44" s="1268"/>
      <c r="L44" s="23"/>
      <c r="N44" s="668"/>
    </row>
    <row r="45" spans="1:14" s="951" customFormat="1" ht="39.950000000000003" customHeight="1" x14ac:dyDescent="0.2">
      <c r="A45" s="296">
        <f>A44+1</f>
        <v>13</v>
      </c>
      <c r="B45" s="1279" t="str">
        <f>Translations!$B$56</f>
        <v>Lai formulas aizsargātu pret nejaušām izmaiņām, kas parasti noved pie nepareiziem un maldinošiem rezultātiem,
ir ārkārtīgi svarīgi NEIZMANTOT darbības “IZGRIEZT” un “IELĪMĒT”.
Ja vēlaties datus pārvietot, vispirms tos NOKOPĒJIET un IELĪMĒJIET un pēc tam nevajadzīgos datus vecajā (nepareizajā) vietā izdzēsiet.</v>
      </c>
      <c r="C45" s="1280"/>
      <c r="D45" s="1280"/>
      <c r="E45" s="1280"/>
      <c r="F45" s="1280"/>
      <c r="G45" s="1280"/>
      <c r="H45" s="1280"/>
      <c r="I45" s="1280"/>
      <c r="J45" s="1280"/>
      <c r="K45" s="1280"/>
      <c r="L45" s="23"/>
      <c r="N45" s="668"/>
    </row>
    <row r="46" spans="1:14" s="951" customFormat="1" ht="51" customHeight="1" x14ac:dyDescent="0.2">
      <c r="A46" s="296">
        <f>A45+1</f>
        <v>14</v>
      </c>
      <c r="B46" s="1267" t="str">
        <f>Translations!$B$57</f>
        <v>Datu lauki nav optimizēti skaitliskiem un citiem formātiem. Tomēr lapu aizsardzība ir ierobežota, lai būtu iespējams izmantot savus formātus. Piemēram, jūs varat izvēlēties, cik zīmes aiz komata parādīt. Zīmju skaits aiz komata principā ir neatkarīgs no aprēķina precizitātes. Principā MS Excel opcijai “Precision as displayed” (“Precizitāte, kā parādīts”) vajadzētu būt deaktivētai. Sīkākai informācijai par šo tematu izmantojiet MS Excel funkciju “Help” (“Palīdzība”).</v>
      </c>
      <c r="C46" s="1268"/>
      <c r="D46" s="1268"/>
      <c r="E46" s="1268"/>
      <c r="F46" s="1268"/>
      <c r="G46" s="1268"/>
      <c r="H46" s="1268"/>
      <c r="I46" s="1268"/>
      <c r="J46" s="1268"/>
      <c r="K46" s="1268"/>
      <c r="L46" s="23"/>
      <c r="N46" s="668"/>
    </row>
    <row r="47" spans="1:14" s="951" customFormat="1" ht="12.75" customHeight="1" thickBot="1" x14ac:dyDescent="0.25">
      <c r="A47" s="292"/>
      <c r="B47" s="1267"/>
      <c r="C47" s="1268"/>
      <c r="D47" s="1268"/>
      <c r="E47" s="1268"/>
      <c r="F47" s="1268"/>
      <c r="G47" s="1268"/>
      <c r="H47" s="1268"/>
      <c r="I47" s="1268"/>
      <c r="J47" s="1268"/>
      <c r="K47" s="1268"/>
      <c r="L47" s="23"/>
      <c r="N47" s="668"/>
    </row>
    <row r="48" spans="1:14" s="951" customFormat="1" ht="72" customHeight="1" thickBot="1" x14ac:dyDescent="0.25">
      <c r="A48" s="296">
        <f>A46+1</f>
        <v>15</v>
      </c>
      <c r="B48" s="1295" t="str">
        <f>Translations!$B$58</f>
        <v>ATRUNA. Visas formulas ir sagatavotas uzmanīgi un rūpīgi. Tomēr nav iespējams pilnīgi izslēgt kļūdas.
Kā aprakstīts iepriekš, ir nodrošināta pilnīga caurredzamība, lai būtu iespējams pārbaudīt aprēķinu derīgumu. Ne šīs datnes autorus, ne Eiropas Komisiju nevar saukt pie atbildības par iespējamu kaitējumu, kuru varētu radīt nepareizi vai maldinoši datnē nodrošināto aprēķinu rezultāti.
Pilnu atbildību par to, ka kompetentajai iestādei tiek paziņoti pareizi dati, uzņemas šīs datnes lietotājs (t. i., ES ETS iekārtas operators).</v>
      </c>
      <c r="C48" s="1296"/>
      <c r="D48" s="1296"/>
      <c r="E48" s="1296"/>
      <c r="F48" s="1296"/>
      <c r="G48" s="1296"/>
      <c r="H48" s="1296"/>
      <c r="I48" s="1296"/>
      <c r="J48" s="1296"/>
      <c r="K48" s="1297"/>
      <c r="L48" s="23"/>
      <c r="N48" s="668"/>
    </row>
    <row r="49" spans="1:14" x14ac:dyDescent="0.2">
      <c r="A49" s="214"/>
      <c r="B49" s="214"/>
      <c r="C49" s="214"/>
      <c r="D49" s="214"/>
      <c r="E49" s="214"/>
      <c r="F49" s="214"/>
      <c r="G49" s="214"/>
      <c r="H49" s="214"/>
      <c r="I49" s="214"/>
      <c r="J49" s="214"/>
      <c r="K49" s="216"/>
      <c r="L49" s="216"/>
    </row>
    <row r="50" spans="1:14" x14ac:dyDescent="0.2">
      <c r="A50" s="214"/>
      <c r="B50" s="214"/>
      <c r="C50" s="214"/>
      <c r="D50" s="214"/>
      <c r="E50" s="214"/>
      <c r="F50" s="214"/>
      <c r="G50" s="214"/>
      <c r="H50" s="214"/>
      <c r="I50" s="214"/>
      <c r="J50" s="214"/>
      <c r="K50" s="216"/>
      <c r="L50" s="216"/>
    </row>
    <row r="51" spans="1:14" s="951" customFormat="1" ht="15.75" x14ac:dyDescent="0.25">
      <c r="A51" s="30"/>
      <c r="B51" s="1249" t="str">
        <f>Translations!$B$59</f>
        <v>Informācija, kas attiecas uz konkrēto dalībvalsti:</v>
      </c>
      <c r="C51" s="1249"/>
      <c r="D51" s="1249"/>
      <c r="E51" s="1249"/>
      <c r="F51" s="1249"/>
      <c r="G51" s="1249"/>
      <c r="H51" s="1249"/>
      <c r="I51" s="1249"/>
      <c r="J51" s="1249"/>
      <c r="K51" s="1249"/>
      <c r="L51" s="23"/>
      <c r="N51" s="668"/>
    </row>
    <row r="52" spans="1:14" s="951" customFormat="1" x14ac:dyDescent="0.2">
      <c r="A52" s="218"/>
      <c r="B52" s="218"/>
      <c r="C52" s="218"/>
      <c r="D52" s="218"/>
      <c r="E52" s="218"/>
      <c r="F52" s="218"/>
      <c r="G52" s="218"/>
      <c r="H52" s="218"/>
      <c r="I52" s="218"/>
      <c r="J52" s="39"/>
      <c r="K52" s="39"/>
      <c r="L52" s="23"/>
      <c r="N52" s="668"/>
    </row>
    <row r="53" spans="1:14" s="951" customFormat="1" ht="15" customHeight="1" x14ac:dyDescent="0.2">
      <c r="A53" s="39"/>
      <c r="B53" s="1252" t="str">
        <f>Translations!$B$60</f>
        <v>Šis ziņojums ir jāiesniedz valsts kompetentajai iestādei šādā adresē:</v>
      </c>
      <c r="C53" s="1252"/>
      <c r="D53" s="1252"/>
      <c r="E53" s="1252"/>
      <c r="F53" s="1252"/>
      <c r="G53" s="1252"/>
      <c r="H53" s="1252"/>
      <c r="I53" s="1252"/>
      <c r="J53" s="1252"/>
      <c r="K53" s="1252"/>
      <c r="L53" s="23"/>
      <c r="N53" s="668"/>
    </row>
    <row r="54" spans="1:14" x14ac:dyDescent="0.2">
      <c r="A54" s="224"/>
      <c r="B54" s="224"/>
      <c r="C54" s="224"/>
      <c r="D54" s="224"/>
      <c r="E54" s="224"/>
      <c r="F54" s="224"/>
      <c r="G54" s="224"/>
      <c r="H54" s="224"/>
      <c r="I54" s="224"/>
      <c r="J54" s="224"/>
      <c r="K54" s="225"/>
      <c r="L54" s="216"/>
    </row>
    <row r="55" spans="1:14" x14ac:dyDescent="0.2">
      <c r="A55" s="224"/>
      <c r="B55" s="224"/>
      <c r="C55" s="224"/>
      <c r="D55" s="1286" t="str">
        <f>Translations!$B$61</f>
        <v>Valsts Vides dienesta Atļauju pārvaldē, Rūpniecības iela 23, Rīga, LV-1045; e-pasts: ap@vvd.gov.lv</v>
      </c>
      <c r="E55" s="1287"/>
      <c r="F55" s="1287"/>
      <c r="G55" s="1288"/>
      <c r="H55" s="224"/>
      <c r="I55" s="224"/>
      <c r="J55" s="224"/>
      <c r="K55" s="225"/>
      <c r="L55" s="216"/>
    </row>
    <row r="56" spans="1:14" x14ac:dyDescent="0.2">
      <c r="A56" s="224"/>
      <c r="B56" s="224"/>
      <c r="C56" s="224"/>
      <c r="D56" s="1289"/>
      <c r="E56" s="1290"/>
      <c r="F56" s="1290"/>
      <c r="G56" s="1291"/>
      <c r="H56" s="224"/>
      <c r="I56" s="224"/>
      <c r="J56" s="224"/>
      <c r="K56" s="225"/>
      <c r="L56" s="216"/>
    </row>
    <row r="57" spans="1:14" x14ac:dyDescent="0.2">
      <c r="A57" s="224"/>
      <c r="B57" s="224"/>
      <c r="C57" s="224"/>
      <c r="D57" s="1289"/>
      <c r="E57" s="1290"/>
      <c r="F57" s="1290"/>
      <c r="G57" s="1291"/>
      <c r="H57" s="224"/>
      <c r="I57" s="224"/>
      <c r="J57" s="224"/>
      <c r="K57" s="225"/>
      <c r="L57" s="216"/>
    </row>
    <row r="58" spans="1:14" x14ac:dyDescent="0.2">
      <c r="A58" s="224"/>
      <c r="B58" s="214"/>
      <c r="C58" s="224"/>
      <c r="D58" s="1289"/>
      <c r="E58" s="1290"/>
      <c r="F58" s="1290"/>
      <c r="G58" s="1291"/>
      <c r="H58" s="224"/>
      <c r="I58" s="224"/>
      <c r="J58" s="224"/>
      <c r="K58" s="225"/>
      <c r="L58" s="216"/>
    </row>
    <row r="59" spans="1:14" x14ac:dyDescent="0.2">
      <c r="A59" s="224"/>
      <c r="B59" s="224"/>
      <c r="C59" s="224"/>
      <c r="D59" s="1289"/>
      <c r="E59" s="1290"/>
      <c r="F59" s="1290"/>
      <c r="G59" s="1291"/>
      <c r="H59" s="224"/>
      <c r="I59" s="224"/>
      <c r="J59" s="224"/>
      <c r="K59" s="225"/>
      <c r="L59" s="216"/>
    </row>
    <row r="60" spans="1:14" x14ac:dyDescent="0.2">
      <c r="A60" s="224"/>
      <c r="B60" s="224"/>
      <c r="C60" s="224"/>
      <c r="D60" s="1289"/>
      <c r="E60" s="1290"/>
      <c r="F60" s="1290"/>
      <c r="G60" s="1291"/>
      <c r="H60" s="224"/>
      <c r="I60" s="224"/>
      <c r="J60" s="224"/>
      <c r="K60" s="225"/>
      <c r="L60" s="216"/>
    </row>
    <row r="61" spans="1:14" x14ac:dyDescent="0.2">
      <c r="A61" s="224"/>
      <c r="B61" s="224"/>
      <c r="C61" s="224"/>
      <c r="D61" s="1289"/>
      <c r="E61" s="1290"/>
      <c r="F61" s="1290"/>
      <c r="G61" s="1291"/>
      <c r="H61" s="224"/>
      <c r="I61" s="224"/>
      <c r="J61" s="224"/>
      <c r="K61" s="225"/>
      <c r="L61" s="216"/>
    </row>
    <row r="62" spans="1:14" x14ac:dyDescent="0.2">
      <c r="A62" s="224"/>
      <c r="B62" s="224"/>
      <c r="C62" s="224"/>
      <c r="D62" s="1292"/>
      <c r="E62" s="1293"/>
      <c r="F62" s="1293"/>
      <c r="G62" s="1294"/>
      <c r="H62" s="224"/>
      <c r="I62" s="224"/>
      <c r="J62" s="224"/>
      <c r="K62" s="225"/>
      <c r="L62" s="216"/>
    </row>
    <row r="63" spans="1:14" x14ac:dyDescent="0.2">
      <c r="A63" s="224"/>
      <c r="B63" s="224"/>
      <c r="C63" s="224"/>
      <c r="D63" s="224"/>
      <c r="E63" s="224"/>
      <c r="F63" s="224"/>
      <c r="G63" s="224"/>
      <c r="H63" s="224"/>
      <c r="I63" s="224"/>
      <c r="J63" s="224"/>
      <c r="K63" s="225"/>
      <c r="L63" s="216"/>
    </row>
    <row r="64" spans="1:14" x14ac:dyDescent="0.2">
      <c r="A64" s="214"/>
      <c r="B64" s="214"/>
      <c r="C64" s="214"/>
      <c r="D64" s="214"/>
      <c r="E64" s="214"/>
      <c r="F64" s="214"/>
      <c r="G64" s="214"/>
      <c r="H64" s="214"/>
      <c r="I64" s="214"/>
      <c r="J64" s="214"/>
      <c r="K64" s="216"/>
      <c r="L64" s="216"/>
    </row>
    <row r="65" spans="1:14" ht="15.75" x14ac:dyDescent="0.2">
      <c r="A65" s="216"/>
      <c r="B65" s="1253" t="str">
        <f>Translations!$B$62</f>
        <v>Informācijas avoti:</v>
      </c>
      <c r="C65" s="1253"/>
      <c r="D65" s="1253"/>
      <c r="E65" s="1253"/>
      <c r="F65" s="1253"/>
      <c r="G65" s="1253"/>
      <c r="H65" s="1253"/>
      <c r="I65" s="1253"/>
      <c r="J65" s="1253"/>
      <c r="K65" s="1253"/>
      <c r="L65" s="216"/>
    </row>
    <row r="66" spans="1:14" x14ac:dyDescent="0.2">
      <c r="A66" s="216"/>
      <c r="B66" s="1250" t="str">
        <f>Translations!$B$63</f>
        <v>ES vietnes:</v>
      </c>
      <c r="C66" s="1251"/>
      <c r="D66" s="1251"/>
      <c r="E66" s="1251"/>
      <c r="F66" s="1251"/>
      <c r="G66" s="1251"/>
      <c r="H66" s="1251"/>
      <c r="I66" s="1251"/>
      <c r="J66" s="1251"/>
      <c r="K66" s="1251"/>
      <c r="L66" s="216"/>
    </row>
    <row r="67" spans="1:14" x14ac:dyDescent="0.2">
      <c r="A67" s="216"/>
      <c r="B67" s="1252" t="str">
        <f>Translations!$B$64</f>
        <v>ES tiesību akti:</v>
      </c>
      <c r="C67" s="1252"/>
      <c r="D67" s="1260" t="str">
        <f>Translations!$B$65</f>
        <v xml:space="preserve">http://eur-lex.europa.eu/lv/index.htm </v>
      </c>
      <c r="E67" s="1251"/>
      <c r="F67" s="1251"/>
      <c r="G67" s="1251"/>
      <c r="H67" s="1251"/>
      <c r="I67" s="1251"/>
      <c r="J67" s="1251"/>
      <c r="K67" s="1251"/>
      <c r="L67" s="216"/>
    </row>
    <row r="68" spans="1:14" x14ac:dyDescent="0.2">
      <c r="A68" s="216"/>
      <c r="B68" s="1252" t="str">
        <f>Translations!$B$66</f>
        <v>Vispārīga informācija par ES ETS:</v>
      </c>
      <c r="C68" s="1252"/>
      <c r="D68" s="1260" t="str">
        <f>Translations!$B$67</f>
        <v>http://ec.europa.eu/clima/policies/ets/index_lv.htm</v>
      </c>
      <c r="E68" s="1251"/>
      <c r="F68" s="1251"/>
      <c r="G68" s="1251"/>
      <c r="H68" s="1251"/>
      <c r="I68" s="1251"/>
      <c r="J68" s="1251"/>
      <c r="K68" s="1251"/>
      <c r="L68" s="216"/>
    </row>
    <row r="69" spans="1:14" x14ac:dyDescent="0.2">
      <c r="A69" s="214"/>
      <c r="B69" s="214"/>
      <c r="C69" s="293"/>
      <c r="D69" s="21"/>
      <c r="E69" s="21"/>
      <c r="F69" s="21"/>
      <c r="G69" s="21"/>
      <c r="H69" s="21"/>
      <c r="I69" s="214"/>
      <c r="J69" s="214"/>
      <c r="K69" s="216"/>
      <c r="L69" s="216"/>
    </row>
    <row r="70" spans="1:14" x14ac:dyDescent="0.2">
      <c r="A70" s="216"/>
      <c r="B70" s="1250" t="str">
        <f>Translations!$B$68</f>
        <v>Citas vietnes:</v>
      </c>
      <c r="C70" s="1251"/>
      <c r="D70" s="1251"/>
      <c r="E70" s="1251"/>
      <c r="F70" s="1251"/>
      <c r="G70" s="1251"/>
      <c r="H70" s="1251"/>
      <c r="I70" s="1251"/>
      <c r="J70" s="1251"/>
      <c r="K70" s="1251"/>
      <c r="L70" s="216"/>
    </row>
    <row r="71" spans="1:14" x14ac:dyDescent="0.2">
      <c r="A71" s="216"/>
      <c r="B71" s="1256" t="str">
        <f>Translations!$B$69</f>
        <v>https://www.kem.gov.lv/lv/eiropas-savienibas-emisiju-kvotu-tirdzniecibas-sistemas-4-periods</v>
      </c>
      <c r="C71" s="1256"/>
      <c r="D71" s="1256"/>
      <c r="E71" s="1256"/>
      <c r="F71" s="1256"/>
      <c r="G71" s="1256"/>
      <c r="H71" s="1256"/>
      <c r="I71" s="1256"/>
      <c r="J71" s="1256"/>
      <c r="K71" s="1256"/>
      <c r="L71" s="216"/>
    </row>
    <row r="72" spans="1:14" x14ac:dyDescent="0.2">
      <c r="A72" s="216"/>
      <c r="B72" s="1256"/>
      <c r="C72" s="1256"/>
      <c r="D72" s="1256"/>
      <c r="E72" s="1256"/>
      <c r="F72" s="1256"/>
      <c r="G72" s="1256"/>
      <c r="H72" s="1256"/>
      <c r="I72" s="1256"/>
      <c r="J72" s="1256"/>
      <c r="K72" s="1256"/>
      <c r="L72" s="216"/>
    </row>
    <row r="73" spans="1:14" x14ac:dyDescent="0.2">
      <c r="A73" s="216"/>
      <c r="B73" s="1252" t="str">
        <f>Translations!$B$70</f>
        <v>Palīdzības dienests:</v>
      </c>
      <c r="C73" s="1252"/>
      <c r="D73" s="1252"/>
      <c r="E73" s="1252"/>
      <c r="F73" s="1252"/>
      <c r="G73" s="1252"/>
      <c r="H73" s="1252"/>
      <c r="I73" s="1252"/>
      <c r="J73" s="1252"/>
      <c r="K73" s="1252"/>
      <c r="L73" s="216"/>
    </row>
    <row r="74" spans="1:14" x14ac:dyDescent="0.2">
      <c r="A74" s="216"/>
      <c r="B74" s="1256" t="str">
        <f>Translations!$B$71</f>
        <v>es.ets@kem.gov.lv</v>
      </c>
      <c r="C74" s="1256"/>
      <c r="D74" s="1256"/>
      <c r="E74" s="1256"/>
      <c r="F74" s="1256"/>
      <c r="G74" s="1256"/>
      <c r="H74" s="1256"/>
      <c r="I74" s="1256"/>
      <c r="J74" s="1256"/>
      <c r="K74" s="1256"/>
      <c r="L74" s="216"/>
    </row>
    <row r="75" spans="1:14" x14ac:dyDescent="0.2">
      <c r="A75" s="216"/>
      <c r="B75" s="1256"/>
      <c r="C75" s="1256"/>
      <c r="D75" s="1256"/>
      <c r="E75" s="1256"/>
      <c r="F75" s="1256"/>
      <c r="G75" s="1256"/>
      <c r="H75" s="1256"/>
      <c r="I75" s="1256"/>
      <c r="J75" s="1256"/>
      <c r="K75" s="1256"/>
      <c r="L75" s="216"/>
    </row>
    <row r="76" spans="1:14" x14ac:dyDescent="0.2">
      <c r="A76" s="216"/>
      <c r="B76" s="21"/>
      <c r="C76" s="21"/>
      <c r="D76" s="21"/>
      <c r="E76" s="21"/>
      <c r="F76" s="21"/>
      <c r="G76" s="21"/>
      <c r="H76" s="21"/>
      <c r="I76" s="21"/>
      <c r="J76" s="21"/>
      <c r="K76" s="21"/>
      <c r="L76" s="216"/>
    </row>
    <row r="77" spans="1:14" s="952" customFormat="1" x14ac:dyDescent="0.2">
      <c r="A77" s="225"/>
      <c r="B77" s="224"/>
      <c r="C77" s="224"/>
      <c r="D77" s="224"/>
      <c r="E77" s="224"/>
      <c r="F77" s="224"/>
      <c r="G77" s="224"/>
      <c r="H77" s="224"/>
      <c r="I77" s="224"/>
      <c r="J77" s="224"/>
      <c r="K77" s="224"/>
      <c r="L77" s="225"/>
      <c r="N77" s="668"/>
    </row>
    <row r="78" spans="1:14" ht="15.75" x14ac:dyDescent="0.2">
      <c r="A78" s="216"/>
      <c r="B78" s="1261" t="str">
        <f>Translations!$B$72</f>
        <v xml:space="preserve">Papildu norādījumi no dalībvalsts: </v>
      </c>
      <c r="C78" s="1261"/>
      <c r="D78" s="1261"/>
      <c r="E78" s="1261"/>
      <c r="F78" s="1261"/>
      <c r="G78" s="1261"/>
      <c r="H78" s="1261"/>
      <c r="I78" s="1261"/>
      <c r="J78" s="1261"/>
      <c r="K78" s="1261"/>
      <c r="L78" s="216"/>
    </row>
    <row r="79" spans="1:14" ht="45" customHeight="1" x14ac:dyDescent="0.2">
      <c r="A79" s="216"/>
      <c r="B79" s="1256" t="s">
        <v>2611</v>
      </c>
      <c r="C79" s="1256"/>
      <c r="D79" s="1256"/>
      <c r="E79" s="1256"/>
      <c r="F79" s="1256"/>
      <c r="G79" s="1256"/>
      <c r="H79" s="1256"/>
      <c r="I79" s="1256"/>
      <c r="J79" s="1256"/>
      <c r="K79" s="1256"/>
      <c r="L79" s="216"/>
    </row>
    <row r="80" spans="1:14" x14ac:dyDescent="0.2">
      <c r="A80" s="216"/>
      <c r="B80" s="1256"/>
      <c r="C80" s="1256"/>
      <c r="D80" s="1256"/>
      <c r="E80" s="1256"/>
      <c r="F80" s="1256"/>
      <c r="G80" s="1256"/>
      <c r="H80" s="1256"/>
      <c r="I80" s="1256"/>
      <c r="J80" s="1256"/>
      <c r="K80" s="1256"/>
      <c r="L80" s="216"/>
    </row>
    <row r="81" spans="1:12" x14ac:dyDescent="0.2">
      <c r="A81" s="216"/>
      <c r="B81" s="1256"/>
      <c r="C81" s="1256"/>
      <c r="D81" s="1256"/>
      <c r="E81" s="1256"/>
      <c r="F81" s="1256"/>
      <c r="G81" s="1256"/>
      <c r="H81" s="1256"/>
      <c r="I81" s="1256"/>
      <c r="J81" s="1256"/>
      <c r="K81" s="1256"/>
      <c r="L81" s="216"/>
    </row>
    <row r="82" spans="1:12" x14ac:dyDescent="0.2">
      <c r="A82" s="216"/>
      <c r="B82" s="1256"/>
      <c r="C82" s="1256"/>
      <c r="D82" s="1256"/>
      <c r="E82" s="1256"/>
      <c r="F82" s="1256"/>
      <c r="G82" s="1256"/>
      <c r="H82" s="1256"/>
      <c r="I82" s="1256"/>
      <c r="J82" s="1256"/>
      <c r="K82" s="1256"/>
      <c r="L82" s="216"/>
    </row>
    <row r="83" spans="1:12" x14ac:dyDescent="0.2">
      <c r="A83" s="216"/>
      <c r="B83" s="1256"/>
      <c r="C83" s="1256"/>
      <c r="D83" s="1256"/>
      <c r="E83" s="1256"/>
      <c r="F83" s="1256"/>
      <c r="G83" s="1256"/>
      <c r="H83" s="1256"/>
      <c r="I83" s="1256"/>
      <c r="J83" s="1256"/>
      <c r="K83" s="1256"/>
      <c r="L83" s="216"/>
    </row>
    <row r="84" spans="1:12" x14ac:dyDescent="0.2">
      <c r="A84" s="216"/>
      <c r="B84" s="1256"/>
      <c r="C84" s="1256"/>
      <c r="D84" s="1256"/>
      <c r="E84" s="1256"/>
      <c r="F84" s="1256"/>
      <c r="G84" s="1256"/>
      <c r="H84" s="1256"/>
      <c r="I84" s="1256"/>
      <c r="J84" s="1256"/>
      <c r="K84" s="1256"/>
      <c r="L84" s="216"/>
    </row>
    <row r="85" spans="1:12" x14ac:dyDescent="0.2">
      <c r="A85" s="216"/>
      <c r="B85" s="1256"/>
      <c r="C85" s="1256"/>
      <c r="D85" s="1256"/>
      <c r="E85" s="1256"/>
      <c r="F85" s="1256"/>
      <c r="G85" s="1256"/>
      <c r="H85" s="1256"/>
      <c r="I85" s="1256"/>
      <c r="J85" s="1256"/>
      <c r="K85" s="1256"/>
      <c r="L85" s="216"/>
    </row>
    <row r="86" spans="1:12" x14ac:dyDescent="0.2">
      <c r="A86" s="216"/>
      <c r="B86" s="1256"/>
      <c r="C86" s="1256"/>
      <c r="D86" s="1256"/>
      <c r="E86" s="1256"/>
      <c r="F86" s="1256"/>
      <c r="G86" s="1256"/>
      <c r="H86" s="1256"/>
      <c r="I86" s="1256"/>
      <c r="J86" s="1256"/>
      <c r="K86" s="1256"/>
      <c r="L86" s="216"/>
    </row>
    <row r="87" spans="1:12" x14ac:dyDescent="0.2">
      <c r="A87" s="216"/>
      <c r="B87" s="1256"/>
      <c r="C87" s="1256"/>
      <c r="D87" s="1256"/>
      <c r="E87" s="1256"/>
      <c r="F87" s="1256"/>
      <c r="G87" s="1256"/>
      <c r="H87" s="1256"/>
      <c r="I87" s="1256"/>
      <c r="J87" s="1256"/>
      <c r="K87" s="1256"/>
      <c r="L87" s="216"/>
    </row>
    <row r="88" spans="1:12" x14ac:dyDescent="0.2">
      <c r="A88" s="216"/>
      <c r="B88" s="1256"/>
      <c r="C88" s="1256"/>
      <c r="D88" s="1256"/>
      <c r="E88" s="1256"/>
      <c r="F88" s="1256"/>
      <c r="G88" s="1256"/>
      <c r="H88" s="1256"/>
      <c r="I88" s="1256"/>
      <c r="J88" s="1256"/>
      <c r="K88" s="1256"/>
      <c r="L88" s="216"/>
    </row>
    <row r="89" spans="1:12" x14ac:dyDescent="0.2">
      <c r="A89" s="216"/>
      <c r="B89" s="1256"/>
      <c r="C89" s="1256"/>
      <c r="D89" s="1256"/>
      <c r="E89" s="1256"/>
      <c r="F89" s="1256"/>
      <c r="G89" s="1256"/>
      <c r="H89" s="1256"/>
      <c r="I89" s="1256"/>
      <c r="J89" s="1256"/>
      <c r="K89" s="1256"/>
      <c r="L89" s="216"/>
    </row>
    <row r="90" spans="1:12" x14ac:dyDescent="0.2">
      <c r="A90" s="216"/>
      <c r="B90" s="1256"/>
      <c r="C90" s="1256"/>
      <c r="D90" s="1256"/>
      <c r="E90" s="1256"/>
      <c r="F90" s="1256"/>
      <c r="G90" s="1256"/>
      <c r="H90" s="1256"/>
      <c r="I90" s="1256"/>
      <c r="J90" s="1256"/>
      <c r="K90" s="1256"/>
      <c r="L90" s="216"/>
    </row>
    <row r="91" spans="1:12" x14ac:dyDescent="0.2">
      <c r="A91" s="216"/>
      <c r="B91" s="21"/>
      <c r="C91" s="21"/>
      <c r="D91" s="21"/>
      <c r="E91" s="21"/>
      <c r="F91" s="21"/>
      <c r="G91" s="21"/>
      <c r="H91" s="21"/>
      <c r="I91" s="21"/>
      <c r="J91" s="21"/>
      <c r="K91" s="21"/>
      <c r="L91" s="216"/>
    </row>
    <row r="92" spans="1:12" x14ac:dyDescent="0.2">
      <c r="A92" s="216"/>
      <c r="B92" s="1266" t="str">
        <f>Translations!$B$73</f>
        <v xml:space="preserve">&lt;&lt;&lt; Lai pārietu uz nākamo lapu, klikšķiniet šeit &gt;&gt;&gt; </v>
      </c>
      <c r="C92" s="1266"/>
      <c r="D92" s="1266"/>
      <c r="E92" s="1266"/>
      <c r="F92" s="1266"/>
      <c r="G92" s="1266"/>
      <c r="H92" s="1266"/>
      <c r="I92" s="1266"/>
      <c r="J92" s="1266"/>
      <c r="K92" s="1266"/>
      <c r="L92" s="216"/>
    </row>
    <row r="93" spans="1:12" x14ac:dyDescent="0.2">
      <c r="A93" s="668"/>
      <c r="B93" s="1010"/>
      <c r="C93" s="1010"/>
      <c r="D93" s="1010"/>
      <c r="E93" s="1010"/>
      <c r="F93" s="1010"/>
      <c r="G93" s="1010"/>
      <c r="H93" s="1010"/>
      <c r="I93" s="1010"/>
      <c r="J93" s="1010"/>
      <c r="K93" s="1010"/>
    </row>
  </sheetData>
  <sheetProtection sheet="1" objects="1" scenarios="1" formatCells="0" formatColumns="0" formatRows="0"/>
  <mergeCells count="90">
    <mergeCell ref="B15:K15"/>
    <mergeCell ref="B11:K11"/>
    <mergeCell ref="B13:K13"/>
    <mergeCell ref="B14:K14"/>
    <mergeCell ref="D55:G62"/>
    <mergeCell ref="D36:K36"/>
    <mergeCell ref="D35:K35"/>
    <mergeCell ref="D34:K34"/>
    <mergeCell ref="B48:K48"/>
    <mergeCell ref="B44:K44"/>
    <mergeCell ref="B45:K45"/>
    <mergeCell ref="B5:J5"/>
    <mergeCell ref="B6:K6"/>
    <mergeCell ref="D39:K39"/>
    <mergeCell ref="B24:K24"/>
    <mergeCell ref="B22:K22"/>
    <mergeCell ref="B25:K25"/>
    <mergeCell ref="B16:K16"/>
    <mergeCell ref="B21:K21"/>
    <mergeCell ref="B34:C34"/>
    <mergeCell ref="B35:C35"/>
    <mergeCell ref="B46:K46"/>
    <mergeCell ref="B26:K26"/>
    <mergeCell ref="B23:K23"/>
    <mergeCell ref="B20:K20"/>
    <mergeCell ref="F2:G2"/>
    <mergeCell ref="B40:C40"/>
    <mergeCell ref="B41:C41"/>
    <mergeCell ref="B43:K43"/>
    <mergeCell ref="B33:K33"/>
    <mergeCell ref="D1:E1"/>
    <mergeCell ref="F1:G1"/>
    <mergeCell ref="H1:I1"/>
    <mergeCell ref="J1:K1"/>
    <mergeCell ref="B47:K47"/>
    <mergeCell ref="B3:C3"/>
    <mergeCell ref="B12:K12"/>
    <mergeCell ref="B10:K10"/>
    <mergeCell ref="B9:K9"/>
    <mergeCell ref="B39:C39"/>
    <mergeCell ref="B92:K92"/>
    <mergeCell ref="A1:A3"/>
    <mergeCell ref="H2:I2"/>
    <mergeCell ref="J2:K2"/>
    <mergeCell ref="D3:E3"/>
    <mergeCell ref="F3:G3"/>
    <mergeCell ref="H3:I3"/>
    <mergeCell ref="J3:K3"/>
    <mergeCell ref="B2:C2"/>
    <mergeCell ref="D2:E2"/>
    <mergeCell ref="B36:C36"/>
    <mergeCell ref="B37:C37"/>
    <mergeCell ref="B74:K74"/>
    <mergeCell ref="B75:K75"/>
    <mergeCell ref="B70:K70"/>
    <mergeCell ref="B73:K73"/>
    <mergeCell ref="B67:C67"/>
    <mergeCell ref="D37:K37"/>
    <mergeCell ref="D38:K38"/>
    <mergeCell ref="D40:K40"/>
    <mergeCell ref="D41:K41"/>
    <mergeCell ref="B38:C38"/>
    <mergeCell ref="B79:K79"/>
    <mergeCell ref="B80:K80"/>
    <mergeCell ref="B81:K81"/>
    <mergeCell ref="B82:K82"/>
    <mergeCell ref="B68:C68"/>
    <mergeCell ref="D67:K67"/>
    <mergeCell ref="D68:K68"/>
    <mergeCell ref="B78:K78"/>
    <mergeCell ref="B71:K71"/>
    <mergeCell ref="B72:K72"/>
    <mergeCell ref="B87:K87"/>
    <mergeCell ref="B88:K88"/>
    <mergeCell ref="B89:K89"/>
    <mergeCell ref="B90:K90"/>
    <mergeCell ref="B83:K83"/>
    <mergeCell ref="B84:K84"/>
    <mergeCell ref="B85:K85"/>
    <mergeCell ref="B86:K86"/>
    <mergeCell ref="B7:K7"/>
    <mergeCell ref="B18:K18"/>
    <mergeCell ref="B51:K51"/>
    <mergeCell ref="B66:K66"/>
    <mergeCell ref="B53:K53"/>
    <mergeCell ref="B65:K65"/>
    <mergeCell ref="D28:K28"/>
    <mergeCell ref="D29:K29"/>
    <mergeCell ref="D30:K30"/>
    <mergeCell ref="D31:K31"/>
  </mergeCells>
  <phoneticPr fontId="7" type="noConversion"/>
  <hyperlinks>
    <hyperlink ref="D67" r:id="rId1" display="http://eur-lex.europa.eu/en/index.htm "/>
    <hyperlink ref="D68" r:id="rId2" display="http://ec.europa.eu/clima/policies/ets/index_en.htm"/>
    <hyperlink ref="B10:K10" r:id="rId3" display="http://ec.europa.eu/clima/documentation/ets/docs/decision_benchmarking_15_dec_en.pdf. "/>
    <hyperlink ref="B10" r:id="rId4"/>
    <hyperlink ref="D1:E1" location="JUMP_TOC_Home" display="Table of contents"/>
    <hyperlink ref="J1:K1" location="JUMP_K_I" display="Summary"/>
    <hyperlink ref="B92:K92" location="JUMP_A_I" display="&lt;&lt;&lt; Click here to proceed to next sheet &gt;&gt;&gt; "/>
    <hyperlink ref="B2:C2" location="JUMP_Guidelines_Home" display="Top of sheet"/>
    <hyperlink ref="B3:C3" location="JUMP_Guidelines_Bottom" display="End of sheet"/>
    <hyperlink ref="F1:G1" location="JUMP_TOC_Home" display="Previous sheet"/>
    <hyperlink ref="H1:I1" location="JUMP_A_I" display="Next sheet"/>
    <hyperlink ref="B12" r:id="rId5" display="https://ec.europa.eu/info/law/better-regulation/initiatives/ares-2018-5486983_en"/>
    <hyperlink ref="B12:K12" r:id="rId6" display="http://data.europa.eu/eli/reg_del/2019/331/oj"/>
  </hyperlinks>
  <pageMargins left="0.78740157480314965" right="0.78740157480314965" top="0.78740157480314965" bottom="0.78740157480314965" header="0.39370078740157483" footer="0.39370078740157483"/>
  <pageSetup paperSize="9" scale="64" fitToHeight="2" orientation="portrait" r:id="rId7"/>
  <headerFooter alignWithMargins="0">
    <oddHeader>&amp;L&amp;F; &amp;A&amp;R&amp;D; &amp;T</oddHeader>
    <oddFooter>&amp;C&amp;P / &amp;N</oddFooter>
  </headerFooter>
  <rowBreaks count="1" manualBreakCount="1">
    <brk id="64" max="10"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tabColor indexed="57"/>
    <pageSetUpPr fitToPage="1"/>
  </sheetPr>
  <dimension ref="A1:E90"/>
  <sheetViews>
    <sheetView workbookViewId="0">
      <selection activeCell="D31" sqref="D31"/>
    </sheetView>
  </sheetViews>
  <sheetFormatPr defaultRowHeight="12.75" x14ac:dyDescent="0.2"/>
  <cols>
    <col min="1" max="1" width="23.42578125" style="213" customWidth="1"/>
    <col min="2" max="2" width="34.7109375" style="213" customWidth="1"/>
    <col min="3" max="3" width="15.140625" style="213" customWidth="1"/>
    <col min="4" max="4" width="15.42578125" style="213" customWidth="1"/>
    <col min="5" max="256" width="11.42578125" style="213" customWidth="1"/>
    <col min="257" max="16384" width="9.140625" style="213"/>
  </cols>
  <sheetData>
    <row r="1" spans="1:5" ht="13.5" thickBot="1" x14ac:dyDescent="0.25">
      <c r="A1" s="215" t="s">
        <v>267</v>
      </c>
    </row>
    <row r="2" spans="1:5" ht="13.5" thickBot="1" x14ac:dyDescent="0.25">
      <c r="A2" s="266" t="s">
        <v>268</v>
      </c>
      <c r="B2" s="267" t="s">
        <v>674</v>
      </c>
    </row>
    <row r="3" spans="1:5" ht="13.5" thickBot="1" x14ac:dyDescent="0.25">
      <c r="A3" s="268" t="s">
        <v>266</v>
      </c>
      <c r="B3" s="269">
        <v>45390</v>
      </c>
      <c r="C3" s="270" t="str">
        <f>IF(ISNUMBER(MATCH(B3,A14:A26,0)),VLOOKUP(B3,A14:B26,2,FALSE),"---")</f>
        <v>NIMs P4 baseline 4_2_LV_lv_080424.xls</v>
      </c>
      <c r="D3" s="271"/>
      <c r="E3" s="272"/>
    </row>
    <row r="4" spans="1:5" x14ac:dyDescent="0.2">
      <c r="A4" s="273" t="s">
        <v>271</v>
      </c>
      <c r="B4" s="274" t="s">
        <v>180</v>
      </c>
    </row>
    <row r="5" spans="1:5" ht="13.5" thickBot="1" x14ac:dyDescent="0.25">
      <c r="A5" s="275" t="s">
        <v>270</v>
      </c>
      <c r="B5" s="276" t="s">
        <v>293</v>
      </c>
    </row>
    <row r="7" spans="1:5" x14ac:dyDescent="0.2">
      <c r="A7" s="277" t="s">
        <v>269</v>
      </c>
    </row>
    <row r="8" spans="1:5" x14ac:dyDescent="0.2">
      <c r="A8" s="586" t="s">
        <v>484</v>
      </c>
      <c r="B8" s="252"/>
      <c r="C8" s="518" t="s">
        <v>485</v>
      </c>
    </row>
    <row r="9" spans="1:5" x14ac:dyDescent="0.2">
      <c r="A9" s="586" t="s">
        <v>488</v>
      </c>
      <c r="B9" s="252"/>
      <c r="C9" s="518" t="s">
        <v>486</v>
      </c>
    </row>
    <row r="10" spans="1:5" x14ac:dyDescent="0.2">
      <c r="A10" s="586" t="s">
        <v>489</v>
      </c>
      <c r="B10" s="252"/>
      <c r="C10" s="518" t="s">
        <v>487</v>
      </c>
    </row>
    <row r="11" spans="1:5" x14ac:dyDescent="0.2">
      <c r="A11" s="586" t="s">
        <v>674</v>
      </c>
      <c r="B11" s="252"/>
      <c r="C11" s="518" t="s">
        <v>675</v>
      </c>
    </row>
    <row r="12" spans="1:5" x14ac:dyDescent="0.2">
      <c r="A12" s="220"/>
    </row>
    <row r="13" spans="1:5" x14ac:dyDescent="0.2">
      <c r="A13" s="502" t="s">
        <v>0</v>
      </c>
      <c r="B13" s="503" t="s">
        <v>117</v>
      </c>
      <c r="C13" s="503" t="s">
        <v>24</v>
      </c>
      <c r="D13" s="504"/>
    </row>
    <row r="14" spans="1:5" x14ac:dyDescent="0.2">
      <c r="A14" s="505">
        <v>45349</v>
      </c>
      <c r="B14" s="506" t="str">
        <f t="shared" ref="B14:B28" si="0">IF(ISBLANK($A14),"---", VLOOKUP($B$2,$A$8:$C$11,3,0) &amp; "_" &amp; VLOOKUP($B$4,$A$31:$B$63,2,0)&amp;"_"&amp;VLOOKUP($B$5,$A$66:$B$90,2,0)&amp;"_"&amp; TEXT(DAY($A14),"0#")&amp; TEXT(MONTH($A14),"0#")&amp; TEXT(YEAR($A14)-2000,"0#")&amp;".xls")</f>
        <v>NIMs P4 baseline 4_2_LV_lv_270224.xls</v>
      </c>
      <c r="C14" s="507" t="s">
        <v>913</v>
      </c>
      <c r="D14" s="508"/>
    </row>
    <row r="15" spans="1:5" x14ac:dyDescent="0.2">
      <c r="A15" s="509">
        <v>45356</v>
      </c>
      <c r="B15" s="510" t="str">
        <f t="shared" si="0"/>
        <v>NIMs P4 baseline 4_2_LV_lv_050324.xls</v>
      </c>
      <c r="C15" s="511" t="s">
        <v>915</v>
      </c>
      <c r="D15" s="512"/>
    </row>
    <row r="16" spans="1:5" x14ac:dyDescent="0.2">
      <c r="A16" s="509">
        <v>45377</v>
      </c>
      <c r="B16" s="510" t="str">
        <f t="shared" si="0"/>
        <v>NIMs P4 baseline 4_2_LV_lv_260324.xls</v>
      </c>
      <c r="C16" s="511" t="s">
        <v>916</v>
      </c>
      <c r="D16" s="512"/>
    </row>
    <row r="17" spans="1:4" x14ac:dyDescent="0.2">
      <c r="A17" s="509">
        <v>45390</v>
      </c>
      <c r="B17" s="510" t="str">
        <f t="shared" si="0"/>
        <v>NIMs P4 baseline 4_2_LV_lv_080424.xls</v>
      </c>
      <c r="C17" s="511" t="s">
        <v>917</v>
      </c>
      <c r="D17" s="512"/>
    </row>
    <row r="18" spans="1:4" x14ac:dyDescent="0.2">
      <c r="A18" s="509"/>
      <c r="B18" s="510" t="str">
        <f t="shared" si="0"/>
        <v>---</v>
      </c>
      <c r="C18" s="511"/>
      <c r="D18" s="512"/>
    </row>
    <row r="19" spans="1:4" x14ac:dyDescent="0.2">
      <c r="A19" s="509"/>
      <c r="B19" s="510" t="str">
        <f t="shared" si="0"/>
        <v>---</v>
      </c>
      <c r="C19" s="511"/>
      <c r="D19" s="512"/>
    </row>
    <row r="20" spans="1:4" x14ac:dyDescent="0.2">
      <c r="A20" s="509"/>
      <c r="B20" s="510" t="str">
        <f t="shared" si="0"/>
        <v>---</v>
      </c>
      <c r="C20" s="511"/>
      <c r="D20" s="512"/>
    </row>
    <row r="21" spans="1:4" x14ac:dyDescent="0.2">
      <c r="A21" s="509"/>
      <c r="B21" s="510" t="str">
        <f t="shared" si="0"/>
        <v>---</v>
      </c>
      <c r="C21" s="511"/>
      <c r="D21" s="512"/>
    </row>
    <row r="22" spans="1:4" x14ac:dyDescent="0.2">
      <c r="A22" s="509"/>
      <c r="B22" s="510" t="str">
        <f t="shared" si="0"/>
        <v>---</v>
      </c>
      <c r="C22" s="511"/>
      <c r="D22" s="512"/>
    </row>
    <row r="23" spans="1:4" x14ac:dyDescent="0.2">
      <c r="A23" s="509"/>
      <c r="B23" s="510" t="str">
        <f t="shared" si="0"/>
        <v>---</v>
      </c>
      <c r="C23" s="511"/>
      <c r="D23" s="512"/>
    </row>
    <row r="24" spans="1:4" x14ac:dyDescent="0.2">
      <c r="A24" s="509"/>
      <c r="B24" s="510" t="str">
        <f t="shared" si="0"/>
        <v>---</v>
      </c>
      <c r="C24" s="511"/>
      <c r="D24" s="512"/>
    </row>
    <row r="25" spans="1:4" x14ac:dyDescent="0.2">
      <c r="A25" s="509"/>
      <c r="B25" s="510" t="str">
        <f t="shared" si="0"/>
        <v>---</v>
      </c>
      <c r="C25" s="511"/>
      <c r="D25" s="512"/>
    </row>
    <row r="26" spans="1:4" x14ac:dyDescent="0.2">
      <c r="A26" s="509"/>
      <c r="B26" s="510" t="str">
        <f t="shared" si="0"/>
        <v>---</v>
      </c>
      <c r="C26" s="511"/>
      <c r="D26" s="512"/>
    </row>
    <row r="27" spans="1:4" x14ac:dyDescent="0.2">
      <c r="A27" s="509"/>
      <c r="B27" s="510" t="str">
        <f t="shared" si="0"/>
        <v>---</v>
      </c>
      <c r="C27" s="511"/>
      <c r="D27" s="512"/>
    </row>
    <row r="28" spans="1:4" x14ac:dyDescent="0.2">
      <c r="A28" s="513"/>
      <c r="B28" s="517" t="str">
        <f t="shared" si="0"/>
        <v>---</v>
      </c>
      <c r="C28" s="514"/>
      <c r="D28" s="515"/>
    </row>
    <row r="30" spans="1:4" x14ac:dyDescent="0.2">
      <c r="A30" s="215" t="s">
        <v>271</v>
      </c>
    </row>
    <row r="31" spans="1:4" x14ac:dyDescent="0.2">
      <c r="A31" s="265" t="s">
        <v>272</v>
      </c>
      <c r="B31" s="265" t="s">
        <v>118</v>
      </c>
    </row>
    <row r="32" spans="1:4" x14ac:dyDescent="0.2">
      <c r="A32" s="265" t="s">
        <v>373</v>
      </c>
      <c r="B32" s="265" t="s">
        <v>332</v>
      </c>
    </row>
    <row r="33" spans="1:2" x14ac:dyDescent="0.2">
      <c r="A33" s="265" t="s">
        <v>166</v>
      </c>
      <c r="B33" s="265" t="s">
        <v>119</v>
      </c>
    </row>
    <row r="34" spans="1:2" x14ac:dyDescent="0.2">
      <c r="A34" s="265" t="s">
        <v>167</v>
      </c>
      <c r="B34" s="265" t="s">
        <v>120</v>
      </c>
    </row>
    <row r="35" spans="1:2" x14ac:dyDescent="0.2">
      <c r="A35" s="265" t="s">
        <v>168</v>
      </c>
      <c r="B35" s="265" t="s">
        <v>121</v>
      </c>
    </row>
    <row r="36" spans="1:2" x14ac:dyDescent="0.2">
      <c r="A36" s="265" t="s">
        <v>458</v>
      </c>
      <c r="B36" s="265" t="s">
        <v>459</v>
      </c>
    </row>
    <row r="37" spans="1:2" x14ac:dyDescent="0.2">
      <c r="A37" s="265" t="s">
        <v>169</v>
      </c>
      <c r="B37" s="265" t="s">
        <v>122</v>
      </c>
    </row>
    <row r="38" spans="1:2" x14ac:dyDescent="0.2">
      <c r="A38" s="265" t="s">
        <v>170</v>
      </c>
      <c r="B38" s="265" t="s">
        <v>123</v>
      </c>
    </row>
    <row r="39" spans="1:2" x14ac:dyDescent="0.2">
      <c r="A39" s="265" t="s">
        <v>171</v>
      </c>
      <c r="B39" s="265" t="s">
        <v>124</v>
      </c>
    </row>
    <row r="40" spans="1:2" x14ac:dyDescent="0.2">
      <c r="A40" s="265" t="s">
        <v>172</v>
      </c>
      <c r="B40" s="265" t="s">
        <v>125</v>
      </c>
    </row>
    <row r="41" spans="1:2" x14ac:dyDescent="0.2">
      <c r="A41" s="265" t="s">
        <v>173</v>
      </c>
      <c r="B41" s="265" t="s">
        <v>126</v>
      </c>
    </row>
    <row r="42" spans="1:2" x14ac:dyDescent="0.2">
      <c r="A42" s="265" t="s">
        <v>174</v>
      </c>
      <c r="B42" s="265" t="s">
        <v>127</v>
      </c>
    </row>
    <row r="43" spans="1:2" x14ac:dyDescent="0.2">
      <c r="A43" s="265" t="s">
        <v>175</v>
      </c>
      <c r="B43" s="265" t="s">
        <v>128</v>
      </c>
    </row>
    <row r="44" spans="1:2" x14ac:dyDescent="0.2">
      <c r="A44" s="265" t="s">
        <v>176</v>
      </c>
      <c r="B44" s="265" t="s">
        <v>129</v>
      </c>
    </row>
    <row r="45" spans="1:2" x14ac:dyDescent="0.2">
      <c r="A45" s="265" t="s">
        <v>177</v>
      </c>
      <c r="B45" s="265" t="s">
        <v>130</v>
      </c>
    </row>
    <row r="46" spans="1:2" x14ac:dyDescent="0.2">
      <c r="A46" s="265" t="s">
        <v>186</v>
      </c>
      <c r="B46" s="265" t="s">
        <v>460</v>
      </c>
    </row>
    <row r="47" spans="1:2" x14ac:dyDescent="0.2">
      <c r="A47" s="265" t="s">
        <v>178</v>
      </c>
      <c r="B47" s="265" t="s">
        <v>131</v>
      </c>
    </row>
    <row r="48" spans="1:2" x14ac:dyDescent="0.2">
      <c r="A48" s="265" t="s">
        <v>179</v>
      </c>
      <c r="B48" s="265" t="s">
        <v>132</v>
      </c>
    </row>
    <row r="49" spans="1:2" x14ac:dyDescent="0.2">
      <c r="A49" s="265" t="s">
        <v>180</v>
      </c>
      <c r="B49" s="265" t="s">
        <v>133</v>
      </c>
    </row>
    <row r="50" spans="1:2" x14ac:dyDescent="0.2">
      <c r="A50" s="265" t="s">
        <v>328</v>
      </c>
      <c r="B50" s="265" t="s">
        <v>330</v>
      </c>
    </row>
    <row r="51" spans="1:2" x14ac:dyDescent="0.2">
      <c r="A51" s="265" t="s">
        <v>181</v>
      </c>
      <c r="B51" s="265" t="s">
        <v>134</v>
      </c>
    </row>
    <row r="52" spans="1:2" x14ac:dyDescent="0.2">
      <c r="A52" s="265" t="s">
        <v>182</v>
      </c>
      <c r="B52" s="265" t="s">
        <v>135</v>
      </c>
    </row>
    <row r="53" spans="1:2" x14ac:dyDescent="0.2">
      <c r="A53" s="265" t="s">
        <v>183</v>
      </c>
      <c r="B53" s="265" t="s">
        <v>136</v>
      </c>
    </row>
    <row r="54" spans="1:2" x14ac:dyDescent="0.2">
      <c r="A54" s="265" t="s">
        <v>184</v>
      </c>
      <c r="B54" s="265" t="s">
        <v>137</v>
      </c>
    </row>
    <row r="55" spans="1:2" x14ac:dyDescent="0.2">
      <c r="A55" s="265" t="s">
        <v>327</v>
      </c>
      <c r="B55" s="265" t="s">
        <v>331</v>
      </c>
    </row>
    <row r="56" spans="1:2" x14ac:dyDescent="0.2">
      <c r="A56" s="265" t="s">
        <v>185</v>
      </c>
      <c r="B56" s="265" t="s">
        <v>138</v>
      </c>
    </row>
    <row r="57" spans="1:2" x14ac:dyDescent="0.2">
      <c r="A57" s="265" t="s">
        <v>383</v>
      </c>
      <c r="B57" s="265" t="s">
        <v>139</v>
      </c>
    </row>
    <row r="58" spans="1:2" x14ac:dyDescent="0.2">
      <c r="A58" s="265" t="s">
        <v>384</v>
      </c>
      <c r="B58" s="265" t="s">
        <v>140</v>
      </c>
    </row>
    <row r="59" spans="1:2" x14ac:dyDescent="0.2">
      <c r="A59" s="265" t="s">
        <v>385</v>
      </c>
      <c r="B59" s="265" t="s">
        <v>141</v>
      </c>
    </row>
    <row r="60" spans="1:2" x14ac:dyDescent="0.2">
      <c r="A60" s="265" t="s">
        <v>386</v>
      </c>
      <c r="B60" s="265" t="s">
        <v>142</v>
      </c>
    </row>
    <row r="61" spans="1:2" x14ac:dyDescent="0.2">
      <c r="A61" s="265" t="s">
        <v>374</v>
      </c>
      <c r="B61" s="265" t="s">
        <v>143</v>
      </c>
    </row>
    <row r="62" spans="1:2" x14ac:dyDescent="0.2">
      <c r="A62" s="265" t="s">
        <v>375</v>
      </c>
      <c r="B62" s="265" t="s">
        <v>144</v>
      </c>
    </row>
    <row r="63" spans="1:2" x14ac:dyDescent="0.2">
      <c r="A63" s="265" t="s">
        <v>376</v>
      </c>
      <c r="B63" s="265" t="s">
        <v>145</v>
      </c>
    </row>
    <row r="65" spans="1:2" x14ac:dyDescent="0.2">
      <c r="A65" s="221" t="s">
        <v>1</v>
      </c>
    </row>
    <row r="66" spans="1:2" x14ac:dyDescent="0.2">
      <c r="A66" s="516" t="s">
        <v>273</v>
      </c>
      <c r="B66" s="516" t="s">
        <v>274</v>
      </c>
    </row>
    <row r="67" spans="1:2" x14ac:dyDescent="0.2">
      <c r="A67" s="516" t="s">
        <v>275</v>
      </c>
      <c r="B67" s="516" t="s">
        <v>276</v>
      </c>
    </row>
    <row r="68" spans="1:2" x14ac:dyDescent="0.2">
      <c r="A68" s="516" t="s">
        <v>461</v>
      </c>
      <c r="B68" s="516" t="s">
        <v>462</v>
      </c>
    </row>
    <row r="69" spans="1:2" x14ac:dyDescent="0.2">
      <c r="A69" s="516" t="s">
        <v>277</v>
      </c>
      <c r="B69" s="516" t="s">
        <v>278</v>
      </c>
    </row>
    <row r="70" spans="1:2" x14ac:dyDescent="0.2">
      <c r="A70" s="516" t="s">
        <v>279</v>
      </c>
      <c r="B70" s="516" t="s">
        <v>280</v>
      </c>
    </row>
    <row r="71" spans="1:2" x14ac:dyDescent="0.2">
      <c r="A71" s="516" t="s">
        <v>281</v>
      </c>
      <c r="B71" s="516" t="s">
        <v>282</v>
      </c>
    </row>
    <row r="72" spans="1:2" x14ac:dyDescent="0.2">
      <c r="A72" s="516" t="s">
        <v>283</v>
      </c>
      <c r="B72" s="516" t="s">
        <v>284</v>
      </c>
    </row>
    <row r="73" spans="1:2" x14ac:dyDescent="0.2">
      <c r="A73" s="516" t="s">
        <v>285</v>
      </c>
      <c r="B73" s="516" t="s">
        <v>286</v>
      </c>
    </row>
    <row r="74" spans="1:2" x14ac:dyDescent="0.2">
      <c r="A74" s="516" t="s">
        <v>287</v>
      </c>
      <c r="B74" s="516" t="s">
        <v>288</v>
      </c>
    </row>
    <row r="75" spans="1:2" x14ac:dyDescent="0.2">
      <c r="A75" s="516" t="s">
        <v>289</v>
      </c>
      <c r="B75" s="516" t="s">
        <v>290</v>
      </c>
    </row>
    <row r="76" spans="1:2" x14ac:dyDescent="0.2">
      <c r="A76" s="516" t="s">
        <v>463</v>
      </c>
      <c r="B76" s="516" t="s">
        <v>464</v>
      </c>
    </row>
    <row r="77" spans="1:2" x14ac:dyDescent="0.2">
      <c r="A77" s="516" t="s">
        <v>291</v>
      </c>
      <c r="B77" s="516" t="s">
        <v>292</v>
      </c>
    </row>
    <row r="78" spans="1:2" x14ac:dyDescent="0.2">
      <c r="A78" s="516" t="s">
        <v>293</v>
      </c>
      <c r="B78" s="516" t="s">
        <v>94</v>
      </c>
    </row>
    <row r="79" spans="1:2" x14ac:dyDescent="0.2">
      <c r="A79" s="516" t="s">
        <v>95</v>
      </c>
      <c r="B79" s="516" t="s">
        <v>96</v>
      </c>
    </row>
    <row r="80" spans="1:2" x14ac:dyDescent="0.2">
      <c r="A80" s="516" t="s">
        <v>97</v>
      </c>
      <c r="B80" s="516" t="s">
        <v>98</v>
      </c>
    </row>
    <row r="81" spans="1:2" x14ac:dyDescent="0.2">
      <c r="A81" s="516" t="s">
        <v>99</v>
      </c>
      <c r="B81" s="516" t="s">
        <v>100</v>
      </c>
    </row>
    <row r="82" spans="1:2" x14ac:dyDescent="0.2">
      <c r="A82" s="516" t="s">
        <v>365</v>
      </c>
      <c r="B82" s="516" t="s">
        <v>366</v>
      </c>
    </row>
    <row r="83" spans="1:2" x14ac:dyDescent="0.2">
      <c r="A83" s="516" t="s">
        <v>101</v>
      </c>
      <c r="B83" s="516" t="s">
        <v>102</v>
      </c>
    </row>
    <row r="84" spans="1:2" x14ac:dyDescent="0.2">
      <c r="A84" s="516" t="s">
        <v>103</v>
      </c>
      <c r="B84" s="516" t="s">
        <v>104</v>
      </c>
    </row>
    <row r="85" spans="1:2" x14ac:dyDescent="0.2">
      <c r="A85" s="516" t="s">
        <v>105</v>
      </c>
      <c r="B85" s="516" t="s">
        <v>106</v>
      </c>
    </row>
    <row r="86" spans="1:2" x14ac:dyDescent="0.2">
      <c r="A86" s="516" t="s">
        <v>107</v>
      </c>
      <c r="B86" s="516" t="s">
        <v>108</v>
      </c>
    </row>
    <row r="87" spans="1:2" x14ac:dyDescent="0.2">
      <c r="A87" s="516" t="s">
        <v>109</v>
      </c>
      <c r="B87" s="516" t="s">
        <v>110</v>
      </c>
    </row>
    <row r="88" spans="1:2" x14ac:dyDescent="0.2">
      <c r="A88" s="516" t="s">
        <v>111</v>
      </c>
      <c r="B88" s="516" t="s">
        <v>112</v>
      </c>
    </row>
    <row r="89" spans="1:2" x14ac:dyDescent="0.2">
      <c r="A89" s="516" t="s">
        <v>113</v>
      </c>
      <c r="B89" s="516" t="s">
        <v>114</v>
      </c>
    </row>
    <row r="90" spans="1:2" x14ac:dyDescent="0.2">
      <c r="A90" s="516" t="s">
        <v>115</v>
      </c>
      <c r="B90" s="516" t="s">
        <v>116</v>
      </c>
    </row>
  </sheetData>
  <sheetProtection sheet="1" objects="1" scenarios="1" formatCells="0" formatColumns="0" formatRows="0"/>
  <phoneticPr fontId="7" type="noConversion"/>
  <dataValidations count="4">
    <dataValidation type="list" allowBlank="1" showInputMessage="1" showErrorMessage="1" sqref="B5">
      <formula1>$A$66:$A$90</formula1>
    </dataValidation>
    <dataValidation type="list" allowBlank="1" showInputMessage="1" showErrorMessage="1" sqref="B4">
      <formula1>$A$31:$A$63</formula1>
    </dataValidation>
    <dataValidation type="list" allowBlank="1" showInputMessage="1" showErrorMessage="1" sqref="B2">
      <formula1>$A$8:$A$11</formula1>
    </dataValidation>
    <dataValidation type="list" allowBlank="1" showInputMessage="1" showErrorMessage="1" sqref="B3">
      <formula1>$A$14:$A$26</formula1>
    </dataValidation>
  </dataValidations>
  <pageMargins left="0.78740157499999996" right="0.78740157499999996" top="0.984251969" bottom="0.984251969" header="0.5" footer="0.5"/>
  <pageSetup paperSize="9" scale="64" orientation="portrait" r:id="rId1"/>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tabColor indexed="11"/>
    <pageSetUpPr fitToPage="1"/>
  </sheetPr>
  <dimension ref="A1:X423"/>
  <sheetViews>
    <sheetView topLeftCell="B1" zoomScaleNormal="100" workbookViewId="0">
      <pane ySplit="4" topLeftCell="A15" activePane="bottomLeft" state="frozen"/>
      <selection sqref="B2:D4"/>
      <selection pane="bottomLeft" sqref="B2:D4"/>
    </sheetView>
  </sheetViews>
  <sheetFormatPr defaultColWidth="11.42578125" defaultRowHeight="12.75" x14ac:dyDescent="0.2"/>
  <cols>
    <col min="1" max="1" width="5.140625" style="20" hidden="1" customWidth="1"/>
    <col min="2" max="2" width="2.7109375" style="696" customWidth="1"/>
    <col min="3" max="4" width="4.7109375" style="696" customWidth="1"/>
    <col min="5" max="14" width="12.7109375" style="696" customWidth="1"/>
    <col min="15" max="15" width="4.7109375" style="696" customWidth="1"/>
    <col min="16" max="16" width="12.7109375" style="445" hidden="1" customWidth="1"/>
    <col min="17" max="24" width="11.42578125" style="445" hidden="1" customWidth="1"/>
    <col min="25" max="16384" width="11.42578125" style="696"/>
  </cols>
  <sheetData>
    <row r="1" spans="1:24" s="20" customFormat="1" ht="13.5" hidden="1" thickBot="1" x14ac:dyDescent="0.25">
      <c r="A1" s="20" t="s">
        <v>93</v>
      </c>
      <c r="P1" s="445" t="s">
        <v>93</v>
      </c>
      <c r="Q1" s="445" t="s">
        <v>93</v>
      </c>
      <c r="R1" s="445" t="s">
        <v>93</v>
      </c>
      <c r="S1" s="445" t="s">
        <v>93</v>
      </c>
      <c r="T1" s="445" t="s">
        <v>93</v>
      </c>
      <c r="U1" s="445" t="s">
        <v>93</v>
      </c>
      <c r="V1" s="445" t="s">
        <v>93</v>
      </c>
      <c r="W1" s="445" t="s">
        <v>93</v>
      </c>
      <c r="X1" s="445" t="s">
        <v>93</v>
      </c>
    </row>
    <row r="2" spans="1:24" ht="13.5" thickBot="1" x14ac:dyDescent="0.25">
      <c r="B2" s="1405" t="str">
        <f>Translations!$B$74</f>
        <v>A. Dati par iekārtu</v>
      </c>
      <c r="C2" s="1406"/>
      <c r="D2" s="1407"/>
      <c r="E2" s="786" t="str">
        <f>Translations!$B$2</f>
        <v>Navigācijas josla:</v>
      </c>
      <c r="F2" s="789"/>
      <c r="G2" s="1388" t="str">
        <f>Translations!$B$18</f>
        <v>Saturs</v>
      </c>
      <c r="H2" s="7"/>
      <c r="I2" s="7" t="str">
        <f>Translations!$B$19</f>
        <v>Iepriekšējā lapa</v>
      </c>
      <c r="J2" s="7"/>
      <c r="K2" s="7" t="str">
        <f>Translations!$B$3</f>
        <v>Nākamā lapa</v>
      </c>
      <c r="L2" s="7"/>
      <c r="M2" s="7" t="str">
        <f>Translations!$B$4</f>
        <v>Kopsavilkums</v>
      </c>
      <c r="N2" s="7"/>
      <c r="O2" s="25"/>
      <c r="P2" s="624"/>
    </row>
    <row r="3" spans="1:24" ht="13.5" thickBot="1" x14ac:dyDescent="0.25">
      <c r="B3" s="1408"/>
      <c r="C3" s="1409"/>
      <c r="D3" s="1410"/>
      <c r="E3" s="7" t="str">
        <f>Translations!$B$5</f>
        <v>Lapas sākums</v>
      </c>
      <c r="F3" s="1392"/>
      <c r="G3" s="1414" t="str">
        <f>Translations!$B$75</f>
        <v>Iekārtas ID</v>
      </c>
      <c r="H3" s="1393"/>
      <c r="I3" s="1393" t="str">
        <f>Translations!$B$76</f>
        <v>Kontaktpersonas</v>
      </c>
      <c r="J3" s="1393"/>
      <c r="K3" s="1393" t="str">
        <f>Translations!$B$77</f>
        <v>Verificētājs</v>
      </c>
      <c r="L3" s="1393"/>
      <c r="M3" s="1393" t="str">
        <f>Translations!$B$78</f>
        <v>Papildinformācija</v>
      </c>
      <c r="N3" s="1393"/>
      <c r="O3" s="25"/>
      <c r="P3" s="624"/>
    </row>
    <row r="4" spans="1:24" ht="13.5" customHeight="1" thickBot="1" x14ac:dyDescent="0.25">
      <c r="B4" s="1411"/>
      <c r="C4" s="1412"/>
      <c r="D4" s="1413"/>
      <c r="E4" s="7" t="str">
        <f>Translations!$B$6</f>
        <v>Lapas beigas</v>
      </c>
      <c r="F4" s="7"/>
      <c r="G4" s="1394" t="str">
        <f>Translations!$B$1547</f>
        <v>Piemērošana un nosacījumi</v>
      </c>
      <c r="H4" s="1395"/>
      <c r="I4" s="1395" t="str">
        <f>Translations!$B$80</f>
        <v>Bāzlīnijas periods</v>
      </c>
      <c r="J4" s="1395"/>
      <c r="K4" s="1398" t="str">
        <f>Translations!$B$81</f>
        <v>Apakšiekārtas</v>
      </c>
      <c r="L4" s="1399"/>
      <c r="M4" s="1395" t="str">
        <f>Translations!$B$82</f>
        <v>Tehniskie savienojumi</v>
      </c>
      <c r="N4" s="1395"/>
      <c r="O4" s="25"/>
      <c r="P4" s="624"/>
    </row>
    <row r="5" spans="1:24" x14ac:dyDescent="0.2">
      <c r="B5" s="21"/>
      <c r="C5" s="22"/>
      <c r="D5" s="23"/>
      <c r="E5" s="23"/>
      <c r="F5" s="24"/>
      <c r="G5" s="24"/>
      <c r="H5" s="24"/>
      <c r="I5" s="21"/>
      <c r="J5" s="21"/>
      <c r="K5" s="21"/>
      <c r="L5" s="21"/>
      <c r="M5" s="25"/>
      <c r="N5" s="25"/>
      <c r="O5" s="25"/>
      <c r="P5" s="624"/>
    </row>
    <row r="6" spans="1:24" ht="50.25" customHeight="1" x14ac:dyDescent="0.2">
      <c r="B6" s="21"/>
      <c r="C6" s="27" t="s">
        <v>252</v>
      </c>
      <c r="D6" s="1281" t="str">
        <f>Translations!$B$83</f>
        <v>Lapa “InstallationData” — VISPĀRĪGA INFORMĀCIJA PAR OPERATORU, IEKĀRTĀM UN VERIFICĒTĀJU</v>
      </c>
      <c r="E6" s="1251"/>
      <c r="F6" s="1251"/>
      <c r="G6" s="1251"/>
      <c r="H6" s="1251"/>
      <c r="I6" s="1251"/>
      <c r="J6" s="1251"/>
      <c r="K6" s="1251"/>
      <c r="L6" s="1251"/>
      <c r="M6" s="1251"/>
      <c r="N6" s="1251"/>
      <c r="O6" s="25"/>
      <c r="P6" s="625" t="s">
        <v>73</v>
      </c>
      <c r="Q6" s="625" t="s">
        <v>73</v>
      </c>
      <c r="R6" s="625" t="s">
        <v>73</v>
      </c>
      <c r="S6" s="625" t="s">
        <v>73</v>
      </c>
      <c r="T6" s="625" t="s">
        <v>73</v>
      </c>
      <c r="U6" s="625" t="s">
        <v>73</v>
      </c>
      <c r="V6" s="625" t="s">
        <v>73</v>
      </c>
      <c r="W6" s="625" t="s">
        <v>73</v>
      </c>
      <c r="X6" s="625" t="s">
        <v>73</v>
      </c>
    </row>
    <row r="7" spans="1:24" x14ac:dyDescent="0.2">
      <c r="B7" s="21"/>
      <c r="C7" s="21"/>
      <c r="D7" s="21"/>
      <c r="E7" s="21"/>
      <c r="F7" s="21"/>
      <c r="G7" s="21"/>
      <c r="H7" s="21"/>
      <c r="I7" s="21"/>
      <c r="J7" s="21"/>
      <c r="K7" s="21"/>
      <c r="L7" s="21"/>
      <c r="M7" s="25"/>
      <c r="N7" s="25"/>
      <c r="O7" s="25"/>
      <c r="P7" s="626" t="s">
        <v>265</v>
      </c>
      <c r="Q7" s="626" t="s">
        <v>265</v>
      </c>
      <c r="R7" s="626" t="s">
        <v>265</v>
      </c>
      <c r="S7" s="626" t="s">
        <v>265</v>
      </c>
      <c r="T7" s="626" t="s">
        <v>265</v>
      </c>
      <c r="U7" s="626" t="s">
        <v>265</v>
      </c>
      <c r="V7" s="626" t="s">
        <v>265</v>
      </c>
      <c r="W7" s="626" t="s">
        <v>265</v>
      </c>
      <c r="X7" s="626" t="s">
        <v>265</v>
      </c>
    </row>
    <row r="8" spans="1:24" ht="15.75" x14ac:dyDescent="0.25">
      <c r="B8" s="21"/>
      <c r="C8" s="30" t="s">
        <v>391</v>
      </c>
      <c r="D8" s="1249" t="str">
        <f>Translations!$B$84</f>
        <v>Iekārtas identifikācija</v>
      </c>
      <c r="E8" s="1249"/>
      <c r="F8" s="1249"/>
      <c r="G8" s="1249"/>
      <c r="H8" s="1249"/>
      <c r="I8" s="1249"/>
      <c r="J8" s="1249"/>
      <c r="K8" s="1249"/>
      <c r="L8" s="1249"/>
      <c r="M8" s="1249"/>
      <c r="N8" s="1249"/>
      <c r="O8" s="25"/>
      <c r="P8" s="624"/>
    </row>
    <row r="9" spans="1:24" ht="5.0999999999999996" customHeight="1" x14ac:dyDescent="0.2">
      <c r="B9" s="21"/>
      <c r="C9" s="21"/>
      <c r="D9" s="21"/>
      <c r="E9" s="21"/>
      <c r="F9" s="21"/>
      <c r="G9" s="21"/>
      <c r="H9" s="21"/>
      <c r="I9" s="21"/>
      <c r="J9" s="21"/>
      <c r="K9" s="21"/>
      <c r="L9" s="21"/>
      <c r="M9" s="25"/>
      <c r="N9" s="25"/>
      <c r="O9" s="25"/>
      <c r="P9" s="624"/>
    </row>
    <row r="10" spans="1:24" ht="15" x14ac:dyDescent="0.25">
      <c r="B10" s="38"/>
      <c r="C10" s="36">
        <v>1</v>
      </c>
      <c r="D10" s="1318" t="str">
        <f>Translations!$B$85</f>
        <v>Vispārīga informācija:</v>
      </c>
      <c r="E10" s="1251"/>
      <c r="F10" s="1251"/>
      <c r="G10" s="1251"/>
      <c r="H10" s="1251"/>
      <c r="I10" s="1251"/>
      <c r="J10" s="1251"/>
      <c r="K10" s="1251"/>
      <c r="L10" s="1251"/>
      <c r="M10" s="1251"/>
      <c r="N10" s="1251"/>
      <c r="O10" s="25"/>
    </row>
    <row r="11" spans="1:24" ht="5.0999999999999996" customHeight="1" x14ac:dyDescent="0.2">
      <c r="B11" s="21"/>
      <c r="C11" s="21"/>
      <c r="D11" s="21"/>
      <c r="E11" s="21"/>
      <c r="F11" s="21"/>
      <c r="G11" s="21"/>
      <c r="H11" s="21"/>
      <c r="I11" s="21"/>
      <c r="J11" s="21"/>
      <c r="K11" s="21"/>
      <c r="L11" s="21"/>
      <c r="M11" s="25"/>
      <c r="N11" s="25"/>
      <c r="O11" s="25"/>
      <c r="P11" s="624"/>
    </row>
    <row r="12" spans="1:24" x14ac:dyDescent="0.2">
      <c r="B12" s="38"/>
      <c r="C12" s="38"/>
      <c r="D12" s="230" t="s">
        <v>165</v>
      </c>
      <c r="E12" s="1250" t="str">
        <f>Translations!$B$86</f>
        <v>Iekārtas nosaukums:</v>
      </c>
      <c r="F12" s="1251"/>
      <c r="G12" s="1251"/>
      <c r="H12" s="1251"/>
      <c r="I12" s="1328"/>
      <c r="J12" s="1389"/>
      <c r="K12" s="1390"/>
      <c r="L12" s="1390"/>
      <c r="M12" s="1390"/>
      <c r="N12" s="1391"/>
      <c r="O12" s="25"/>
    </row>
    <row r="13" spans="1:24" x14ac:dyDescent="0.2">
      <c r="B13" s="38"/>
      <c r="C13" s="38"/>
      <c r="D13" s="34"/>
      <c r="E13" s="1319" t="str">
        <f>Translations!$B$87</f>
        <v>Nosaukumam jābūt tam pašam, kas jau ir izmantots saziņai ar kompetento iestādi.</v>
      </c>
      <c r="F13" s="1251"/>
      <c r="G13" s="1251"/>
      <c r="H13" s="1251"/>
      <c r="I13" s="1251"/>
      <c r="J13" s="1251"/>
      <c r="K13" s="1251"/>
      <c r="L13" s="1251"/>
      <c r="M13" s="1251"/>
      <c r="N13" s="1251"/>
      <c r="O13" s="25"/>
    </row>
    <row r="14" spans="1:24" ht="5.0999999999999996" customHeight="1" x14ac:dyDescent="0.2">
      <c r="B14" s="21"/>
      <c r="C14" s="21"/>
      <c r="D14" s="21"/>
      <c r="E14" s="21"/>
      <c r="F14" s="21"/>
      <c r="G14" s="21"/>
      <c r="H14" s="21"/>
      <c r="I14" s="21"/>
      <c r="J14" s="21"/>
      <c r="K14" s="21"/>
      <c r="L14" s="21"/>
      <c r="M14" s="25"/>
      <c r="N14" s="25"/>
      <c r="O14" s="25"/>
      <c r="P14" s="624"/>
    </row>
    <row r="15" spans="1:24" x14ac:dyDescent="0.2">
      <c r="B15" s="38"/>
      <c r="C15" s="38"/>
      <c r="D15" s="230" t="s">
        <v>339</v>
      </c>
      <c r="E15" s="1250" t="str">
        <f>Translations!$B$88</f>
        <v>Dalībvalsts, kurā iekārta atrodas:</v>
      </c>
      <c r="F15" s="1251"/>
      <c r="G15" s="1251"/>
      <c r="H15" s="1251"/>
      <c r="I15" s="1328"/>
      <c r="J15" s="1389"/>
      <c r="K15" s="1390"/>
      <c r="L15" s="1390"/>
      <c r="M15" s="1390"/>
      <c r="N15" s="1391"/>
      <c r="O15" s="25"/>
    </row>
    <row r="16" spans="1:24" x14ac:dyDescent="0.2">
      <c r="B16" s="38"/>
      <c r="C16" s="38"/>
      <c r="D16" s="34"/>
      <c r="E16" s="1319" t="str">
        <f>Translations!$B$89</f>
        <v>"Dalībvalsts" šeit nozīmē valsti, kura piedalās ES ETS, t. i., ES dalībvalstis un Islandi, Norvēģiju un Lihtenšteinu.</v>
      </c>
      <c r="F16" s="1251"/>
      <c r="G16" s="1251"/>
      <c r="H16" s="1251"/>
      <c r="I16" s="1251"/>
      <c r="J16" s="1251"/>
      <c r="K16" s="1251"/>
      <c r="L16" s="1251"/>
      <c r="M16" s="1251"/>
      <c r="N16" s="1251"/>
      <c r="O16" s="25"/>
    </row>
    <row r="17" spans="2:17" ht="5.0999999999999996" customHeight="1" x14ac:dyDescent="0.2">
      <c r="B17" s="21"/>
      <c r="C17" s="21"/>
      <c r="D17" s="21"/>
      <c r="E17" s="21"/>
      <c r="F17" s="21"/>
      <c r="G17" s="21"/>
      <c r="H17" s="21"/>
      <c r="I17" s="21"/>
      <c r="J17" s="21"/>
      <c r="K17" s="21"/>
      <c r="L17" s="21"/>
      <c r="M17" s="25"/>
      <c r="N17" s="25"/>
      <c r="O17" s="25"/>
      <c r="P17" s="624"/>
    </row>
    <row r="18" spans="2:17" x14ac:dyDescent="0.2">
      <c r="B18" s="38"/>
      <c r="C18" s="38"/>
      <c r="D18" s="230" t="s">
        <v>11</v>
      </c>
      <c r="E18" s="1383" t="str">
        <f>Translations!$B$90</f>
        <v>Vai šī iekārta ir bijusi iekļauta ES ETS jau iepriekš?</v>
      </c>
      <c r="F18" s="1251"/>
      <c r="G18" s="1251"/>
      <c r="H18" s="1251"/>
      <c r="I18" s="1328"/>
      <c r="J18" s="244"/>
      <c r="K18" s="38"/>
      <c r="L18" s="38"/>
      <c r="M18" s="38"/>
      <c r="N18" s="38"/>
      <c r="O18" s="25"/>
    </row>
    <row r="19" spans="2:17" ht="5.0999999999999996" customHeight="1" x14ac:dyDescent="0.2">
      <c r="B19" s="21"/>
      <c r="C19" s="21"/>
      <c r="D19" s="21"/>
      <c r="E19" s="21"/>
      <c r="F19" s="21"/>
      <c r="G19" s="21"/>
      <c r="H19" s="21"/>
      <c r="I19" s="21"/>
      <c r="J19" s="21"/>
      <c r="K19" s="21"/>
      <c r="L19" s="21"/>
      <c r="M19" s="25"/>
      <c r="N19" s="25"/>
      <c r="O19" s="25"/>
      <c r="P19" s="624"/>
    </row>
    <row r="20" spans="2:17" x14ac:dyDescent="0.2">
      <c r="B20" s="38"/>
      <c r="C20" s="38"/>
      <c r="D20" s="230" t="s">
        <v>342</v>
      </c>
      <c r="E20" s="1250" t="str">
        <f>Translations!$B$91</f>
        <v>Kompetentās iestādes piešķirtais unikālais identifikators:</v>
      </c>
      <c r="F20" s="1251"/>
      <c r="G20" s="1251"/>
      <c r="H20" s="1251"/>
      <c r="I20" s="1328"/>
      <c r="J20" s="1389"/>
      <c r="K20" s="1390"/>
      <c r="L20" s="1390"/>
      <c r="M20" s="1390"/>
      <c r="N20" s="1391"/>
      <c r="O20" s="25"/>
    </row>
    <row r="21" spans="2:17" x14ac:dyDescent="0.2">
      <c r="B21" s="38"/>
      <c r="C21" s="38"/>
      <c r="D21" s="38"/>
      <c r="E21" s="1319" t="str">
        <f>Translations!$B$92</f>
        <v>Šis ir ID, ko kompetentā iestāde izmanto saziņai ar iekārtu, piemēram, par bezmaksas kvotu iedali iepriekšējos periodos.</v>
      </c>
      <c r="F21" s="1251"/>
      <c r="G21" s="1251"/>
      <c r="H21" s="1251"/>
      <c r="I21" s="1251"/>
      <c r="J21" s="1251"/>
      <c r="K21" s="1251"/>
      <c r="L21" s="1251"/>
      <c r="M21" s="1251"/>
      <c r="N21" s="1251"/>
      <c r="O21" s="25"/>
    </row>
    <row r="22" spans="2:17" ht="12.75" customHeight="1" x14ac:dyDescent="0.2">
      <c r="B22" s="38"/>
      <c r="C22" s="38"/>
      <c r="D22" s="38"/>
      <c r="E22" s="1319" t="str">
        <f>Translations!$B$93</f>
        <v>Attiecībā uz iekārtām, kuras ES ETS iepriekš nav bijušas iekļautas, operatoriem, lai saņemtu šādu ID, jāsazinās ar kompetento iestādi.</v>
      </c>
      <c r="F22" s="1251"/>
      <c r="G22" s="1251"/>
      <c r="H22" s="1251"/>
      <c r="I22" s="1251"/>
      <c r="J22" s="1251"/>
      <c r="K22" s="1251"/>
      <c r="L22" s="1251"/>
      <c r="M22" s="1251"/>
      <c r="N22" s="1251"/>
      <c r="O22" s="25"/>
    </row>
    <row r="23" spans="2:17" ht="12.75" customHeight="1" x14ac:dyDescent="0.2">
      <c r="B23" s="38"/>
      <c r="C23" s="38"/>
      <c r="D23" s="38"/>
      <c r="E23" s="1319" t="str">
        <f>Translations!$B$94</f>
        <v xml:space="preserve">Pirms jebkādus datus paziņot Eiropas Komisijai, kompetentajām iestādēm jāpārliecinās par unikāla ID pieejamību. </v>
      </c>
      <c r="F23" s="1251"/>
      <c r="G23" s="1251"/>
      <c r="H23" s="1251"/>
      <c r="I23" s="1251"/>
      <c r="J23" s="1251"/>
      <c r="K23" s="1251"/>
      <c r="L23" s="1251"/>
      <c r="M23" s="1251"/>
      <c r="N23" s="1251"/>
      <c r="O23" s="25"/>
    </row>
    <row r="24" spans="2:17" ht="5.0999999999999996" customHeight="1" x14ac:dyDescent="0.2">
      <c r="B24" s="21"/>
      <c r="C24" s="21"/>
      <c r="D24" s="21"/>
      <c r="E24" s="21"/>
      <c r="F24" s="21"/>
      <c r="G24" s="21"/>
      <c r="H24" s="21"/>
      <c r="I24" s="21"/>
      <c r="J24" s="21"/>
      <c r="K24" s="21"/>
      <c r="L24" s="21"/>
      <c r="M24" s="25"/>
      <c r="N24" s="25"/>
      <c r="O24" s="25"/>
      <c r="P24" s="624"/>
    </row>
    <row r="25" spans="2:17" x14ac:dyDescent="0.2">
      <c r="B25" s="38"/>
      <c r="C25" s="38"/>
      <c r="D25" s="230" t="s">
        <v>12</v>
      </c>
      <c r="E25" s="1250" t="str">
        <f>Translations!$B$95</f>
        <v>Iekārtas identifikācijas kods reģistrā:</v>
      </c>
      <c r="F25" s="1251"/>
      <c r="G25" s="1251"/>
      <c r="H25" s="1251"/>
      <c r="I25" s="1328"/>
      <c r="J25" s="1450"/>
      <c r="K25" s="1451"/>
      <c r="L25" s="1451"/>
      <c r="M25" s="1451"/>
      <c r="N25" s="1452"/>
      <c r="O25" s="25"/>
    </row>
    <row r="26" spans="2:17" x14ac:dyDescent="0.2">
      <c r="B26" s="38"/>
      <c r="C26" s="38"/>
      <c r="D26" s="38"/>
      <c r="E26" s="1319" t="str">
        <f>Translations!$B$96</f>
        <v>Tas parasti ir naturāls skaitlis — kods, kas atšķirīgs no reģistrā (EUTL) izmantotā atļaujas identifikatora.</v>
      </c>
      <c r="F26" s="1251"/>
      <c r="G26" s="1251"/>
      <c r="H26" s="1251"/>
      <c r="I26" s="1251"/>
      <c r="J26" s="1251"/>
      <c r="K26" s="1251"/>
      <c r="L26" s="1251"/>
      <c r="M26" s="1251"/>
      <c r="N26" s="1251"/>
      <c r="O26" s="25"/>
    </row>
    <row r="27" spans="2:17" ht="38.25" customHeight="1" x14ac:dyDescent="0.2">
      <c r="B27" s="38"/>
      <c r="C27" s="38"/>
      <c r="D27" s="38"/>
      <c r="E27" s="1319" t="str">
        <f>Translations!$B$97</f>
        <v>No b) punktā norādītās dalībvalsts koda un šā reģistra ID (unikālā ID) tiks izveidots unikāls ID, kas automātiski parādīsies f) punktā. Piemēram, ja Beļģijā atrodas iekārta ar reģistra ID 123456, galīgais ID būs “BE000000000123456”. Ja jūsu iekārtai ir bijušas iedalītas bezmaksas kvotas iepriekšējā ES ETS posmā, pārliecinieties, ka unikālais ID ir identisks iepriekšējam.</v>
      </c>
      <c r="F27" s="1251"/>
      <c r="G27" s="1251"/>
      <c r="H27" s="1251"/>
      <c r="I27" s="1251"/>
      <c r="J27" s="1251"/>
      <c r="K27" s="1251"/>
      <c r="L27" s="1251"/>
      <c r="M27" s="1251"/>
      <c r="N27" s="1251"/>
      <c r="O27" s="25"/>
      <c r="P27" s="624"/>
    </row>
    <row r="28" spans="2:17" ht="5.0999999999999996" customHeight="1" x14ac:dyDescent="0.2">
      <c r="B28" s="21"/>
      <c r="C28" s="21"/>
      <c r="D28" s="21"/>
      <c r="E28" s="21"/>
      <c r="F28" s="21"/>
      <c r="G28" s="21"/>
      <c r="H28" s="21"/>
      <c r="I28" s="21"/>
      <c r="J28" s="21"/>
      <c r="K28" s="21"/>
      <c r="L28" s="21"/>
      <c r="M28" s="25"/>
      <c r="N28" s="25"/>
      <c r="O28" s="25"/>
      <c r="P28" s="624"/>
    </row>
    <row r="29" spans="2:17" x14ac:dyDescent="0.2">
      <c r="B29" s="38"/>
      <c r="C29" s="38"/>
      <c r="D29" s="230" t="s">
        <v>13</v>
      </c>
      <c r="E29" s="1250" t="str">
        <f>Translations!$B$98</f>
        <v>Unikālais identifikators paziņošanai Komisijai:</v>
      </c>
      <c r="F29" s="1251"/>
      <c r="G29" s="1251"/>
      <c r="H29" s="1251"/>
      <c r="I29" s="1328"/>
      <c r="J29" s="1453" t="str">
        <f>IF(AND(NOT(ISBLANK(J15)),ISNUMBER(J25)),CONCATENATE(INDEX(EUconst_MSlistEUTLcodes,MATCH(J15,EUconst_MSlist,0)),TEXT(J25,"000000000000000")),"")</f>
        <v/>
      </c>
      <c r="K29" s="1454"/>
      <c r="L29" s="1454"/>
      <c r="M29" s="1454"/>
      <c r="N29" s="1455"/>
      <c r="O29" s="25"/>
      <c r="P29" s="802" t="s">
        <v>540</v>
      </c>
      <c r="Q29" s="452"/>
    </row>
    <row r="30" spans="2:17" ht="5.0999999999999996" customHeight="1" x14ac:dyDescent="0.2">
      <c r="B30" s="21"/>
      <c r="C30" s="21"/>
      <c r="D30" s="21"/>
      <c r="E30" s="21"/>
      <c r="F30" s="21"/>
      <c r="G30" s="21"/>
      <c r="H30" s="21"/>
      <c r="I30" s="21"/>
      <c r="J30" s="21"/>
      <c r="K30" s="21"/>
      <c r="L30" s="21"/>
      <c r="M30" s="25"/>
      <c r="N30" s="25"/>
      <c r="O30" s="25"/>
      <c r="P30" s="624"/>
    </row>
    <row r="31" spans="2:17" x14ac:dyDescent="0.2">
      <c r="B31" s="38"/>
      <c r="C31" s="38"/>
      <c r="D31" s="230" t="s">
        <v>81</v>
      </c>
      <c r="E31" s="1240" t="str">
        <f>Translations!$B$99</f>
        <v>Informācija par siltumnīcefekta gāzu emisijas atļauju:</v>
      </c>
      <c r="F31" s="1321"/>
      <c r="G31" s="1321"/>
      <c r="H31" s="1321"/>
      <c r="I31" s="1321"/>
      <c r="J31" s="1251"/>
      <c r="K31" s="1251"/>
      <c r="L31" s="1251"/>
      <c r="M31" s="1251"/>
      <c r="N31" s="1251"/>
      <c r="O31" s="25"/>
    </row>
    <row r="32" spans="2:17" x14ac:dyDescent="0.2">
      <c r="B32" s="38"/>
      <c r="C32" s="38"/>
      <c r="D32" s="38"/>
      <c r="E32" s="1319" t="str">
        <f>Translations!$B$100</f>
        <v>Šeit sniedziet informāciju par siltumnīcefekta gāzu emisijas atļauju (t. i., atļauju, kas izsniegta saskaņā ar ES ETS direktīvas 5. un 6. pantu).</v>
      </c>
      <c r="F32" s="1251"/>
      <c r="G32" s="1251"/>
      <c r="H32" s="1251"/>
      <c r="I32" s="1251"/>
      <c r="J32" s="1251"/>
      <c r="K32" s="1251"/>
      <c r="L32" s="1251"/>
      <c r="M32" s="1251"/>
      <c r="N32" s="1251"/>
      <c r="O32" s="25"/>
    </row>
    <row r="33" spans="2:16" x14ac:dyDescent="0.2">
      <c r="B33" s="38"/>
      <c r="C33" s="38"/>
      <c r="D33" s="38"/>
      <c r="E33" s="1319" t="str">
        <f>Translations!$B$101</f>
        <v>Dalībvalstis drīkst noteikt, ka šī informācija nav obligāta, ja tā jau ir kompetentās iestādes rīcībā.</v>
      </c>
      <c r="F33" s="1251"/>
      <c r="G33" s="1251"/>
      <c r="H33" s="1251"/>
      <c r="I33" s="1251"/>
      <c r="J33" s="1251"/>
      <c r="K33" s="1251"/>
      <c r="L33" s="1251"/>
      <c r="M33" s="1251"/>
      <c r="N33" s="1251"/>
      <c r="O33" s="25"/>
    </row>
    <row r="34" spans="2:16" x14ac:dyDescent="0.2">
      <c r="B34" s="38"/>
      <c r="C34" s="38"/>
      <c r="D34" s="233"/>
      <c r="E34" s="231"/>
      <c r="F34" s="1347" t="str">
        <f>Translations!$B$102</f>
        <v>Kompetentās iestādes nosaukums:</v>
      </c>
      <c r="G34" s="1251"/>
      <c r="H34" s="1251"/>
      <c r="I34" s="1328"/>
      <c r="J34" s="1389"/>
      <c r="K34" s="1390"/>
      <c r="L34" s="1390"/>
      <c r="M34" s="1390"/>
      <c r="N34" s="1391"/>
      <c r="O34" s="25"/>
    </row>
    <row r="35" spans="2:16" ht="5.0999999999999996" customHeight="1" x14ac:dyDescent="0.2">
      <c r="B35" s="21"/>
      <c r="C35" s="21"/>
      <c r="D35" s="21"/>
      <c r="E35" s="21"/>
      <c r="F35" s="21"/>
      <c r="G35" s="21"/>
      <c r="H35" s="21"/>
      <c r="I35" s="21"/>
      <c r="J35" s="21"/>
      <c r="K35" s="21"/>
      <c r="L35" s="21"/>
      <c r="M35" s="25"/>
      <c r="N35" s="25"/>
      <c r="O35" s="25"/>
      <c r="P35" s="624"/>
    </row>
    <row r="36" spans="2:16" x14ac:dyDescent="0.2">
      <c r="B36" s="38"/>
      <c r="C36" s="38"/>
      <c r="D36" s="230"/>
      <c r="E36" s="231"/>
      <c r="F36" s="1387" t="str">
        <f>Translations!$B$103</f>
        <v>Pirmā SEG atļauja, ko iekārta saņēma, kad pirmo reizi tika iekļauta ETS:</v>
      </c>
      <c r="G36" s="1275"/>
      <c r="H36" s="1275"/>
      <c r="I36" s="1275"/>
      <c r="J36" s="1275"/>
      <c r="K36" s="1275"/>
      <c r="L36" s="1275"/>
      <c r="M36" s="1275"/>
      <c r="N36" s="1275"/>
      <c r="O36" s="25"/>
    </row>
    <row r="37" spans="2:16" x14ac:dyDescent="0.2">
      <c r="B37" s="38"/>
      <c r="C37" s="38"/>
      <c r="D37" s="233"/>
      <c r="E37" s="358" t="s">
        <v>2</v>
      </c>
      <c r="F37" s="1380" t="str">
        <f>Translations!$B$104</f>
        <v>Atļaujas ID:</v>
      </c>
      <c r="G37" s="1381"/>
      <c r="H37" s="1381"/>
      <c r="I37" s="1382"/>
      <c r="J37" s="1371"/>
      <c r="K37" s="1372"/>
      <c r="L37" s="1372"/>
      <c r="M37" s="1372"/>
      <c r="N37" s="1372"/>
      <c r="O37" s="25"/>
    </row>
    <row r="38" spans="2:16" x14ac:dyDescent="0.2">
      <c r="B38" s="38"/>
      <c r="C38" s="38"/>
      <c r="D38" s="233"/>
      <c r="E38" s="358" t="s">
        <v>3</v>
      </c>
      <c r="F38" s="1384" t="str">
        <f>Translations!$B$105</f>
        <v>Izdošanas datums:</v>
      </c>
      <c r="G38" s="1374"/>
      <c r="H38" s="1374"/>
      <c r="I38" s="1375"/>
      <c r="J38" s="1400"/>
      <c r="K38" s="1401"/>
      <c r="L38" s="1401"/>
      <c r="M38" s="1401"/>
      <c r="N38" s="1401"/>
      <c r="O38" s="25"/>
    </row>
    <row r="39" spans="2:16" ht="5.0999999999999996" customHeight="1" x14ac:dyDescent="0.2">
      <c r="B39" s="21"/>
      <c r="C39" s="21"/>
      <c r="D39" s="21"/>
      <c r="E39" s="357"/>
      <c r="F39" s="21"/>
      <c r="G39" s="21"/>
      <c r="H39" s="21"/>
      <c r="I39" s="21"/>
      <c r="J39" s="21"/>
      <c r="K39" s="21"/>
      <c r="L39" s="21"/>
      <c r="M39" s="25"/>
      <c r="N39" s="25"/>
      <c r="O39" s="25"/>
      <c r="P39" s="624"/>
    </row>
    <row r="40" spans="2:16" x14ac:dyDescent="0.2">
      <c r="B40" s="38"/>
      <c r="C40" s="38"/>
      <c r="D40" s="230"/>
      <c r="E40" s="358"/>
      <c r="F40" s="1387" t="str">
        <f>Translations!$B$106</f>
        <v>Atļaujas nesenākais atjauninājums (attiecīgā gadījumā):</v>
      </c>
      <c r="G40" s="1275"/>
      <c r="H40" s="1275"/>
      <c r="I40" s="1275"/>
      <c r="J40" s="1275"/>
      <c r="K40" s="1275"/>
      <c r="L40" s="1275"/>
      <c r="M40" s="1275"/>
      <c r="N40" s="1275"/>
      <c r="O40" s="25"/>
    </row>
    <row r="41" spans="2:16" x14ac:dyDescent="0.2">
      <c r="B41" s="38"/>
      <c r="C41" s="38"/>
      <c r="D41" s="233"/>
      <c r="E41" s="358" t="s">
        <v>4</v>
      </c>
      <c r="F41" s="1380" t="str">
        <f>Translations!$B$104</f>
        <v>Atļaujas ID:</v>
      </c>
      <c r="G41" s="1381"/>
      <c r="H41" s="1381"/>
      <c r="I41" s="1382"/>
      <c r="J41" s="1385"/>
      <c r="K41" s="1386"/>
      <c r="L41" s="1386"/>
      <c r="M41" s="1386"/>
      <c r="N41" s="1386"/>
      <c r="O41" s="25"/>
    </row>
    <row r="42" spans="2:16" x14ac:dyDescent="0.2">
      <c r="B42" s="38"/>
      <c r="C42" s="38"/>
      <c r="D42" s="233"/>
      <c r="E42" s="358" t="s">
        <v>6</v>
      </c>
      <c r="F42" s="1384" t="str">
        <f>Translations!$B$105</f>
        <v>Izdošanas datums:</v>
      </c>
      <c r="G42" s="1374"/>
      <c r="H42" s="1374"/>
      <c r="I42" s="1375"/>
      <c r="J42" s="1400"/>
      <c r="K42" s="1401"/>
      <c r="L42" s="1401"/>
      <c r="M42" s="1401"/>
      <c r="N42" s="1401"/>
      <c r="O42" s="25"/>
    </row>
    <row r="43" spans="2:16" ht="5.0999999999999996" customHeight="1" x14ac:dyDescent="0.2">
      <c r="B43" s="38"/>
      <c r="C43" s="38"/>
      <c r="D43" s="233"/>
      <c r="E43" s="233"/>
      <c r="F43" s="233"/>
      <c r="G43" s="233"/>
      <c r="H43" s="233"/>
      <c r="I43" s="233"/>
      <c r="J43" s="233"/>
      <c r="K43" s="233"/>
      <c r="L43" s="233"/>
      <c r="M43" s="233"/>
      <c r="N43" s="233"/>
      <c r="O43" s="25"/>
    </row>
    <row r="44" spans="2:16" x14ac:dyDescent="0.2">
      <c r="B44" s="38"/>
      <c r="C44" s="38"/>
      <c r="D44" s="230"/>
      <c r="E44" s="358"/>
      <c r="F44" s="1320" t="str">
        <f>Translations!$B$1548</f>
        <v>Šajā ziņojumā izmantotā monitoringa metodikas plāna jaunākā versija:</v>
      </c>
      <c r="G44" s="1275"/>
      <c r="H44" s="1275"/>
      <c r="I44" s="1275"/>
      <c r="J44" s="1275"/>
      <c r="K44" s="1321"/>
      <c r="L44" s="1321"/>
      <c r="M44" s="1321"/>
      <c r="N44" s="1321"/>
      <c r="O44" s="25"/>
    </row>
    <row r="45" spans="2:16" x14ac:dyDescent="0.2">
      <c r="B45" s="38"/>
      <c r="C45" s="38"/>
      <c r="D45" s="233"/>
      <c r="E45" s="358" t="s">
        <v>303</v>
      </c>
      <c r="F45" s="1456" t="str">
        <f>Translations!$B$1549</f>
        <v>Monitoringa metodikas plāna versija:</v>
      </c>
      <c r="G45" s="1457"/>
      <c r="H45" s="1457"/>
      <c r="I45" s="1259"/>
      <c r="J45" s="527"/>
      <c r="K45" s="578"/>
      <c r="L45" s="44"/>
      <c r="M45" s="44"/>
      <c r="N45" s="44"/>
      <c r="O45" s="25"/>
    </row>
    <row r="46" spans="2:16" ht="5.0999999999999996" customHeight="1" x14ac:dyDescent="0.2">
      <c r="B46" s="21"/>
      <c r="C46" s="21"/>
      <c r="D46" s="21"/>
      <c r="E46" s="21"/>
      <c r="F46" s="21"/>
      <c r="G46" s="21"/>
      <c r="H46" s="21"/>
      <c r="I46" s="21"/>
      <c r="J46" s="21"/>
      <c r="K46" s="21"/>
      <c r="L46" s="21"/>
      <c r="M46" s="25"/>
      <c r="N46" s="25"/>
      <c r="O46" s="25"/>
      <c r="P46" s="624"/>
    </row>
    <row r="47" spans="2:16" x14ac:dyDescent="0.2">
      <c r="B47" s="38"/>
      <c r="C47" s="38"/>
      <c r="D47" s="230" t="s">
        <v>82</v>
      </c>
      <c r="E47" s="1250" t="str">
        <f>Translations!$B$107</f>
        <v>Iekārtas ekspluatācijas sākuma datums:</v>
      </c>
      <c r="F47" s="1251"/>
      <c r="G47" s="1251"/>
      <c r="H47" s="1251"/>
      <c r="I47" s="1328"/>
      <c r="J47" s="301"/>
      <c r="K47" s="232"/>
      <c r="L47" s="232"/>
      <c r="M47" s="38"/>
      <c r="N47" s="38"/>
      <c r="O47" s="25"/>
    </row>
    <row r="48" spans="2:16" x14ac:dyDescent="0.2">
      <c r="B48" s="38"/>
      <c r="C48" s="38"/>
      <c r="D48" s="34"/>
      <c r="E48" s="1319" t="str">
        <f>Translations!$B$1550</f>
        <v>Dati ievadāmi tikai tad, ja visas iekārtas ekspluatācija sākta pēc 2019. gada 1. janvāra.</v>
      </c>
      <c r="F48" s="1251"/>
      <c r="G48" s="1251"/>
      <c r="H48" s="1251"/>
      <c r="I48" s="1251"/>
      <c r="J48" s="1251"/>
      <c r="K48" s="1251"/>
      <c r="L48" s="1251"/>
      <c r="M48" s="1251"/>
      <c r="N48" s="1251"/>
      <c r="O48" s="25"/>
    </row>
    <row r="49" spans="2:16" ht="5.0999999999999996" customHeight="1" x14ac:dyDescent="0.2">
      <c r="B49" s="21"/>
      <c r="C49" s="21"/>
      <c r="D49" s="21"/>
      <c r="E49" s="21"/>
      <c r="F49" s="21"/>
      <c r="G49" s="21"/>
      <c r="H49" s="21"/>
      <c r="I49" s="21"/>
      <c r="J49" s="21"/>
      <c r="K49" s="21"/>
      <c r="L49" s="21"/>
      <c r="M49" s="25"/>
      <c r="N49" s="25"/>
      <c r="O49" s="25"/>
      <c r="P49" s="624"/>
    </row>
    <row r="50" spans="2:16" x14ac:dyDescent="0.2">
      <c r="B50" s="38"/>
      <c r="C50" s="38"/>
      <c r="D50" s="230" t="s">
        <v>83</v>
      </c>
      <c r="E50" s="1250" t="str">
        <f>Translations!$B$109</f>
        <v>Šī iekārta ir pastāvoša iekārta:</v>
      </c>
      <c r="F50" s="1251"/>
      <c r="G50" s="1251"/>
      <c r="H50" s="1251"/>
      <c r="I50" s="1328"/>
      <c r="J50" s="244"/>
      <c r="K50" s="232"/>
      <c r="L50" s="232"/>
      <c r="M50" s="38"/>
      <c r="N50" s="38"/>
      <c r="O50" s="25"/>
    </row>
    <row r="51" spans="2:16" x14ac:dyDescent="0.2">
      <c r="B51" s="38"/>
      <c r="C51" s="38"/>
      <c r="D51" s="34"/>
      <c r="E51" s="1319" t="str">
        <f>Translations!$B$1551</f>
        <v>Iekārta ir pastāvoša iekārta, ja tai siltumnīcefekta gāzu emisijas atļauja 2026.–2030. gada periodam pirmo reizi piešķirta 2024. gada 30. jūnijā vai agrāk.</v>
      </c>
      <c r="F51" s="1251"/>
      <c r="G51" s="1251"/>
      <c r="H51" s="1251"/>
      <c r="I51" s="1251"/>
      <c r="J51" s="1251"/>
      <c r="K51" s="1251"/>
      <c r="L51" s="1251"/>
      <c r="M51" s="1251"/>
      <c r="N51" s="1251"/>
      <c r="O51" s="25"/>
    </row>
    <row r="52" spans="2:16" x14ac:dyDescent="0.2">
      <c r="B52" s="38"/>
      <c r="C52" s="38"/>
      <c r="D52" s="34"/>
      <c r="E52" s="1319" t="str">
        <f>Translations!$B$113</f>
        <v>Visas iekārtas, kas pēc iepriekš norādītajiem kritērijiem nav pastāvošas iekārtas, kompetentā iestāde uzskatīs par "jaunām iekārtām".</v>
      </c>
      <c r="F52" s="1251"/>
      <c r="G52" s="1251"/>
      <c r="H52" s="1251"/>
      <c r="I52" s="1251"/>
      <c r="J52" s="1251"/>
      <c r="K52" s="1251"/>
      <c r="L52" s="1251"/>
      <c r="M52" s="1251"/>
      <c r="N52" s="1251"/>
      <c r="O52" s="25"/>
    </row>
    <row r="53" spans="2:16" x14ac:dyDescent="0.2">
      <c r="B53" s="38"/>
      <c r="C53" s="38"/>
      <c r="D53" s="34"/>
      <c r="E53" s="1319" t="str">
        <f>Translations!$B$114</f>
        <v xml:space="preserve">Par jaunajām iekārtām Komisijai nav jāpaziņo saskaņā ar valsts īstenošanas pasākumiem, kuru pamatā ir ES ETS direktīvas 11. pants. </v>
      </c>
      <c r="F53" s="1251"/>
      <c r="G53" s="1251"/>
      <c r="H53" s="1251"/>
      <c r="I53" s="1251"/>
      <c r="J53" s="1251"/>
      <c r="K53" s="1251"/>
      <c r="L53" s="1251"/>
      <c r="M53" s="1251"/>
      <c r="N53" s="1251"/>
      <c r="O53" s="25"/>
    </row>
    <row r="54" spans="2:16" x14ac:dyDescent="0.2">
      <c r="B54" s="38"/>
      <c r="C54" s="38"/>
      <c r="D54" s="34"/>
      <c r="E54" s="1319" t="str">
        <f>Translations!$B$115</f>
        <v xml:space="preserve">Tāpēc šī veidne nav paredzēta jaunām iekārtām. </v>
      </c>
      <c r="F54" s="1251"/>
      <c r="G54" s="1251"/>
      <c r="H54" s="1251"/>
      <c r="I54" s="1251"/>
      <c r="J54" s="1251"/>
      <c r="K54" s="1251"/>
      <c r="L54" s="1251"/>
      <c r="M54" s="1251"/>
      <c r="N54" s="1251"/>
      <c r="O54" s="25"/>
    </row>
    <row r="55" spans="2:16" ht="5.0999999999999996" customHeight="1" x14ac:dyDescent="0.2">
      <c r="B55" s="21"/>
      <c r="C55" s="21"/>
      <c r="D55" s="21"/>
      <c r="E55" s="21"/>
      <c r="F55" s="21"/>
      <c r="G55" s="21"/>
      <c r="H55" s="21"/>
      <c r="I55" s="21"/>
      <c r="J55" s="21"/>
      <c r="K55" s="21"/>
      <c r="L55" s="21"/>
      <c r="M55" s="25"/>
      <c r="N55" s="25"/>
      <c r="O55" s="25"/>
      <c r="P55" s="624"/>
    </row>
    <row r="56" spans="2:16" x14ac:dyDescent="0.2">
      <c r="B56" s="38"/>
      <c r="C56" s="38"/>
      <c r="D56" s="230" t="s">
        <v>211</v>
      </c>
      <c r="E56" s="1383" t="str">
        <f>Translations!$B$116</f>
        <v>Dati par operatoru:</v>
      </c>
      <c r="F56" s="1251"/>
      <c r="G56" s="1251"/>
      <c r="H56" s="1251"/>
      <c r="I56" s="1251"/>
      <c r="J56" s="1251"/>
      <c r="K56" s="1251"/>
      <c r="L56" s="1251"/>
      <c r="M56" s="1251"/>
      <c r="N56" s="1251"/>
      <c r="O56" s="25"/>
    </row>
    <row r="57" spans="2:16" ht="25.5" customHeight="1" x14ac:dyDescent="0.2">
      <c r="B57" s="38"/>
      <c r="C57" s="38"/>
      <c r="D57" s="34"/>
      <c r="E57" s="1301" t="str">
        <f>Translations!$B$117</f>
        <v>Operators ir [fiziska vai juridiska] persona, kas ekspluatē vai kontrolē iekārtu, vai — gadījumos, kad to paredz valsts tiesību akti, — persona, kurai deleģēta ekonomiska vara lemt par iekārtas tehnisko darbību.</v>
      </c>
      <c r="F57" s="1302"/>
      <c r="G57" s="1302"/>
      <c r="H57" s="1302"/>
      <c r="I57" s="1302"/>
      <c r="J57" s="1302"/>
      <c r="K57" s="1302"/>
      <c r="L57" s="1302"/>
      <c r="M57" s="1302"/>
      <c r="N57" s="1302"/>
      <c r="O57" s="25"/>
    </row>
    <row r="58" spans="2:16" x14ac:dyDescent="0.2">
      <c r="B58" s="38"/>
      <c r="C58" s="38"/>
      <c r="D58" s="233"/>
      <c r="E58" s="231"/>
      <c r="F58" s="358" t="s">
        <v>2</v>
      </c>
      <c r="G58" s="1380" t="str">
        <f>Translations!$B$118</f>
        <v>Operatora nosaukums:</v>
      </c>
      <c r="H58" s="1381"/>
      <c r="I58" s="1382"/>
      <c r="J58" s="1371"/>
      <c r="K58" s="1372"/>
      <c r="L58" s="1372"/>
      <c r="M58" s="1372"/>
      <c r="N58" s="1372"/>
      <c r="O58" s="25"/>
    </row>
    <row r="59" spans="2:16" x14ac:dyDescent="0.2">
      <c r="B59" s="38"/>
      <c r="C59" s="38"/>
      <c r="D59" s="233"/>
      <c r="E59" s="231"/>
      <c r="F59" s="358" t="s">
        <v>3</v>
      </c>
      <c r="G59" s="1368" t="str">
        <f>Translations!$B$119</f>
        <v>Iela, mājas numurs:</v>
      </c>
      <c r="H59" s="1369"/>
      <c r="I59" s="1370"/>
      <c r="J59" s="1361"/>
      <c r="K59" s="1362"/>
      <c r="L59" s="1362"/>
      <c r="M59" s="1362"/>
      <c r="N59" s="1362"/>
      <c r="O59" s="25"/>
    </row>
    <row r="60" spans="2:16" x14ac:dyDescent="0.2">
      <c r="B60" s="38"/>
      <c r="C60" s="38"/>
      <c r="D60" s="233"/>
      <c r="E60" s="231"/>
      <c r="F60" s="358" t="s">
        <v>4</v>
      </c>
      <c r="G60" s="1368" t="str">
        <f>Translations!$B$120</f>
        <v>Pasta indekss:</v>
      </c>
      <c r="H60" s="1369"/>
      <c r="I60" s="1370"/>
      <c r="J60" s="1361"/>
      <c r="K60" s="1362"/>
      <c r="L60" s="1362"/>
      <c r="M60" s="1362"/>
      <c r="N60" s="1362"/>
      <c r="O60" s="25"/>
    </row>
    <row r="61" spans="2:16" x14ac:dyDescent="0.2">
      <c r="B61" s="38"/>
      <c r="C61" s="38"/>
      <c r="D61" s="233"/>
      <c r="E61" s="231"/>
      <c r="F61" s="358" t="s">
        <v>6</v>
      </c>
      <c r="G61" s="1368" t="str">
        <f>Translations!$B$121</f>
        <v>Pilsēta:</v>
      </c>
      <c r="H61" s="1369"/>
      <c r="I61" s="1370"/>
      <c r="J61" s="1361"/>
      <c r="K61" s="1362"/>
      <c r="L61" s="1362"/>
      <c r="M61" s="1362"/>
      <c r="N61" s="1362"/>
      <c r="O61" s="25"/>
    </row>
    <row r="62" spans="2:16" x14ac:dyDescent="0.2">
      <c r="B62" s="38"/>
      <c r="C62" s="38"/>
      <c r="D62" s="233"/>
      <c r="E62" s="231"/>
      <c r="F62" s="358" t="s">
        <v>303</v>
      </c>
      <c r="G62" s="1368" t="str">
        <f>Translations!$B$122</f>
        <v>Valsts:</v>
      </c>
      <c r="H62" s="1369"/>
      <c r="I62" s="1370"/>
      <c r="J62" s="1361"/>
      <c r="K62" s="1362"/>
      <c r="L62" s="1362"/>
      <c r="M62" s="1362"/>
      <c r="N62" s="1362"/>
      <c r="O62" s="25"/>
    </row>
    <row r="63" spans="2:16" x14ac:dyDescent="0.2">
      <c r="B63" s="38"/>
      <c r="C63" s="38"/>
      <c r="D63" s="233"/>
      <c r="E63" s="231"/>
      <c r="F63" s="358" t="s">
        <v>304</v>
      </c>
      <c r="G63" s="1368" t="str">
        <f>Translations!$B$123</f>
        <v>Pilnvarotā pārstāvja vārds vai nosaukums:</v>
      </c>
      <c r="H63" s="1369"/>
      <c r="I63" s="1370"/>
      <c r="J63" s="1361"/>
      <c r="K63" s="1362"/>
      <c r="L63" s="1362"/>
      <c r="M63" s="1362"/>
      <c r="N63" s="1362"/>
      <c r="O63" s="25"/>
    </row>
    <row r="64" spans="2:16" x14ac:dyDescent="0.2">
      <c r="B64" s="38"/>
      <c r="C64" s="38"/>
      <c r="D64" s="233"/>
      <c r="E64" s="231"/>
      <c r="F64" s="358" t="s">
        <v>305</v>
      </c>
      <c r="G64" s="1368" t="str">
        <f>Translations!$B$124</f>
        <v>E-pasts:</v>
      </c>
      <c r="H64" s="1369"/>
      <c r="I64" s="1370"/>
      <c r="J64" s="1361"/>
      <c r="K64" s="1362"/>
      <c r="L64" s="1362"/>
      <c r="M64" s="1362"/>
      <c r="N64" s="1362"/>
      <c r="O64" s="25"/>
    </row>
    <row r="65" spans="2:16" x14ac:dyDescent="0.2">
      <c r="B65" s="38"/>
      <c r="C65" s="38"/>
      <c r="D65" s="233"/>
      <c r="E65" s="231"/>
      <c r="F65" s="358" t="s">
        <v>306</v>
      </c>
      <c r="G65" s="1368" t="str">
        <f>Translations!$B$125</f>
        <v>Tālr.:</v>
      </c>
      <c r="H65" s="1369"/>
      <c r="I65" s="1370"/>
      <c r="J65" s="1361"/>
      <c r="K65" s="1362"/>
      <c r="L65" s="1362"/>
      <c r="M65" s="1362"/>
      <c r="N65" s="1362"/>
      <c r="O65" s="25"/>
    </row>
    <row r="66" spans="2:16" x14ac:dyDescent="0.2">
      <c r="B66" s="38"/>
      <c r="C66" s="38"/>
      <c r="D66" s="233"/>
      <c r="E66" s="231"/>
      <c r="F66" s="358" t="s">
        <v>307</v>
      </c>
      <c r="G66" s="1384" t="str">
        <f>Translations!$B$126</f>
        <v>Fakss:</v>
      </c>
      <c r="H66" s="1374"/>
      <c r="I66" s="1375"/>
      <c r="J66" s="1400"/>
      <c r="K66" s="1401"/>
      <c r="L66" s="1401"/>
      <c r="M66" s="1401"/>
      <c r="N66" s="1401"/>
      <c r="O66" s="25"/>
    </row>
    <row r="67" spans="2:16" ht="5.0999999999999996" customHeight="1" x14ac:dyDescent="0.2">
      <c r="B67" s="21"/>
      <c r="C67" s="21"/>
      <c r="D67" s="21"/>
      <c r="E67" s="21"/>
      <c r="F67" s="21"/>
      <c r="G67" s="21"/>
      <c r="H67" s="21"/>
      <c r="I67" s="21"/>
      <c r="J67" s="21"/>
      <c r="K67" s="21"/>
      <c r="L67" s="21"/>
      <c r="M67" s="25"/>
      <c r="N67" s="25"/>
      <c r="O67" s="25"/>
      <c r="P67" s="624"/>
    </row>
    <row r="68" spans="2:16" x14ac:dyDescent="0.2">
      <c r="B68" s="38"/>
      <c r="C68" s="38"/>
      <c r="D68" s="230" t="s">
        <v>212</v>
      </c>
      <c r="E68" s="1383" t="str">
        <f>Translations!$B$127</f>
        <v>Iekārtas adrese:</v>
      </c>
      <c r="F68" s="1251"/>
      <c r="G68" s="1251"/>
      <c r="H68" s="1251"/>
      <c r="I68" s="1251"/>
      <c r="J68" s="1251"/>
      <c r="K68" s="1251"/>
      <c r="L68" s="1251"/>
      <c r="M68" s="1251"/>
      <c r="N68" s="1251"/>
      <c r="O68" s="25"/>
    </row>
    <row r="69" spans="2:16" x14ac:dyDescent="0.2">
      <c r="B69" s="38"/>
      <c r="C69" s="38"/>
      <c r="D69" s="233"/>
      <c r="E69" s="231"/>
      <c r="F69" s="358" t="s">
        <v>2</v>
      </c>
      <c r="G69" s="1380" t="str">
        <f>Translations!$B$119</f>
        <v>Iela, mājas numurs:</v>
      </c>
      <c r="H69" s="1381"/>
      <c r="I69" s="1382"/>
      <c r="J69" s="1371"/>
      <c r="K69" s="1372"/>
      <c r="L69" s="1372"/>
      <c r="M69" s="1372"/>
      <c r="N69" s="1372"/>
      <c r="O69" s="25"/>
    </row>
    <row r="70" spans="2:16" x14ac:dyDescent="0.2">
      <c r="B70" s="38"/>
      <c r="C70" s="38"/>
      <c r="D70" s="233"/>
      <c r="E70" s="231"/>
      <c r="F70" s="358" t="s">
        <v>3</v>
      </c>
      <c r="G70" s="1368" t="str">
        <f>Translations!$B$120</f>
        <v>Pasta indekss:</v>
      </c>
      <c r="H70" s="1369"/>
      <c r="I70" s="1370"/>
      <c r="J70" s="1361"/>
      <c r="K70" s="1362"/>
      <c r="L70" s="1362"/>
      <c r="M70" s="1362"/>
      <c r="N70" s="1362"/>
      <c r="O70" s="25"/>
    </row>
    <row r="71" spans="2:16" x14ac:dyDescent="0.2">
      <c r="B71" s="38"/>
      <c r="C71" s="38"/>
      <c r="D71" s="233"/>
      <c r="E71" s="231"/>
      <c r="F71" s="358" t="s">
        <v>4</v>
      </c>
      <c r="G71" s="1368" t="str">
        <f>Translations!$B$121</f>
        <v>Pilsēta:</v>
      </c>
      <c r="H71" s="1369"/>
      <c r="I71" s="1370"/>
      <c r="J71" s="1361"/>
      <c r="K71" s="1362"/>
      <c r="L71" s="1362"/>
      <c r="M71" s="1362"/>
      <c r="N71" s="1362"/>
      <c r="O71" s="25"/>
    </row>
    <row r="72" spans="2:16" x14ac:dyDescent="0.2">
      <c r="B72" s="38"/>
      <c r="C72" s="38"/>
      <c r="D72" s="233"/>
      <c r="E72" s="231"/>
      <c r="F72" s="358" t="s">
        <v>6</v>
      </c>
      <c r="G72" s="1384" t="str">
        <f>Translations!$B$122</f>
        <v>Valsts:</v>
      </c>
      <c r="H72" s="1374"/>
      <c r="I72" s="1375"/>
      <c r="J72" s="1400"/>
      <c r="K72" s="1401"/>
      <c r="L72" s="1401"/>
      <c r="M72" s="1401"/>
      <c r="N72" s="1401"/>
      <c r="O72" s="25"/>
    </row>
    <row r="73" spans="2:16" ht="5.0999999999999996" customHeight="1" x14ac:dyDescent="0.2">
      <c r="B73" s="21"/>
      <c r="C73" s="21"/>
      <c r="D73" s="21"/>
      <c r="E73" s="21"/>
      <c r="F73" s="21"/>
      <c r="G73" s="21"/>
      <c r="H73" s="21"/>
      <c r="I73" s="21"/>
      <c r="J73" s="21"/>
      <c r="K73" s="21"/>
      <c r="L73" s="21"/>
      <c r="M73" s="25"/>
      <c r="N73" s="25"/>
      <c r="O73" s="25"/>
      <c r="P73" s="624"/>
    </row>
    <row r="74" spans="2:16" ht="15" x14ac:dyDescent="0.25">
      <c r="B74" s="38"/>
      <c r="C74" s="36">
        <v>2</v>
      </c>
      <c r="D74" s="1318" t="str">
        <f>Translations!$B$128</f>
        <v>Kontaktpersonas:</v>
      </c>
      <c r="E74" s="1251"/>
      <c r="F74" s="1251"/>
      <c r="G74" s="1251"/>
      <c r="H74" s="1251"/>
      <c r="I74" s="1251"/>
      <c r="J74" s="1251"/>
      <c r="K74" s="1251"/>
      <c r="L74" s="1251"/>
      <c r="M74" s="1251"/>
      <c r="N74" s="1251"/>
      <c r="O74" s="25"/>
    </row>
    <row r="75" spans="2:16" x14ac:dyDescent="0.2">
      <c r="B75" s="38"/>
      <c r="C75" s="38"/>
      <c r="D75" s="38"/>
      <c r="E75" s="1319" t="str">
        <f>Translations!$B$129</f>
        <v>Norādiet kontaktpersonas, ar kurām kompetentā iestāde var sazināties, ja tai radušies jautājumi par šo ziņojumu, arī par tā verifikāciju.</v>
      </c>
      <c r="F75" s="1251"/>
      <c r="G75" s="1251"/>
      <c r="H75" s="1251"/>
      <c r="I75" s="1251"/>
      <c r="J75" s="1251"/>
      <c r="K75" s="1251"/>
      <c r="L75" s="1251"/>
      <c r="M75" s="1251"/>
      <c r="N75" s="1251"/>
      <c r="O75" s="25"/>
    </row>
    <row r="76" spans="2:16" ht="5.0999999999999996" customHeight="1" x14ac:dyDescent="0.2">
      <c r="B76" s="21"/>
      <c r="C76" s="21"/>
      <c r="D76" s="21"/>
      <c r="E76" s="21"/>
      <c r="F76" s="21"/>
      <c r="G76" s="21"/>
      <c r="H76" s="21"/>
      <c r="I76" s="21"/>
      <c r="J76" s="21"/>
      <c r="K76" s="21"/>
      <c r="L76" s="21"/>
      <c r="M76" s="25"/>
      <c r="N76" s="25"/>
      <c r="O76" s="25"/>
      <c r="P76" s="624"/>
    </row>
    <row r="77" spans="2:16" x14ac:dyDescent="0.2">
      <c r="B77" s="38"/>
      <c r="C77" s="38"/>
      <c r="D77" s="230" t="s">
        <v>165</v>
      </c>
      <c r="E77" s="1250" t="str">
        <f>Translations!$B$130</f>
        <v>Par šo iekārtu atbildīgā operatora pilnvarotais pārstāvis:</v>
      </c>
      <c r="F77" s="1251"/>
      <c r="G77" s="1251"/>
      <c r="H77" s="1251"/>
      <c r="I77" s="1251"/>
      <c r="J77" s="1251"/>
      <c r="K77" s="1251"/>
      <c r="L77" s="1251"/>
      <c r="M77" s="1251"/>
      <c r="N77" s="1251"/>
      <c r="O77" s="25"/>
    </row>
    <row r="78" spans="2:16" x14ac:dyDescent="0.2">
      <c r="B78" s="38"/>
      <c r="C78" s="38"/>
      <c r="D78" s="233"/>
      <c r="E78" s="231"/>
      <c r="F78" s="358" t="s">
        <v>2</v>
      </c>
      <c r="G78" s="1380" t="str">
        <f>Translations!$B$131</f>
        <v>Vārds vai nosaukums:</v>
      </c>
      <c r="H78" s="1381"/>
      <c r="I78" s="1382"/>
      <c r="J78" s="1371"/>
      <c r="K78" s="1372"/>
      <c r="L78" s="1372"/>
      <c r="M78" s="1372"/>
      <c r="N78" s="1372"/>
      <c r="O78" s="25"/>
    </row>
    <row r="79" spans="2:16" x14ac:dyDescent="0.2">
      <c r="B79" s="38"/>
      <c r="C79" s="38"/>
      <c r="D79" s="233"/>
      <c r="E79" s="231"/>
      <c r="F79" s="358" t="s">
        <v>3</v>
      </c>
      <c r="G79" s="1368" t="str">
        <f>Translations!$B$124</f>
        <v>E-pasts:</v>
      </c>
      <c r="H79" s="1369"/>
      <c r="I79" s="1370"/>
      <c r="J79" s="1361"/>
      <c r="K79" s="1362"/>
      <c r="L79" s="1362"/>
      <c r="M79" s="1362"/>
      <c r="N79" s="1362"/>
      <c r="O79" s="25"/>
    </row>
    <row r="80" spans="2:16" x14ac:dyDescent="0.2">
      <c r="B80" s="38"/>
      <c r="C80" s="38"/>
      <c r="D80" s="233"/>
      <c r="E80" s="231"/>
      <c r="F80" s="358" t="s">
        <v>4</v>
      </c>
      <c r="G80" s="1368" t="str">
        <f>Translations!$B$125</f>
        <v>Tālr.:</v>
      </c>
      <c r="H80" s="1369"/>
      <c r="I80" s="1370"/>
      <c r="J80" s="1361"/>
      <c r="K80" s="1362"/>
      <c r="L80" s="1362"/>
      <c r="M80" s="1362"/>
      <c r="N80" s="1362"/>
      <c r="O80" s="25"/>
    </row>
    <row r="81" spans="2:16" x14ac:dyDescent="0.2">
      <c r="B81" s="38"/>
      <c r="C81" s="38"/>
      <c r="D81" s="233"/>
      <c r="E81" s="231"/>
      <c r="F81" s="358" t="s">
        <v>6</v>
      </c>
      <c r="G81" s="1384" t="str">
        <f>Translations!$B$126</f>
        <v>Fakss:</v>
      </c>
      <c r="H81" s="1374"/>
      <c r="I81" s="1375"/>
      <c r="J81" s="1400"/>
      <c r="K81" s="1401"/>
      <c r="L81" s="1401"/>
      <c r="M81" s="1401"/>
      <c r="N81" s="1401"/>
      <c r="O81" s="25"/>
    </row>
    <row r="82" spans="2:16" ht="5.0999999999999996" customHeight="1" x14ac:dyDescent="0.2">
      <c r="B82" s="21"/>
      <c r="C82" s="21"/>
      <c r="D82" s="21"/>
      <c r="E82" s="21"/>
      <c r="F82" s="21"/>
      <c r="G82" s="21"/>
      <c r="H82" s="21"/>
      <c r="I82" s="21"/>
      <c r="J82" s="21"/>
      <c r="K82" s="21"/>
      <c r="L82" s="21"/>
      <c r="M82" s="25"/>
      <c r="N82" s="25"/>
      <c r="O82" s="25"/>
      <c r="P82" s="624"/>
    </row>
    <row r="83" spans="2:16" x14ac:dyDescent="0.2">
      <c r="B83" s="38"/>
      <c r="C83" s="38"/>
      <c r="D83" s="230" t="s">
        <v>339</v>
      </c>
      <c r="E83" s="1250" t="str">
        <f>Translations!$B$132</f>
        <v>Primārā kontaktpersona tehniskiem jautājumiem par iekārtas datiem, ja tā nav a) punktā norādītā persona:</v>
      </c>
      <c r="F83" s="1251"/>
      <c r="G83" s="1251"/>
      <c r="H83" s="1251"/>
      <c r="I83" s="1251"/>
      <c r="J83" s="1251"/>
      <c r="K83" s="1251"/>
      <c r="L83" s="1251"/>
      <c r="M83" s="1251"/>
      <c r="N83" s="1251"/>
      <c r="O83" s="25"/>
    </row>
    <row r="84" spans="2:16" x14ac:dyDescent="0.2">
      <c r="B84" s="38"/>
      <c r="C84" s="38"/>
      <c r="D84" s="233"/>
      <c r="E84" s="231"/>
      <c r="F84" s="358" t="s">
        <v>2</v>
      </c>
      <c r="G84" s="1380" t="str">
        <f>Translations!$B$131</f>
        <v>Vārds vai nosaukums:</v>
      </c>
      <c r="H84" s="1381"/>
      <c r="I84" s="1382"/>
      <c r="J84" s="1385"/>
      <c r="K84" s="1386"/>
      <c r="L84" s="1386"/>
      <c r="M84" s="1386"/>
      <c r="N84" s="1386"/>
      <c r="O84" s="25"/>
    </row>
    <row r="85" spans="2:16" x14ac:dyDescent="0.2">
      <c r="B85" s="38"/>
      <c r="C85" s="38"/>
      <c r="D85" s="233"/>
      <c r="E85" s="231"/>
      <c r="F85" s="358" t="s">
        <v>3</v>
      </c>
      <c r="G85" s="1368" t="str">
        <f>Translations!$B$124</f>
        <v>E-pasts:</v>
      </c>
      <c r="H85" s="1369"/>
      <c r="I85" s="1370"/>
      <c r="J85" s="1396"/>
      <c r="K85" s="1397"/>
      <c r="L85" s="1397"/>
      <c r="M85" s="1397"/>
      <c r="N85" s="1397"/>
      <c r="O85" s="25"/>
    </row>
    <row r="86" spans="2:16" x14ac:dyDescent="0.2">
      <c r="B86" s="38"/>
      <c r="C86" s="38"/>
      <c r="D86" s="233"/>
      <c r="E86" s="231"/>
      <c r="F86" s="358" t="s">
        <v>4</v>
      </c>
      <c r="G86" s="1368" t="str">
        <f>Translations!$B$125</f>
        <v>Tālr.:</v>
      </c>
      <c r="H86" s="1369"/>
      <c r="I86" s="1370"/>
      <c r="J86" s="1396"/>
      <c r="K86" s="1397"/>
      <c r="L86" s="1397"/>
      <c r="M86" s="1397"/>
      <c r="N86" s="1397"/>
      <c r="O86" s="25"/>
    </row>
    <row r="87" spans="2:16" x14ac:dyDescent="0.2">
      <c r="B87" s="38"/>
      <c r="C87" s="38"/>
      <c r="D87" s="233"/>
      <c r="E87" s="231"/>
      <c r="F87" s="358" t="s">
        <v>6</v>
      </c>
      <c r="G87" s="1384" t="str">
        <f>Translations!$B$126</f>
        <v>Fakss:</v>
      </c>
      <c r="H87" s="1374"/>
      <c r="I87" s="1375"/>
      <c r="J87" s="1400"/>
      <c r="K87" s="1401"/>
      <c r="L87" s="1401"/>
      <c r="M87" s="1401"/>
      <c r="N87" s="1401"/>
      <c r="O87" s="25"/>
    </row>
    <row r="88" spans="2:16" ht="5.0999999999999996" customHeight="1" x14ac:dyDescent="0.2">
      <c r="B88" s="21"/>
      <c r="C88" s="21"/>
      <c r="D88" s="21"/>
      <c r="E88" s="21"/>
      <c r="F88" s="21"/>
      <c r="G88" s="21"/>
      <c r="H88" s="21"/>
      <c r="I88" s="21"/>
      <c r="J88" s="21"/>
      <c r="K88" s="21"/>
      <c r="L88" s="21"/>
      <c r="M88" s="25"/>
      <c r="N88" s="25"/>
      <c r="O88" s="25"/>
      <c r="P88" s="624"/>
    </row>
    <row r="89" spans="2:16" ht="15" x14ac:dyDescent="0.25">
      <c r="B89" s="38"/>
      <c r="C89" s="36">
        <v>3</v>
      </c>
      <c r="D89" s="1318" t="str">
        <f>Translations!$B$133</f>
        <v>Šā bāzlīnijas datu ziņojuma verificētājs:</v>
      </c>
      <c r="E89" s="1251"/>
      <c r="F89" s="1251"/>
      <c r="G89" s="1251"/>
      <c r="H89" s="1251"/>
      <c r="I89" s="1251"/>
      <c r="J89" s="1251"/>
      <c r="K89" s="1251"/>
      <c r="L89" s="1251"/>
      <c r="M89" s="1251"/>
      <c r="N89" s="1251"/>
      <c r="O89" s="25"/>
    </row>
    <row r="90" spans="2:16" ht="5.0999999999999996" customHeight="1" x14ac:dyDescent="0.2">
      <c r="B90" s="21"/>
      <c r="C90" s="21"/>
      <c r="D90" s="21"/>
      <c r="E90" s="21"/>
      <c r="F90" s="21"/>
      <c r="G90" s="21"/>
      <c r="H90" s="21"/>
      <c r="I90" s="21"/>
      <c r="J90" s="21"/>
      <c r="K90" s="21"/>
      <c r="L90" s="21"/>
      <c r="M90" s="25"/>
      <c r="N90" s="25"/>
      <c r="O90" s="25"/>
      <c r="P90" s="624"/>
    </row>
    <row r="91" spans="2:16" x14ac:dyDescent="0.2">
      <c r="B91" s="38"/>
      <c r="C91" s="38"/>
      <c r="D91" s="234" t="s">
        <v>165</v>
      </c>
      <c r="E91" s="1415" t="str">
        <f>Translations!$B$134</f>
        <v>Šā bāzes datu ziņojuma verificētāja vārds vai nosaukums un adrese:</v>
      </c>
      <c r="F91" s="1251"/>
      <c r="G91" s="1251"/>
      <c r="H91" s="1251"/>
      <c r="I91" s="1251"/>
      <c r="J91" s="1251"/>
      <c r="K91" s="1251"/>
      <c r="L91" s="1251"/>
      <c r="M91" s="1251"/>
      <c r="N91" s="1251"/>
      <c r="O91" s="25"/>
    </row>
    <row r="92" spans="2:16" x14ac:dyDescent="0.2">
      <c r="B92" s="38"/>
      <c r="C92" s="38"/>
      <c r="D92" s="235"/>
      <c r="E92" s="234"/>
      <c r="F92" s="358" t="s">
        <v>2</v>
      </c>
      <c r="G92" s="1378" t="str">
        <f>Translations!$B$135</f>
        <v>Uzņēmuma nosaukums:</v>
      </c>
      <c r="H92" s="1378"/>
      <c r="I92" s="1379"/>
      <c r="J92" s="1371"/>
      <c r="K92" s="1372"/>
      <c r="L92" s="1372"/>
      <c r="M92" s="1372"/>
      <c r="N92" s="1372"/>
      <c r="O92" s="25"/>
    </row>
    <row r="93" spans="2:16" x14ac:dyDescent="0.2">
      <c r="B93" s="38"/>
      <c r="C93" s="38"/>
      <c r="D93" s="235"/>
      <c r="E93" s="236"/>
      <c r="F93" s="358" t="s">
        <v>3</v>
      </c>
      <c r="G93" s="1368" t="str">
        <f>Translations!$B$119</f>
        <v>Iela, mājas numurs:</v>
      </c>
      <c r="H93" s="1369"/>
      <c r="I93" s="1370"/>
      <c r="J93" s="1361"/>
      <c r="K93" s="1362"/>
      <c r="L93" s="1362"/>
      <c r="M93" s="1362"/>
      <c r="N93" s="1362"/>
      <c r="O93" s="25"/>
    </row>
    <row r="94" spans="2:16" x14ac:dyDescent="0.2">
      <c r="B94" s="38"/>
      <c r="C94" s="38"/>
      <c r="D94" s="237"/>
      <c r="E94" s="236"/>
      <c r="F94" s="358" t="s">
        <v>4</v>
      </c>
      <c r="G94" s="1363" t="str">
        <f>Translations!$B$121</f>
        <v>Pilsēta:</v>
      </c>
      <c r="H94" s="1369"/>
      <c r="I94" s="1370"/>
      <c r="J94" s="1361"/>
      <c r="K94" s="1362"/>
      <c r="L94" s="1362"/>
      <c r="M94" s="1362"/>
      <c r="N94" s="1362"/>
      <c r="O94" s="25"/>
    </row>
    <row r="95" spans="2:16" x14ac:dyDescent="0.2">
      <c r="B95" s="38"/>
      <c r="C95" s="38"/>
      <c r="D95" s="237"/>
      <c r="E95" s="236"/>
      <c r="F95" s="358" t="s">
        <v>6</v>
      </c>
      <c r="G95" s="1363" t="str">
        <f>Translations!$B$136</f>
        <v>Pasta indekss:</v>
      </c>
      <c r="H95" s="1369"/>
      <c r="I95" s="1370"/>
      <c r="J95" s="1361"/>
      <c r="K95" s="1362"/>
      <c r="L95" s="1362"/>
      <c r="M95" s="1362"/>
      <c r="N95" s="1362"/>
      <c r="O95" s="25"/>
    </row>
    <row r="96" spans="2:16" x14ac:dyDescent="0.2">
      <c r="B96" s="38"/>
      <c r="C96" s="38"/>
      <c r="D96" s="237"/>
      <c r="E96" s="236"/>
      <c r="F96" s="358" t="s">
        <v>303</v>
      </c>
      <c r="G96" s="1373" t="str">
        <f>Translations!$B$122</f>
        <v>Valsts:</v>
      </c>
      <c r="H96" s="1374"/>
      <c r="I96" s="1375"/>
      <c r="J96" s="1359"/>
      <c r="K96" s="1360"/>
      <c r="L96" s="1360"/>
      <c r="M96" s="1360"/>
      <c r="N96" s="1360"/>
      <c r="O96" s="25"/>
    </row>
    <row r="97" spans="2:16" ht="5.0999999999999996" customHeight="1" x14ac:dyDescent="0.2">
      <c r="B97" s="21"/>
      <c r="C97" s="21"/>
      <c r="D97" s="21"/>
      <c r="E97" s="21"/>
      <c r="F97" s="21"/>
      <c r="G97" s="25"/>
      <c r="H97" s="25"/>
      <c r="I97" s="21"/>
      <c r="J97" s="21"/>
      <c r="K97" s="21"/>
      <c r="L97" s="21"/>
      <c r="M97" s="25"/>
      <c r="N97" s="25"/>
      <c r="O97" s="25"/>
      <c r="P97" s="624"/>
    </row>
    <row r="98" spans="2:16" x14ac:dyDescent="0.2">
      <c r="B98" s="38"/>
      <c r="C98" s="38"/>
      <c r="D98" s="234" t="s">
        <v>339</v>
      </c>
      <c r="E98" s="1367" t="str">
        <f>Translations!$B$137</f>
        <v>Verificētāja pilnvarotais pārstāvis:</v>
      </c>
      <c r="F98" s="1251"/>
      <c r="G98" s="1251"/>
      <c r="H98" s="1251"/>
      <c r="I98" s="1251"/>
      <c r="J98" s="1251"/>
      <c r="K98" s="1251"/>
      <c r="L98" s="1251"/>
      <c r="M98" s="1251"/>
      <c r="N98" s="1251"/>
      <c r="O98" s="25"/>
    </row>
    <row r="99" spans="2:16" x14ac:dyDescent="0.2">
      <c r="B99" s="38"/>
      <c r="C99" s="38"/>
      <c r="D99" s="237"/>
      <c r="E99" s="1319" t="str">
        <f>Translations!$B$138</f>
        <v>Norādītajai personai jābūt lietas kursā par šo ziņojumu. Vēlams, lai tā būtu galvenais šā ziņojuma verificētājs.</v>
      </c>
      <c r="F99" s="1251"/>
      <c r="G99" s="1251"/>
      <c r="H99" s="1251"/>
      <c r="I99" s="1251"/>
      <c r="J99" s="1251"/>
      <c r="K99" s="1251"/>
      <c r="L99" s="1251"/>
      <c r="M99" s="1251"/>
      <c r="N99" s="1251"/>
      <c r="O99" s="25"/>
    </row>
    <row r="100" spans="2:16" x14ac:dyDescent="0.2">
      <c r="B100" s="38"/>
      <c r="C100" s="38"/>
      <c r="D100" s="237"/>
      <c r="E100" s="236"/>
      <c r="F100" s="358" t="s">
        <v>2</v>
      </c>
      <c r="G100" s="1378" t="str">
        <f>Translations!$B$131</f>
        <v>Vārds vai nosaukums:</v>
      </c>
      <c r="H100" s="1378"/>
      <c r="I100" s="1379"/>
      <c r="J100" s="1371"/>
      <c r="K100" s="1372"/>
      <c r="L100" s="1372"/>
      <c r="M100" s="1372"/>
      <c r="N100" s="1372"/>
      <c r="O100" s="25"/>
    </row>
    <row r="101" spans="2:16" x14ac:dyDescent="0.2">
      <c r="B101" s="38"/>
      <c r="C101" s="38"/>
      <c r="D101" s="235"/>
      <c r="E101" s="236"/>
      <c r="F101" s="358" t="s">
        <v>3</v>
      </c>
      <c r="G101" s="1363" t="str">
        <f>Translations!$B$139</f>
        <v>E-pasta adrese:</v>
      </c>
      <c r="H101" s="1363"/>
      <c r="I101" s="1364"/>
      <c r="J101" s="1361"/>
      <c r="K101" s="1362"/>
      <c r="L101" s="1362"/>
      <c r="M101" s="1362"/>
      <c r="N101" s="1362"/>
      <c r="O101" s="25"/>
    </row>
    <row r="102" spans="2:16" x14ac:dyDescent="0.2">
      <c r="B102" s="38"/>
      <c r="C102" s="38"/>
      <c r="D102" s="235"/>
      <c r="E102" s="236"/>
      <c r="F102" s="358" t="s">
        <v>4</v>
      </c>
      <c r="G102" s="1363" t="str">
        <f>Translations!$B$140</f>
        <v>Tālr.:</v>
      </c>
      <c r="H102" s="1363"/>
      <c r="I102" s="1364"/>
      <c r="J102" s="1361"/>
      <c r="K102" s="1362"/>
      <c r="L102" s="1362"/>
      <c r="M102" s="1362"/>
      <c r="N102" s="1362"/>
      <c r="O102" s="25"/>
    </row>
    <row r="103" spans="2:16" x14ac:dyDescent="0.2">
      <c r="B103" s="38"/>
      <c r="C103" s="38"/>
      <c r="D103" s="233"/>
      <c r="E103" s="231"/>
      <c r="F103" s="358" t="s">
        <v>6</v>
      </c>
      <c r="G103" s="1384" t="str">
        <f>Translations!$B$126</f>
        <v>Fakss:</v>
      </c>
      <c r="H103" s="1374"/>
      <c r="I103" s="1375"/>
      <c r="J103" s="1376"/>
      <c r="K103" s="1377"/>
      <c r="L103" s="1377"/>
      <c r="M103" s="1377"/>
      <c r="N103" s="1377"/>
      <c r="O103" s="25"/>
    </row>
    <row r="104" spans="2:16" ht="5.0999999999999996" customHeight="1" x14ac:dyDescent="0.2">
      <c r="B104" s="21"/>
      <c r="C104" s="21"/>
      <c r="D104" s="21"/>
      <c r="E104" s="21"/>
      <c r="F104" s="21"/>
      <c r="G104" s="21"/>
      <c r="H104" s="21"/>
      <c r="I104" s="21"/>
      <c r="J104" s="21"/>
      <c r="K104" s="21"/>
      <c r="L104" s="21"/>
      <c r="M104" s="25"/>
      <c r="N104" s="25"/>
      <c r="O104" s="25"/>
      <c r="P104" s="624"/>
    </row>
    <row r="105" spans="2:16" ht="12.75" customHeight="1" x14ac:dyDescent="0.2">
      <c r="B105" s="38"/>
      <c r="C105" s="38"/>
      <c r="D105" s="234" t="s">
        <v>11</v>
      </c>
      <c r="E105" s="1367" t="str">
        <f>Translations!$B$141</f>
        <v>Informācija par verificētāja akreditāciju:</v>
      </c>
      <c r="F105" s="1251"/>
      <c r="G105" s="1251"/>
      <c r="H105" s="1251"/>
      <c r="I105" s="1251"/>
      <c r="J105" s="1251"/>
      <c r="K105" s="1251"/>
      <c r="L105" s="1251"/>
      <c r="M105" s="1251"/>
      <c r="N105" s="1251"/>
      <c r="O105" s="25"/>
    </row>
    <row r="106" spans="2:16" x14ac:dyDescent="0.2">
      <c r="B106" s="38"/>
      <c r="C106" s="38"/>
      <c r="D106" s="235"/>
      <c r="E106" s="234"/>
      <c r="F106" s="358" t="s">
        <v>2</v>
      </c>
      <c r="G106" s="1378" t="str">
        <f>Translations!$B$142</f>
        <v>Akreditācijas dalībvalsts:</v>
      </c>
      <c r="H106" s="1378"/>
      <c r="I106" s="1379"/>
      <c r="J106" s="1371"/>
      <c r="K106" s="1372"/>
      <c r="L106" s="1372"/>
      <c r="M106" s="1372"/>
      <c r="N106" s="1372"/>
      <c r="O106" s="25"/>
    </row>
    <row r="107" spans="2:16" x14ac:dyDescent="0.2">
      <c r="B107" s="38"/>
      <c r="C107" s="38"/>
      <c r="D107" s="235"/>
      <c r="E107" s="234"/>
      <c r="F107" s="358" t="s">
        <v>3</v>
      </c>
      <c r="G107" s="1363" t="str">
        <f>Translations!$B$143</f>
        <v>Valsts akreditācijas struktūras nosaukums:</v>
      </c>
      <c r="H107" s="1363"/>
      <c r="I107" s="1364"/>
      <c r="J107" s="1361"/>
      <c r="K107" s="1362"/>
      <c r="L107" s="1362"/>
      <c r="M107" s="1362"/>
      <c r="N107" s="1362"/>
      <c r="O107" s="25"/>
    </row>
    <row r="108" spans="2:16" ht="25.5" customHeight="1" x14ac:dyDescent="0.2">
      <c r="B108" s="38"/>
      <c r="C108" s="38"/>
      <c r="D108" s="235"/>
      <c r="E108" s="234"/>
      <c r="F108" s="358" t="s">
        <v>4</v>
      </c>
      <c r="G108" s="1373" t="str">
        <f>Translations!$B$144</f>
        <v>Akreditācijas struktūras piešķirtais reģistrācijas numurs:</v>
      </c>
      <c r="H108" s="1373"/>
      <c r="I108" s="1462"/>
      <c r="J108" s="1359"/>
      <c r="K108" s="1360"/>
      <c r="L108" s="1360"/>
      <c r="M108" s="1360"/>
      <c r="N108" s="1360"/>
      <c r="O108" s="25"/>
    </row>
    <row r="109" spans="2:16" ht="5.0999999999999996" customHeight="1" x14ac:dyDescent="0.2">
      <c r="B109" s="21"/>
      <c r="C109" s="21"/>
      <c r="D109" s="21"/>
      <c r="E109" s="21"/>
      <c r="F109" s="21"/>
      <c r="G109" s="25"/>
      <c r="H109" s="25"/>
      <c r="I109" s="21"/>
      <c r="J109" s="21"/>
      <c r="K109" s="21"/>
      <c r="L109" s="21"/>
      <c r="M109" s="25"/>
      <c r="N109" s="25"/>
      <c r="O109" s="25"/>
      <c r="P109" s="624"/>
    </row>
    <row r="110" spans="2:16" ht="15" x14ac:dyDescent="0.25">
      <c r="B110" s="38"/>
      <c r="C110" s="36">
        <v>4</v>
      </c>
      <c r="D110" s="1318" t="str">
        <f>Translations!$B$145</f>
        <v>Papildu dati par iekārtu:</v>
      </c>
      <c r="E110" s="1251"/>
      <c r="F110" s="1251"/>
      <c r="G110" s="1251"/>
      <c r="H110" s="1251"/>
      <c r="I110" s="1251"/>
      <c r="J110" s="1251"/>
      <c r="K110" s="1251"/>
      <c r="L110" s="1251"/>
      <c r="M110" s="1251"/>
      <c r="N110" s="1251"/>
      <c r="O110" s="25"/>
    </row>
    <row r="111" spans="2:16" ht="5.0999999999999996" customHeight="1" x14ac:dyDescent="0.2">
      <c r="B111" s="21"/>
      <c r="C111" s="21"/>
      <c r="D111" s="21"/>
      <c r="E111" s="21"/>
      <c r="F111" s="21"/>
      <c r="G111" s="21"/>
      <c r="H111" s="21"/>
      <c r="I111" s="21"/>
      <c r="J111" s="21"/>
      <c r="K111" s="21"/>
      <c r="L111" s="21"/>
      <c r="M111" s="25"/>
      <c r="N111" s="25"/>
      <c r="O111" s="25"/>
      <c r="P111" s="624"/>
    </row>
    <row r="112" spans="2:16" x14ac:dyDescent="0.2">
      <c r="B112" s="38"/>
      <c r="C112" s="38"/>
      <c r="D112" s="230" t="s">
        <v>165</v>
      </c>
      <c r="E112" s="1250" t="str">
        <f>Translations!$B$146</f>
        <v>Darbības saskaņā ar ES ETS direktīvas I pielikumu:</v>
      </c>
      <c r="F112" s="1251"/>
      <c r="G112" s="1251"/>
      <c r="H112" s="1251"/>
      <c r="I112" s="1251"/>
      <c r="J112" s="1251"/>
      <c r="K112" s="1251"/>
      <c r="L112" s="1251"/>
      <c r="M112" s="1251"/>
      <c r="N112" s="1251"/>
      <c r="O112" s="25"/>
    </row>
    <row r="113" spans="2:24" x14ac:dyDescent="0.2">
      <c r="B113" s="38"/>
      <c r="C113" s="38"/>
      <c r="D113" s="34"/>
      <c r="E113" s="1319" t="str">
        <f>Translations!$B$147</f>
        <v>Šī informācija kompetentajām iestādēm ir svarīga tāpēc, ka var būt izmaiņas salīdzinājumā ar iepriekšējiem ETS posmiem.</v>
      </c>
      <c r="F113" s="1251"/>
      <c r="G113" s="1251"/>
      <c r="H113" s="1251"/>
      <c r="I113" s="1251"/>
      <c r="J113" s="1251"/>
      <c r="K113" s="1251"/>
      <c r="L113" s="1251"/>
      <c r="M113" s="1251"/>
      <c r="N113" s="1251"/>
      <c r="O113" s="25"/>
    </row>
    <row r="114" spans="2:24" x14ac:dyDescent="0.2">
      <c r="B114" s="38"/>
      <c r="C114" s="38"/>
      <c r="D114" s="34"/>
      <c r="E114" s="1319" t="str">
        <f>Translations!$B$148</f>
        <v>Ciktāl iespējams, sakārtojiet sarakstu pēc tiešajām emisijām, sākot ar darbībām, kas izraisa vislielākās tiešās emisijas.</v>
      </c>
      <c r="F114" s="1251"/>
      <c r="G114" s="1251"/>
      <c r="H114" s="1251"/>
      <c r="I114" s="1251"/>
      <c r="J114" s="1251"/>
      <c r="K114" s="1251"/>
      <c r="L114" s="1251"/>
      <c r="M114" s="1251"/>
      <c r="N114" s="1251"/>
      <c r="O114" s="25"/>
    </row>
    <row r="115" spans="2:24" ht="25.5" customHeight="1" thickBot="1" x14ac:dyDescent="0.25">
      <c r="B115" s="38"/>
      <c r="C115" s="38"/>
      <c r="D115" s="233"/>
      <c r="E115" s="1123" t="str">
        <f>Translations!$B$149</f>
        <v>Nr.</v>
      </c>
      <c r="F115" s="1348" t="str">
        <f>Translations!$B$150</f>
        <v>Darbības nosaukums (ETS direktīvas I pielikums)</v>
      </c>
      <c r="G115" s="1349"/>
      <c r="H115" s="1349"/>
      <c r="I115" s="1349"/>
      <c r="J115" s="1349"/>
      <c r="K115" s="1349"/>
      <c r="L115" s="1350"/>
      <c r="M115" s="1306" t="str">
        <f>Translations!$B$1552</f>
        <v>Kopējā nominālā ievadītā siltumjauda (MW)</v>
      </c>
      <c r="N115" s="1307"/>
      <c r="O115" s="25"/>
      <c r="P115" s="445" t="s">
        <v>299</v>
      </c>
    </row>
    <row r="116" spans="2:24" x14ac:dyDescent="0.2">
      <c r="B116" s="38"/>
      <c r="C116" s="38"/>
      <c r="D116" s="233"/>
      <c r="E116" s="240">
        <v>1</v>
      </c>
      <c r="F116" s="1463"/>
      <c r="G116" s="1464"/>
      <c r="H116" s="1464"/>
      <c r="I116" s="1464"/>
      <c r="J116" s="1464"/>
      <c r="K116" s="1464"/>
      <c r="L116" s="1465"/>
      <c r="M116" s="1308"/>
      <c r="N116" s="1309"/>
      <c r="O116" s="25"/>
      <c r="P116" s="632" t="str">
        <f t="shared" ref="P116:P121" si="0">IF(ISBLANK(F116),"",MATCH(F116,EUconst_AnnexIActivities,0))</f>
        <v/>
      </c>
      <c r="X116" s="453" t="str">
        <f t="shared" ref="X116:X121" si="1">IF(F116="","",NOT(INDEX(EUconst_AnnexIActivitiesMW,MATCH(F116,EUconst_AnnexIActivities,0))))</f>
        <v/>
      </c>
    </row>
    <row r="117" spans="2:24" x14ac:dyDescent="0.2">
      <c r="B117" s="38"/>
      <c r="C117" s="38"/>
      <c r="D117" s="233"/>
      <c r="E117" s="241">
        <f>E116+1</f>
        <v>2</v>
      </c>
      <c r="F117" s="1339"/>
      <c r="G117" s="1340"/>
      <c r="H117" s="1340"/>
      <c r="I117" s="1340"/>
      <c r="J117" s="1340"/>
      <c r="K117" s="1340"/>
      <c r="L117" s="1341"/>
      <c r="M117" s="1310"/>
      <c r="N117" s="1311"/>
      <c r="O117" s="25"/>
      <c r="P117" s="634" t="str">
        <f t="shared" si="0"/>
        <v/>
      </c>
      <c r="X117" s="453" t="str">
        <f t="shared" si="1"/>
        <v/>
      </c>
    </row>
    <row r="118" spans="2:24" x14ac:dyDescent="0.2">
      <c r="B118" s="38"/>
      <c r="C118" s="38"/>
      <c r="D118" s="233"/>
      <c r="E118" s="241">
        <f>E117+1</f>
        <v>3</v>
      </c>
      <c r="F118" s="1339"/>
      <c r="G118" s="1340"/>
      <c r="H118" s="1340"/>
      <c r="I118" s="1340"/>
      <c r="J118" s="1340"/>
      <c r="K118" s="1340"/>
      <c r="L118" s="1341"/>
      <c r="M118" s="1310"/>
      <c r="N118" s="1311"/>
      <c r="O118" s="25"/>
      <c r="P118" s="634" t="str">
        <f t="shared" si="0"/>
        <v/>
      </c>
      <c r="X118" s="453" t="str">
        <f t="shared" si="1"/>
        <v/>
      </c>
    </row>
    <row r="119" spans="2:24" x14ac:dyDescent="0.2">
      <c r="B119" s="38"/>
      <c r="C119" s="38"/>
      <c r="D119" s="233"/>
      <c r="E119" s="241">
        <f>E118+1</f>
        <v>4</v>
      </c>
      <c r="F119" s="1339"/>
      <c r="G119" s="1340"/>
      <c r="H119" s="1340"/>
      <c r="I119" s="1340"/>
      <c r="J119" s="1340"/>
      <c r="K119" s="1340"/>
      <c r="L119" s="1341"/>
      <c r="M119" s="1310"/>
      <c r="N119" s="1311"/>
      <c r="O119" s="25"/>
      <c r="P119" s="634" t="str">
        <f t="shared" si="0"/>
        <v/>
      </c>
      <c r="X119" s="453" t="str">
        <f t="shared" si="1"/>
        <v/>
      </c>
    </row>
    <row r="120" spans="2:24" x14ac:dyDescent="0.2">
      <c r="B120" s="38"/>
      <c r="C120" s="38"/>
      <c r="D120" s="233"/>
      <c r="E120" s="241">
        <f>E119+1</f>
        <v>5</v>
      </c>
      <c r="F120" s="1339"/>
      <c r="G120" s="1340"/>
      <c r="H120" s="1340"/>
      <c r="I120" s="1340"/>
      <c r="J120" s="1340"/>
      <c r="K120" s="1340"/>
      <c r="L120" s="1341"/>
      <c r="M120" s="1310"/>
      <c r="N120" s="1311"/>
      <c r="O120" s="25"/>
      <c r="P120" s="634" t="str">
        <f t="shared" si="0"/>
        <v/>
      </c>
      <c r="X120" s="453" t="str">
        <f t="shared" si="1"/>
        <v/>
      </c>
    </row>
    <row r="121" spans="2:24" ht="13.5" thickBot="1" x14ac:dyDescent="0.25">
      <c r="B121" s="38"/>
      <c r="C121" s="38"/>
      <c r="D121" s="233"/>
      <c r="E121" s="242">
        <v>6</v>
      </c>
      <c r="F121" s="1402"/>
      <c r="G121" s="1403"/>
      <c r="H121" s="1403"/>
      <c r="I121" s="1403"/>
      <c r="J121" s="1403"/>
      <c r="K121" s="1403"/>
      <c r="L121" s="1404"/>
      <c r="M121" s="1357"/>
      <c r="N121" s="1358"/>
      <c r="O121" s="25"/>
      <c r="P121" s="636" t="str">
        <f t="shared" si="0"/>
        <v/>
      </c>
      <c r="X121" s="453" t="str">
        <f t="shared" si="1"/>
        <v/>
      </c>
    </row>
    <row r="122" spans="2:24" ht="5.0999999999999996" customHeight="1" x14ac:dyDescent="0.2">
      <c r="B122" s="38"/>
      <c r="C122" s="38"/>
      <c r="D122" s="233"/>
      <c r="E122" s="231"/>
      <c r="F122" s="34"/>
      <c r="G122" s="34"/>
      <c r="H122" s="25"/>
      <c r="I122" s="25"/>
      <c r="J122" s="232"/>
      <c r="K122" s="232"/>
      <c r="L122" s="232"/>
      <c r="M122" s="38"/>
      <c r="N122" s="38"/>
      <c r="O122" s="25"/>
    </row>
    <row r="123" spans="2:24" x14ac:dyDescent="0.2">
      <c r="B123" s="38"/>
      <c r="C123" s="38"/>
      <c r="D123" s="230" t="s">
        <v>339</v>
      </c>
      <c r="E123" s="1250" t="str">
        <f>Translations!$B$1553</f>
        <v>Kuru NACE kodu jūsu uzņēmums vai attiecīgā gadījumā jūsu iekārta ir izmantojusi, lai paziņotu pievienoto vērtību uzņēmējdarbības strukturālās statistikas vajadzībām?</v>
      </c>
      <c r="F123" s="1251"/>
      <c r="G123" s="1251"/>
      <c r="H123" s="1251"/>
      <c r="I123" s="1251"/>
      <c r="J123" s="1251"/>
      <c r="K123" s="1251"/>
      <c r="L123" s="1251"/>
      <c r="M123" s="1251"/>
      <c r="N123" s="1251"/>
      <c r="O123" s="25"/>
    </row>
    <row r="124" spans="2:24" x14ac:dyDescent="0.2">
      <c r="B124" s="38"/>
      <c r="C124" s="38"/>
      <c r="D124" s="34"/>
      <c r="E124" s="1319" t="str">
        <f>Translations!$B$152</f>
        <v>Ja droši nezināt, kādas vērtības šeit ievadāmas, sazinieties ar attiecīgo valsts statistikas biroju.</v>
      </c>
      <c r="F124" s="1251"/>
      <c r="G124" s="1251"/>
      <c r="H124" s="1251"/>
      <c r="I124" s="1251"/>
      <c r="J124" s="1251"/>
      <c r="K124" s="1251"/>
      <c r="L124" s="1251"/>
      <c r="M124" s="1251"/>
      <c r="N124" s="1251"/>
      <c r="O124" s="25"/>
    </row>
    <row r="125" spans="2:24" ht="12.75" customHeight="1" x14ac:dyDescent="0.2">
      <c r="B125" s="38"/>
      <c r="C125" s="38"/>
      <c r="D125" s="34"/>
      <c r="E125" s="1319" t="str">
        <f>Translations!$B$153</f>
        <v xml:space="preserve">NACE 2.0 red. ir pieejama šeit: </v>
      </c>
      <c r="F125" s="1251"/>
      <c r="G125" s="1251"/>
      <c r="H125" s="1251"/>
      <c r="I125" s="1251"/>
      <c r="J125" s="1251"/>
      <c r="K125" s="1251"/>
      <c r="L125" s="1251"/>
      <c r="M125" s="1251"/>
      <c r="N125" s="1251"/>
      <c r="O125" s="25"/>
    </row>
    <row r="126" spans="2:24" ht="12.75" customHeight="1" x14ac:dyDescent="0.2">
      <c r="B126" s="38"/>
      <c r="C126" s="38"/>
      <c r="D126" s="34"/>
      <c r="E126" s="1420" t="str">
        <f>Translations!$B$154</f>
        <v>http://ec.europa.eu/eurostat/ramon/nomenclatures/index.cfm?TargetUrl=LST_CLS_DLD&amp;StrNom=NACE_REV2&amp;StrLanguageCode=EN&amp;StrLayoutCode=HIERARCHIC</v>
      </c>
      <c r="F126" s="1420"/>
      <c r="G126" s="1420"/>
      <c r="H126" s="1420"/>
      <c r="I126" s="1420"/>
      <c r="J126" s="1420"/>
      <c r="K126" s="1420"/>
      <c r="L126" s="1420"/>
      <c r="M126" s="1420"/>
      <c r="N126" s="1420"/>
      <c r="O126" s="25"/>
    </row>
    <row r="127" spans="2:24" x14ac:dyDescent="0.2">
      <c r="B127" s="38"/>
      <c r="C127" s="38"/>
      <c r="D127" s="34"/>
      <c r="E127" s="1343" t="str">
        <f>Translations!$B$155</f>
        <v>NACE kodi jāievada 4 ciparu līmenī formā “nnnn”, t. i., bez punktiem vai citām atdalītājzīmēm.</v>
      </c>
      <c r="F127" s="1344"/>
      <c r="G127" s="1344"/>
      <c r="H127" s="1344"/>
      <c r="I127" s="1344"/>
      <c r="J127" s="1344"/>
      <c r="K127" s="1344"/>
      <c r="L127" s="1344"/>
      <c r="M127" s="1344"/>
      <c r="N127" s="1344"/>
      <c r="O127" s="25"/>
    </row>
    <row r="128" spans="2:24" x14ac:dyDescent="0.2">
      <c r="B128" s="38"/>
      <c r="C128" s="38"/>
      <c r="D128" s="34"/>
      <c r="E128" s="1319" t="str">
        <f>Translations!$B$156</f>
        <v>Ja neievadīsit tieši 4 ciparus, tiks parādīts kļūdas ziņojums.</v>
      </c>
      <c r="F128" s="1251"/>
      <c r="G128" s="1251"/>
      <c r="H128" s="1251"/>
      <c r="I128" s="1251"/>
      <c r="J128" s="1251"/>
      <c r="K128" s="1251"/>
      <c r="L128" s="1251"/>
      <c r="M128" s="1251"/>
      <c r="N128" s="1251"/>
      <c r="O128" s="25"/>
    </row>
    <row r="129" spans="1:24" x14ac:dyDescent="0.2">
      <c r="B129" s="38"/>
      <c r="C129" s="38"/>
      <c r="D129" s="233"/>
      <c r="E129" s="356"/>
      <c r="F129" s="1347" t="str">
        <f>Translations!$B$157</f>
        <v>Paziņotais NACE kods saskaņā ar NACE 2. red. klasifikāciju:</v>
      </c>
      <c r="G129" s="1251"/>
      <c r="H129" s="1251"/>
      <c r="I129" s="1251"/>
      <c r="J129" s="1251"/>
      <c r="K129" s="1328"/>
      <c r="L129" s="375"/>
      <c r="M129" s="38"/>
      <c r="N129" s="38"/>
      <c r="O129" s="25"/>
      <c r="P129" s="802" t="s">
        <v>539</v>
      </c>
    </row>
    <row r="130" spans="1:24" ht="5.0999999999999996" customHeight="1" x14ac:dyDescent="0.2">
      <c r="B130" s="38"/>
      <c r="C130" s="38"/>
      <c r="D130" s="233"/>
      <c r="E130" s="231"/>
      <c r="F130" s="34"/>
      <c r="G130" s="34"/>
      <c r="H130" s="25"/>
      <c r="I130" s="25"/>
      <c r="J130" s="232"/>
      <c r="K130" s="232"/>
      <c r="L130" s="232"/>
      <c r="M130" s="38"/>
      <c r="N130" s="38"/>
      <c r="O130" s="25"/>
    </row>
    <row r="131" spans="1:24" x14ac:dyDescent="0.2">
      <c r="B131" s="38"/>
      <c r="C131" s="38"/>
      <c r="D131" s="230" t="s">
        <v>11</v>
      </c>
      <c r="E131" s="1250" t="str">
        <f>Translations!$B$158</f>
        <v>Attiecīgā gadījumā norādiet iekārtas identifikācijas kodu EPRTR:</v>
      </c>
      <c r="F131" s="1251"/>
      <c r="G131" s="1251"/>
      <c r="H131" s="1251"/>
      <c r="I131" s="1251"/>
      <c r="J131" s="1251"/>
      <c r="K131" s="1328"/>
      <c r="L131" s="1354"/>
      <c r="M131" s="1355"/>
      <c r="N131" s="1356"/>
      <c r="O131" s="25"/>
    </row>
    <row r="132" spans="1:24" x14ac:dyDescent="0.2">
      <c r="B132" s="38"/>
      <c r="C132" s="38"/>
      <c r="D132" s="34"/>
      <c r="E132" s="1319" t="str">
        <f>Translations!$B$159</f>
        <v>EPRTR ir Eiropas Piesārņojošo vielu un izmešu pārneses reģistrs.</v>
      </c>
      <c r="F132" s="1251"/>
      <c r="G132" s="1251"/>
      <c r="H132" s="1251"/>
      <c r="I132" s="1251"/>
      <c r="J132" s="1251"/>
      <c r="K132" s="1251"/>
      <c r="L132" s="1251"/>
      <c r="M132" s="1251"/>
      <c r="N132" s="1251"/>
      <c r="O132" s="25"/>
    </row>
    <row r="133" spans="1:24" x14ac:dyDescent="0.2">
      <c r="B133" s="38"/>
      <c r="C133" s="38"/>
      <c r="D133" s="34"/>
      <c r="E133" s="1319" t="str">
        <f>Translations!$B$160</f>
        <v>Šī informācija kompetentajām iestādēm noder tam, lai pārbaudītu konsekvenci un saskaņotu vidiskās informācijas avotus.</v>
      </c>
      <c r="F133" s="1251"/>
      <c r="G133" s="1251"/>
      <c r="H133" s="1251"/>
      <c r="I133" s="1251"/>
      <c r="J133" s="1251"/>
      <c r="K133" s="1251"/>
      <c r="L133" s="1251"/>
      <c r="M133" s="1251"/>
      <c r="N133" s="1251"/>
      <c r="O133" s="25"/>
    </row>
    <row r="134" spans="1:24" ht="5.0999999999999996" customHeight="1" x14ac:dyDescent="0.2">
      <c r="B134" s="21"/>
      <c r="C134" s="21"/>
      <c r="D134" s="21"/>
      <c r="E134" s="21"/>
      <c r="F134" s="21"/>
      <c r="G134" s="21"/>
      <c r="H134" s="21"/>
      <c r="I134" s="21"/>
      <c r="J134" s="21"/>
      <c r="K134" s="21"/>
      <c r="L134" s="21"/>
      <c r="M134" s="25"/>
      <c r="N134" s="25"/>
      <c r="O134" s="25"/>
      <c r="P134" s="624"/>
    </row>
    <row r="135" spans="1:24" ht="12.75" customHeight="1" x14ac:dyDescent="0.2">
      <c r="B135" s="38"/>
      <c r="C135" s="38"/>
      <c r="D135" s="230" t="s">
        <v>342</v>
      </c>
      <c r="E135" s="1250" t="str">
        <f>Translations!$B$161</f>
        <v>Tiesības uz izslēgšanu saskaņā ar ES ETS direktīvas 27. pantu</v>
      </c>
      <c r="F135" s="1251"/>
      <c r="G135" s="1251"/>
      <c r="H135" s="1251"/>
      <c r="I135" s="1251"/>
      <c r="J135" s="1251"/>
      <c r="K135" s="1251"/>
      <c r="L135" s="1251"/>
      <c r="M135" s="1251"/>
      <c r="N135" s="1251"/>
      <c r="O135" s="25"/>
    </row>
    <row r="136" spans="1:24" x14ac:dyDescent="0.2">
      <c r="B136" s="38"/>
      <c r="C136" s="38"/>
      <c r="D136" s="230"/>
      <c r="E136" s="1319" t="str">
        <f>Translations!$B$162</f>
        <v>Saskaņā ar ES ETS direktīvas 27. pantu no ES ETS var izslēgt šādu veidu iekārtas, ja tās veic līdzvērtīgus pasākumus:</v>
      </c>
      <c r="F136" s="1251"/>
      <c r="G136" s="1251"/>
      <c r="H136" s="1251"/>
      <c r="I136" s="1251"/>
      <c r="J136" s="1251"/>
      <c r="K136" s="1251"/>
      <c r="L136" s="1251"/>
      <c r="M136" s="1251"/>
      <c r="N136" s="1251"/>
      <c r="O136" s="25"/>
    </row>
    <row r="137" spans="1:24" ht="25.5" customHeight="1" x14ac:dyDescent="0.2">
      <c r="B137" s="38"/>
      <c r="C137" s="38"/>
      <c r="D137" s="230"/>
      <c r="E137" s="141" t="s">
        <v>392</v>
      </c>
      <c r="F137" s="1319" t="str">
        <f>Translations!$B$163</f>
        <v>iekārtas, kuru kompetentajai iestādei paziņotās emisijas nesasniedz 25 000 tonnu oglekļa dioksīda ekvivalenta, un, ja tajās tiek veiktas sadedzināšanas darbības, kuru nominālā ievadītā siltumjauda katrā no pēdējiem trim gadiem, izņemot emisijas no biomasas, ir bijusi mazāka par 35 MW.</v>
      </c>
      <c r="G137" s="1251"/>
      <c r="H137" s="1251"/>
      <c r="I137" s="1251"/>
      <c r="J137" s="1251"/>
      <c r="K137" s="1251"/>
      <c r="L137" s="1251"/>
      <c r="M137" s="1251"/>
      <c r="N137" s="1251"/>
      <c r="O137" s="25"/>
    </row>
    <row r="138" spans="1:24" ht="12.75" customHeight="1" x14ac:dyDescent="0.2">
      <c r="B138" s="38"/>
      <c r="C138" s="38"/>
      <c r="D138" s="230"/>
      <c r="E138" s="141"/>
      <c r="F138" s="1319" t="str">
        <f>Translations!$B$164</f>
        <v>Datu vākšanai 2019. gadā šie trīs gadi ir 2016. līdz 2018. gads. Datu vākšanai 2024. gadā tie ir 2021. līdz 2023. gads.</v>
      </c>
      <c r="G138" s="1251"/>
      <c r="H138" s="1251"/>
      <c r="I138" s="1251"/>
      <c r="J138" s="1251"/>
      <c r="K138" s="1251"/>
      <c r="L138" s="1251"/>
      <c r="M138" s="1251"/>
      <c r="N138" s="1251"/>
      <c r="O138" s="25"/>
    </row>
    <row r="139" spans="1:24" ht="25.5" customHeight="1" x14ac:dyDescent="0.2">
      <c r="B139" s="38"/>
      <c r="C139" s="38"/>
      <c r="D139" s="230"/>
      <c r="E139" s="141" t="s">
        <v>392</v>
      </c>
      <c r="F139" s="1319" t="str">
        <f>Translations!$B$1554</f>
        <v>Slimnīcas operatoram var būt kompetentajai iestādei jāiesniedz pierādījumi, ka slimnīcas darbību veikšana ir attiecīgās iekārtas galvenais mērķis. Tas var ietvert statistikas FARoja apliecinājumu, ka iekārta b) punkta vajadzībām ir klasificēta ar kodu 8610.</v>
      </c>
      <c r="G139" s="1251"/>
      <c r="H139" s="1251"/>
      <c r="I139" s="1251"/>
      <c r="J139" s="1251"/>
      <c r="K139" s="1251"/>
      <c r="L139" s="1251"/>
      <c r="M139" s="1251"/>
      <c r="N139" s="1251"/>
      <c r="O139" s="25"/>
    </row>
    <row r="140" spans="1:24" ht="5.0999999999999996" customHeight="1" thickBot="1" x14ac:dyDescent="0.25">
      <c r="B140" s="38"/>
      <c r="C140" s="38"/>
      <c r="D140" s="230"/>
      <c r="E140" s="230"/>
      <c r="F140" s="230"/>
      <c r="G140" s="230"/>
      <c r="H140" s="230"/>
      <c r="I140" s="230"/>
      <c r="J140" s="230"/>
      <c r="K140" s="230"/>
      <c r="L140" s="230"/>
      <c r="M140" s="230"/>
      <c r="N140" s="230"/>
      <c r="O140" s="25"/>
    </row>
    <row r="141" spans="1:24" ht="12.75" customHeight="1" thickBot="1" x14ac:dyDescent="0.25">
      <c r="B141" s="38"/>
      <c r="C141" s="38"/>
      <c r="D141" s="19"/>
      <c r="E141" s="356" t="s">
        <v>2</v>
      </c>
      <c r="F141" s="1458" t="str">
        <f>Translations!$B$166</f>
        <v>Vai iekārtas emisijas bijušas zem 25 000 tonnām un nominālā ievadītā siltumspēja zem 35 MW?</v>
      </c>
      <c r="G141" s="1458"/>
      <c r="H141" s="1458"/>
      <c r="I141" s="1458"/>
      <c r="J141" s="1458"/>
      <c r="K141" s="1458"/>
      <c r="L141" s="1459"/>
      <c r="M141" s="1345"/>
      <c r="N141" s="1346"/>
      <c r="O141" s="25"/>
      <c r="W141" s="926" t="s">
        <v>600</v>
      </c>
      <c r="X141" s="927" t="b">
        <f>MSconst_RequireArt27Info</f>
        <v>1</v>
      </c>
    </row>
    <row r="142" spans="1:24" s="702" customFormat="1" ht="5.0999999999999996" customHeight="1" x14ac:dyDescent="0.2">
      <c r="A142" s="499"/>
      <c r="B142" s="500"/>
      <c r="C142" s="500"/>
      <c r="D142" s="501"/>
      <c r="E142" s="501"/>
      <c r="F142" s="501"/>
      <c r="G142" s="501"/>
      <c r="H142" s="501"/>
      <c r="I142" s="501"/>
      <c r="J142" s="501"/>
      <c r="K142" s="501"/>
      <c r="L142" s="501"/>
      <c r="M142" s="501"/>
      <c r="N142" s="501"/>
      <c r="O142" s="25"/>
      <c r="P142" s="629"/>
      <c r="Q142" s="629"/>
      <c r="R142" s="629"/>
      <c r="S142" s="629"/>
      <c r="T142" s="629"/>
      <c r="U142" s="629"/>
      <c r="V142" s="629"/>
      <c r="W142" s="629"/>
      <c r="X142" s="629"/>
    </row>
    <row r="143" spans="1:24" ht="12.75" customHeight="1" x14ac:dyDescent="0.2">
      <c r="B143" s="38"/>
      <c r="C143" s="38"/>
      <c r="D143" s="19"/>
      <c r="E143" s="356" t="s">
        <v>3</v>
      </c>
      <c r="F143" s="1458" t="str">
        <f>Translations!$B$167</f>
        <v>Vai iekārta ir slimnīca?</v>
      </c>
      <c r="G143" s="1458"/>
      <c r="H143" s="1458"/>
      <c r="I143" s="1458"/>
      <c r="J143" s="1458"/>
      <c r="K143" s="1458"/>
      <c r="L143" s="1459"/>
      <c r="M143" s="1345"/>
      <c r="N143" s="1346"/>
      <c r="O143" s="25"/>
    </row>
    <row r="144" spans="1:24" ht="5.0999999999999996" customHeight="1" x14ac:dyDescent="0.2">
      <c r="B144" s="38"/>
      <c r="C144" s="38"/>
      <c r="D144" s="501"/>
      <c r="E144" s="501"/>
      <c r="F144" s="501"/>
      <c r="G144" s="501"/>
      <c r="H144" s="501"/>
      <c r="I144" s="501"/>
      <c r="J144" s="501"/>
      <c r="K144" s="501"/>
      <c r="L144" s="501"/>
      <c r="M144" s="501"/>
      <c r="N144" s="501"/>
      <c r="O144" s="25"/>
    </row>
    <row r="145" spans="2:24" ht="12.75" customHeight="1" x14ac:dyDescent="0.2">
      <c r="B145" s="38"/>
      <c r="C145" s="38"/>
      <c r="D145" s="501"/>
      <c r="E145" s="356" t="s">
        <v>4</v>
      </c>
      <c r="F145" s="1458" t="str">
        <f>Translations!$B$168</f>
        <v>Iekārtai ir tiesības pretendēt uz izslēgšanu saskaņā ar ES ETS direktīvas 27. pantu:</v>
      </c>
      <c r="G145" s="1458"/>
      <c r="H145" s="1458"/>
      <c r="I145" s="1458"/>
      <c r="J145" s="1458"/>
      <c r="K145" s="1458"/>
      <c r="L145" s="1459"/>
      <c r="M145" s="1365" t="str">
        <f>IF(AND(ISBLANK(M141),ISBLANK(M143)),"",IF(OR(M141,M143),TRUE,FALSE))</f>
        <v/>
      </c>
      <c r="N145" s="1366"/>
      <c r="O145" s="25"/>
    </row>
    <row r="146" spans="2:24" ht="5.0999999999999996" customHeight="1" x14ac:dyDescent="0.2">
      <c r="B146" s="38"/>
      <c r="C146" s="38"/>
      <c r="D146" s="233"/>
      <c r="E146" s="233"/>
      <c r="F146" s="233"/>
      <c r="G146" s="233"/>
      <c r="H146" s="233"/>
      <c r="I146" s="233"/>
      <c r="J146" s="233"/>
      <c r="K146" s="233"/>
      <c r="L146" s="233"/>
      <c r="M146" s="233"/>
      <c r="N146" s="233"/>
      <c r="O146" s="25"/>
    </row>
    <row r="147" spans="2:24" ht="5.0999999999999996" customHeight="1" x14ac:dyDescent="0.2">
      <c r="B147" s="21"/>
      <c r="C147" s="21"/>
      <c r="D147" s="21"/>
      <c r="E147" s="21"/>
      <c r="F147" s="21"/>
      <c r="G147" s="21"/>
      <c r="H147" s="21"/>
      <c r="I147" s="21"/>
      <c r="J147" s="21"/>
      <c r="K147" s="21"/>
      <c r="L147" s="21"/>
      <c r="M147" s="25"/>
      <c r="N147" s="25"/>
      <c r="O147" s="25"/>
      <c r="P147" s="624"/>
    </row>
    <row r="148" spans="2:24" ht="12.75" customHeight="1" x14ac:dyDescent="0.2">
      <c r="B148" s="38"/>
      <c r="C148" s="38"/>
      <c r="D148" s="32" t="s">
        <v>12</v>
      </c>
      <c r="E148" s="1325" t="str">
        <f>Translations!$B$169</f>
        <v>Tiesības uz izslēgšanu saskaņā ar ES ETS direktīvas 27.a pantu</v>
      </c>
      <c r="F148" s="1268"/>
      <c r="G148" s="1268"/>
      <c r="H148" s="1268"/>
      <c r="I148" s="1268"/>
      <c r="J148" s="1268"/>
      <c r="K148" s="1268"/>
      <c r="L148" s="1268"/>
      <c r="M148" s="1268"/>
      <c r="N148" s="1268"/>
      <c r="O148" s="25"/>
    </row>
    <row r="149" spans="2:24" ht="12.75" customHeight="1" x14ac:dyDescent="0.2">
      <c r="B149" s="38"/>
      <c r="C149" s="38"/>
      <c r="D149" s="230"/>
      <c r="E149" s="1319" t="str">
        <f>Translations!$B$170</f>
        <v>Saskaņā ar ES ETS direktīvas 27.a pantu dalībvalstis pēc apspriešanās ar operatoru no ES ETS var izslēgt šādu veidu iekārtas:</v>
      </c>
      <c r="F149" s="1251"/>
      <c r="G149" s="1251"/>
      <c r="H149" s="1251"/>
      <c r="I149" s="1251"/>
      <c r="J149" s="1251"/>
      <c r="K149" s="1251"/>
      <c r="L149" s="1251"/>
      <c r="M149" s="1251"/>
      <c r="N149" s="1251"/>
      <c r="O149" s="25"/>
    </row>
    <row r="150" spans="2:24" ht="25.5" customHeight="1" x14ac:dyDescent="0.2">
      <c r="B150" s="38"/>
      <c r="C150" s="38"/>
      <c r="D150" s="230"/>
      <c r="E150" s="141" t="s">
        <v>392</v>
      </c>
      <c r="F150" s="1319" t="str">
        <f>Translations!$B$171</f>
        <v>iekārtas, kuru kompetentajai iestādei paziņotās emisijas nevienā no pēdējiem trim gadiem nesasniedz 2500 tonnas oglekļa dioksīda ekvivalenta, izņemot emisijas no biomasas;</v>
      </c>
      <c r="G150" s="1251"/>
      <c r="H150" s="1251"/>
      <c r="I150" s="1251"/>
      <c r="J150" s="1251"/>
      <c r="K150" s="1251"/>
      <c r="L150" s="1251"/>
      <c r="M150" s="1251"/>
      <c r="N150" s="1251"/>
      <c r="O150" s="25"/>
    </row>
    <row r="151" spans="2:24" x14ac:dyDescent="0.2">
      <c r="B151" s="38"/>
      <c r="C151" s="38"/>
      <c r="D151" s="230"/>
      <c r="E151" s="141" t="s">
        <v>392</v>
      </c>
      <c r="F151" s="1319" t="str">
        <f>Translations!$B$172</f>
        <v>rezerves vai dublējošie bloki, kas nevienā no trim gadiem nav ekspluatēti vairāk kā 300 stundas gadā;</v>
      </c>
      <c r="G151" s="1251"/>
      <c r="H151" s="1251"/>
      <c r="I151" s="1251"/>
      <c r="J151" s="1251"/>
      <c r="K151" s="1251"/>
      <c r="L151" s="1251"/>
      <c r="M151" s="1251"/>
      <c r="N151" s="1251"/>
      <c r="O151" s="25"/>
    </row>
    <row r="152" spans="2:24" ht="5.0999999999999996" customHeight="1" thickBot="1" x14ac:dyDescent="0.25">
      <c r="B152" s="38"/>
      <c r="C152" s="38"/>
      <c r="D152" s="230"/>
      <c r="E152" s="230"/>
      <c r="F152" s="230"/>
      <c r="G152" s="230"/>
      <c r="H152" s="230"/>
      <c r="I152" s="230"/>
      <c r="J152" s="230"/>
      <c r="K152" s="230"/>
      <c r="L152" s="230"/>
      <c r="M152" s="230"/>
      <c r="N152" s="230"/>
      <c r="O152" s="25"/>
    </row>
    <row r="153" spans="2:24" ht="12.75" customHeight="1" thickBot="1" x14ac:dyDescent="0.25">
      <c r="B153" s="38"/>
      <c r="C153" s="38"/>
      <c r="D153" s="19"/>
      <c r="E153" s="356" t="s">
        <v>2</v>
      </c>
      <c r="F153" s="1458" t="str">
        <f>Translations!$B$173</f>
        <v>Vai iekārta ir emitējusi mazāk nekā 2500 tonnas CO2 (e) gadā?</v>
      </c>
      <c r="G153" s="1458"/>
      <c r="H153" s="1458"/>
      <c r="I153" s="1458"/>
      <c r="J153" s="1458"/>
      <c r="K153" s="1458"/>
      <c r="L153" s="1459"/>
      <c r="M153" s="1345"/>
      <c r="N153" s="1346"/>
      <c r="O153" s="25"/>
      <c r="W153" s="926" t="s">
        <v>601</v>
      </c>
      <c r="X153" s="927" t="b">
        <f>MSconst_RequireArt27aInfo</f>
        <v>1</v>
      </c>
    </row>
    <row r="154" spans="2:24" ht="5.0999999999999996" customHeight="1" x14ac:dyDescent="0.2">
      <c r="B154" s="38"/>
      <c r="C154" s="38"/>
      <c r="D154" s="501"/>
      <c r="E154" s="501"/>
      <c r="F154" s="501"/>
      <c r="G154" s="501"/>
      <c r="H154" s="501"/>
      <c r="I154" s="501"/>
      <c r="J154" s="501"/>
      <c r="K154" s="501"/>
      <c r="L154" s="501"/>
      <c r="M154" s="501"/>
      <c r="N154" s="501"/>
      <c r="O154" s="25"/>
    </row>
    <row r="155" spans="2:24" ht="12.75" customHeight="1" x14ac:dyDescent="0.2">
      <c r="B155" s="38"/>
      <c r="C155" s="38"/>
      <c r="D155" s="19"/>
      <c r="E155" s="356" t="s">
        <v>3</v>
      </c>
      <c r="F155" s="1458" t="str">
        <f>Translations!$B$174</f>
        <v>Vai iekārtā ir rezerves vai dublējošie bloki, kas nav ekspluatēti vairāk kā 300 stundas gadā?</v>
      </c>
      <c r="G155" s="1458"/>
      <c r="H155" s="1458"/>
      <c r="I155" s="1458"/>
      <c r="J155" s="1458"/>
      <c r="K155" s="1458"/>
      <c r="L155" s="1459"/>
      <c r="M155" s="1345"/>
      <c r="N155" s="1346"/>
      <c r="O155" s="25"/>
    </row>
    <row r="156" spans="2:24" ht="5.0999999999999996" customHeight="1" x14ac:dyDescent="0.2">
      <c r="B156" s="38"/>
      <c r="C156" s="38"/>
      <c r="D156" s="501"/>
      <c r="E156" s="501"/>
      <c r="F156" s="501"/>
      <c r="G156" s="501"/>
      <c r="H156" s="501"/>
      <c r="I156" s="501"/>
      <c r="J156" s="501"/>
      <c r="K156" s="501"/>
      <c r="L156" s="501"/>
      <c r="M156" s="501"/>
      <c r="N156" s="501"/>
      <c r="O156" s="25"/>
    </row>
    <row r="157" spans="2:24" ht="12.75" customHeight="1" x14ac:dyDescent="0.2">
      <c r="B157" s="38"/>
      <c r="C157" s="38"/>
      <c r="D157" s="501"/>
      <c r="E157" s="356" t="s">
        <v>4</v>
      </c>
      <c r="F157" s="1458" t="str">
        <f>Translations!$B$175</f>
        <v>Iekārtai (tās daļām) ir tiesības pretendēt uz izslēgšanu saskaņā ar ES ETS direktīvas 27.a pantu:</v>
      </c>
      <c r="G157" s="1458"/>
      <c r="H157" s="1458"/>
      <c r="I157" s="1458"/>
      <c r="J157" s="1458"/>
      <c r="K157" s="1458"/>
      <c r="L157" s="1459"/>
      <c r="M157" s="1365" t="str">
        <f>IF(AND(ISBLANK(M153),ISBLANK(M155)),"",IF(OR(M153,M155),TRUE,FALSE))</f>
        <v/>
      </c>
      <c r="N157" s="1366"/>
      <c r="O157" s="25"/>
    </row>
    <row r="158" spans="2:24" ht="5.0999999999999996" customHeight="1" x14ac:dyDescent="0.2">
      <c r="B158" s="38"/>
      <c r="C158" s="38"/>
      <c r="D158" s="233"/>
      <c r="E158" s="231"/>
      <c r="F158" s="34"/>
      <c r="G158" s="34"/>
      <c r="H158" s="25"/>
      <c r="I158" s="25"/>
      <c r="J158" s="232"/>
      <c r="K158" s="232"/>
      <c r="L158" s="232"/>
      <c r="M158" s="38"/>
      <c r="N158" s="38"/>
      <c r="O158" s="25"/>
    </row>
    <row r="159" spans="2:24" ht="12.75" customHeight="1" x14ac:dyDescent="0.2">
      <c r="B159" s="38"/>
      <c r="C159" s="38"/>
      <c r="D159" s="32" t="s">
        <v>13</v>
      </c>
      <c r="E159" s="1325" t="str">
        <f>Translations!$B$176</f>
        <v>Trīs iepriekšējo gadu ikgadējās emisijas, kas nepieciešamas, lai pārbaudītu iepriekš d) punktā minētās informācijas ticamību</v>
      </c>
      <c r="F159" s="1268"/>
      <c r="G159" s="1268"/>
      <c r="H159" s="1268"/>
      <c r="I159" s="1268"/>
      <c r="J159" s="1268"/>
      <c r="K159" s="1268"/>
      <c r="L159" s="1268"/>
      <c r="M159" s="1268"/>
      <c r="N159" s="1268"/>
      <c r="O159" s="25"/>
    </row>
    <row r="160" spans="2:24" ht="12.75" customHeight="1" x14ac:dyDescent="0.2">
      <c r="B160" s="38"/>
      <c r="C160" s="38"/>
      <c r="D160" s="230"/>
      <c r="E160" s="1319" t="str">
        <f>Translations!$B$177</f>
        <v>Šie dati ir automātiski pārņemti no lapas “D_Emissions”.</v>
      </c>
      <c r="F160" s="1251"/>
      <c r="G160" s="1251"/>
      <c r="H160" s="1251"/>
      <c r="I160" s="1251"/>
      <c r="J160" s="1251"/>
      <c r="K160" s="1251"/>
      <c r="L160" s="1251"/>
      <c r="M160" s="1251"/>
      <c r="N160" s="1251"/>
      <c r="O160" s="25"/>
    </row>
    <row r="161" spans="2:24" x14ac:dyDescent="0.2">
      <c r="B161" s="38"/>
      <c r="C161" s="38"/>
      <c r="D161" s="233"/>
      <c r="E161" s="231"/>
      <c r="F161" s="34"/>
      <c r="G161" s="34"/>
      <c r="H161" s="232"/>
      <c r="I161" s="232"/>
      <c r="J161" s="52" t="str">
        <f>EUconst_Unit</f>
        <v>Vienība</v>
      </c>
      <c r="K161" s="622">
        <f>K$370</f>
        <v>2021</v>
      </c>
      <c r="L161" s="412">
        <f>L$370</f>
        <v>2022</v>
      </c>
      <c r="M161" s="412">
        <f>M$370</f>
        <v>2023</v>
      </c>
      <c r="N161" s="547" t="str">
        <f>Translations!$B$178</f>
        <v>Maksimums</v>
      </c>
      <c r="O161" s="25"/>
    </row>
    <row r="162" spans="2:24" x14ac:dyDescent="0.2">
      <c r="B162" s="38"/>
      <c r="C162" s="38"/>
      <c r="D162" s="233"/>
      <c r="E162" s="356"/>
      <c r="F162" s="238" t="str">
        <f>Translations!$B$179</f>
        <v>Ikgadējās emisijas ticamības pārbaudei:</v>
      </c>
      <c r="G162" s="238"/>
      <c r="H162" s="239"/>
      <c r="I162" s="239"/>
      <c r="J162" s="580" t="str">
        <f>EUconst_tCO2epa</f>
        <v>t CO2e/gads</v>
      </c>
      <c r="K162" s="546" t="str">
        <f>D_Emissions!K58</f>
        <v/>
      </c>
      <c r="L162" s="546" t="str">
        <f>D_Emissions!L58</f>
        <v/>
      </c>
      <c r="M162" s="546" t="str">
        <f>D_Emissions!M58</f>
        <v/>
      </c>
      <c r="N162" s="548" t="str">
        <f>IF(COUNT(K162:M162)&gt;0,MAX(K162:M162),"")</f>
        <v/>
      </c>
      <c r="O162" s="25"/>
      <c r="P162" s="452"/>
    </row>
    <row r="163" spans="2:24" ht="5.0999999999999996" customHeight="1" x14ac:dyDescent="0.2">
      <c r="B163" s="21"/>
      <c r="C163" s="21"/>
      <c r="D163" s="21"/>
      <c r="E163" s="21"/>
      <c r="F163" s="21"/>
      <c r="G163" s="21"/>
      <c r="H163" s="21"/>
      <c r="I163" s="21"/>
      <c r="J163" s="21"/>
      <c r="K163" s="21"/>
      <c r="L163" s="21"/>
      <c r="M163" s="25"/>
      <c r="N163" s="25"/>
      <c r="O163" s="25"/>
      <c r="P163" s="624"/>
    </row>
    <row r="164" spans="2:24" x14ac:dyDescent="0.2">
      <c r="B164" s="38"/>
      <c r="C164" s="38"/>
      <c r="D164" s="32" t="s">
        <v>81</v>
      </c>
      <c r="E164" s="1250" t="str">
        <f>Translations!$B$180</f>
        <v>Vai iekārta ir vienpusēji iekļauta?</v>
      </c>
      <c r="F164" s="1251"/>
      <c r="G164" s="1251"/>
      <c r="H164" s="1251"/>
      <c r="I164" s="1328"/>
      <c r="J164" s="244"/>
      <c r="K164" s="232"/>
      <c r="L164" s="232"/>
      <c r="M164" s="38"/>
      <c r="N164" s="38"/>
      <c r="O164" s="25"/>
    </row>
    <row r="165" spans="2:24" ht="25.5" customHeight="1" x14ac:dyDescent="0.2">
      <c r="B165" s="38"/>
      <c r="C165" s="38"/>
      <c r="D165" s="34"/>
      <c r="E165" s="1319" t="str">
        <f>Translations!$B$181</f>
        <v>Sniedziet informāciju, ja iekārta neveic nevienu ES ETS direktīvas I pielikuma darbību, bet dalībvalsts to ir vienpusēji iekļāvusi saskaņā ar minētās direktīvas 24. pantu.</v>
      </c>
      <c r="F165" s="1251"/>
      <c r="G165" s="1251"/>
      <c r="H165" s="1251"/>
      <c r="I165" s="1251"/>
      <c r="J165" s="1251"/>
      <c r="K165" s="1251"/>
      <c r="L165" s="1251"/>
      <c r="M165" s="1251"/>
      <c r="N165" s="1251"/>
      <c r="O165" s="25"/>
    </row>
    <row r="166" spans="2:24" ht="5.0999999999999996" customHeight="1" x14ac:dyDescent="0.2">
      <c r="B166" s="21"/>
      <c r="C166" s="21"/>
      <c r="D166" s="21"/>
      <c r="E166" s="21"/>
      <c r="F166" s="21"/>
      <c r="G166" s="21"/>
      <c r="H166" s="21"/>
      <c r="I166" s="21"/>
      <c r="J166" s="21"/>
      <c r="K166" s="21"/>
      <c r="L166" s="21"/>
      <c r="M166" s="25"/>
      <c r="N166" s="25"/>
      <c r="O166" s="25"/>
      <c r="P166" s="624"/>
    </row>
    <row r="167" spans="2:24" ht="12.75" customHeight="1" x14ac:dyDescent="0.2">
      <c r="B167" s="38"/>
      <c r="C167" s="38"/>
      <c r="D167" s="32" t="s">
        <v>82</v>
      </c>
      <c r="E167" s="1325" t="str">
        <f>Translations!$B$1555</f>
        <v>Nulles faktora biomasas emisiju īpatsvars</v>
      </c>
      <c r="F167" s="1268"/>
      <c r="G167" s="1268"/>
      <c r="H167" s="1268"/>
      <c r="I167" s="1268"/>
      <c r="J167" s="1268"/>
      <c r="K167" s="1268"/>
      <c r="L167" s="1268"/>
      <c r="M167" s="1268"/>
      <c r="N167" s="1268"/>
      <c r="O167" s="25"/>
    </row>
    <row r="168" spans="2:24" ht="25.5" customHeight="1" x14ac:dyDescent="0.2">
      <c r="B168" s="38"/>
      <c r="C168" s="38"/>
      <c r="D168" s="34"/>
      <c r="E168" s="1319" t="str">
        <f>Translations!$B$1556</f>
        <v>Saskaņā ar ES ETS direktīvas I pielikuma 1. punktu iekārtas ES ETS darbības jomā neietilpst, ja emisijas no tādas biomasas sadedzināšanas, kas atbilst RED II kritērijiem, pārsniedz 95 % no kopējām vidējām siltumnīcefekta gāzu emisijām bāzlīnijas periodā.</v>
      </c>
      <c r="F168" s="1251"/>
      <c r="G168" s="1251"/>
      <c r="H168" s="1251"/>
      <c r="I168" s="1251"/>
      <c r="J168" s="1251"/>
      <c r="K168" s="1251"/>
      <c r="L168" s="1251"/>
      <c r="M168" s="1251"/>
      <c r="N168" s="1251"/>
      <c r="O168" s="25"/>
    </row>
    <row r="169" spans="2:24" ht="12.75" customHeight="1" x14ac:dyDescent="0.2">
      <c r="B169" s="38"/>
      <c r="C169" s="38"/>
      <c r="D169" s="34"/>
      <c r="E169" s="1319" t="str">
        <f>Translations!$B$177</f>
        <v>Šie dati ir automātiski pārņemti no lapas “D_Emissions”.</v>
      </c>
      <c r="F169" s="1251"/>
      <c r="G169" s="1251"/>
      <c r="H169" s="1251"/>
      <c r="I169" s="1251"/>
      <c r="J169" s="1251"/>
      <c r="K169" s="1251"/>
      <c r="L169" s="1251"/>
      <c r="M169" s="1251"/>
      <c r="N169" s="1251"/>
      <c r="O169" s="25"/>
    </row>
    <row r="170" spans="2:24" x14ac:dyDescent="0.2">
      <c r="B170" s="38"/>
      <c r="C170" s="38"/>
      <c r="D170" s="233"/>
      <c r="E170" s="231"/>
      <c r="F170" s="34"/>
      <c r="G170" s="34"/>
      <c r="H170" s="446" t="str">
        <f>EUconst_Unit</f>
        <v>Vienība</v>
      </c>
      <c r="I170" s="412">
        <f>I$370</f>
        <v>2019</v>
      </c>
      <c r="J170" s="412">
        <f>J$370</f>
        <v>2020</v>
      </c>
      <c r="K170" s="412">
        <f>K$370</f>
        <v>2021</v>
      </c>
      <c r="L170" s="412">
        <f>L$370</f>
        <v>2022</v>
      </c>
      <c r="M170" s="412">
        <f>M$370</f>
        <v>2023</v>
      </c>
      <c r="N170" s="412" t="s">
        <v>497</v>
      </c>
      <c r="O170" s="25"/>
    </row>
    <row r="171" spans="2:24" x14ac:dyDescent="0.2">
      <c r="B171" s="38"/>
      <c r="C171" s="142"/>
      <c r="D171" s="142"/>
      <c r="E171" s="1322" t="str">
        <f>Translations!$B$1557</f>
        <v>Nulles faktora biomasas īpatsvars</v>
      </c>
      <c r="F171" s="1323"/>
      <c r="G171" s="1324"/>
      <c r="H171" s="1222" t="s">
        <v>392</v>
      </c>
      <c r="I171" s="1223" t="str">
        <f>D_Emissions!I61</f>
        <v/>
      </c>
      <c r="J171" s="1223" t="str">
        <f>D_Emissions!J61</f>
        <v/>
      </c>
      <c r="K171" s="1223" t="str">
        <f>D_Emissions!K61</f>
        <v/>
      </c>
      <c r="L171" s="1223" t="str">
        <f>D_Emissions!L61</f>
        <v/>
      </c>
      <c r="M171" s="1223" t="str">
        <f>D_Emissions!M61</f>
        <v/>
      </c>
      <c r="N171" s="1224" t="str">
        <f>D_Emissions!N61</f>
        <v/>
      </c>
      <c r="O171" s="25"/>
      <c r="P171" s="26"/>
      <c r="Q171" s="20"/>
      <c r="R171" s="20"/>
      <c r="S171" s="20"/>
      <c r="T171" s="20"/>
      <c r="U171" s="20"/>
      <c r="V171" s="20"/>
      <c r="W171" s="20"/>
      <c r="X171" s="20"/>
    </row>
    <row r="172" spans="2:24" x14ac:dyDescent="0.2">
      <c r="B172" s="38"/>
      <c r="C172" s="38"/>
      <c r="D172" s="233"/>
      <c r="E172" s="231"/>
      <c r="F172" s="34"/>
      <c r="G172" s="34"/>
      <c r="H172" s="232"/>
      <c r="I172" s="232"/>
      <c r="J172" s="232"/>
      <c r="K172" s="232"/>
      <c r="L172" s="232"/>
      <c r="M172" s="38"/>
      <c r="N172" s="38"/>
      <c r="O172" s="25"/>
    </row>
    <row r="173" spans="2:24" ht="15.75" x14ac:dyDescent="0.25">
      <c r="B173" s="38"/>
      <c r="C173" s="30" t="s">
        <v>338</v>
      </c>
      <c r="D173" s="1249" t="str">
        <f>Translations!$B$1558</f>
        <v>Informācija par šo bāzlīnijas datu ziņojumu un bezmaksas kvotu iedales nosacījumiem</v>
      </c>
      <c r="E173" s="1249"/>
      <c r="F173" s="1249"/>
      <c r="G173" s="1249"/>
      <c r="H173" s="1249"/>
      <c r="I173" s="1249"/>
      <c r="J173" s="1249"/>
      <c r="K173" s="1249"/>
      <c r="L173" s="1249"/>
      <c r="M173" s="1249"/>
      <c r="N173" s="1249"/>
      <c r="O173" s="25"/>
      <c r="P173" s="624"/>
    </row>
    <row r="174" spans="2:24" ht="5.0999999999999996" customHeight="1" x14ac:dyDescent="0.2">
      <c r="B174" s="38"/>
      <c r="C174" s="21"/>
      <c r="D174" s="21"/>
      <c r="E174" s="21"/>
      <c r="F174" s="21"/>
      <c r="G174" s="21"/>
      <c r="H174" s="21"/>
      <c r="I174" s="21"/>
      <c r="J174" s="21"/>
      <c r="K174" s="21"/>
      <c r="L174" s="21"/>
      <c r="M174" s="25"/>
      <c r="N174" s="25"/>
      <c r="O174" s="25"/>
      <c r="P174" s="624"/>
    </row>
    <row r="175" spans="2:24" ht="15" x14ac:dyDescent="0.25">
      <c r="B175" s="38"/>
      <c r="C175" s="36">
        <v>1</v>
      </c>
      <c r="D175" s="1318" t="str">
        <f>Translations!$B$198</f>
        <v>Pieteikšanās uz bezmaksas kvotu iedali:</v>
      </c>
      <c r="E175" s="1251"/>
      <c r="F175" s="1251"/>
      <c r="G175" s="1251"/>
      <c r="H175" s="1251"/>
      <c r="I175" s="1251"/>
      <c r="J175" s="1251"/>
      <c r="K175" s="1251"/>
      <c r="L175" s="1251"/>
      <c r="M175" s="1251"/>
      <c r="N175" s="1251"/>
      <c r="O175" s="25"/>
    </row>
    <row r="176" spans="2:24" ht="5.0999999999999996" customHeight="1" thickBot="1" x14ac:dyDescent="0.25">
      <c r="B176" s="38"/>
      <c r="C176" s="21"/>
      <c r="D176" s="21"/>
      <c r="E176" s="21"/>
      <c r="F176" s="21"/>
      <c r="G176" s="21"/>
      <c r="H176" s="21"/>
      <c r="I176" s="21"/>
      <c r="J176" s="21"/>
      <c r="K176" s="21"/>
      <c r="L176" s="21"/>
      <c r="M176" s="25"/>
      <c r="N176" s="25"/>
      <c r="O176" s="25"/>
      <c r="P176" s="624"/>
    </row>
    <row r="177" spans="2:20" ht="5.0999999999999996" customHeight="1" x14ac:dyDescent="0.2">
      <c r="B177" s="38"/>
      <c r="C177" s="168"/>
      <c r="D177" s="167"/>
      <c r="E177" s="167"/>
      <c r="F177" s="167"/>
      <c r="G177" s="167"/>
      <c r="H177" s="167"/>
      <c r="I177" s="167"/>
      <c r="J177" s="167"/>
      <c r="K177" s="167"/>
      <c r="L177" s="167"/>
      <c r="M177" s="166"/>
      <c r="N177" s="1211"/>
      <c r="O177" s="25"/>
      <c r="P177" s="624"/>
    </row>
    <row r="178" spans="2:20" x14ac:dyDescent="0.2">
      <c r="B178" s="38"/>
      <c r="C178" s="165"/>
      <c r="D178" s="1212" t="s">
        <v>165</v>
      </c>
      <c r="E178" s="1240" t="str">
        <f>Translations!$B$198</f>
        <v>Pieteikšanās uz bezmaksas kvotu iedali:</v>
      </c>
      <c r="F178" s="1321"/>
      <c r="G178" s="1321"/>
      <c r="H178" s="1321"/>
      <c r="I178" s="1321"/>
      <c r="J178" s="1321"/>
      <c r="K178" s="1321"/>
      <c r="L178" s="1321"/>
      <c r="M178" s="1321"/>
      <c r="N178" s="1342"/>
      <c r="O178" s="25"/>
    </row>
    <row r="179" spans="2:20" ht="5.0999999999999996" customHeight="1" x14ac:dyDescent="0.2">
      <c r="B179" s="21"/>
      <c r="C179" s="164"/>
      <c r="D179" s="23"/>
      <c r="E179" s="23"/>
      <c r="F179" s="23"/>
      <c r="G179" s="23"/>
      <c r="H179" s="23"/>
      <c r="I179" s="23"/>
      <c r="J179" s="23"/>
      <c r="K179" s="23"/>
      <c r="L179" s="23"/>
      <c r="M179" s="44"/>
      <c r="N179" s="1213"/>
      <c r="O179" s="25"/>
      <c r="P179" s="624"/>
    </row>
    <row r="180" spans="2:20" ht="12.75" customHeight="1" x14ac:dyDescent="0.2">
      <c r="B180" s="38"/>
      <c r="C180" s="165"/>
      <c r="D180" s="38"/>
      <c r="E180" s="1473" t="str">
        <f>Translations!$B$1559</f>
        <v>Šeit apstipriniet, ka ar šo piesakāties uz bezmaksas kvotu iedali saskaņā ar direktīvas 10.a pantu:</v>
      </c>
      <c r="F180" s="1473"/>
      <c r="G180" s="1473"/>
      <c r="H180" s="1473"/>
      <c r="I180" s="1473"/>
      <c r="J180" s="1473"/>
      <c r="K180" s="1473"/>
      <c r="L180" s="1473"/>
      <c r="M180" s="1473"/>
      <c r="N180" s="1474"/>
      <c r="O180" s="25"/>
    </row>
    <row r="181" spans="2:20" x14ac:dyDescent="0.2">
      <c r="B181" s="38"/>
      <c r="C181" s="165"/>
      <c r="D181" s="38"/>
      <c r="E181" s="1481"/>
      <c r="F181" s="1482"/>
      <c r="G181" s="1482"/>
      <c r="H181" s="1482"/>
      <c r="I181" s="1482"/>
      <c r="J181" s="1482"/>
      <c r="K181" s="1482"/>
      <c r="L181" s="1482"/>
      <c r="M181" s="1482"/>
      <c r="N181" s="1483"/>
      <c r="O181" s="25"/>
    </row>
    <row r="182" spans="2:20" ht="5.0999999999999996" customHeight="1" x14ac:dyDescent="0.2">
      <c r="B182" s="21"/>
      <c r="C182" s="164"/>
      <c r="D182" s="23"/>
      <c r="E182" s="23"/>
      <c r="F182" s="23"/>
      <c r="G182" s="23"/>
      <c r="H182" s="23"/>
      <c r="I182" s="23"/>
      <c r="J182" s="23"/>
      <c r="K182" s="23"/>
      <c r="L182" s="23"/>
      <c r="M182" s="44"/>
      <c r="N182" s="1213"/>
      <c r="O182" s="25"/>
      <c r="P182" s="624"/>
    </row>
    <row r="183" spans="2:20" x14ac:dyDescent="0.2">
      <c r="B183" s="38"/>
      <c r="C183" s="165"/>
      <c r="D183" s="370" t="s">
        <v>339</v>
      </c>
      <c r="E183" s="1240" t="str">
        <f>Translations!$B$200</f>
        <v>Piekrišana izmantot šajā datnē iekļautos datus.</v>
      </c>
      <c r="F183" s="1321"/>
      <c r="G183" s="1321"/>
      <c r="H183" s="1321"/>
      <c r="I183" s="1321"/>
      <c r="J183" s="1321"/>
      <c r="K183" s="1321"/>
      <c r="L183" s="1321"/>
      <c r="M183" s="1321"/>
      <c r="N183" s="1342"/>
      <c r="O183" s="25"/>
    </row>
    <row r="184" spans="2:20" ht="51" customHeight="1" x14ac:dyDescent="0.2">
      <c r="B184" s="38"/>
      <c r="C184" s="165"/>
      <c r="D184" s="38"/>
      <c r="E184" s="1473" t="str">
        <f>Translations!$B$201</f>
        <v>Kompetentā iestāde šajā datnē iekļautos datus izmantos tam, lai noteiktu iedalāmās bezmaksas kvotas saskaņā ar ES ETS direktīvas 10.a pantu, un Eiropas Komisija — lai atjauninātu līmeņatzīmju vērtības. Turklāt šie dati daļēji vai pilnīgi tiks paziņoti Eiropas Komisijai, ja tā to pieprasa, lai būtu iespējams rūpīgi pārbaudīt valsts īstenošanas pasākumus saskaņā ar ES ETS direktīvas 11. panta 1. punktu.</v>
      </c>
      <c r="F184" s="1473"/>
      <c r="G184" s="1473"/>
      <c r="H184" s="1473"/>
      <c r="I184" s="1473"/>
      <c r="J184" s="1473"/>
      <c r="K184" s="1473"/>
      <c r="L184" s="1473"/>
      <c r="M184" s="1473"/>
      <c r="N184" s="1474"/>
      <c r="O184" s="25"/>
    </row>
    <row r="185" spans="2:20" ht="15" customHeight="1" x14ac:dyDescent="0.2">
      <c r="B185" s="38"/>
      <c r="C185" s="165"/>
      <c r="D185" s="38"/>
      <c r="E185" s="1473" t="str">
        <f>Translations!$B$1560</f>
        <v>Ja operators apstiprina a) punktu, tiek automātiski pieņemts, ka tādējādi tiek apstiprināta arī piekrišana izmantot šajā datnē iekļautos datus.</v>
      </c>
      <c r="F185" s="1473"/>
      <c r="G185" s="1473"/>
      <c r="H185" s="1473"/>
      <c r="I185" s="1473"/>
      <c r="J185" s="1473"/>
      <c r="K185" s="1473"/>
      <c r="L185" s="1473"/>
      <c r="M185" s="1473"/>
      <c r="N185" s="1474"/>
      <c r="O185" s="25"/>
    </row>
    <row r="186" spans="2:20" x14ac:dyDescent="0.2">
      <c r="B186" s="38"/>
      <c r="C186" s="165"/>
      <c r="D186" s="38"/>
      <c r="E186" s="1478" t="str">
        <f>IF(E181="","",EUconst_ConfirmAllowUseOfData)</f>
        <v/>
      </c>
      <c r="F186" s="1479"/>
      <c r="G186" s="1479"/>
      <c r="H186" s="1479"/>
      <c r="I186" s="1479"/>
      <c r="J186" s="1479"/>
      <c r="K186" s="1479"/>
      <c r="L186" s="1479"/>
      <c r="M186" s="1479"/>
      <c r="N186" s="1480"/>
      <c r="O186" s="25"/>
    </row>
    <row r="187" spans="2:20" ht="5.0999999999999996" customHeight="1" thickBot="1" x14ac:dyDescent="0.25">
      <c r="B187" s="21"/>
      <c r="C187" s="163"/>
      <c r="D187" s="162"/>
      <c r="E187" s="162"/>
      <c r="F187" s="162"/>
      <c r="G187" s="162"/>
      <c r="H187" s="162"/>
      <c r="I187" s="162"/>
      <c r="J187" s="162"/>
      <c r="K187" s="162"/>
      <c r="L187" s="162"/>
      <c r="M187" s="161"/>
      <c r="N187" s="1214"/>
      <c r="O187" s="25"/>
      <c r="P187" s="624"/>
    </row>
    <row r="188" spans="2:20" ht="25.5" customHeight="1" x14ac:dyDescent="0.2">
      <c r="B188" s="38"/>
      <c r="C188" s="38"/>
      <c r="D188" s="233"/>
      <c r="E188" s="231"/>
      <c r="F188" s="34"/>
      <c r="G188" s="34"/>
      <c r="H188" s="232"/>
      <c r="I188" s="232"/>
      <c r="J188" s="232"/>
      <c r="K188" s="232"/>
      <c r="L188" s="232"/>
      <c r="M188" s="38"/>
      <c r="N188" s="38"/>
      <c r="O188" s="25"/>
    </row>
    <row r="189" spans="2:20" ht="15" customHeight="1" x14ac:dyDescent="0.25">
      <c r="B189" s="38"/>
      <c r="C189" s="36">
        <v>2</v>
      </c>
      <c r="D189" s="1353" t="str">
        <f>Translations!$B$1561</f>
        <v>Nosacījumi Nr. 1. Neizpildītie energoefektivitātes uzlabošanas pasākumu ieteikumi</v>
      </c>
      <c r="E189" s="1251"/>
      <c r="F189" s="1251"/>
      <c r="G189" s="1251"/>
      <c r="H189" s="1251"/>
      <c r="I189" s="1251"/>
      <c r="J189" s="1251"/>
      <c r="K189" s="1251"/>
      <c r="L189" s="1251"/>
      <c r="M189" s="1251"/>
      <c r="N189" s="1251"/>
      <c r="O189" s="25"/>
    </row>
    <row r="190" spans="2:20" ht="25.5" customHeight="1" x14ac:dyDescent="0.2">
      <c r="B190" s="38"/>
      <c r="C190" s="38"/>
      <c r="D190" s="233"/>
      <c r="E190" s="1301" t="str">
        <f>Translations!$B$1562</f>
        <v>Saskaņā ar FAR 22.a panta 1. punktu bezmaksas kvotu iedales apjomu samazina par 20 %, ja nav īstenoti visi relevantie ieteikumi, kas iekļauti energoaudita ziņojumā vai sertificētajā energovadības sistēmā saskaņā ar Direktīvas 2012/27/ES (Energoefektivitātes direktīva) 8. pantu.</v>
      </c>
      <c r="F190" s="1301"/>
      <c r="G190" s="1301"/>
      <c r="H190" s="1301"/>
      <c r="I190" s="1301"/>
      <c r="J190" s="1301"/>
      <c r="K190" s="1301"/>
      <c r="L190" s="1301"/>
      <c r="M190" s="1301"/>
      <c r="N190" s="1301"/>
      <c r="O190" s="25"/>
    </row>
    <row r="191" spans="2:20" ht="5.0999999999999996" customHeight="1" x14ac:dyDescent="0.2">
      <c r="B191" s="38"/>
      <c r="C191" s="21"/>
      <c r="D191" s="21"/>
      <c r="E191" s="21"/>
      <c r="F191" s="21"/>
      <c r="G191" s="21"/>
      <c r="H191" s="21"/>
      <c r="I191" s="21"/>
      <c r="J191" s="21"/>
      <c r="K191" s="21"/>
      <c r="L191" s="21"/>
      <c r="M191" s="25"/>
      <c r="N191" s="25"/>
      <c r="O191" s="25"/>
    </row>
    <row r="192" spans="2:20" x14ac:dyDescent="0.2">
      <c r="B192" s="38"/>
      <c r="C192" s="38"/>
      <c r="D192" s="230" t="s">
        <v>165</v>
      </c>
      <c r="E192" s="1250" t="str">
        <f>Translations!$B$1563</f>
        <v>Vai ieteikumi par energoefektivitātes pasākumiem ir šai iekārtai relevanti?</v>
      </c>
      <c r="F192" s="1251"/>
      <c r="G192" s="1251"/>
      <c r="H192" s="1251"/>
      <c r="I192" s="1251"/>
      <c r="J192" s="1251"/>
      <c r="K192" s="1251"/>
      <c r="L192" s="1328"/>
      <c r="M192" s="1326"/>
      <c r="N192" s="1327"/>
      <c r="O192" s="25"/>
      <c r="P192" s="802" t="str">
        <f>EUconst_CNTR_ConditionalityOK</f>
        <v>EUconst_CNTR_ConditionalityOK</v>
      </c>
      <c r="S192" s="453" t="b">
        <f>M192=""</f>
        <v>1</v>
      </c>
      <c r="T192" s="452"/>
    </row>
    <row r="193" spans="2:24" ht="12.75" customHeight="1" x14ac:dyDescent="0.2">
      <c r="B193" s="38"/>
      <c r="C193" s="38"/>
      <c r="D193" s="233"/>
      <c r="E193" s="1301" t="str">
        <f>Translations!$B$1564</f>
        <v>Ja uzņēmumam, kam jūsu iekārta pieder, ir attiecīgi pienākumi saskaņā ar Direktīvas 2012/27/ES 8. pantu, atzīmējiet “TRUE”/”PATIESS”.</v>
      </c>
      <c r="F193" s="1301"/>
      <c r="G193" s="1301"/>
      <c r="H193" s="1301"/>
      <c r="I193" s="1301"/>
      <c r="J193" s="1301"/>
      <c r="K193" s="1301"/>
      <c r="L193" s="1301"/>
      <c r="M193" s="1301"/>
      <c r="N193" s="1301"/>
      <c r="O193" s="25"/>
    </row>
    <row r="194" spans="2:24" ht="5.0999999999999996" customHeight="1" thickBot="1" x14ac:dyDescent="0.25">
      <c r="B194" s="38"/>
      <c r="C194" s="38"/>
      <c r="D194" s="233"/>
      <c r="E194" s="231"/>
      <c r="F194" s="34"/>
      <c r="G194" s="34"/>
      <c r="H194" s="232"/>
      <c r="I194" s="232"/>
      <c r="J194" s="232"/>
      <c r="K194" s="232"/>
      <c r="L194" s="232"/>
      <c r="M194" s="38"/>
      <c r="N194" s="38"/>
      <c r="O194" s="25"/>
    </row>
    <row r="195" spans="2:24" ht="13.5" thickBot="1" x14ac:dyDescent="0.25">
      <c r="B195" s="38"/>
      <c r="C195" s="38"/>
      <c r="D195" s="32" t="s">
        <v>339</v>
      </c>
      <c r="E195" s="1250" t="str">
        <f>Translations!$B$1565</f>
        <v>Vai ir vēl kādi 2019.–2022. gada ieteikumi, kas vēl nav īstenoti?</v>
      </c>
      <c r="F195" s="1251"/>
      <c r="G195" s="1251"/>
      <c r="H195" s="1251"/>
      <c r="I195" s="1251"/>
      <c r="J195" s="1251"/>
      <c r="K195" s="1251"/>
      <c r="L195" s="1328"/>
      <c r="M195" s="1326"/>
      <c r="N195" s="1327"/>
      <c r="O195" s="25"/>
      <c r="P195" s="802" t="str">
        <f>EUconst_CNTR_ConditionalityOK</f>
        <v>EUconst_CNTR_ConditionalityOK</v>
      </c>
      <c r="S195" s="453" t="b">
        <f>AND(X195=FALSE,M195="")</f>
        <v>1</v>
      </c>
      <c r="T195" s="452"/>
      <c r="W195" s="926" t="s">
        <v>635</v>
      </c>
      <c r="X195" s="927" t="b">
        <f>AND(M192&lt;&gt;"",M192=FALSE)</f>
        <v>0</v>
      </c>
    </row>
    <row r="196" spans="2:24" ht="25.5" customHeight="1" x14ac:dyDescent="0.2">
      <c r="B196" s="38"/>
      <c r="C196" s="38"/>
      <c r="D196" s="233"/>
      <c r="E196" s="1301" t="str">
        <f>Translations!$B$1566</f>
        <v>Ja a) punktā minētajos energoefektivitātes auditos vai sertificētajā energovadības sistēmā laikā no 2019. līdz 2022. (!) gadam bijuši energoefektivitātes uzlabošanas  ieteikumi UN ir palikuši ieteikumi, attiecībā uz kuriem pasākumi līdz šā ziņojuma iesniegšanas brīdim nav īstenoti, šeit atzīmējiet “TRUE”/”PATIESS”.</v>
      </c>
      <c r="F196" s="1301"/>
      <c r="G196" s="1301"/>
      <c r="H196" s="1301"/>
      <c r="I196" s="1301"/>
      <c r="J196" s="1301"/>
      <c r="K196" s="1301"/>
      <c r="L196" s="1301"/>
      <c r="M196" s="1301"/>
      <c r="N196" s="1301"/>
      <c r="O196" s="25"/>
    </row>
    <row r="197" spans="2:24" ht="5.0999999999999996" customHeight="1" x14ac:dyDescent="0.2">
      <c r="B197" s="38"/>
      <c r="C197" s="38"/>
      <c r="D197" s="233"/>
      <c r="E197" s="231"/>
      <c r="F197" s="34"/>
      <c r="G197" s="34"/>
      <c r="H197" s="232"/>
      <c r="I197" s="232"/>
      <c r="J197" s="232"/>
      <c r="K197" s="232"/>
      <c r="L197" s="232"/>
      <c r="M197" s="38"/>
      <c r="N197" s="38"/>
      <c r="O197" s="25"/>
    </row>
    <row r="198" spans="2:24" ht="12.75" customHeight="1" x14ac:dyDescent="0.2">
      <c r="B198" s="38"/>
      <c r="C198" s="38"/>
      <c r="D198" s="32" t="s">
        <v>11</v>
      </c>
      <c r="E198" s="1325" t="str">
        <f>Translations!$B$1567</f>
        <v>Iemesli, kāpēc b) punktā minētie ieteikumi var nebūt relevanti bezmaksas kvotu iedales nosacījumiem</v>
      </c>
      <c r="F198" s="1325"/>
      <c r="G198" s="1325"/>
      <c r="H198" s="1325"/>
      <c r="I198" s="1325"/>
      <c r="J198" s="1325"/>
      <c r="K198" s="1325"/>
      <c r="L198" s="1325"/>
      <c r="M198" s="1325"/>
      <c r="N198" s="1325"/>
      <c r="O198" s="25"/>
    </row>
    <row r="199" spans="2:24" ht="12.75" customHeight="1" x14ac:dyDescent="0.2">
      <c r="B199" s="38"/>
      <c r="C199" s="38"/>
      <c r="D199" s="233"/>
      <c r="E199" s="1301" t="str">
        <f>Translations!$B$1568</f>
        <v>Ja kādu no b) punktā norādītajiem ieteiktajiem pasākumiem var neņemt vērā 22.a panta 1. punktā minēto iemeslu dēļ, šeit atzīmējiet “TRUE”/”PATIESS”. Minētie iemesli ir šādi:</v>
      </c>
      <c r="F199" s="1301"/>
      <c r="G199" s="1301"/>
      <c r="H199" s="1301"/>
      <c r="I199" s="1301"/>
      <c r="J199" s="1301"/>
      <c r="K199" s="1301"/>
      <c r="L199" s="1301"/>
      <c r="M199" s="1301"/>
      <c r="N199" s="1301"/>
      <c r="O199" s="25"/>
    </row>
    <row r="200" spans="2:24" ht="12.75" customHeight="1" x14ac:dyDescent="0.2">
      <c r="B200" s="38"/>
      <c r="C200" s="38"/>
      <c r="D200" s="233"/>
      <c r="E200" s="1104" t="s">
        <v>392</v>
      </c>
      <c r="F200" s="1301" t="str">
        <f>Translations!$B$1569</f>
        <v>22.a panta 1. punkta d) apakšpunkts: viens vai vairāki ieteikumi nerada enerģijas ietaupījumus rūpnieciskā procesa sistēmas robežās;</v>
      </c>
      <c r="G200" s="1301"/>
      <c r="H200" s="1301"/>
      <c r="I200" s="1301"/>
      <c r="J200" s="1301"/>
      <c r="K200" s="1301"/>
      <c r="L200" s="1301"/>
      <c r="M200" s="1301"/>
      <c r="N200" s="1301"/>
      <c r="O200" s="25"/>
    </row>
    <row r="201" spans="2:24" ht="12.75" customHeight="1" x14ac:dyDescent="0.2">
      <c r="B201" s="38"/>
      <c r="C201" s="38"/>
      <c r="D201" s="233"/>
      <c r="E201" s="1104" t="s">
        <v>392</v>
      </c>
      <c r="F201" s="1301" t="str">
        <f>Translations!$B$1570</f>
        <v>22.a panta 1. punkta a) apakšpunkts: viena vai vairāku ieteikumu atmaksāšanās laiks pārsniedz 3 gadus;</v>
      </c>
      <c r="G201" s="1301"/>
      <c r="H201" s="1301"/>
      <c r="I201" s="1301"/>
      <c r="J201" s="1301"/>
      <c r="K201" s="1301"/>
      <c r="L201" s="1301"/>
      <c r="M201" s="1301"/>
      <c r="N201" s="1301"/>
      <c r="O201" s="25"/>
    </row>
    <row r="202" spans="2:24" ht="12.75" customHeight="1" x14ac:dyDescent="0.2">
      <c r="B202" s="38"/>
      <c r="C202" s="38"/>
      <c r="D202" s="233"/>
      <c r="E202" s="1104" t="s">
        <v>392</v>
      </c>
      <c r="F202" s="1301" t="str">
        <f>Translations!$B$1571</f>
        <v>22.a panta 1. punkta b) apakšpunkta i) punkts: investīciju izmaksas pārsniedz vai nu 5 % no iekārtas gada apgrozījuma, VAI 25 % no iekārtas peļņas;</v>
      </c>
      <c r="G202" s="1301"/>
      <c r="H202" s="1301"/>
      <c r="I202" s="1301"/>
      <c r="J202" s="1301"/>
      <c r="K202" s="1301"/>
      <c r="L202" s="1301"/>
      <c r="M202" s="1301"/>
      <c r="N202" s="1301"/>
      <c r="O202" s="25"/>
    </row>
    <row r="203" spans="2:24" ht="12.75" customHeight="1" x14ac:dyDescent="0.2">
      <c r="B203" s="38"/>
      <c r="C203" s="38"/>
      <c r="D203" s="233"/>
      <c r="E203" s="1104" t="s">
        <v>392</v>
      </c>
      <c r="F203" s="1301" t="str">
        <f>Translations!$B$1572</f>
        <v>22.a panta 1. punkta b) apakšpunkta ii) punkts: investīciju izmaksas pārsniedz 50 % no tā galīgā iedales apjoma gada vidējā ekonomiskā ekvivalenta, kas tiktu samazināts;</v>
      </c>
      <c r="G203" s="1301"/>
      <c r="H203" s="1301"/>
      <c r="I203" s="1301"/>
      <c r="J203" s="1301"/>
      <c r="K203" s="1301"/>
      <c r="L203" s="1301"/>
      <c r="M203" s="1301"/>
      <c r="N203" s="1301"/>
      <c r="O203" s="25"/>
    </row>
    <row r="204" spans="2:24" ht="12.75" customHeight="1" x14ac:dyDescent="0.2">
      <c r="B204" s="38"/>
      <c r="C204" s="38"/>
      <c r="D204" s="233"/>
      <c r="E204" s="1104" t="s">
        <v>392</v>
      </c>
      <c r="F204" s="1301" t="str">
        <f>Translations!$B$1573</f>
        <v>22.a panta 1. punkta e) apakšpunkts: iekārtai specifiskie ekspluatācijas apstākļi, arī plānotie vai neplānotie tehniskās apkopes periodi, vēl nav iestājušies.</v>
      </c>
      <c r="G204" s="1301"/>
      <c r="H204" s="1301"/>
      <c r="I204" s="1301"/>
      <c r="J204" s="1301"/>
      <c r="K204" s="1301"/>
      <c r="L204" s="1301"/>
      <c r="M204" s="1301"/>
      <c r="N204" s="1301"/>
      <c r="O204" s="25"/>
    </row>
    <row r="205" spans="2:24" ht="12.75" customHeight="1" x14ac:dyDescent="0.2">
      <c r="B205" s="38"/>
      <c r="C205" s="38"/>
      <c r="D205" s="233"/>
      <c r="E205" s="1301" t="str">
        <f>Translations!$B$1574</f>
        <v>Sīkākus norādījumus par iepriekš minētajiem punktiem sk. 12. norādījumu dokumentā.</v>
      </c>
      <c r="F205" s="1301"/>
      <c r="G205" s="1301"/>
      <c r="H205" s="1301"/>
      <c r="I205" s="1301"/>
      <c r="J205" s="1301"/>
      <c r="K205" s="1301"/>
      <c r="L205" s="1301"/>
      <c r="M205" s="1301"/>
      <c r="N205" s="1301"/>
      <c r="O205" s="25"/>
    </row>
    <row r="206" spans="2:24" ht="5.0999999999999996" customHeight="1" x14ac:dyDescent="0.2">
      <c r="B206" s="38"/>
      <c r="C206" s="38"/>
      <c r="D206" s="233"/>
      <c r="E206" s="231"/>
      <c r="F206" s="34"/>
      <c r="G206" s="34"/>
      <c r="H206" s="232"/>
      <c r="I206" s="232"/>
      <c r="J206" s="232"/>
      <c r="K206" s="232"/>
      <c r="L206" s="232"/>
      <c r="M206" s="38"/>
      <c r="N206" s="38"/>
      <c r="O206" s="25"/>
    </row>
    <row r="207" spans="2:24" ht="25.5" customHeight="1" thickBot="1" x14ac:dyDescent="0.25">
      <c r="B207" s="38"/>
      <c r="C207" s="38"/>
      <c r="D207" s="233"/>
      <c r="E207" s="1329" t="str">
        <f>Translations!$B$1575</f>
        <v>Nav saistīts ar rūpniecisko procesu?</v>
      </c>
      <c r="F207" s="1329"/>
      <c r="G207" s="1329" t="str">
        <f>Translations!$B$1576</f>
        <v>Atmaksāšanās laiks &gt; 3 gadi?</v>
      </c>
      <c r="H207" s="1330"/>
      <c r="I207" s="1329" t="str">
        <f>Translations!$B$1577</f>
        <v>Investīciju izmaksas &gt; 5 % apgrozījuma vai &gt; 25 % peļņas?</v>
      </c>
      <c r="J207" s="1330"/>
      <c r="K207" s="1329" t="str">
        <f>Translations!$B$1578</f>
        <v>Investīciju izmaksas &gt; 50 % iedales apjoma ekvivalenta?</v>
      </c>
      <c r="L207" s="1330"/>
      <c r="M207" s="1329" t="str">
        <f>Translations!$B$1579</f>
        <v>Apstākļi vēl nav iestājušies?</v>
      </c>
      <c r="N207" s="1330"/>
      <c r="O207" s="25"/>
    </row>
    <row r="208" spans="2:24" ht="13.5" thickBot="1" x14ac:dyDescent="0.25">
      <c r="B208" s="38"/>
      <c r="C208" s="38"/>
      <c r="D208" s="233"/>
      <c r="E208" s="1326"/>
      <c r="F208" s="1327"/>
      <c r="G208" s="1326"/>
      <c r="H208" s="1327"/>
      <c r="I208" s="1326"/>
      <c r="J208" s="1327"/>
      <c r="K208" s="1326"/>
      <c r="L208" s="1327"/>
      <c r="M208" s="1326"/>
      <c r="N208" s="1327"/>
      <c r="O208" s="25"/>
      <c r="W208" s="926" t="s">
        <v>635</v>
      </c>
      <c r="X208" s="927" t="b">
        <f>OR(AND(M192&lt;&gt;"",M192=FALSE),AND(M195&lt;&gt;"",M195=FALSE))</f>
        <v>0</v>
      </c>
    </row>
    <row r="209" spans="2:24" ht="5.0999999999999996" customHeight="1" thickBot="1" x14ac:dyDescent="0.25">
      <c r="B209" s="38"/>
      <c r="C209" s="38"/>
      <c r="D209" s="233"/>
      <c r="E209" s="893"/>
      <c r="F209" s="34"/>
      <c r="G209" s="34"/>
      <c r="H209" s="232"/>
      <c r="I209" s="232"/>
      <c r="J209" s="232"/>
      <c r="K209" s="232"/>
      <c r="L209" s="232"/>
      <c r="M209" s="38"/>
      <c r="N209" s="38"/>
      <c r="O209" s="25"/>
    </row>
    <row r="210" spans="2:24" ht="13.5" thickBot="1" x14ac:dyDescent="0.25">
      <c r="B210" s="38"/>
      <c r="C210" s="38"/>
      <c r="D210" s="32" t="s">
        <v>342</v>
      </c>
      <c r="E210" s="1250" t="str">
        <f>Translations!$B$1580</f>
        <v>Kādi ieteikumi, kas palikuši pēc c) punkta?</v>
      </c>
      <c r="F210" s="1251"/>
      <c r="G210" s="1251"/>
      <c r="H210" s="1251"/>
      <c r="I210" s="1251"/>
      <c r="J210" s="1251"/>
      <c r="K210" s="1251"/>
      <c r="L210" s="1328"/>
      <c r="M210" s="1326"/>
      <c r="N210" s="1327"/>
      <c r="O210" s="25"/>
      <c r="P210" s="802" t="str">
        <f>EUconst_CNTR_ConditionalityOK</f>
        <v>EUconst_CNTR_ConditionalityOK</v>
      </c>
      <c r="R210" s="926"/>
      <c r="S210" s="453" t="b">
        <f>AND(X210=FALSE,M210="")</f>
        <v>1</v>
      </c>
      <c r="T210" s="1110"/>
      <c r="W210" s="926" t="s">
        <v>635</v>
      </c>
      <c r="X210" s="927" t="b">
        <f>X208</f>
        <v>0</v>
      </c>
    </row>
    <row r="211" spans="2:24" ht="12.75" customHeight="1" x14ac:dyDescent="0.2">
      <c r="B211" s="38"/>
      <c r="C211" s="38"/>
      <c r="D211" s="233"/>
      <c r="E211" s="1301" t="str">
        <f>Translations!$B$1581</f>
        <v>Ja pēc b) un c) punkta joprojām ir kādi ieteiktie pasākumi, kas nav īstenoti, šeit atzīmējiet “TRUE”/”PATIESS”.</v>
      </c>
      <c r="F211" s="1301"/>
      <c r="G211" s="1301"/>
      <c r="H211" s="1301"/>
      <c r="I211" s="1301"/>
      <c r="J211" s="1301"/>
      <c r="K211" s="1301"/>
      <c r="L211" s="1301"/>
      <c r="M211" s="1301"/>
      <c r="N211" s="1301"/>
      <c r="O211" s="25"/>
    </row>
    <row r="212" spans="2:24" ht="5.0999999999999996" customHeight="1" thickBot="1" x14ac:dyDescent="0.25">
      <c r="B212" s="38"/>
      <c r="C212" s="38"/>
      <c r="D212" s="233"/>
      <c r="E212" s="893"/>
      <c r="F212" s="34"/>
      <c r="G212" s="34"/>
      <c r="H212" s="232"/>
      <c r="I212" s="232"/>
      <c r="J212" s="232"/>
      <c r="K212" s="232"/>
      <c r="L212" s="232"/>
      <c r="M212" s="38"/>
      <c r="N212" s="38"/>
      <c r="O212" s="25"/>
    </row>
    <row r="213" spans="2:24" ht="13.5" thickBot="1" x14ac:dyDescent="0.25">
      <c r="B213" s="38"/>
      <c r="C213" s="38"/>
      <c r="D213" s="32" t="s">
        <v>12</v>
      </c>
      <c r="E213" s="1250" t="str">
        <f>Translations!$B$1582</f>
        <v>Ja pēc d) punkta vēl palikuši pasākumi, vai attiecībā uz VISIEM ir tikuši piemēroti pielīdzināmi pasākumi?</v>
      </c>
      <c r="F213" s="1251"/>
      <c r="G213" s="1251"/>
      <c r="H213" s="1251"/>
      <c r="I213" s="1251"/>
      <c r="J213" s="1251"/>
      <c r="K213" s="1251"/>
      <c r="L213" s="1328"/>
      <c r="M213" s="1326"/>
      <c r="N213" s="1327"/>
      <c r="O213" s="25"/>
      <c r="P213" s="802" t="str">
        <f>EUconst_CNTR_ConditionalityOK</f>
        <v>EUconst_CNTR_ConditionalityOK</v>
      </c>
      <c r="R213" s="926"/>
      <c r="S213" s="453" t="b">
        <f>AND(X213=FALSE,M213="")</f>
        <v>1</v>
      </c>
      <c r="W213" s="926" t="s">
        <v>635</v>
      </c>
      <c r="X213" s="927" t="b">
        <f>OR(X195,X208,AND(M210&lt;&gt;"",M210=FALSE))</f>
        <v>0</v>
      </c>
    </row>
    <row r="214" spans="2:24" ht="25.5" customHeight="1" x14ac:dyDescent="0.2">
      <c r="B214" s="38"/>
      <c r="C214" s="38"/>
      <c r="D214" s="233"/>
      <c r="E214" s="1301" t="str">
        <f>Translations!$B$1583</f>
        <v>Ja pēc d) punkta vēl palikuši pasākumi, saskaņā ar FAR 22. panta 1. punkta c) apakšpunktu bezmaksas kvotu iedales apjomu nesamazina, ja ir īstenoti citi pasākumi, ar kuriem iekārtā tiek panākti siltumnīcefekta gāzu emisiju samazinājumi, kas ir pielīdzināmi tiem, kas ieteikti energoaudita ziņojumā vai sertificētajā energovadības sistēmā saskaņā ar a) punktu.</v>
      </c>
      <c r="F214" s="1301"/>
      <c r="G214" s="1301"/>
      <c r="H214" s="1301"/>
      <c r="I214" s="1301"/>
      <c r="J214" s="1301"/>
      <c r="K214" s="1301"/>
      <c r="L214" s="1301"/>
      <c r="M214" s="1301"/>
      <c r="N214" s="1301"/>
      <c r="O214" s="25"/>
    </row>
    <row r="215" spans="2:24" ht="12.75" customHeight="1" x14ac:dyDescent="0.2">
      <c r="B215" s="38"/>
      <c r="C215" s="38"/>
      <c r="D215" s="233"/>
      <c r="E215" s="1301" t="str">
        <f>Translations!$B$1584</f>
        <v>Ja attiecībā uz VISIEM atlikušajiem ieteiktajiem pasākumiem ir īstenoti pielīdzināmi pasākumi, t. i., neizpildītu pasākumu ieteikumu nav, šeit atzīmējiet “TRUE”/”PATIESS”.</v>
      </c>
      <c r="F215" s="1301"/>
      <c r="G215" s="1301"/>
      <c r="H215" s="1301"/>
      <c r="I215" s="1301"/>
      <c r="J215" s="1301"/>
      <c r="K215" s="1301"/>
      <c r="L215" s="1301"/>
      <c r="M215" s="1301"/>
      <c r="N215" s="1301"/>
      <c r="O215" s="25"/>
    </row>
    <row r="216" spans="2:24" ht="5.0999999999999996" customHeight="1" thickBot="1" x14ac:dyDescent="0.25">
      <c r="B216" s="38"/>
      <c r="C216" s="38"/>
      <c r="D216" s="233"/>
      <c r="E216" s="893"/>
      <c r="F216" s="34"/>
      <c r="G216" s="34"/>
      <c r="H216" s="232"/>
      <c r="I216" s="232"/>
      <c r="J216" s="232"/>
      <c r="K216" s="232"/>
      <c r="L216" s="232"/>
      <c r="M216" s="38"/>
      <c r="N216" s="38"/>
      <c r="O216" s="25"/>
    </row>
    <row r="217" spans="2:24" ht="13.5" thickBot="1" x14ac:dyDescent="0.25">
      <c r="B217" s="38"/>
      <c r="C217" s="38"/>
      <c r="D217" s="32" t="s">
        <v>13</v>
      </c>
      <c r="E217" s="1250" t="str">
        <f>Translations!$B$1585</f>
        <v>Rezultāts: piemērojams bezmaksas kvotu iedales apjoma samazinājums par 20 % (nosacījums Nr. 1)</v>
      </c>
      <c r="F217" s="1251"/>
      <c r="G217" s="1251"/>
      <c r="H217" s="1251"/>
      <c r="I217" s="1251"/>
      <c r="J217" s="1251"/>
      <c r="K217" s="1251"/>
      <c r="L217" s="1321"/>
      <c r="M217" s="1331" t="str">
        <f>IF(M192="","",AND(M192,M195,M210,M213=FALSE))</f>
        <v/>
      </c>
      <c r="N217" s="1332"/>
      <c r="O217" s="25"/>
      <c r="P217" s="802" t="s">
        <v>636</v>
      </c>
      <c r="Q217" s="452"/>
    </row>
    <row r="218" spans="2:24" ht="12.75" customHeight="1" x14ac:dyDescent="0.2">
      <c r="B218" s="38"/>
      <c r="C218" s="38"/>
      <c r="D218" s="233"/>
      <c r="E218" s="1301" t="str">
        <f>Translations!$B$1586</f>
        <v>Tas ir automātisks rezultāts, kura pamatā ir iepriekš minētie ieraksti.</v>
      </c>
      <c r="F218" s="1301"/>
      <c r="G218" s="1301"/>
      <c r="H218" s="1301"/>
      <c r="I218" s="1301"/>
      <c r="J218" s="1301"/>
      <c r="K218" s="1301"/>
      <c r="L218" s="1301"/>
      <c r="M218" s="1301"/>
      <c r="N218" s="1301"/>
      <c r="O218" s="25"/>
    </row>
    <row r="219" spans="2:24" x14ac:dyDescent="0.2">
      <c r="B219" s="38"/>
      <c r="C219" s="38"/>
      <c r="D219" s="233"/>
      <c r="E219" s="231"/>
      <c r="F219" s="34"/>
      <c r="G219" s="34"/>
      <c r="H219" s="232"/>
      <c r="I219" s="232"/>
      <c r="J219" s="232"/>
      <c r="K219" s="232"/>
      <c r="L219" s="232"/>
      <c r="M219" s="38"/>
      <c r="N219" s="38"/>
      <c r="O219" s="25"/>
    </row>
    <row r="220" spans="2:24" ht="15" customHeight="1" x14ac:dyDescent="0.25">
      <c r="B220" s="38"/>
      <c r="C220" s="36">
        <v>3</v>
      </c>
      <c r="D220" s="1353" t="str">
        <f>Translations!$B$1587</f>
        <v>Nosacījumi Nr. 2. Sniegums &gt; 80 procentiles</v>
      </c>
      <c r="E220" s="1251"/>
      <c r="F220" s="1251"/>
      <c r="G220" s="1251"/>
      <c r="H220" s="1251"/>
      <c r="I220" s="1251"/>
      <c r="J220" s="1251"/>
      <c r="K220" s="1251"/>
      <c r="L220" s="1251"/>
      <c r="M220" s="1251"/>
      <c r="N220" s="1251"/>
      <c r="O220" s="25"/>
    </row>
    <row r="221" spans="2:24" ht="12.75" customHeight="1" x14ac:dyDescent="0.2">
      <c r="B221" s="38"/>
      <c r="C221" s="38"/>
      <c r="D221" s="233"/>
      <c r="E221" s="1301" t="str">
        <f>Translations!$B$1588</f>
        <v>Saskaņā ar FAR 22.b panta 1. un 2. punktu bezmaksas kvotu iedales apjomu samazina par 20 %, ja un ar noteikumu, ka</v>
      </c>
      <c r="F221" s="1301"/>
      <c r="G221" s="1301"/>
      <c r="H221" s="1301"/>
      <c r="I221" s="1301"/>
      <c r="J221" s="1301"/>
      <c r="K221" s="1301"/>
      <c r="L221" s="1301"/>
      <c r="M221" s="1301"/>
      <c r="N221" s="1301"/>
      <c r="O221" s="25"/>
    </row>
    <row r="222" spans="2:24" ht="12.75" customHeight="1" x14ac:dyDescent="0.2">
      <c r="B222" s="38"/>
      <c r="C222" s="38"/>
      <c r="D222" s="233"/>
      <c r="E222" s="1104" t="s">
        <v>392</v>
      </c>
      <c r="F222" s="1301" t="str">
        <f>Translations!$B$1589</f>
        <v>viena vai vairākas produkta LA apakšiekārtas sniegums 2016./2017. gadā pārsniedza 80. procentili šīs nozares SEG intensitātes ziņā UN</v>
      </c>
      <c r="G222" s="1301"/>
      <c r="H222" s="1301"/>
      <c r="I222" s="1301"/>
      <c r="J222" s="1301"/>
      <c r="K222" s="1301"/>
      <c r="L222" s="1301"/>
      <c r="M222" s="1301"/>
      <c r="N222" s="1301"/>
      <c r="O222" s="25"/>
    </row>
    <row r="223" spans="2:24" ht="25.5" customHeight="1" x14ac:dyDescent="0.2">
      <c r="B223" s="38"/>
      <c r="C223" s="38"/>
      <c r="D223" s="233"/>
      <c r="E223" s="1104" t="s">
        <v>392</v>
      </c>
      <c r="F223" s="1301" t="str">
        <f>Translations!$B$1590</f>
        <v>attiecīgā apakšiekārta nodrošināja vismaz 20 % no iekārtas provizoriskā bezmaksas kvotu iedales apjoma 2021.–2025. gadā (t. i., balstoties uz VĪP iedales apjomu, kas noteikts 2022. gadā pirms jebkādām kvotu iedales apjoma izmaiņām saskaņā ar Regulu (ES) 2019/1842 jeb DLI regulu), UN</v>
      </c>
      <c r="G223" s="1301"/>
      <c r="H223" s="1301"/>
      <c r="I223" s="1301"/>
      <c r="J223" s="1301"/>
      <c r="K223" s="1301"/>
      <c r="L223" s="1301"/>
      <c r="M223" s="1301"/>
      <c r="N223" s="1301"/>
      <c r="O223" s="25"/>
    </row>
    <row r="224" spans="2:24" ht="12.75" customHeight="1" x14ac:dyDescent="0.2">
      <c r="B224" s="38"/>
      <c r="C224" s="38"/>
      <c r="D224" s="233"/>
      <c r="E224" s="1104" t="s">
        <v>392</v>
      </c>
      <c r="F224" s="1301" t="str">
        <f>Translations!$B$1591</f>
        <v>iekārta nav ieviesusi klimatneitralitātes plānu, kas atbilstu Īstenošanas regulas (ES) 2023/2441 prasībām.</v>
      </c>
      <c r="G224" s="1301"/>
      <c r="H224" s="1301"/>
      <c r="I224" s="1301"/>
      <c r="J224" s="1301"/>
      <c r="K224" s="1301"/>
      <c r="L224" s="1301"/>
      <c r="M224" s="1301"/>
      <c r="N224" s="1301"/>
      <c r="O224" s="25"/>
    </row>
    <row r="225" spans="2:24" ht="5.0999999999999996" customHeight="1" x14ac:dyDescent="0.2">
      <c r="B225" s="38"/>
      <c r="C225" s="38"/>
      <c r="D225" s="233"/>
      <c r="E225" s="231"/>
      <c r="F225" s="34"/>
      <c r="G225" s="34"/>
      <c r="H225" s="232"/>
      <c r="I225" s="232"/>
      <c r="J225" s="232"/>
      <c r="K225" s="232"/>
      <c r="L225" s="232"/>
      <c r="M225" s="38"/>
      <c r="N225" s="38"/>
      <c r="O225" s="25"/>
    </row>
    <row r="226" spans="2:24" x14ac:dyDescent="0.2">
      <c r="B226" s="38"/>
      <c r="C226" s="38"/>
      <c r="D226" s="230" t="s">
        <v>165</v>
      </c>
      <c r="E226" s="1250" t="str">
        <f>Translations!$B$1592</f>
        <v>Vai kādas produkta LA apakšiekārtas SEG intensitāte pārsniedza 80 procentiles?</v>
      </c>
      <c r="F226" s="1251"/>
      <c r="G226" s="1251"/>
      <c r="H226" s="1251"/>
      <c r="I226" s="1251"/>
      <c r="J226" s="1251"/>
      <c r="K226" s="1251"/>
      <c r="L226" s="1328"/>
      <c r="M226" s="1326"/>
      <c r="N226" s="1327"/>
      <c r="O226" s="25"/>
      <c r="P226" s="802" t="str">
        <f>EUconst_CNTR_ConditionalityOK</f>
        <v>EUconst_CNTR_ConditionalityOK</v>
      </c>
      <c r="R226" s="926"/>
      <c r="S226" s="453" t="b">
        <f>AND(X226=FALSE,M226="")</f>
        <v>1</v>
      </c>
      <c r="T226" s="1110" t="s">
        <v>634</v>
      </c>
    </row>
    <row r="227" spans="2:24" ht="25.5" customHeight="1" x14ac:dyDescent="0.2">
      <c r="B227" s="38"/>
      <c r="C227" s="38"/>
      <c r="D227" s="233"/>
      <c r="E227" s="1301" t="str">
        <f>Translations!$B$1593</f>
        <v>Ja kāda no produkta LA apakšiekārtām 2016./2017. gadā pārsniedza 80 procentiles un 2021.–2025. gadā nodrošināja vismaz 20 % no provizoriskā iedales apjoma, šeit atzīmējiet “TRUE”/”PATIESS”. Tā kā šis rezultāts ir saistīts ar iepriekšējo datu vākšanu, sazinieties ar savu kompetento iestādi un atbildiet uz šo jautājumu atbilstoši tās norādījumiem.</v>
      </c>
      <c r="F227" s="1301"/>
      <c r="G227" s="1301"/>
      <c r="H227" s="1301"/>
      <c r="I227" s="1301"/>
      <c r="J227" s="1301"/>
      <c r="K227" s="1301"/>
      <c r="L227" s="1301"/>
      <c r="M227" s="1301"/>
      <c r="N227" s="1301"/>
      <c r="O227" s="25"/>
    </row>
    <row r="228" spans="2:24" ht="5.0999999999999996" customHeight="1" thickBot="1" x14ac:dyDescent="0.25">
      <c r="B228" s="38"/>
      <c r="C228" s="38"/>
      <c r="D228" s="233"/>
      <c r="E228" s="231"/>
      <c r="F228" s="34"/>
      <c r="G228" s="34"/>
      <c r="H228" s="232"/>
      <c r="I228" s="232"/>
      <c r="J228" s="232"/>
      <c r="K228" s="232"/>
      <c r="L228" s="232"/>
      <c r="M228" s="38"/>
      <c r="N228" s="38"/>
      <c r="O228" s="25"/>
    </row>
    <row r="229" spans="2:24" ht="13.5" thickBot="1" x14ac:dyDescent="0.25">
      <c r="B229" s="38"/>
      <c r="C229" s="38"/>
      <c r="D229" s="32" t="s">
        <v>339</v>
      </c>
      <c r="E229" s="1250" t="str">
        <f>Translations!$B$1594</f>
        <v>Ja a) punkts ir relevants, vai kā daļu no šā pieteikuma iesniedzat klimatneitralitātes plānu (KNP)?</v>
      </c>
      <c r="F229" s="1251"/>
      <c r="G229" s="1251"/>
      <c r="H229" s="1251"/>
      <c r="I229" s="1251"/>
      <c r="J229" s="1251"/>
      <c r="K229" s="1251"/>
      <c r="L229" s="1328"/>
      <c r="M229" s="1326"/>
      <c r="N229" s="1327"/>
      <c r="O229" s="25"/>
      <c r="W229" s="926" t="s">
        <v>635</v>
      </c>
      <c r="X229" s="927" t="b">
        <f>AND(M226&lt;&gt;"",M226=FALSE)</f>
        <v>0</v>
      </c>
    </row>
    <row r="230" spans="2:24" x14ac:dyDescent="0.2">
      <c r="B230" s="38"/>
      <c r="C230" s="38"/>
      <c r="D230" s="233"/>
      <c r="E230" s="1301" t="str">
        <f>Translations!$B$1595</f>
        <v>Apstipriniet, vai līdz ar pieteikumu uz bezmaksas kvotu iedali iesniedzat klimatneitralitātes plānu, kas atbilst Īstenošanas regulai (ES) 2023/2441?</v>
      </c>
      <c r="F230" s="1301"/>
      <c r="G230" s="1301"/>
      <c r="H230" s="1301"/>
      <c r="I230" s="1301"/>
      <c r="J230" s="1301"/>
      <c r="K230" s="1301"/>
      <c r="L230" s="1301"/>
      <c r="M230" s="1301"/>
      <c r="N230" s="1301"/>
      <c r="O230" s="25"/>
    </row>
    <row r="231" spans="2:24" ht="5.0999999999999996" customHeight="1" thickBot="1" x14ac:dyDescent="0.25">
      <c r="B231" s="38"/>
      <c r="C231" s="38"/>
      <c r="D231" s="233"/>
      <c r="E231" s="231"/>
      <c r="F231" s="34"/>
      <c r="G231" s="34"/>
      <c r="H231" s="232"/>
      <c r="I231" s="232"/>
      <c r="J231" s="232"/>
      <c r="K231" s="232"/>
      <c r="L231" s="232"/>
      <c r="M231" s="38"/>
      <c r="N231" s="38"/>
      <c r="O231" s="25"/>
    </row>
    <row r="232" spans="2:24" ht="13.5" thickBot="1" x14ac:dyDescent="0.25">
      <c r="B232" s="38"/>
      <c r="C232" s="38"/>
      <c r="D232" s="32" t="s">
        <v>11</v>
      </c>
      <c r="E232" s="1250" t="str">
        <f>Translations!$B$1596</f>
        <v>Vai kompetentā iestāde apstiprina klimatneitralitātes plāna atbilstību?</v>
      </c>
      <c r="F232" s="1251"/>
      <c r="G232" s="1251"/>
      <c r="H232" s="1251"/>
      <c r="I232" s="1251"/>
      <c r="J232" s="1251"/>
      <c r="K232" s="1251"/>
      <c r="L232" s="1328"/>
      <c r="M232" s="1326"/>
      <c r="N232" s="1327"/>
      <c r="O232" s="25"/>
      <c r="W232" s="926" t="s">
        <v>635</v>
      </c>
      <c r="X232" s="927" t="b">
        <f>OR(X229,AND(M229&lt;&gt;"",M229=FALSE))</f>
        <v>0</v>
      </c>
    </row>
    <row r="233" spans="2:24" x14ac:dyDescent="0.2">
      <c r="B233" s="38"/>
      <c r="C233" s="38"/>
      <c r="D233" s="233"/>
      <c r="E233" s="1301" t="str">
        <f>Translations!$B$1597</f>
        <v>Šo sadaļu aizpilda kompetentā iestāde, bet jūs tikai tad, ja kompetentā iestāde jums to ir uzdevusi.</v>
      </c>
      <c r="F233" s="1301"/>
      <c r="G233" s="1301"/>
      <c r="H233" s="1301"/>
      <c r="I233" s="1301"/>
      <c r="J233" s="1301"/>
      <c r="K233" s="1301"/>
      <c r="L233" s="1301"/>
      <c r="M233" s="1301"/>
      <c r="N233" s="1301"/>
      <c r="O233" s="25"/>
    </row>
    <row r="234" spans="2:24" ht="5.0999999999999996" customHeight="1" thickBot="1" x14ac:dyDescent="0.25">
      <c r="B234" s="38"/>
      <c r="C234" s="38"/>
      <c r="D234" s="233"/>
      <c r="E234" s="231"/>
      <c r="F234" s="34"/>
      <c r="G234" s="34"/>
      <c r="H234" s="232"/>
      <c r="I234" s="232"/>
      <c r="J234" s="232"/>
      <c r="K234" s="232"/>
      <c r="L234" s="232"/>
      <c r="M234" s="38"/>
      <c r="N234" s="38"/>
      <c r="O234" s="25"/>
    </row>
    <row r="235" spans="2:24" ht="13.5" customHeight="1" thickBot="1" x14ac:dyDescent="0.25">
      <c r="B235" s="38"/>
      <c r="C235" s="38"/>
      <c r="D235" s="32" t="s">
        <v>342</v>
      </c>
      <c r="E235" s="1250" t="str">
        <f>Translations!$B$1598</f>
        <v>Rezultāts: piemērojams bezmaksas kvotu iedales apjoma samazinājums par 20 % (2. nosacījums)</v>
      </c>
      <c r="F235" s="1251"/>
      <c r="G235" s="1251"/>
      <c r="H235" s="1251"/>
      <c r="I235" s="1251"/>
      <c r="J235" s="1251"/>
      <c r="K235" s="1251"/>
      <c r="L235" s="1321"/>
      <c r="M235" s="1331" t="str">
        <f>IF(M226="","",AND(M226=TRUE,OR(M229=FALSE,M232=FALSE)))</f>
        <v/>
      </c>
      <c r="N235" s="1332"/>
      <c r="O235" s="25"/>
      <c r="P235" s="802" t="s">
        <v>637</v>
      </c>
      <c r="Q235" s="452"/>
    </row>
    <row r="236" spans="2:24" x14ac:dyDescent="0.2">
      <c r="B236" s="38"/>
      <c r="C236" s="38"/>
      <c r="D236" s="233"/>
      <c r="E236" s="1301" t="str">
        <f>Translations!$B$1599</f>
        <v>Tas ir automātisks rezultāts, kura pamatā ir a) un b) punktā sniegtās atbildes.</v>
      </c>
      <c r="F236" s="1301"/>
      <c r="G236" s="1301"/>
      <c r="H236" s="1301"/>
      <c r="I236" s="1301"/>
      <c r="J236" s="1301"/>
      <c r="K236" s="1301"/>
      <c r="L236" s="1301"/>
      <c r="M236" s="1301"/>
      <c r="N236" s="1301"/>
      <c r="O236" s="25"/>
    </row>
    <row r="237" spans="2:24" ht="12.75" customHeight="1" x14ac:dyDescent="0.2">
      <c r="B237" s="38"/>
      <c r="C237" s="38"/>
      <c r="D237" s="233"/>
      <c r="E237" s="231"/>
      <c r="F237" s="34"/>
      <c r="G237" s="34"/>
      <c r="H237" s="232"/>
      <c r="I237" s="232"/>
      <c r="J237" s="232"/>
      <c r="K237" s="232"/>
      <c r="L237" s="232"/>
      <c r="M237" s="38"/>
      <c r="N237" s="38"/>
      <c r="O237" s="25"/>
    </row>
    <row r="238" spans="2:24" ht="15" customHeight="1" x14ac:dyDescent="0.25">
      <c r="B238" s="38"/>
      <c r="C238" s="36">
        <v>4</v>
      </c>
      <c r="D238" s="1353" t="str">
        <f>Translations!$B$1600</f>
        <v>Nosacījums Nr. 3. + 30 % centralizētajai siltumapgādei</v>
      </c>
      <c r="E238" s="1251"/>
      <c r="F238" s="1251"/>
      <c r="G238" s="1251"/>
      <c r="H238" s="1251"/>
      <c r="I238" s="1251"/>
      <c r="J238" s="1251"/>
      <c r="K238" s="1251"/>
      <c r="L238" s="1251"/>
      <c r="M238" s="1251"/>
      <c r="N238" s="1251"/>
      <c r="O238" s="25"/>
    </row>
    <row r="239" spans="2:24" ht="25.5" customHeight="1" x14ac:dyDescent="0.2">
      <c r="B239" s="38"/>
      <c r="C239" s="38"/>
      <c r="D239" s="233"/>
      <c r="E239" s="1301" t="str">
        <f>Translations!$B$1601</f>
        <v>Saskaņā ar FAR 22.b panta 3. punktu iekārtas vai centralizētās siltumapgādes uzņēmums, kas atrodas dalībvalstī, kura atbilst ETS direktīvas 10.b panta 4. punkta otrajā daļā noteiktajiem kritērijiem, ja ir izpildīti 22.b panta 3. punkta a)–f) apakšpunkta nosacījumi, var pieteikties uz papildu 30 % bezmaksas kvotu saņemšanu centralizētās siltumapgādes apakšiekārtai.</v>
      </c>
      <c r="F239" s="1301"/>
      <c r="G239" s="1301"/>
      <c r="H239" s="1301"/>
      <c r="I239" s="1301"/>
      <c r="J239" s="1301"/>
      <c r="K239" s="1301"/>
      <c r="L239" s="1301"/>
      <c r="M239" s="1301"/>
      <c r="N239" s="1301"/>
      <c r="O239" s="25"/>
    </row>
    <row r="240" spans="2:24" ht="5.0999999999999996" customHeight="1" thickBot="1" x14ac:dyDescent="0.25">
      <c r="B240" s="38"/>
      <c r="C240" s="38"/>
      <c r="D240" s="233"/>
      <c r="E240" s="231"/>
      <c r="F240" s="34"/>
      <c r="G240" s="34"/>
      <c r="H240" s="232"/>
      <c r="I240" s="232"/>
      <c r="J240" s="232"/>
      <c r="K240" s="232"/>
      <c r="L240" s="232"/>
      <c r="M240" s="38"/>
      <c r="N240" s="38"/>
      <c r="O240" s="25"/>
    </row>
    <row r="241" spans="2:24" ht="13.5" thickBot="1" x14ac:dyDescent="0.25">
      <c r="B241" s="38"/>
      <c r="C241" s="38"/>
      <c r="D241" s="32"/>
      <c r="E241" s="1250" t="str">
        <f>Translations!$B$1602</f>
        <v>Pieteikums uz + 30 % iedales apjomu centralizētajai siltumapgādei?</v>
      </c>
      <c r="F241" s="1251"/>
      <c r="G241" s="1251"/>
      <c r="H241" s="1251"/>
      <c r="I241" s="1251"/>
      <c r="J241" s="1251"/>
      <c r="K241" s="1251"/>
      <c r="L241" s="1328"/>
      <c r="M241" s="1326"/>
      <c r="N241" s="1327"/>
      <c r="O241" s="25"/>
      <c r="W241" s="926" t="s">
        <v>635</v>
      </c>
      <c r="X241" s="927" t="b">
        <f>IF(J15="",FALSE,COUNTIF(EUconst_MSDHConditionalityList,J15)=0)</f>
        <v>0</v>
      </c>
    </row>
    <row r="242" spans="2:24" x14ac:dyDescent="0.2">
      <c r="B242" s="38"/>
      <c r="C242" s="38"/>
      <c r="D242" s="233"/>
      <c r="E242" s="1301" t="str">
        <f>Translations!$B$1603</f>
        <v>Ja plānojat pieteikties uz papildu 30 % bezmaksas kvotu saņemšanu centralizētajai siltumapgādei, šeit atzīmējiet “TRUE”/”PATIESS”.</v>
      </c>
      <c r="F242" s="1301"/>
      <c r="G242" s="1301"/>
      <c r="H242" s="1301"/>
      <c r="I242" s="1301"/>
      <c r="J242" s="1301"/>
      <c r="K242" s="1301"/>
      <c r="L242" s="1301"/>
      <c r="M242" s="1301"/>
      <c r="N242" s="1301"/>
      <c r="O242" s="25"/>
    </row>
    <row r="243" spans="2:24" ht="25.5" customHeight="1" x14ac:dyDescent="0.2">
      <c r="B243" s="38"/>
      <c r="C243" s="38"/>
      <c r="D243" s="233"/>
      <c r="E243" s="1471" t="str">
        <f>Translations!$B$1604</f>
        <v>Ievērojiet, ka papildu bezmaksas kvotas var piešķirt tikai vēlāk tad, ja faktiski izpildīti visi 22.b panta 3. punkta a) līdz f) apakšpunkta nosacījumi. Tāpēc šeit atzīme “TRUE”/”PATIESS” ir tikai orientējoša un informatīviem mērķiem. Tas nav juridiski saistošs pieteikums uz papildu kvotām.</v>
      </c>
      <c r="F243" s="1471"/>
      <c r="G243" s="1471"/>
      <c r="H243" s="1471"/>
      <c r="I243" s="1471"/>
      <c r="J243" s="1471"/>
      <c r="K243" s="1471"/>
      <c r="L243" s="1471"/>
      <c r="M243" s="1471"/>
      <c r="N243" s="1471"/>
      <c r="O243" s="25"/>
    </row>
    <row r="244" spans="2:24" x14ac:dyDescent="0.2">
      <c r="B244" s="38"/>
      <c r="C244" s="38"/>
      <c r="D244" s="233"/>
      <c r="E244" s="231"/>
      <c r="F244" s="34"/>
      <c r="G244" s="34"/>
      <c r="H244" s="232"/>
      <c r="I244" s="232"/>
      <c r="J244" s="232"/>
      <c r="K244" s="232"/>
      <c r="L244" s="232"/>
      <c r="M244" s="38"/>
      <c r="N244" s="38"/>
      <c r="O244" s="25"/>
    </row>
    <row r="245" spans="2:24" ht="15.75" thickBot="1" x14ac:dyDescent="0.3">
      <c r="B245" s="38"/>
      <c r="C245" s="36">
        <v>5</v>
      </c>
      <c r="D245" s="1318" t="str">
        <f>Translations!$B$203</f>
        <v>Izraudzītais bāzlīnijas periods</v>
      </c>
      <c r="E245" s="1251"/>
      <c r="F245" s="1251"/>
      <c r="G245" s="1251"/>
      <c r="H245" s="1251"/>
      <c r="I245" s="1251"/>
      <c r="J245" s="1251"/>
      <c r="K245" s="1251"/>
      <c r="L245" s="1251"/>
      <c r="M245" s="1251"/>
      <c r="N245" s="1251"/>
      <c r="O245" s="25"/>
      <c r="P245" s="452" t="s">
        <v>495</v>
      </c>
    </row>
    <row r="246" spans="2:24" ht="13.5" thickBot="1" x14ac:dyDescent="0.25">
      <c r="B246" s="38"/>
      <c r="C246" s="38"/>
      <c r="D246" s="230" t="s">
        <v>165</v>
      </c>
      <c r="E246" s="1250" t="str">
        <f>Translations!$B$204</f>
        <v>Izvēlieties šā ziņojuma bāzlīnijas periodu:</v>
      </c>
      <c r="F246" s="1251"/>
      <c r="G246" s="1251"/>
      <c r="H246" s="1251"/>
      <c r="I246" s="1328"/>
      <c r="J246" s="1484" t="s">
        <v>452</v>
      </c>
      <c r="K246" s="1485"/>
      <c r="L246" s="403" t="str">
        <f>IF(CNTR_HasEntries_A_I,IF(J246="",EUconst_Incomplete,""),"")</f>
        <v/>
      </c>
      <c r="M246" s="38"/>
      <c r="N246" s="38"/>
      <c r="O246" s="25"/>
      <c r="P246" s="631">
        <f>IF(ISBLANK(J246),EUconst_NA,MATCH(J246,EUconst_BaselinePeriods,0))</f>
        <v>2</v>
      </c>
    </row>
    <row r="247" spans="2:24" x14ac:dyDescent="0.2">
      <c r="B247" s="38"/>
      <c r="C247" s="38"/>
      <c r="D247" s="34"/>
      <c r="E247" s="1319" t="str">
        <f>Translations!$B$205</f>
        <v>Šis ir bāzlīnijas periods saskaņā ar FAR 2. panta 14. punktu.</v>
      </c>
      <c r="F247" s="1251"/>
      <c r="G247" s="1251"/>
      <c r="H247" s="1251"/>
      <c r="I247" s="1251"/>
      <c r="J247" s="1251"/>
      <c r="K247" s="1251"/>
      <c r="L247" s="1251"/>
      <c r="M247" s="1251"/>
      <c r="N247" s="1251"/>
      <c r="O247" s="25"/>
    </row>
    <row r="248" spans="2:24" ht="5.0999999999999996" customHeight="1" x14ac:dyDescent="0.2">
      <c r="B248" s="21"/>
      <c r="C248" s="21"/>
      <c r="D248" s="21"/>
      <c r="E248" s="21"/>
      <c r="F248" s="21"/>
      <c r="G248" s="21"/>
      <c r="H248" s="21"/>
      <c r="I248" s="21"/>
      <c r="J248" s="21"/>
      <c r="K248" s="21"/>
      <c r="L248" s="21"/>
      <c r="M248" s="25"/>
      <c r="N248" s="25"/>
      <c r="O248" s="25"/>
      <c r="P248" s="624"/>
    </row>
    <row r="249" spans="2:24" x14ac:dyDescent="0.2">
      <c r="B249" s="38"/>
      <c r="C249" s="38"/>
      <c r="D249" s="230" t="s">
        <v>339</v>
      </c>
      <c r="E249" s="1250" t="str">
        <f>Translations!$B$206</f>
        <v>Gadi, kuros iekārta bijusi ekspluatācijā:</v>
      </c>
      <c r="F249" s="1251"/>
      <c r="G249" s="1251"/>
      <c r="H249" s="1251"/>
      <c r="I249" s="1251"/>
      <c r="J249" s="1251"/>
      <c r="K249" s="1251"/>
      <c r="L249" s="1251"/>
      <c r="M249" s="1251"/>
      <c r="N249" s="1251"/>
      <c r="O249" s="25"/>
    </row>
    <row r="250" spans="2:24" ht="25.5" customHeight="1" x14ac:dyDescent="0.2">
      <c r="B250" s="38"/>
      <c r="C250" s="38"/>
      <c r="D250" s="38"/>
      <c r="E250" s="1319" t="str">
        <f>Translations!$B$1605</f>
        <v>Kā nosaka FAR 15. panta 7. punkta pirmā daļa, lai noteiktu vēsturisko darbības līmeņu medianālās vērtības, ņem vērā tikai tos kalendāros gadus, kuros iekārta bijusi ekspluatācijā vismaz vienu dienu.</v>
      </c>
      <c r="F250" s="1251"/>
      <c r="G250" s="1251"/>
      <c r="H250" s="1251"/>
      <c r="I250" s="1251"/>
      <c r="J250" s="1251"/>
      <c r="K250" s="1251"/>
      <c r="L250" s="1251"/>
      <c r="M250" s="1251"/>
      <c r="N250" s="1251"/>
      <c r="O250" s="25"/>
    </row>
    <row r="251" spans="2:24" x14ac:dyDescent="0.2">
      <c r="B251" s="38"/>
      <c r="C251" s="38"/>
      <c r="D251" s="38"/>
      <c r="E251" s="1319" t="str">
        <f>Translations!$B$208</f>
        <v>Nākamajā tabulā par katru gadu norādiet, vai iekārta attiecīgajā kalendārajā gadā bijusi ekspluatācijā vismaz vienu dienu. Neatstājiet dzeltenās šūnas neaizpildītas.</v>
      </c>
      <c r="F251" s="1251"/>
      <c r="G251" s="1251"/>
      <c r="H251" s="1251"/>
      <c r="I251" s="1251"/>
      <c r="J251" s="1251"/>
      <c r="K251" s="1251"/>
      <c r="L251" s="1251"/>
      <c r="M251" s="1251"/>
      <c r="N251" s="1251"/>
      <c r="O251" s="25"/>
    </row>
    <row r="252" spans="2:24" x14ac:dyDescent="0.2">
      <c r="B252" s="38"/>
      <c r="C252" s="38"/>
      <c r="D252" s="38"/>
      <c r="E252" s="1320" t="str">
        <f>Translations!$B$209</f>
        <v>Apstipriniet:</v>
      </c>
      <c r="F252" s="1275"/>
      <c r="G252" s="1275"/>
      <c r="H252" s="1460"/>
      <c r="I252" s="545">
        <f>I$370</f>
        <v>2019</v>
      </c>
      <c r="J252" s="545">
        <f>J$370</f>
        <v>2020</v>
      </c>
      <c r="K252" s="545">
        <f>K$370</f>
        <v>2021</v>
      </c>
      <c r="L252" s="545">
        <f>L$370</f>
        <v>2022</v>
      </c>
      <c r="M252" s="545">
        <f>M$370</f>
        <v>2023</v>
      </c>
      <c r="N252" s="38"/>
      <c r="O252" s="25"/>
    </row>
    <row r="253" spans="2:24" x14ac:dyDescent="0.2">
      <c r="B253" s="38"/>
      <c r="C253" s="38"/>
      <c r="D253" s="38"/>
      <c r="E253" s="1486" t="str">
        <f>Translations!$B$210</f>
        <v>Iekārta šajā gadā bija ekspluatācijā:</v>
      </c>
      <c r="F253" s="1"/>
      <c r="G253" s="1"/>
      <c r="H253" s="1487"/>
      <c r="I253" s="382"/>
      <c r="J253" s="382"/>
      <c r="K253" s="382"/>
      <c r="L253" s="382"/>
      <c r="M253" s="382"/>
      <c r="N253" s="38"/>
      <c r="O253" s="25"/>
    </row>
    <row r="254" spans="2:24" x14ac:dyDescent="0.2">
      <c r="B254" s="38"/>
      <c r="C254" s="38"/>
      <c r="D254" s="38"/>
      <c r="E254" s="47" t="str">
        <f>Translations!$B$211</f>
        <v>Kļūdas ziņojumi:</v>
      </c>
      <c r="F254" s="47"/>
      <c r="G254" s="47"/>
      <c r="H254" s="47"/>
      <c r="I254" s="404" t="str">
        <f>IF(CNTR_HasEntries_A_I, IF(ISBLANK(I253), EUconst_Incomplete, ""), "")</f>
        <v/>
      </c>
      <c r="J254" s="404" t="str">
        <f>IF(CNTR_HasEntries_A_I, IF(ISBLANK(J253), EUconst_Incomplete, ""), "")</f>
        <v/>
      </c>
      <c r="K254" s="404" t="str">
        <f>IF(CNTR_HasEntries_A_I, IF(ISBLANK(K253), EUconst_Incomplete, ""), "")</f>
        <v/>
      </c>
      <c r="L254" s="404" t="str">
        <f>IF(CNTR_HasEntries_A_I, IF(ISBLANK(L253), EUconst_Incomplete, ""), "")</f>
        <v/>
      </c>
      <c r="M254" s="404" t="str">
        <f>IF(CNTR_HasEntries_A_I, IF(ISBLANK(M253), EUconst_Incomplete, ""), "")</f>
        <v/>
      </c>
      <c r="N254" s="38"/>
      <c r="O254" s="25"/>
    </row>
    <row r="255" spans="2:24" x14ac:dyDescent="0.2">
      <c r="B255" s="38"/>
      <c r="C255" s="38"/>
      <c r="D255" s="38"/>
      <c r="E255" s="38"/>
      <c r="F255" s="38"/>
      <c r="G255" s="38"/>
      <c r="H255" s="38"/>
      <c r="I255" s="38"/>
      <c r="J255" s="38"/>
      <c r="K255" s="38"/>
      <c r="L255" s="38"/>
      <c r="M255" s="38"/>
      <c r="N255" s="38"/>
      <c r="O255" s="25"/>
    </row>
    <row r="256" spans="2:24" ht="15.75" x14ac:dyDescent="0.25">
      <c r="B256" s="21"/>
      <c r="C256" s="30" t="s">
        <v>343</v>
      </c>
      <c r="D256" s="1249" t="str">
        <f>Translations!$B$212</f>
        <v>Apakšiekārtu saraksts</v>
      </c>
      <c r="E256" s="1249"/>
      <c r="F256" s="1249"/>
      <c r="G256" s="1249"/>
      <c r="H256" s="1249"/>
      <c r="I256" s="1249"/>
      <c r="J256" s="1249"/>
      <c r="K256" s="1249"/>
      <c r="L256" s="1249"/>
      <c r="M256" s="1249"/>
      <c r="N256" s="1249"/>
      <c r="O256" s="25"/>
      <c r="P256" s="624"/>
    </row>
    <row r="257" spans="2:23" ht="5.0999999999999996" customHeight="1" x14ac:dyDescent="0.2">
      <c r="B257" s="21"/>
      <c r="C257" s="21"/>
      <c r="D257" s="21"/>
      <c r="E257" s="21"/>
      <c r="F257" s="21"/>
      <c r="G257" s="21"/>
      <c r="H257" s="21"/>
      <c r="I257" s="21"/>
      <c r="J257" s="21"/>
      <c r="K257" s="21"/>
      <c r="L257" s="21"/>
      <c r="M257" s="25"/>
      <c r="N257" s="25"/>
      <c r="O257" s="25"/>
      <c r="P257" s="624"/>
    </row>
    <row r="258" spans="2:23" ht="15" x14ac:dyDescent="0.25">
      <c r="B258" s="38"/>
      <c r="C258" s="36">
        <v>1</v>
      </c>
      <c r="D258" s="1318" t="str">
        <f>Translations!$B$213</f>
        <v>Produkta līmeņatzīmes apakšiekārtas</v>
      </c>
      <c r="E258" s="1251"/>
      <c r="F258" s="1251"/>
      <c r="G258" s="1251"/>
      <c r="H258" s="1251"/>
      <c r="I258" s="1251"/>
      <c r="J258" s="1251"/>
      <c r="K258" s="1251"/>
      <c r="L258" s="1251"/>
      <c r="M258" s="1251"/>
      <c r="N258" s="1251"/>
      <c r="O258" s="25"/>
    </row>
    <row r="259" spans="2:23" ht="5.0999999999999996" customHeight="1" x14ac:dyDescent="0.2">
      <c r="B259" s="21"/>
      <c r="C259" s="21"/>
      <c r="D259" s="21"/>
      <c r="E259" s="21"/>
      <c r="F259" s="21"/>
      <c r="G259" s="21"/>
      <c r="H259" s="21"/>
      <c r="I259" s="21"/>
      <c r="J259" s="21"/>
      <c r="K259" s="21"/>
      <c r="L259" s="21"/>
      <c r="M259" s="25"/>
      <c r="N259" s="25"/>
      <c r="O259" s="25"/>
      <c r="P259" s="624"/>
    </row>
    <row r="260" spans="2:23" x14ac:dyDescent="0.2">
      <c r="B260" s="38"/>
      <c r="C260" s="38"/>
      <c r="D260" s="231"/>
      <c r="E260" s="1250" t="str">
        <f>Translations!$B$214</f>
        <v>Šeit norādiet iekārtai relevantās produkta līmeņatzīmes apakšiekārtas, ja tādas ir:</v>
      </c>
      <c r="F260" s="1251"/>
      <c r="G260" s="1251"/>
      <c r="H260" s="1251"/>
      <c r="I260" s="1251"/>
      <c r="J260" s="1251"/>
      <c r="K260" s="1251"/>
      <c r="L260" s="1251"/>
      <c r="M260" s="1251"/>
      <c r="N260" s="1251"/>
      <c r="O260" s="25"/>
    </row>
    <row r="261" spans="2:23" ht="12.75" customHeight="1" x14ac:dyDescent="0.2">
      <c r="B261" s="38"/>
      <c r="C261" s="38"/>
      <c r="D261" s="34"/>
      <c r="E261" s="1319" t="str">
        <f>Translations!$B$215</f>
        <v>Katram produktu veidam var izvēlēties tikai vienu apakšiekārtu. Līdzīgus produktus, kuri ietilpst vienā un tajā pašā FAR I pielikuma produkta līmeņatzīmē, agregē.</v>
      </c>
      <c r="F261" s="1251"/>
      <c r="G261" s="1251"/>
      <c r="H261" s="1251"/>
      <c r="I261" s="1251"/>
      <c r="J261" s="1251"/>
      <c r="K261" s="1251"/>
      <c r="L261" s="1251"/>
      <c r="M261" s="1251"/>
      <c r="N261" s="1251"/>
      <c r="O261" s="25"/>
    </row>
    <row r="262" spans="2:23" x14ac:dyDescent="0.2">
      <c r="B262" s="38"/>
      <c r="C262" s="38"/>
      <c r="D262" s="34"/>
      <c r="E262" s="1319" t="str">
        <f>Translations!$B$1606</f>
        <v>Statuss “pakļautība nopietnam oglekļa emisiju pārvirzes riskam” (“OEP”) ir balstīts uz Lēmumu (ES) 2019/708.</v>
      </c>
      <c r="F262" s="1251"/>
      <c r="G262" s="1251"/>
      <c r="H262" s="1251"/>
      <c r="I262" s="1251"/>
      <c r="J262" s="1251"/>
      <c r="K262" s="1251"/>
      <c r="L262" s="1251"/>
      <c r="M262" s="1251"/>
      <c r="N262" s="1251"/>
      <c r="O262" s="25"/>
    </row>
    <row r="263" spans="2:23" x14ac:dyDescent="0.2">
      <c r="B263" s="38"/>
      <c r="C263" s="38"/>
      <c r="D263" s="34"/>
      <c r="E263" s="1319" t="str">
        <f>Translations!$B$217</f>
        <v>Katras apakšiekārtas nosaukumu var norādīt tikai vienu reizi. Pretējā gadījumā dažas šīs veidnes daļas nedarbosies pareizi.</v>
      </c>
      <c r="F263" s="1251"/>
      <c r="G263" s="1251"/>
      <c r="H263" s="1251"/>
      <c r="I263" s="1251"/>
      <c r="J263" s="1251"/>
      <c r="K263" s="1251"/>
      <c r="L263" s="1251"/>
      <c r="M263" s="1251"/>
      <c r="N263" s="1251"/>
      <c r="O263" s="25"/>
    </row>
    <row r="264" spans="2:23" ht="38.25" customHeight="1" x14ac:dyDescent="0.2">
      <c r="B264" s="21"/>
      <c r="C264" s="21"/>
      <c r="D264" s="34"/>
      <c r="E264" s="1301" t="str">
        <f>Translations!$B$1607</f>
        <v>I ailē norādiet, vai attiecīgās apakšiekārtas siltumnīcefekta gāzu emisiju līmenis 2021./2022. gadā bija zemāks par 10 % efektīvāko attiecīgās līmeņatzīmes apakšiekārtu vidējo rādītāju. Ievērojiet, ka uz šo jautājumu var atbildēt tikai pēc tam, kad būs noteiktas atjauninātās līmeņatzīmju vērtības. Līdz tam šī aile ir atspējota. Tāpēc pēc šā bāzlīnijas datu ziņojuma sākotnējās iesniegšanas ievērojiet savas kompetentās iestādes norādījumus.</v>
      </c>
      <c r="F264" s="1302"/>
      <c r="G264" s="1302"/>
      <c r="H264" s="1302"/>
      <c r="I264" s="1302"/>
      <c r="J264" s="1302"/>
      <c r="K264" s="1302"/>
      <c r="L264" s="1302"/>
      <c r="M264" s="1302"/>
      <c r="N264" s="1302"/>
      <c r="O264" s="25"/>
      <c r="P264" s="624"/>
    </row>
    <row r="265" spans="2:23" ht="25.5" customHeight="1" x14ac:dyDescent="0.2">
      <c r="B265" s="21"/>
      <c r="C265" s="21"/>
      <c r="D265" s="34"/>
      <c r="E265" s="1301" t="str">
        <f>Translations!$B$1608</f>
        <v>J ailē norādiet, vai attiecīgās produkta līmeņatzīmes apakšiekārtas siltumnīcefekta gāzu emisiju līmeņi 2016./2017. gadā pārsniedza 80 procentiles, ievērojot attiecīgo norādi sadaļā A.II.3.a.</v>
      </c>
      <c r="F265" s="1302"/>
      <c r="G265" s="1302"/>
      <c r="H265" s="1302"/>
      <c r="I265" s="1302"/>
      <c r="J265" s="1302"/>
      <c r="K265" s="1302"/>
      <c r="L265" s="1302"/>
      <c r="M265" s="1302"/>
      <c r="N265" s="1302"/>
      <c r="O265" s="25"/>
      <c r="P265" s="624"/>
    </row>
    <row r="266" spans="2:23" ht="38.85" customHeight="1" x14ac:dyDescent="0.2">
      <c r="B266" s="21"/>
      <c r="C266" s="21"/>
      <c r="D266" s="34"/>
      <c r="E266" s="1301" t="str">
        <f>Translations!$B$1609</f>
        <v>K ailē jānorāda katras apakšiekārtas normālās ekspluatācijas sākums saskaņā ar FAR 2. panta 12. punktu. Šī informācija ir svarīga tāpēc, lai noskaidrotu, kuri gadi jāņem vērā, nosakot vēsturisko darbības līmeni F un G lapā saskaņā ar 15. panta 7. punktu. Šie ievaddati ir relevanti tikai tad, ja apakšiekārtas ekspluatācija sākta 2019. gada 1. janvārī vai pēc tam.</v>
      </c>
      <c r="F266" s="1302"/>
      <c r="G266" s="1302"/>
      <c r="H266" s="1302"/>
      <c r="I266" s="1302"/>
      <c r="J266" s="1302"/>
      <c r="K266" s="1302"/>
      <c r="L266" s="1302"/>
      <c r="M266" s="1302"/>
      <c r="N266" s="1302"/>
      <c r="O266" s="25"/>
      <c r="P266" s="624"/>
    </row>
    <row r="267" spans="2:23" x14ac:dyDescent="0.2">
      <c r="B267" s="38"/>
      <c r="C267" s="38"/>
      <c r="D267" s="34"/>
      <c r="E267" s="1461" t="str">
        <f>Translations!$B$219</f>
        <v>Ir ļoti svarīgi, lai šeit ievadītie dati būtu pareizi, jo tie ietekmē visu turpmāko datu ievadi attiecībā uz apakšiekārtām.</v>
      </c>
      <c r="F267" s="1344"/>
      <c r="G267" s="1344"/>
      <c r="H267" s="1344"/>
      <c r="I267" s="1344"/>
      <c r="J267" s="1344"/>
      <c r="K267" s="1344"/>
      <c r="L267" s="1344"/>
      <c r="M267" s="1344"/>
      <c r="N267" s="1344"/>
      <c r="O267" s="25"/>
    </row>
    <row r="268" spans="2:23" ht="5.0999999999999996" customHeight="1" x14ac:dyDescent="0.2">
      <c r="B268" s="21"/>
      <c r="C268" s="21"/>
      <c r="D268" s="21"/>
      <c r="E268" s="21"/>
      <c r="F268" s="21"/>
      <c r="G268" s="21"/>
      <c r="H268" s="21"/>
      <c r="I268" s="21"/>
      <c r="J268" s="21"/>
      <c r="K268" s="21"/>
      <c r="L268" s="21"/>
      <c r="M268" s="25"/>
      <c r="N268" s="25"/>
      <c r="O268" s="25"/>
      <c r="P268" s="624"/>
    </row>
    <row r="269" spans="2:23" ht="38.85" customHeight="1" thickBot="1" x14ac:dyDescent="0.25">
      <c r="B269" s="38"/>
      <c r="C269" s="38"/>
      <c r="D269" s="391" t="str">
        <f>Translations!$B$220</f>
        <v>Nr.</v>
      </c>
      <c r="E269" s="1056" t="str">
        <f>Translations!$B$221</f>
        <v>Produktu veids</v>
      </c>
      <c r="F269" s="1057"/>
      <c r="G269" s="1057"/>
      <c r="H269" s="1057"/>
      <c r="I269" s="1070" t="str">
        <f>Translations!$B$1610</f>
        <v>&lt; par 10 % labāko vidējo?</v>
      </c>
      <c r="J269" s="1070" t="str">
        <f>Translations!$B$1611</f>
        <v>&gt; 80 % sniegums?</v>
      </c>
      <c r="K269" s="1070" t="str">
        <f>Translations!$B$222</f>
        <v>Ekspluatācijas sākums</v>
      </c>
      <c r="L269" s="140" t="str">
        <f>Translations!$B$223</f>
        <v>Pakļauta OEP?</v>
      </c>
      <c r="M269" s="1069" t="str">
        <f>Translations!$B$1612</f>
        <v>OIM?</v>
      </c>
      <c r="N269" s="1071"/>
      <c r="O269" s="25"/>
      <c r="P269" s="838" t="s">
        <v>320</v>
      </c>
      <c r="Q269" s="838" t="s">
        <v>89</v>
      </c>
      <c r="R269" s="838" t="str">
        <f>Translations!$B$1196</f>
        <v>Vienība</v>
      </c>
      <c r="S269" s="838" t="s">
        <v>359</v>
      </c>
      <c r="U269" s="839" t="s">
        <v>572</v>
      </c>
      <c r="V269" s="1111" t="s">
        <v>643</v>
      </c>
      <c r="W269" s="1111" t="s">
        <v>632</v>
      </c>
    </row>
    <row r="270" spans="2:23" ht="12.75" customHeight="1" x14ac:dyDescent="0.2">
      <c r="B270" s="38"/>
      <c r="C270" s="38"/>
      <c r="D270" s="355">
        <v>1</v>
      </c>
      <c r="E270" s="1475"/>
      <c r="F270" s="1476"/>
      <c r="G270" s="1476"/>
      <c r="H270" s="1477"/>
      <c r="I270" s="1081"/>
      <c r="J270" s="1081"/>
      <c r="K270" s="1125"/>
      <c r="L270" s="397" t="str">
        <f t="shared" ref="L270:L279" si="2">IF(P270=EUconst_NA,EUconst_NA,INDEX(EUconst_BMlistCLstatus,MATCH(E270,EUconst_BMlistNames,0)))</f>
        <v>NA</v>
      </c>
      <c r="M270" s="1168" t="str">
        <f t="shared" ref="M270:M279" si="3">IF(P270=EUconst_NA,EUconst_NA,INDEX(EUconst_BMlistCBAMstatus,MATCH(E270,EUconst_BMlistNames,0)))</f>
        <v>NA</v>
      </c>
      <c r="N270" s="1115" t="str">
        <f t="shared" ref="N270:N279" si="4">IF(ISBLANK(E270),"",IF(COUNTIF(CNTR_AnnexIActivities,INDEX(EUconst_BMlistNumberOfActivity,MATCH(P270,EUconst_BMlistMainNumberOfBM,0)))=0,EUconst_ERR_ActivityMissing,""))</f>
        <v/>
      </c>
      <c r="O270" s="25"/>
      <c r="P270" s="632" t="str">
        <f>IF(ISBLANK($E270),EUconst_NA,INDEX(EUconst_BMlistMainNumberOfBM,MATCH($E270,EUconst_BMlistNames,0)))</f>
        <v>NA</v>
      </c>
      <c r="Q270" s="632" t="str">
        <f>IF(ISNUMBER(P270),COUNT(P$270:P270),"")</f>
        <v/>
      </c>
      <c r="R270" s="633" t="str">
        <f>IF(P270=EUconst_NA,EUconst_Tons,INDEX(EUconst_BMlistUnits,ROUND(P270,0)))</f>
        <v>tonnas</v>
      </c>
      <c r="S270" s="632" t="str">
        <f t="shared" ref="S270:S279" si="5">IF(ISBLANK(E270),"",COUNTIF($E$270:$H$279,E270))</f>
        <v/>
      </c>
      <c r="U270" s="837" t="b">
        <f t="shared" ref="U270:U279" si="6">K270&gt;=DATE($M$370,1,1)</f>
        <v>0</v>
      </c>
      <c r="V270" s="837" t="b">
        <f>AND(CNTR_HasEntries_A_I,EUconst_StatusOfDataCollection=FALSE)</f>
        <v>0</v>
      </c>
      <c r="W270" s="837" t="b">
        <f>AND(CNTR_HasEntries_A_I,M226&lt;&gt;"",M226=FALSE)</f>
        <v>0</v>
      </c>
    </row>
    <row r="271" spans="2:23" ht="12.75" customHeight="1" x14ac:dyDescent="0.2">
      <c r="B271" s="38"/>
      <c r="C271" s="38"/>
      <c r="D271" s="354">
        <f t="shared" ref="D271:D279" si="7">D270+1</f>
        <v>2</v>
      </c>
      <c r="E271" s="1336"/>
      <c r="F271" s="1337"/>
      <c r="G271" s="1337"/>
      <c r="H271" s="1338"/>
      <c r="I271" s="1082"/>
      <c r="J271" s="1082"/>
      <c r="K271" s="1126"/>
      <c r="L271" s="396" t="str">
        <f t="shared" si="2"/>
        <v>NA</v>
      </c>
      <c r="M271" s="1169" t="str">
        <f t="shared" si="3"/>
        <v>NA</v>
      </c>
      <c r="N271" s="1116" t="str">
        <f t="shared" si="4"/>
        <v/>
      </c>
      <c r="O271" s="25"/>
      <c r="P271" s="634" t="str">
        <f t="shared" ref="P271:P279" si="8">IF(ISBLANK($E271),EUconst_NA,INDEX(EUconst_BMlistMainNumberOfBM,MATCH($E271,EUconst_BMlistNames,0)))</f>
        <v>NA</v>
      </c>
      <c r="Q271" s="634" t="str">
        <f>IF(ISNUMBER(P271),COUNT(P$270:P271),"")</f>
        <v/>
      </c>
      <c r="R271" s="635" t="str">
        <f t="shared" ref="R271:R279" si="9">IF(P271=EUconst_NA,EUconst_Tons,INDEX(EUconst_BMlistUnits,P271))</f>
        <v>tonnas</v>
      </c>
      <c r="S271" s="634" t="str">
        <f t="shared" si="5"/>
        <v/>
      </c>
      <c r="U271" s="837" t="b">
        <f t="shared" si="6"/>
        <v>0</v>
      </c>
    </row>
    <row r="272" spans="2:23" x14ac:dyDescent="0.2">
      <c r="B272" s="38"/>
      <c r="C272" s="38"/>
      <c r="D272" s="354">
        <f t="shared" si="7"/>
        <v>3</v>
      </c>
      <c r="E272" s="1336"/>
      <c r="F272" s="1337"/>
      <c r="G272" s="1337"/>
      <c r="H272" s="1338"/>
      <c r="I272" s="1082"/>
      <c r="J272" s="1082"/>
      <c r="K272" s="1126"/>
      <c r="L272" s="396" t="str">
        <f t="shared" si="2"/>
        <v>NA</v>
      </c>
      <c r="M272" s="1169" t="str">
        <f t="shared" si="3"/>
        <v>NA</v>
      </c>
      <c r="N272" s="1116" t="str">
        <f t="shared" si="4"/>
        <v/>
      </c>
      <c r="O272" s="25"/>
      <c r="P272" s="634" t="str">
        <f t="shared" si="8"/>
        <v>NA</v>
      </c>
      <c r="Q272" s="634" t="str">
        <f>IF(ISNUMBER(P272),COUNT(P$270:P272),"")</f>
        <v/>
      </c>
      <c r="R272" s="635" t="str">
        <f t="shared" si="9"/>
        <v>tonnas</v>
      </c>
      <c r="S272" s="634" t="str">
        <f t="shared" si="5"/>
        <v/>
      </c>
      <c r="U272" s="837" t="b">
        <f t="shared" si="6"/>
        <v>0</v>
      </c>
    </row>
    <row r="273" spans="2:21" ht="12.75" customHeight="1" x14ac:dyDescent="0.2">
      <c r="B273" s="38"/>
      <c r="C273" s="38"/>
      <c r="D273" s="354">
        <f t="shared" si="7"/>
        <v>4</v>
      </c>
      <c r="E273" s="1336"/>
      <c r="F273" s="1337"/>
      <c r="G273" s="1337"/>
      <c r="H273" s="1338"/>
      <c r="I273" s="1082"/>
      <c r="J273" s="1082"/>
      <c r="K273" s="1126"/>
      <c r="L273" s="396" t="str">
        <f t="shared" si="2"/>
        <v>NA</v>
      </c>
      <c r="M273" s="1169" t="str">
        <f t="shared" si="3"/>
        <v>NA</v>
      </c>
      <c r="N273" s="1116" t="str">
        <f t="shared" si="4"/>
        <v/>
      </c>
      <c r="O273" s="25"/>
      <c r="P273" s="634" t="str">
        <f t="shared" si="8"/>
        <v>NA</v>
      </c>
      <c r="Q273" s="634" t="str">
        <f>IF(ISNUMBER(P273),COUNT(P$270:P273),"")</f>
        <v/>
      </c>
      <c r="R273" s="635" t="str">
        <f t="shared" si="9"/>
        <v>tonnas</v>
      </c>
      <c r="S273" s="634" t="str">
        <f t="shared" si="5"/>
        <v/>
      </c>
      <c r="U273" s="837" t="b">
        <f t="shared" si="6"/>
        <v>0</v>
      </c>
    </row>
    <row r="274" spans="2:21" x14ac:dyDescent="0.2">
      <c r="B274" s="38"/>
      <c r="C274" s="38"/>
      <c r="D274" s="354">
        <f t="shared" si="7"/>
        <v>5</v>
      </c>
      <c r="E274" s="1336"/>
      <c r="F274" s="1337"/>
      <c r="G274" s="1337"/>
      <c r="H274" s="1338"/>
      <c r="I274" s="1082"/>
      <c r="J274" s="1082"/>
      <c r="K274" s="1126"/>
      <c r="L274" s="396" t="str">
        <f t="shared" si="2"/>
        <v>NA</v>
      </c>
      <c r="M274" s="1169" t="str">
        <f t="shared" si="3"/>
        <v>NA</v>
      </c>
      <c r="N274" s="1116" t="str">
        <f t="shared" si="4"/>
        <v/>
      </c>
      <c r="O274" s="25"/>
      <c r="P274" s="634" t="str">
        <f t="shared" si="8"/>
        <v>NA</v>
      </c>
      <c r="Q274" s="634" t="str">
        <f>IF(ISNUMBER(P274),COUNT(P$270:P274),"")</f>
        <v/>
      </c>
      <c r="R274" s="635" t="str">
        <f t="shared" si="9"/>
        <v>tonnas</v>
      </c>
      <c r="S274" s="634" t="str">
        <f t="shared" si="5"/>
        <v/>
      </c>
      <c r="U274" s="837" t="b">
        <f t="shared" si="6"/>
        <v>0</v>
      </c>
    </row>
    <row r="275" spans="2:21" x14ac:dyDescent="0.2">
      <c r="B275" s="38"/>
      <c r="C275" s="38"/>
      <c r="D275" s="354">
        <f t="shared" si="7"/>
        <v>6</v>
      </c>
      <c r="E275" s="1336"/>
      <c r="F275" s="1337"/>
      <c r="G275" s="1337"/>
      <c r="H275" s="1338"/>
      <c r="I275" s="1082"/>
      <c r="J275" s="1082"/>
      <c r="K275" s="1126"/>
      <c r="L275" s="396" t="str">
        <f t="shared" si="2"/>
        <v>NA</v>
      </c>
      <c r="M275" s="1169" t="str">
        <f t="shared" si="3"/>
        <v>NA</v>
      </c>
      <c r="N275" s="1116" t="str">
        <f t="shared" si="4"/>
        <v/>
      </c>
      <c r="O275" s="25"/>
      <c r="P275" s="634" t="str">
        <f t="shared" si="8"/>
        <v>NA</v>
      </c>
      <c r="Q275" s="634" t="str">
        <f>IF(ISNUMBER(P275),COUNT(P$270:P275),"")</f>
        <v/>
      </c>
      <c r="R275" s="635" t="str">
        <f t="shared" si="9"/>
        <v>tonnas</v>
      </c>
      <c r="S275" s="634" t="str">
        <f t="shared" si="5"/>
        <v/>
      </c>
      <c r="U275" s="837" t="b">
        <f t="shared" si="6"/>
        <v>0</v>
      </c>
    </row>
    <row r="276" spans="2:21" x14ac:dyDescent="0.2">
      <c r="B276" s="38"/>
      <c r="C276" s="38"/>
      <c r="D276" s="354">
        <f t="shared" si="7"/>
        <v>7</v>
      </c>
      <c r="E276" s="1336"/>
      <c r="F276" s="1337"/>
      <c r="G276" s="1337"/>
      <c r="H276" s="1338"/>
      <c r="I276" s="1082"/>
      <c r="J276" s="1082"/>
      <c r="K276" s="1126"/>
      <c r="L276" s="396" t="str">
        <f t="shared" si="2"/>
        <v>NA</v>
      </c>
      <c r="M276" s="1169" t="str">
        <f t="shared" si="3"/>
        <v>NA</v>
      </c>
      <c r="N276" s="1116" t="str">
        <f t="shared" si="4"/>
        <v/>
      </c>
      <c r="O276" s="25"/>
      <c r="P276" s="634" t="str">
        <f t="shared" si="8"/>
        <v>NA</v>
      </c>
      <c r="Q276" s="634" t="str">
        <f>IF(ISNUMBER(P276),COUNT(P$270:P276),"")</f>
        <v/>
      </c>
      <c r="R276" s="635" t="str">
        <f t="shared" si="9"/>
        <v>tonnas</v>
      </c>
      <c r="S276" s="634" t="str">
        <f t="shared" si="5"/>
        <v/>
      </c>
      <c r="U276" s="837" t="b">
        <f t="shared" si="6"/>
        <v>0</v>
      </c>
    </row>
    <row r="277" spans="2:21" x14ac:dyDescent="0.2">
      <c r="B277" s="38"/>
      <c r="C277" s="38"/>
      <c r="D277" s="354">
        <f t="shared" si="7"/>
        <v>8</v>
      </c>
      <c r="E277" s="1336"/>
      <c r="F277" s="1337"/>
      <c r="G277" s="1337"/>
      <c r="H277" s="1338"/>
      <c r="I277" s="1082"/>
      <c r="J277" s="1082"/>
      <c r="K277" s="1126"/>
      <c r="L277" s="396" t="str">
        <f t="shared" si="2"/>
        <v>NA</v>
      </c>
      <c r="M277" s="1169" t="str">
        <f t="shared" si="3"/>
        <v>NA</v>
      </c>
      <c r="N277" s="1116" t="str">
        <f t="shared" si="4"/>
        <v/>
      </c>
      <c r="O277" s="25"/>
      <c r="P277" s="634" t="str">
        <f t="shared" si="8"/>
        <v>NA</v>
      </c>
      <c r="Q277" s="634" t="str">
        <f>IF(ISNUMBER(P277),COUNT(P$270:P277),"")</f>
        <v/>
      </c>
      <c r="R277" s="635" t="str">
        <f t="shared" si="9"/>
        <v>tonnas</v>
      </c>
      <c r="S277" s="634" t="str">
        <f t="shared" si="5"/>
        <v/>
      </c>
      <c r="U277" s="837" t="b">
        <f t="shared" si="6"/>
        <v>0</v>
      </c>
    </row>
    <row r="278" spans="2:21" x14ac:dyDescent="0.2">
      <c r="B278" s="38"/>
      <c r="C278" s="38"/>
      <c r="D278" s="354">
        <f t="shared" si="7"/>
        <v>9</v>
      </c>
      <c r="E278" s="1336"/>
      <c r="F278" s="1337"/>
      <c r="G278" s="1337"/>
      <c r="H278" s="1338"/>
      <c r="I278" s="1082"/>
      <c r="J278" s="1082"/>
      <c r="K278" s="1126"/>
      <c r="L278" s="396" t="str">
        <f t="shared" si="2"/>
        <v>NA</v>
      </c>
      <c r="M278" s="1169" t="str">
        <f t="shared" si="3"/>
        <v>NA</v>
      </c>
      <c r="N278" s="1116" t="str">
        <f t="shared" si="4"/>
        <v/>
      </c>
      <c r="O278" s="25"/>
      <c r="P278" s="634" t="str">
        <f t="shared" si="8"/>
        <v>NA</v>
      </c>
      <c r="Q278" s="634" t="str">
        <f>IF(ISNUMBER(P278),COUNT(P$270:P278),"")</f>
        <v/>
      </c>
      <c r="R278" s="635" t="str">
        <f t="shared" si="9"/>
        <v>tonnas</v>
      </c>
      <c r="S278" s="634" t="str">
        <f t="shared" si="5"/>
        <v/>
      </c>
      <c r="U278" s="837" t="b">
        <f t="shared" si="6"/>
        <v>0</v>
      </c>
    </row>
    <row r="279" spans="2:21" ht="13.5" thickBot="1" x14ac:dyDescent="0.25">
      <c r="B279" s="38"/>
      <c r="C279" s="38"/>
      <c r="D279" s="353">
        <f t="shared" si="7"/>
        <v>10</v>
      </c>
      <c r="E279" s="1468"/>
      <c r="F279" s="1469"/>
      <c r="G279" s="1469"/>
      <c r="H279" s="1470"/>
      <c r="I279" s="1083"/>
      <c r="J279" s="1083"/>
      <c r="K279" s="1127"/>
      <c r="L279" s="395" t="str">
        <f t="shared" si="2"/>
        <v>NA</v>
      </c>
      <c r="M279" s="1170" t="str">
        <f t="shared" si="3"/>
        <v>NA</v>
      </c>
      <c r="N279" s="1117" t="str">
        <f t="shared" si="4"/>
        <v/>
      </c>
      <c r="O279" s="25"/>
      <c r="P279" s="636" t="str">
        <f t="shared" si="8"/>
        <v>NA</v>
      </c>
      <c r="Q279" s="636" t="str">
        <f>IF(ISNUMBER(P279),COUNT(P$270:P279),"")</f>
        <v/>
      </c>
      <c r="R279" s="637" t="str">
        <f t="shared" si="9"/>
        <v>tonnas</v>
      </c>
      <c r="S279" s="636" t="str">
        <f t="shared" si="5"/>
        <v/>
      </c>
      <c r="U279" s="837" t="b">
        <f t="shared" si="6"/>
        <v>0</v>
      </c>
    </row>
    <row r="280" spans="2:21" x14ac:dyDescent="0.2">
      <c r="B280" s="38"/>
      <c r="C280" s="38"/>
      <c r="D280" s="114"/>
      <c r="E280" s="405" t="str">
        <f>IF(MAX(S270:S279)&gt;1,EUconst_ERR_DoubleBMentry,"")</f>
        <v/>
      </c>
      <c r="F280" s="117"/>
      <c r="G280" s="117"/>
      <c r="H280" s="117"/>
      <c r="I280" s="117"/>
      <c r="J280" s="117"/>
      <c r="K280" s="113"/>
      <c r="L280" s="38"/>
      <c r="M280" s="38"/>
      <c r="N280" s="38"/>
      <c r="O280" s="25"/>
      <c r="Q280" s="638"/>
    </row>
    <row r="281" spans="2:21" ht="5.0999999999999996" customHeight="1" x14ac:dyDescent="0.2">
      <c r="B281" s="38"/>
      <c r="C281" s="38"/>
      <c r="D281" s="38"/>
      <c r="E281" s="38"/>
      <c r="F281" s="38"/>
      <c r="G281" s="38"/>
      <c r="H281" s="38"/>
      <c r="I281" s="38"/>
      <c r="J281" s="38"/>
      <c r="K281" s="38"/>
      <c r="L281" s="38"/>
      <c r="M281" s="38"/>
      <c r="N281" s="38"/>
      <c r="O281" s="25"/>
      <c r="Q281" s="639"/>
    </row>
    <row r="282" spans="2:21" x14ac:dyDescent="0.2">
      <c r="B282" s="38"/>
      <c r="C282" s="38"/>
      <c r="D282" s="1333" t="str">
        <f>IF(CNTR_HasEntries_A_I,IF(AND(E181&lt;&gt;"",MAX(Q270:Q304)&lt;1),EUconst_ERR_MissingSubInstEntry,""),"")</f>
        <v/>
      </c>
      <c r="E282" s="1334"/>
      <c r="F282" s="1334"/>
      <c r="G282" s="1334"/>
      <c r="H282" s="1334"/>
      <c r="I282" s="1334"/>
      <c r="J282" s="1334"/>
      <c r="K282" s="1334"/>
      <c r="L282" s="1334"/>
      <c r="M282" s="1334"/>
      <c r="N282" s="1335"/>
      <c r="O282" s="25"/>
      <c r="Q282" s="639"/>
    </row>
    <row r="283" spans="2:21" x14ac:dyDescent="0.2">
      <c r="B283" s="38"/>
      <c r="C283" s="38"/>
      <c r="D283" s="38"/>
      <c r="E283" s="38"/>
      <c r="F283" s="38"/>
      <c r="G283" s="38"/>
      <c r="H283" s="38"/>
      <c r="I283" s="38"/>
      <c r="J283" s="38"/>
      <c r="K283" s="38"/>
      <c r="L283" s="38"/>
      <c r="M283" s="38"/>
      <c r="N283" s="38"/>
      <c r="O283" s="25"/>
      <c r="Q283" s="639"/>
    </row>
    <row r="284" spans="2:21" ht="15" x14ac:dyDescent="0.25">
      <c r="B284" s="38"/>
      <c r="C284" s="36">
        <v>2</v>
      </c>
      <c r="D284" s="1318" t="str">
        <f>Translations!$B$224</f>
        <v>Apakšiekārtas ar alternatīvām (fall-back) pieejām</v>
      </c>
      <c r="E284" s="1251"/>
      <c r="F284" s="1251"/>
      <c r="G284" s="1251"/>
      <c r="H284" s="1251"/>
      <c r="I284" s="1251"/>
      <c r="J284" s="1251"/>
      <c r="K284" s="1251"/>
      <c r="L284" s="1251"/>
      <c r="M284" s="1251"/>
      <c r="N284" s="1251"/>
      <c r="O284" s="25"/>
      <c r="Q284" s="639"/>
    </row>
    <row r="285" spans="2:21" x14ac:dyDescent="0.2">
      <c r="B285" s="38"/>
      <c r="C285" s="38"/>
      <c r="D285" s="231"/>
      <c r="E285" s="1250" t="str">
        <f>Translations!$B$225</f>
        <v>Norādiet, kādas apakšiekārtas ar alternatīvām pieejām ir relevantas jūsu iekārtas gadījumā, ja tādas ir:</v>
      </c>
      <c r="F285" s="1251"/>
      <c r="G285" s="1251"/>
      <c r="H285" s="1251"/>
      <c r="I285" s="1251"/>
      <c r="J285" s="1251"/>
      <c r="K285" s="1251"/>
      <c r="L285" s="1251"/>
      <c r="M285" s="1251"/>
      <c r="N285" s="1251"/>
      <c r="O285" s="25"/>
      <c r="Q285" s="639"/>
    </row>
    <row r="286" spans="2:21" x14ac:dyDescent="0.2">
      <c r="B286" s="38"/>
      <c r="C286" s="38"/>
      <c r="D286" s="34"/>
      <c r="E286" s="1319" t="str">
        <f>Translations!$B$1613</f>
        <v>Katrai alternatīvajai pieejai var būt maksimāli trīs apakšiekārtas atkarībā no oglekļa emisiju pārvirzes riska un OIM statusa.</v>
      </c>
      <c r="F286" s="1251"/>
      <c r="G286" s="1251"/>
      <c r="H286" s="1251"/>
      <c r="I286" s="1251"/>
      <c r="J286" s="1251"/>
      <c r="K286" s="1251"/>
      <c r="L286" s="1251"/>
      <c r="M286" s="1251"/>
      <c r="N286" s="1251"/>
      <c r="O286" s="25"/>
      <c r="Q286" s="639"/>
    </row>
    <row r="287" spans="2:21" x14ac:dyDescent="0.2">
      <c r="B287" s="38"/>
      <c r="C287" s="38"/>
      <c r="D287" s="34"/>
      <c r="E287" s="1319" t="str">
        <f>Translations!$B$1614</f>
        <v>Šim noteikumam ir izņēmums: izmērāma siltuma gadījumā nosaka ceturto apakšiekārtu centralizētajai siltumapgādei.</v>
      </c>
      <c r="F287" s="1251"/>
      <c r="G287" s="1251"/>
      <c r="H287" s="1251"/>
      <c r="I287" s="1251"/>
      <c r="J287" s="1251"/>
      <c r="K287" s="1251"/>
      <c r="L287" s="1251"/>
      <c r="M287" s="1251"/>
      <c r="N287" s="1251"/>
      <c r="O287" s="25"/>
      <c r="Q287" s="639"/>
    </row>
    <row r="288" spans="2:21" x14ac:dyDescent="0.2">
      <c r="B288" s="38"/>
      <c r="C288" s="38"/>
      <c r="D288" s="34"/>
      <c r="E288" s="1319" t="str">
        <f>Translations!$B$1615</f>
        <v>Apakšiekārtas OIM statuss ir atkarīgs no tā, vai saražoto preču KN kodi ir norādīti Regulas (ES) 2023/956 I pielikumā.</v>
      </c>
      <c r="F288" s="1251"/>
      <c r="G288" s="1251"/>
      <c r="H288" s="1251"/>
      <c r="I288" s="1251"/>
      <c r="J288" s="1251"/>
      <c r="K288" s="1251"/>
      <c r="L288" s="1251"/>
      <c r="M288" s="1251"/>
      <c r="N288" s="1251"/>
      <c r="O288" s="25"/>
      <c r="Q288" s="639"/>
    </row>
    <row r="289" spans="2:21" x14ac:dyDescent="0.2">
      <c r="B289" s="38"/>
      <c r="C289" s="38"/>
      <c r="D289" s="34"/>
      <c r="E289" s="1343" t="str">
        <f>Translations!$B$228</f>
        <v>Par katra veida apakšiekārtu norādiet, vai tā jūsu iekārtai ir relevanta vai ne. Neatstājiet dzeltenos laukus neaizpildītus.</v>
      </c>
      <c r="F289" s="1344"/>
      <c r="G289" s="1344"/>
      <c r="H289" s="1344"/>
      <c r="I289" s="1344"/>
      <c r="J289" s="1344"/>
      <c r="K289" s="1344"/>
      <c r="L289" s="1344"/>
      <c r="M289" s="1344"/>
      <c r="N289" s="1344"/>
      <c r="O289" s="25"/>
      <c r="Q289" s="639"/>
    </row>
    <row r="290" spans="2:21" ht="38.25" customHeight="1" x14ac:dyDescent="0.2">
      <c r="B290" s="21"/>
      <c r="C290" s="21"/>
      <c r="D290" s="34"/>
      <c r="E290" s="1301" t="str">
        <f>Translations!$B$1607</f>
        <v>I ailē norādiet, vai attiecīgās apakšiekārtas siltumnīcefekta gāzu emisiju līmenis 2021./2022. gadā bija zemāks par 10 % efektīvāko attiecīgās līmeņatzīmes apakšiekārtu vidējo rādītāju. Ievērojiet, ka uz šo jautājumu var atbildēt tikai pēc tam, kad būs noteiktas atjauninātās līmeņatzīmju vērtības. Līdz tam šī aile ir atspējota. Tāpēc pēc šā bāzlīnijas datu ziņojuma sākotnējās iesniegšanas ievērojiet savas kompetentās iestādes norādījumus.</v>
      </c>
      <c r="F290" s="1302"/>
      <c r="G290" s="1302"/>
      <c r="H290" s="1302"/>
      <c r="I290" s="1302"/>
      <c r="J290" s="1302"/>
      <c r="K290" s="1302"/>
      <c r="L290" s="1302"/>
      <c r="M290" s="1302"/>
      <c r="N290" s="1302"/>
      <c r="O290" s="25"/>
      <c r="P290" s="624"/>
    </row>
    <row r="291" spans="2:21" ht="38.85" customHeight="1" x14ac:dyDescent="0.2">
      <c r="B291" s="21"/>
      <c r="C291" s="21"/>
      <c r="D291" s="34"/>
      <c r="E291" s="1301" t="str">
        <f>Translations!$B$1609</f>
        <v>K ailē jānorāda katras apakšiekārtas normālās ekspluatācijas sākums saskaņā ar FAR 2. panta 12. punktu. Šī informācija ir svarīga tāpēc, lai noskaidrotu, kuri gadi jāņem vērā, nosakot vēsturisko darbības līmeni F un G lapā saskaņā ar 15. panta 7. punktu. Šie ievaddati ir relevanti tikai tad, ja apakšiekārtas ekspluatācija sākta 2019. gada 1. janvārī vai pēc tam.</v>
      </c>
      <c r="F291" s="1302"/>
      <c r="G291" s="1302"/>
      <c r="H291" s="1302"/>
      <c r="I291" s="1302"/>
      <c r="J291" s="1302"/>
      <c r="K291" s="1302"/>
      <c r="L291" s="1302"/>
      <c r="M291" s="1302"/>
      <c r="N291" s="1302"/>
      <c r="O291" s="25"/>
      <c r="P291" s="624"/>
      <c r="Q291" s="639"/>
    </row>
    <row r="292" spans="2:21" x14ac:dyDescent="0.2">
      <c r="B292" s="38"/>
      <c r="C292" s="38"/>
      <c r="D292" s="34"/>
      <c r="E292" s="1461" t="str">
        <f>Translations!$B$219</f>
        <v>Ir ļoti svarīgi, lai šeit ievadītie dati būtu pareizi, jo tie ietekmē visu turpmāko datu ievadi attiecībā uz apakšiekārtām.</v>
      </c>
      <c r="F292" s="1344"/>
      <c r="G292" s="1344"/>
      <c r="H292" s="1344"/>
      <c r="I292" s="1344"/>
      <c r="J292" s="1344"/>
      <c r="K292" s="1344"/>
      <c r="L292" s="1344"/>
      <c r="M292" s="1344"/>
      <c r="N292" s="1344"/>
      <c r="O292" s="25"/>
      <c r="Q292" s="639"/>
    </row>
    <row r="293" spans="2:21" ht="5.0999999999999996" customHeight="1" x14ac:dyDescent="0.2">
      <c r="B293" s="21"/>
      <c r="C293" s="21"/>
      <c r="D293" s="21"/>
      <c r="E293" s="21"/>
      <c r="F293" s="21"/>
      <c r="G293" s="21"/>
      <c r="H293" s="21"/>
      <c r="I293" s="21"/>
      <c r="J293" s="21"/>
      <c r="K293" s="21"/>
      <c r="L293" s="21"/>
      <c r="M293" s="25"/>
      <c r="N293" s="25"/>
      <c r="O293" s="25"/>
      <c r="P293" s="624"/>
      <c r="Q293" s="639"/>
    </row>
    <row r="294" spans="2:21" ht="38.85" customHeight="1" thickBot="1" x14ac:dyDescent="0.25">
      <c r="B294" s="38"/>
      <c r="C294" s="38"/>
      <c r="D294" s="390" t="str">
        <f>Translations!$B$220</f>
        <v>Nr.</v>
      </c>
      <c r="E294" s="1312" t="str">
        <f>Translations!$B$231</f>
        <v>Apakšiekārtas veids</v>
      </c>
      <c r="F294" s="1313"/>
      <c r="G294" s="1313"/>
      <c r="H294" s="1314"/>
      <c r="I294" s="1070" t="str">
        <f>Translations!$B$1610</f>
        <v>&lt; par 10 % labāko vidējo?</v>
      </c>
      <c r="J294" s="389" t="str">
        <f>Translations!$B$232</f>
        <v>Relevanta?</v>
      </c>
      <c r="K294" s="1070" t="str">
        <f>Translations!$B$222</f>
        <v>Ekspluatācijas sākums</v>
      </c>
      <c r="L294" s="1069" t="str">
        <f>Translations!$B$223</f>
        <v>Pakļauta OEP?</v>
      </c>
      <c r="M294" s="1069" t="str">
        <f>Translations!$B$1612</f>
        <v>OIM?</v>
      </c>
      <c r="N294" s="38"/>
      <c r="O294" s="25"/>
      <c r="P294" s="840" t="s">
        <v>320</v>
      </c>
      <c r="Q294" s="840" t="s">
        <v>89</v>
      </c>
      <c r="R294" s="840" t="str">
        <f>Translations!$B$1196</f>
        <v>Vienība</v>
      </c>
      <c r="U294" s="839" t="s">
        <v>572</v>
      </c>
    </row>
    <row r="295" spans="2:21" ht="12.75" customHeight="1" x14ac:dyDescent="0.2">
      <c r="B295" s="38"/>
      <c r="C295" s="38"/>
      <c r="D295" s="355">
        <v>11</v>
      </c>
      <c r="E295" s="1315" t="str">
        <f t="shared" ref="E295:E304" si="10">INDEX(EUconst_FallBackListNames,D295-10)</f>
        <v>Siltuma līmeņatzīmes apakšiekārta, OEP | bez OIM)</v>
      </c>
      <c r="F295" s="1316"/>
      <c r="G295" s="1316"/>
      <c r="H295" s="1317"/>
      <c r="I295" s="1081"/>
      <c r="J295" s="400"/>
      <c r="K295" s="1125"/>
      <c r="L295" s="394" t="b">
        <f t="shared" ref="L295:L304" si="11">INDEX(EUconst_FallBackListCLstatus,MATCH($E295,EUconst_FallBackListNames,0))</f>
        <v>1</v>
      </c>
      <c r="M295" s="394" t="b">
        <f t="shared" ref="M295:M304" si="12">INDEX(EUconst_FallBackListCBAMstatus,MATCH($E295,EUconst_FallBackListNames,0))</f>
        <v>0</v>
      </c>
      <c r="N295" s="68"/>
      <c r="O295" s="25"/>
      <c r="P295" s="641" t="str">
        <f t="shared" ref="P295:P304" si="13">IF(ISBLANK($J295),EUconst_NA,IF($J295,INDEX(EUconst_FallBackListNumber,MATCH($E295,EUconst_FallBackListNames,0)),EUconst_NA))</f>
        <v>NA</v>
      </c>
      <c r="Q295" s="641" t="str">
        <f>IF(ISNUMBER(P295),COUNT(P$295:P295)+MAX($Q$270:$Q$279),"")</f>
        <v/>
      </c>
      <c r="R295" s="641" t="str">
        <f t="shared" ref="R295:R304" si="14">INDEX(EUconst_FallBackListUnits,MATCH($E295,EUconst_FallBackListNames,0))</f>
        <v>TJ</v>
      </c>
      <c r="U295" s="837" t="b">
        <f>K295&gt;=DATE($M$370,1,1)</f>
        <v>0</v>
      </c>
    </row>
    <row r="296" spans="2:21" ht="12.75" customHeight="1" x14ac:dyDescent="0.2">
      <c r="B296" s="38"/>
      <c r="C296" s="38"/>
      <c r="D296" s="354">
        <f t="shared" ref="D296:D303" si="15">D295+1</f>
        <v>12</v>
      </c>
      <c r="E296" s="1298" t="str">
        <f t="shared" si="10"/>
        <v>Siltuma līmeņatzīmes apakšiekārta (bez OEP | bez OIM)</v>
      </c>
      <c r="F296" s="1299"/>
      <c r="G296" s="1299"/>
      <c r="H296" s="1300"/>
      <c r="I296" s="1082"/>
      <c r="J296" s="399"/>
      <c r="K296" s="1126"/>
      <c r="L296" s="393" t="b">
        <f t="shared" si="11"/>
        <v>0</v>
      </c>
      <c r="M296" s="393" t="b">
        <f t="shared" si="12"/>
        <v>0</v>
      </c>
      <c r="N296" s="68"/>
      <c r="O296" s="25"/>
      <c r="P296" s="634" t="str">
        <f t="shared" si="13"/>
        <v>NA</v>
      </c>
      <c r="Q296" s="634" t="str">
        <f>IF(ISNUMBER(P296),COUNT(P$295:P296)+MAX($Q$270:$Q$279),"")</f>
        <v/>
      </c>
      <c r="R296" s="634" t="str">
        <f t="shared" si="14"/>
        <v>TJ</v>
      </c>
      <c r="U296" s="837" t="b">
        <f t="shared" ref="U296:U304" si="16">K296&gt;=DATE($M$370,1,1)</f>
        <v>0</v>
      </c>
    </row>
    <row r="297" spans="2:21" ht="12.75" customHeight="1" x14ac:dyDescent="0.2">
      <c r="B297" s="38"/>
      <c r="C297" s="38"/>
      <c r="D297" s="354">
        <f t="shared" si="15"/>
        <v>13</v>
      </c>
      <c r="E297" s="1298" t="str">
        <f>INDEX(EUconst_FallBackListNames,D297-10)</f>
        <v>Siltuma līmeņatzīmes apakšiekārta, OEP | OIM)</v>
      </c>
      <c r="F297" s="1299"/>
      <c r="G297" s="1299"/>
      <c r="H297" s="1300"/>
      <c r="I297" s="1082"/>
      <c r="J297" s="399"/>
      <c r="K297" s="1126"/>
      <c r="L297" s="393" t="b">
        <f t="shared" si="11"/>
        <v>1</v>
      </c>
      <c r="M297" s="393" t="b">
        <f t="shared" si="12"/>
        <v>1</v>
      </c>
      <c r="N297" s="68"/>
      <c r="O297" s="25"/>
      <c r="P297" s="634" t="str">
        <f t="shared" si="13"/>
        <v>NA</v>
      </c>
      <c r="Q297" s="634" t="str">
        <f>IF(ISNUMBER(P297),COUNT(P$295:P297)+MAX($Q$270:$Q$279),"")</f>
        <v/>
      </c>
      <c r="R297" s="634" t="str">
        <f t="shared" si="14"/>
        <v>TJ</v>
      </c>
      <c r="U297" s="837" t="b">
        <f t="shared" si="16"/>
        <v>0</v>
      </c>
    </row>
    <row r="298" spans="2:21" ht="12.75" customHeight="1" x14ac:dyDescent="0.2">
      <c r="B298" s="38"/>
      <c r="C298" s="38"/>
      <c r="D298" s="354">
        <f t="shared" si="15"/>
        <v>14</v>
      </c>
      <c r="E298" s="1298" t="str">
        <f t="shared" si="10"/>
        <v>Centralizētās siltumapgādes apakšiekārta</v>
      </c>
      <c r="F298" s="1299"/>
      <c r="G298" s="1299"/>
      <c r="H298" s="1300"/>
      <c r="I298" s="1082"/>
      <c r="J298" s="399"/>
      <c r="K298" s="1126"/>
      <c r="L298" s="393" t="b">
        <f t="shared" si="11"/>
        <v>0</v>
      </c>
      <c r="M298" s="393" t="b">
        <f t="shared" si="12"/>
        <v>0</v>
      </c>
      <c r="N298" s="68"/>
      <c r="O298" s="25"/>
      <c r="P298" s="634" t="str">
        <f t="shared" si="13"/>
        <v>NA</v>
      </c>
      <c r="Q298" s="634" t="str">
        <f>IF(ISNUMBER(P298),COUNT(P$295:P298)+MAX($Q$270:$Q$279),"")</f>
        <v/>
      </c>
      <c r="R298" s="634" t="str">
        <f t="shared" si="14"/>
        <v>TJ</v>
      </c>
      <c r="U298" s="837" t="b">
        <f t="shared" si="16"/>
        <v>0</v>
      </c>
    </row>
    <row r="299" spans="2:21" ht="12.75" customHeight="1" x14ac:dyDescent="0.2">
      <c r="B299" s="38"/>
      <c r="C299" s="38"/>
      <c r="D299" s="354">
        <f t="shared" si="15"/>
        <v>15</v>
      </c>
      <c r="E299" s="1298" t="str">
        <f t="shared" si="10"/>
        <v>Kurināmā līmeņatzīmes apakšiekārta (OEP | bez OIM)</v>
      </c>
      <c r="F299" s="1299"/>
      <c r="G299" s="1299"/>
      <c r="H299" s="1300"/>
      <c r="I299" s="1082"/>
      <c r="J299" s="399"/>
      <c r="K299" s="1126"/>
      <c r="L299" s="393" t="b">
        <f t="shared" si="11"/>
        <v>1</v>
      </c>
      <c r="M299" s="393" t="b">
        <f t="shared" si="12"/>
        <v>0</v>
      </c>
      <c r="N299" s="68"/>
      <c r="O299" s="25"/>
      <c r="P299" s="634" t="str">
        <f t="shared" si="13"/>
        <v>NA</v>
      </c>
      <c r="Q299" s="634" t="str">
        <f>IF(ISNUMBER(P299),COUNT(P$295:P299)+MAX($Q$270:$Q$279),"")</f>
        <v/>
      </c>
      <c r="R299" s="634" t="str">
        <f t="shared" si="14"/>
        <v>TJ</v>
      </c>
      <c r="U299" s="837" t="b">
        <f t="shared" si="16"/>
        <v>0</v>
      </c>
    </row>
    <row r="300" spans="2:21" ht="12.75" customHeight="1" x14ac:dyDescent="0.2">
      <c r="B300" s="38"/>
      <c r="C300" s="38"/>
      <c r="D300" s="354">
        <f t="shared" si="15"/>
        <v>16</v>
      </c>
      <c r="E300" s="1298" t="str">
        <f t="shared" si="10"/>
        <v>Kurināmā līmeņatzīmes apakšiekārta (bez OEP | bez OIM)</v>
      </c>
      <c r="F300" s="1299"/>
      <c r="G300" s="1299"/>
      <c r="H300" s="1300"/>
      <c r="I300" s="1082"/>
      <c r="J300" s="399"/>
      <c r="K300" s="1126"/>
      <c r="L300" s="393" t="b">
        <f t="shared" si="11"/>
        <v>0</v>
      </c>
      <c r="M300" s="393" t="b">
        <f t="shared" si="12"/>
        <v>0</v>
      </c>
      <c r="N300" s="68"/>
      <c r="O300" s="25"/>
      <c r="P300" s="634" t="str">
        <f t="shared" si="13"/>
        <v>NA</v>
      </c>
      <c r="Q300" s="634" t="str">
        <f>IF(ISNUMBER(P300),COUNT(P$295:P300)+MAX($Q$270:$Q$279),"")</f>
        <v/>
      </c>
      <c r="R300" s="634" t="str">
        <f t="shared" si="14"/>
        <v>TJ</v>
      </c>
      <c r="U300" s="837" t="b">
        <f t="shared" si="16"/>
        <v>0</v>
      </c>
    </row>
    <row r="301" spans="2:21" ht="12.75" customHeight="1" x14ac:dyDescent="0.2">
      <c r="B301" s="38"/>
      <c r="C301" s="38"/>
      <c r="D301" s="354">
        <f t="shared" si="15"/>
        <v>17</v>
      </c>
      <c r="E301" s="1298" t="str">
        <f>INDEX(EUconst_FallBackListNames,D301-10)</f>
        <v>Kurināmā līmeņatzīmes apakšiekārta (OEP | OIM)</v>
      </c>
      <c r="F301" s="1299"/>
      <c r="G301" s="1299"/>
      <c r="H301" s="1300"/>
      <c r="I301" s="1082"/>
      <c r="J301" s="561"/>
      <c r="K301" s="1126"/>
      <c r="L301" s="393" t="b">
        <f t="shared" si="11"/>
        <v>1</v>
      </c>
      <c r="M301" s="393" t="b">
        <f t="shared" si="12"/>
        <v>1</v>
      </c>
      <c r="N301" s="68"/>
      <c r="O301" s="25"/>
      <c r="P301" s="634" t="str">
        <f t="shared" si="13"/>
        <v>NA</v>
      </c>
      <c r="Q301" s="634" t="str">
        <f>IF(ISNUMBER(P301),COUNT(P$295:P301)+MAX($Q$270:$Q$279),"")</f>
        <v/>
      </c>
      <c r="R301" s="634" t="str">
        <f t="shared" si="14"/>
        <v>TJ</v>
      </c>
      <c r="U301" s="837" t="b">
        <f t="shared" si="16"/>
        <v>0</v>
      </c>
    </row>
    <row r="302" spans="2:21" ht="12.75" customHeight="1" x14ac:dyDescent="0.2">
      <c r="B302" s="38"/>
      <c r="C302" s="38"/>
      <c r="D302" s="354">
        <f t="shared" si="15"/>
        <v>18</v>
      </c>
      <c r="E302" s="1298" t="str">
        <f>INDEX(EUconst_FallBackListNames,D302-10)</f>
        <v>Procesa emisiju apakšiekārta (OEP | bez OIM)</v>
      </c>
      <c r="F302" s="1351"/>
      <c r="G302" s="1351"/>
      <c r="H302" s="1351"/>
      <c r="I302" s="1352"/>
      <c r="J302" s="561"/>
      <c r="K302" s="1128"/>
      <c r="L302" s="1067" t="b">
        <f t="shared" si="11"/>
        <v>1</v>
      </c>
      <c r="M302" s="1067" t="b">
        <f t="shared" si="12"/>
        <v>0</v>
      </c>
      <c r="N302" s="68"/>
      <c r="O302" s="25"/>
      <c r="P302" s="1068" t="str">
        <f t="shared" si="13"/>
        <v>NA</v>
      </c>
      <c r="Q302" s="1068" t="str">
        <f>IF(ISNUMBER(P302),COUNT(P$295:P302)+MAX($Q$270:$Q$279),"")</f>
        <v/>
      </c>
      <c r="R302" s="1068" t="str">
        <f t="shared" si="14"/>
        <v>t CO2e</v>
      </c>
      <c r="U302" s="837" t="b">
        <f t="shared" si="16"/>
        <v>0</v>
      </c>
    </row>
    <row r="303" spans="2:21" ht="12.75" customHeight="1" x14ac:dyDescent="0.2">
      <c r="B303" s="38"/>
      <c r="C303" s="38"/>
      <c r="D303" s="354">
        <f t="shared" si="15"/>
        <v>19</v>
      </c>
      <c r="E303" s="1298" t="str">
        <f>INDEX(EUconst_FallBackListNames,D303-10)</f>
        <v>Procesa emisiju apakšiekārta (bez OEP | bez OIM)</v>
      </c>
      <c r="F303" s="1299"/>
      <c r="G303" s="1299"/>
      <c r="H303" s="1299"/>
      <c r="I303" s="1300"/>
      <c r="J303" s="561"/>
      <c r="K303" s="1128"/>
      <c r="L303" s="1067" t="b">
        <f t="shared" si="11"/>
        <v>0</v>
      </c>
      <c r="M303" s="1067" t="b">
        <f t="shared" si="12"/>
        <v>0</v>
      </c>
      <c r="N303" s="68"/>
      <c r="O303" s="25"/>
      <c r="P303" s="1068" t="str">
        <f t="shared" si="13"/>
        <v>NA</v>
      </c>
      <c r="Q303" s="1068" t="str">
        <f>IF(ISNUMBER(P303),COUNT(P$295:P303)+MAX($Q$270:$Q$279),"")</f>
        <v/>
      </c>
      <c r="R303" s="1068" t="str">
        <f t="shared" si="14"/>
        <v>t CO2e</v>
      </c>
      <c r="U303" s="837" t="b">
        <f t="shared" si="16"/>
        <v>0</v>
      </c>
    </row>
    <row r="304" spans="2:21" ht="13.5" customHeight="1" thickBot="1" x14ac:dyDescent="0.25">
      <c r="B304" s="38"/>
      <c r="C304" s="38"/>
      <c r="D304" s="353">
        <v>20</v>
      </c>
      <c r="E304" s="1303" t="str">
        <f t="shared" si="10"/>
        <v>Procesa emisiju apakšiekārta (OEP | OIM)</v>
      </c>
      <c r="F304" s="1304"/>
      <c r="G304" s="1304"/>
      <c r="H304" s="1304"/>
      <c r="I304" s="1305"/>
      <c r="J304" s="398"/>
      <c r="K304" s="1127"/>
      <c r="L304" s="392" t="b">
        <f t="shared" si="11"/>
        <v>1</v>
      </c>
      <c r="M304" s="392" t="b">
        <f t="shared" si="12"/>
        <v>1</v>
      </c>
      <c r="N304" s="68"/>
      <c r="O304" s="25"/>
      <c r="P304" s="636" t="str">
        <f t="shared" si="13"/>
        <v>NA</v>
      </c>
      <c r="Q304" s="636" t="str">
        <f>IF(ISNUMBER(P304),COUNT(P$295:P304)+MAX($Q$270:$Q$279),"")</f>
        <v/>
      </c>
      <c r="R304" s="636" t="str">
        <f t="shared" si="14"/>
        <v>t CO2e</v>
      </c>
      <c r="U304" s="837" t="b">
        <f t="shared" si="16"/>
        <v>0</v>
      </c>
    </row>
    <row r="305" spans="2:16" x14ac:dyDescent="0.2">
      <c r="B305" s="38"/>
      <c r="C305" s="38"/>
      <c r="D305" s="114"/>
      <c r="E305" s="388" t="str">
        <f>IF(CNTR_HasEntries_A_I,IF(COUNTA(CNTR_FallBackSubInstRelevant)&lt;7,EUconst_ERR_MissingFallBackEntry,""),"")</f>
        <v/>
      </c>
      <c r="F305" s="117"/>
      <c r="G305" s="117"/>
      <c r="H305" s="117"/>
      <c r="I305" s="117"/>
      <c r="J305" s="117"/>
      <c r="K305" s="113"/>
      <c r="L305" s="38"/>
      <c r="M305" s="38"/>
      <c r="N305" s="38"/>
      <c r="O305" s="25"/>
    </row>
    <row r="306" spans="2:16" ht="5.0999999999999996" customHeight="1" x14ac:dyDescent="0.2">
      <c r="B306" s="38"/>
      <c r="C306" s="38"/>
      <c r="D306" s="38"/>
      <c r="E306" s="38"/>
      <c r="F306" s="38"/>
      <c r="G306" s="38"/>
      <c r="H306" s="38"/>
      <c r="I306" s="38"/>
      <c r="J306" s="38"/>
      <c r="K306" s="38"/>
      <c r="L306" s="38"/>
      <c r="M306" s="38"/>
      <c r="N306" s="38"/>
      <c r="O306" s="25"/>
    </row>
    <row r="307" spans="2:16" x14ac:dyDescent="0.2">
      <c r="B307" s="38"/>
      <c r="C307" s="38"/>
      <c r="D307" s="1333" t="str">
        <f>D282</f>
        <v/>
      </c>
      <c r="E307" s="1334"/>
      <c r="F307" s="1334"/>
      <c r="G307" s="1334"/>
      <c r="H307" s="1334"/>
      <c r="I307" s="1334"/>
      <c r="J307" s="1334"/>
      <c r="K307" s="1334"/>
      <c r="L307" s="1334"/>
      <c r="M307" s="1334"/>
      <c r="N307" s="1335"/>
      <c r="O307" s="25"/>
    </row>
    <row r="308" spans="2:16" x14ac:dyDescent="0.2">
      <c r="B308" s="38"/>
      <c r="C308" s="38"/>
      <c r="D308" s="38"/>
      <c r="E308" s="38"/>
      <c r="F308" s="38"/>
      <c r="G308" s="38"/>
      <c r="H308" s="38"/>
      <c r="I308" s="38"/>
      <c r="J308" s="38"/>
      <c r="K308" s="38"/>
      <c r="L308" s="38"/>
      <c r="M308" s="38"/>
      <c r="N308" s="38"/>
      <c r="O308" s="25"/>
    </row>
    <row r="309" spans="2:16" ht="15.75" x14ac:dyDescent="0.25">
      <c r="B309" s="21"/>
      <c r="C309" s="30" t="s">
        <v>5</v>
      </c>
      <c r="D309" s="1249" t="str">
        <f>Translations!$B$233</f>
        <v>Tehnisko savienojumu saraksts</v>
      </c>
      <c r="E309" s="1249"/>
      <c r="F309" s="1249"/>
      <c r="G309" s="1249"/>
      <c r="H309" s="1249"/>
      <c r="I309" s="1249"/>
      <c r="J309" s="1249"/>
      <c r="K309" s="1249"/>
      <c r="L309" s="1249"/>
      <c r="M309" s="1249"/>
      <c r="N309" s="1249"/>
      <c r="O309" s="25"/>
      <c r="P309" s="624"/>
    </row>
    <row r="310" spans="2:16" ht="5.0999999999999996" customHeight="1" x14ac:dyDescent="0.2">
      <c r="B310" s="21"/>
      <c r="C310" s="21"/>
      <c r="D310" s="21"/>
      <c r="E310" s="21"/>
      <c r="F310" s="21"/>
      <c r="G310" s="21"/>
      <c r="H310" s="21"/>
      <c r="I310" s="21"/>
      <c r="J310" s="21"/>
      <c r="K310" s="21"/>
      <c r="L310" s="21"/>
      <c r="M310" s="25"/>
      <c r="N310" s="25"/>
      <c r="O310" s="25"/>
      <c r="P310" s="624"/>
    </row>
    <row r="311" spans="2:16" x14ac:dyDescent="0.2">
      <c r="B311" s="38"/>
      <c r="C311" s="38"/>
      <c r="D311" s="230" t="s">
        <v>165</v>
      </c>
      <c r="E311" s="1250" t="str">
        <f>Translations!$B$234</f>
        <v>Ierakstiet informāciju, kas ļaus noteikt tehniskos savienojumus ar jūsu iekārtu:</v>
      </c>
      <c r="F311" s="1251"/>
      <c r="G311" s="1251"/>
      <c r="H311" s="1251"/>
      <c r="I311" s="1251"/>
      <c r="J311" s="1251"/>
      <c r="K311" s="1251"/>
      <c r="L311" s="1251"/>
      <c r="M311" s="1251"/>
      <c r="N311" s="1251"/>
      <c r="O311" s="25"/>
    </row>
    <row r="312" spans="2:16" x14ac:dyDescent="0.2">
      <c r="B312" s="38"/>
      <c r="C312" s="38"/>
      <c r="D312" s="243"/>
      <c r="E312" s="1301" t="str">
        <f>Translations!$B$235</f>
        <v>Šī informācija kompetentajai iestādei ir vajadzīga tāpēc, lai nodrošinātu sniegto datu konsekvenci un nepieļautu iedales datu divkāršu uzskaiti.</v>
      </c>
      <c r="F312" s="1268"/>
      <c r="G312" s="1268"/>
      <c r="H312" s="1268"/>
      <c r="I312" s="1268"/>
      <c r="J312" s="1268"/>
      <c r="K312" s="1268"/>
      <c r="L312" s="1268"/>
      <c r="M312" s="1268"/>
      <c r="N312" s="1268"/>
      <c r="O312" s="25"/>
    </row>
    <row r="313" spans="2:16" x14ac:dyDescent="0.2">
      <c r="B313" s="38"/>
      <c r="C313" s="38"/>
      <c r="D313" s="243"/>
      <c r="E313" s="1301" t="str">
        <f>Translations!$B$236</f>
        <v>Relevanti ir tikai gadījumi, kad tiek pārvadīts izmērāms siltums, atlikumgāzes, vai “pārvietotais CO2”, kas definēts Monitoringa un ziņošanas regulā.</v>
      </c>
      <c r="F313" s="1268"/>
      <c r="G313" s="1268"/>
      <c r="H313" s="1268"/>
      <c r="I313" s="1268"/>
      <c r="J313" s="1268"/>
      <c r="K313" s="1268"/>
      <c r="L313" s="1268"/>
      <c r="M313" s="1268"/>
      <c r="N313" s="1268"/>
      <c r="O313" s="25"/>
    </row>
    <row r="314" spans="2:16" x14ac:dyDescent="0.2">
      <c r="B314" s="38"/>
      <c r="C314" s="38"/>
      <c r="D314" s="243"/>
      <c r="E314" s="1301" t="str">
        <f>Translations!$B$237</f>
        <v>“Imports” nozīmē, ka kaut kas nonāk šajā ziņojumā aplūkotās iekārtas robežās, bet “eksports” — ka kaut kas šīs robežas atstāj.</v>
      </c>
      <c r="F314" s="1268"/>
      <c r="G314" s="1268"/>
      <c r="H314" s="1268"/>
      <c r="I314" s="1268"/>
      <c r="J314" s="1268"/>
      <c r="K314" s="1268"/>
      <c r="L314" s="1268"/>
      <c r="M314" s="1268"/>
      <c r="N314" s="1268"/>
      <c r="O314" s="25"/>
    </row>
    <row r="315" spans="2:16" x14ac:dyDescent="0.2">
      <c r="B315" s="38"/>
      <c r="C315" s="38"/>
      <c r="D315" s="243"/>
      <c r="E315" s="1301" t="str">
        <f>Translations!$B$238</f>
        <v>Tas neattiecas uz materiālu un/vai enerģijas plūsmām starp apakšiekārtām, izņemot siltumu, kas rodas, ražojot slāpekļskābi.</v>
      </c>
      <c r="F315" s="1268"/>
      <c r="G315" s="1268"/>
      <c r="H315" s="1268"/>
      <c r="I315" s="1268"/>
      <c r="J315" s="1268"/>
      <c r="K315" s="1268"/>
      <c r="L315" s="1268"/>
      <c r="M315" s="1268"/>
      <c r="N315" s="1268"/>
      <c r="O315" s="25"/>
    </row>
    <row r="316" spans="2:16" x14ac:dyDescent="0.2">
      <c r="B316" s="38"/>
      <c r="C316" s="38"/>
      <c r="D316" s="243"/>
      <c r="E316" s="1301" t="str">
        <f>Translations!$B$239</f>
        <v>Slejā "Vienības veids" var izvēlēties šādus variantus:</v>
      </c>
      <c r="F316" s="1268"/>
      <c r="G316" s="1268"/>
      <c r="H316" s="1268"/>
      <c r="I316" s="1268"/>
      <c r="J316" s="1268"/>
      <c r="K316" s="1268"/>
      <c r="L316" s="1268"/>
      <c r="M316" s="1268"/>
      <c r="N316" s="1268"/>
      <c r="O316" s="25"/>
    </row>
    <row r="317" spans="2:16" x14ac:dyDescent="0.2">
      <c r="B317" s="38"/>
      <c r="C317" s="38"/>
      <c r="D317" s="243"/>
      <c r="E317" s="141" t="s">
        <v>392</v>
      </c>
      <c r="F317" s="1319" t="str">
        <f>Translations!$B$240</f>
        <v>ETS aptverta iekārta</v>
      </c>
      <c r="G317" s="1251"/>
      <c r="H317" s="1251"/>
      <c r="I317" s="1251"/>
      <c r="J317" s="1251"/>
      <c r="K317" s="1251"/>
      <c r="L317" s="1251"/>
      <c r="M317" s="1251"/>
      <c r="N317" s="1251"/>
      <c r="O317" s="25"/>
    </row>
    <row r="318" spans="2:16" x14ac:dyDescent="0.2">
      <c r="B318" s="38"/>
      <c r="C318" s="38"/>
      <c r="D318" s="243"/>
      <c r="E318" s="141" t="s">
        <v>392</v>
      </c>
      <c r="F318" s="1319" t="str">
        <f>Translations!$B$1616</f>
        <v>Sadzīves atkritumu sadedzināšanas iekārta (t. i., tai ir tikai monitoringa pienākums)</v>
      </c>
      <c r="G318" s="1251"/>
      <c r="H318" s="1251"/>
      <c r="I318" s="1251"/>
      <c r="J318" s="1251"/>
      <c r="K318" s="1251"/>
      <c r="L318" s="1251"/>
      <c r="M318" s="1251"/>
      <c r="N318" s="1251"/>
      <c r="O318" s="25"/>
    </row>
    <row r="319" spans="2:16" x14ac:dyDescent="0.2">
      <c r="B319" s="38"/>
      <c r="C319" s="38"/>
      <c r="D319" s="243"/>
      <c r="E319" s="141" t="s">
        <v>392</v>
      </c>
      <c r="F319" s="1319" t="str">
        <f>Translations!$B$241</f>
        <v>ETS neietilpstoša iekārta</v>
      </c>
      <c r="G319" s="1251"/>
      <c r="H319" s="1251"/>
      <c r="I319" s="1251"/>
      <c r="J319" s="1251"/>
      <c r="K319" s="1251"/>
      <c r="L319" s="1251"/>
      <c r="M319" s="1251"/>
      <c r="N319" s="1251"/>
      <c r="O319" s="25"/>
    </row>
    <row r="320" spans="2:16" x14ac:dyDescent="0.2">
      <c r="B320" s="38"/>
      <c r="C320" s="38"/>
      <c r="D320" s="243"/>
      <c r="E320" s="141" t="s">
        <v>392</v>
      </c>
      <c r="F320" s="1319" t="str">
        <f>Translations!$B$242</f>
        <v>Iekārta, kurā tiek ražota slāpekļskābe</v>
      </c>
      <c r="G320" s="1251"/>
      <c r="H320" s="1251"/>
      <c r="I320" s="1251"/>
      <c r="J320" s="1251"/>
      <c r="K320" s="1251"/>
      <c r="L320" s="1251"/>
      <c r="M320" s="1251"/>
      <c r="N320" s="1251"/>
      <c r="O320" s="25"/>
    </row>
    <row r="321" spans="2:18" x14ac:dyDescent="0.2">
      <c r="B321" s="38"/>
      <c r="C321" s="38"/>
      <c r="D321" s="243"/>
      <c r="E321" s="141" t="s">
        <v>392</v>
      </c>
      <c r="F321" s="1319" t="str">
        <f>Translations!$B$243</f>
        <v>Siltuma sadales tīkls</v>
      </c>
      <c r="G321" s="1251"/>
      <c r="H321" s="1251"/>
      <c r="I321" s="1251"/>
      <c r="J321" s="1251"/>
      <c r="K321" s="1251"/>
      <c r="L321" s="1251"/>
      <c r="M321" s="1251"/>
      <c r="N321" s="1251"/>
      <c r="O321" s="25"/>
    </row>
    <row r="322" spans="2:18" x14ac:dyDescent="0.2">
      <c r="B322" s="38"/>
      <c r="C322" s="38"/>
      <c r="D322" s="243"/>
      <c r="E322" s="1471" t="str">
        <f>Translations!$B$244</f>
        <v>Īpašs gadījums — slāpekļskābes ražošana:</v>
      </c>
      <c r="F322" s="1472"/>
      <c r="G322" s="1472"/>
      <c r="H322" s="1472"/>
      <c r="I322" s="1472"/>
      <c r="J322" s="1472"/>
      <c r="K322" s="1472"/>
      <c r="L322" s="1472"/>
      <c r="M322" s="1472"/>
      <c r="N322" s="1472"/>
      <c r="O322" s="25"/>
    </row>
    <row r="323" spans="2:18" x14ac:dyDescent="0.2">
      <c r="B323" s="38"/>
      <c r="C323" s="38"/>
      <c r="D323" s="243"/>
      <c r="E323" s="141" t="s">
        <v>392</v>
      </c>
      <c r="F323" s="1319" t="str">
        <f>Translations!$B$245</f>
        <v>Lai norādītu, ka jūsu iekārta izmanto siltumu, kas rodas, ražojot slāpekļskābi, izvēlieties šo variantu.</v>
      </c>
      <c r="G323" s="1251"/>
      <c r="H323" s="1251"/>
      <c r="I323" s="1251"/>
      <c r="J323" s="1251"/>
      <c r="K323" s="1251"/>
      <c r="L323" s="1251"/>
      <c r="M323" s="1251"/>
      <c r="N323" s="1251"/>
      <c r="O323" s="25"/>
    </row>
    <row r="324" spans="2:18" x14ac:dyDescent="0.2">
      <c r="B324" s="38"/>
      <c r="C324" s="38"/>
      <c r="D324" s="243"/>
      <c r="E324" s="141" t="s">
        <v>392</v>
      </c>
      <c r="F324" s="1319" t="str">
        <f>Translations!$B$246</f>
        <v>Norādiet to pat tad, ja slāpekļskābes ražošana notiek jūsu iekārtā, nevis tikai tad, ja jūsu iekārta ir ar šādu iekārtu savienota.</v>
      </c>
      <c r="G324" s="1251"/>
      <c r="H324" s="1251"/>
      <c r="I324" s="1251"/>
      <c r="J324" s="1251"/>
      <c r="K324" s="1251"/>
      <c r="L324" s="1251"/>
      <c r="M324" s="1251"/>
      <c r="N324" s="1251"/>
      <c r="O324" s="25"/>
    </row>
    <row r="325" spans="2:18" x14ac:dyDescent="0.2">
      <c r="B325" s="38"/>
      <c r="C325" s="38"/>
      <c r="D325" s="243"/>
      <c r="E325" s="141" t="s">
        <v>392</v>
      </c>
      <c r="F325" s="1319" t="str">
        <f>Translations!$B$247</f>
        <v>Šī informācija ir relevanta siltuma bilances noteikšanai (lapa "E_EnergyFlows", II sadaļa).</v>
      </c>
      <c r="G325" s="1251"/>
      <c r="H325" s="1251"/>
      <c r="I325" s="1251"/>
      <c r="J325" s="1251"/>
      <c r="K325" s="1251"/>
      <c r="L325" s="1251"/>
      <c r="M325" s="1251"/>
      <c r="N325" s="1251"/>
      <c r="O325" s="25"/>
    </row>
    <row r="326" spans="2:18" x14ac:dyDescent="0.2">
      <c r="B326" s="38"/>
      <c r="C326" s="38"/>
      <c r="D326" s="243"/>
      <c r="E326" s="1301" t="str">
        <f>Translations!$B$248</f>
        <v>Savienojuma veidu varianti ir šādi:</v>
      </c>
      <c r="F326" s="1268"/>
      <c r="G326" s="1268"/>
      <c r="H326" s="1268"/>
      <c r="I326" s="1268"/>
      <c r="J326" s="1268"/>
      <c r="K326" s="1268"/>
      <c r="L326" s="1268"/>
      <c r="M326" s="1268"/>
      <c r="N326" s="1268"/>
      <c r="O326" s="25"/>
    </row>
    <row r="327" spans="2:18" x14ac:dyDescent="0.2">
      <c r="B327" s="38"/>
      <c r="C327" s="38"/>
      <c r="D327" s="243"/>
      <c r="E327" s="141" t="s">
        <v>392</v>
      </c>
      <c r="F327" s="1319" t="str">
        <f>Translations!$B$249</f>
        <v>Izmērāmais siltums</v>
      </c>
      <c r="G327" s="1251"/>
      <c r="H327" s="1251"/>
      <c r="I327" s="1251"/>
      <c r="J327" s="1251"/>
      <c r="K327" s="1251"/>
      <c r="L327" s="1251"/>
      <c r="M327" s="1251"/>
      <c r="N327" s="1251"/>
      <c r="O327" s="25"/>
    </row>
    <row r="328" spans="2:18" x14ac:dyDescent="0.2">
      <c r="B328" s="38"/>
      <c r="C328" s="38"/>
      <c r="D328" s="243"/>
      <c r="E328" s="141" t="s">
        <v>392</v>
      </c>
      <c r="F328" s="1319" t="str">
        <f>Translations!$B$250</f>
        <v>Atlikumgāze</v>
      </c>
      <c r="G328" s="1251"/>
      <c r="H328" s="1251"/>
      <c r="I328" s="1251"/>
      <c r="J328" s="1251"/>
      <c r="K328" s="1251"/>
      <c r="L328" s="1251"/>
      <c r="M328" s="1251"/>
      <c r="N328" s="1251"/>
      <c r="O328" s="25"/>
    </row>
    <row r="329" spans="2:18" x14ac:dyDescent="0.2">
      <c r="B329" s="38"/>
      <c r="C329" s="38"/>
      <c r="D329" s="243"/>
      <c r="E329" s="141" t="s">
        <v>392</v>
      </c>
      <c r="F329" s="1319" t="str">
        <f>Translations!$B$251</f>
        <v>Pārvietotais CO2</v>
      </c>
      <c r="G329" s="1251"/>
      <c r="H329" s="1251"/>
      <c r="I329" s="1251"/>
      <c r="J329" s="1251"/>
      <c r="K329" s="1251"/>
      <c r="L329" s="1251"/>
      <c r="M329" s="1251"/>
      <c r="N329" s="1251"/>
      <c r="O329" s="25"/>
    </row>
    <row r="330" spans="2:18" ht="12.75" customHeight="1" x14ac:dyDescent="0.2">
      <c r="B330" s="38"/>
      <c r="C330" s="38"/>
      <c r="D330" s="243"/>
      <c r="E330" s="141" t="s">
        <v>392</v>
      </c>
      <c r="F330" s="1319" t="str">
        <f>Translations!$B$252</f>
        <v>Starpprodukti, uz kuriem attiecas produktu līmeņatzīmes (FAR IV pielikuma 1.6. iedaļa un 3.1. iedaļas l punkts)</v>
      </c>
      <c r="G330" s="1251"/>
      <c r="H330" s="1251"/>
      <c r="I330" s="1251"/>
      <c r="J330" s="1251"/>
      <c r="K330" s="1251"/>
      <c r="L330" s="1251"/>
      <c r="M330" s="1251"/>
      <c r="N330" s="1251"/>
      <c r="O330" s="25"/>
    </row>
    <row r="331" spans="2:18" x14ac:dyDescent="0.2">
      <c r="B331" s="38"/>
      <c r="C331" s="38"/>
      <c r="D331" s="243"/>
      <c r="E331" s="1301" t="str">
        <f>Translations!$B$253</f>
        <v>Plūsmas virziena varianti ir šādi (attiecībā pret iekārtu, uz kuru attiecas šis ziņojums):</v>
      </c>
      <c r="F331" s="1268"/>
      <c r="G331" s="1268"/>
      <c r="H331" s="1268"/>
      <c r="I331" s="1268"/>
      <c r="J331" s="1268"/>
      <c r="K331" s="1268"/>
      <c r="L331" s="1268"/>
      <c r="M331" s="1268"/>
      <c r="N331" s="1268"/>
      <c r="O331" s="25"/>
    </row>
    <row r="332" spans="2:18" x14ac:dyDescent="0.2">
      <c r="B332" s="38"/>
      <c r="C332" s="38"/>
      <c r="D332" s="243"/>
      <c r="E332" s="141" t="s">
        <v>392</v>
      </c>
      <c r="F332" s="1319" t="str">
        <f>Translations!$B$254</f>
        <v>Imports (uz šo iekārtu)</v>
      </c>
      <c r="G332" s="1251"/>
      <c r="H332" s="1251"/>
      <c r="I332" s="1251"/>
      <c r="J332" s="1251"/>
      <c r="K332" s="1251"/>
      <c r="L332" s="1251"/>
      <c r="M332" s="1251"/>
      <c r="N332" s="1251"/>
      <c r="O332" s="25"/>
    </row>
    <row r="333" spans="2:18" x14ac:dyDescent="0.2">
      <c r="B333" s="38"/>
      <c r="C333" s="38"/>
      <c r="D333" s="243"/>
      <c r="E333" s="141" t="s">
        <v>392</v>
      </c>
      <c r="F333" s="1319" t="str">
        <f>Translations!$B$255</f>
        <v>Eksports (no šīs iekārtas)</v>
      </c>
      <c r="G333" s="1251"/>
      <c r="H333" s="1251"/>
      <c r="I333" s="1251"/>
      <c r="J333" s="1251"/>
      <c r="K333" s="1251"/>
      <c r="L333" s="1251"/>
      <c r="M333" s="1251"/>
      <c r="N333" s="1251"/>
      <c r="O333" s="25"/>
    </row>
    <row r="334" spans="2:18" ht="5.0999999999999996" customHeight="1" x14ac:dyDescent="0.2">
      <c r="B334" s="21"/>
      <c r="C334" s="21"/>
      <c r="D334" s="95"/>
      <c r="E334" s="21"/>
      <c r="F334" s="21"/>
      <c r="G334" s="21"/>
      <c r="H334" s="21"/>
      <c r="I334" s="21"/>
      <c r="J334" s="21"/>
      <c r="K334" s="21"/>
      <c r="L334" s="21"/>
      <c r="M334" s="25"/>
      <c r="N334" s="25"/>
      <c r="O334" s="25"/>
      <c r="P334" s="624"/>
    </row>
    <row r="335" spans="2:18" ht="13.5" thickBot="1" x14ac:dyDescent="0.25">
      <c r="B335" s="38"/>
      <c r="C335" s="38"/>
      <c r="D335" s="68"/>
      <c r="E335" s="387" t="str">
        <f>Translations!$B$220</f>
        <v>Nr.</v>
      </c>
      <c r="F335" s="1418" t="str">
        <f>Translations!$B$256</f>
        <v>Iekārtas vai vienības nosaukums</v>
      </c>
      <c r="G335" s="1441"/>
      <c r="H335" s="1419"/>
      <c r="I335" s="1418" t="str">
        <f>Translations!$B$257</f>
        <v>Vienības veids</v>
      </c>
      <c r="J335" s="1419"/>
      <c r="K335" s="1418" t="str">
        <f>Translations!$B$258</f>
        <v>Savienojuma veids</v>
      </c>
      <c r="L335" s="1419"/>
      <c r="M335" s="1418" t="str">
        <f>Translations!$B$259</f>
        <v>Plūsmas virziens</v>
      </c>
      <c r="N335" s="1441"/>
      <c r="O335" s="25"/>
      <c r="P335" s="640"/>
      <c r="Q335" s="640" t="s">
        <v>89</v>
      </c>
      <c r="R335" s="642" t="s">
        <v>351</v>
      </c>
    </row>
    <row r="336" spans="2:18" x14ac:dyDescent="0.2">
      <c r="B336" s="38"/>
      <c r="C336" s="38"/>
      <c r="D336" s="68"/>
      <c r="E336" s="75">
        <v>1</v>
      </c>
      <c r="F336" s="1436"/>
      <c r="G336" s="1439"/>
      <c r="H336" s="1437"/>
      <c r="I336" s="1438"/>
      <c r="J336" s="1465"/>
      <c r="K336" s="1438"/>
      <c r="L336" s="1437"/>
      <c r="M336" s="1466"/>
      <c r="N336" s="1467"/>
      <c r="O336" s="25"/>
      <c r="P336" s="640"/>
      <c r="Q336" s="632" t="str">
        <f>IF(NOT(ISBLANK(F336)),COUNTA($F$336:$F336),"")</f>
        <v/>
      </c>
      <c r="R336" s="632" t="str">
        <f t="shared" ref="R336:R345" si="17">IF(ISBLANK(I336),"",OR(MATCH(I336,EUconst_ConnectedEntityTypes,0)=1,MATCH(I336,EUconst_ConnectedEntityTypes,0)=2,MATCH(I336,EUconst_ConnectedEntityTypes,0)=4))</f>
        <v/>
      </c>
    </row>
    <row r="337" spans="2:18" x14ac:dyDescent="0.2">
      <c r="B337" s="38"/>
      <c r="C337" s="38"/>
      <c r="D337" s="68"/>
      <c r="E337" s="76">
        <f>E336+1</f>
        <v>2</v>
      </c>
      <c r="F337" s="1449"/>
      <c r="G337" s="1423"/>
      <c r="H337" s="1417"/>
      <c r="I337" s="1416"/>
      <c r="J337" s="1341"/>
      <c r="K337" s="1416"/>
      <c r="L337" s="1417"/>
      <c r="M337" s="1421"/>
      <c r="N337" s="1422"/>
      <c r="O337" s="25"/>
      <c r="P337" s="640"/>
      <c r="Q337" s="634" t="str">
        <f>IF(NOT(ISBLANK(F337)),COUNTA($F$336:$F337),"")</f>
        <v/>
      </c>
      <c r="R337" s="634" t="str">
        <f t="shared" si="17"/>
        <v/>
      </c>
    </row>
    <row r="338" spans="2:18" x14ac:dyDescent="0.2">
      <c r="B338" s="38"/>
      <c r="C338" s="38"/>
      <c r="D338" s="68"/>
      <c r="E338" s="76">
        <f t="shared" ref="E338:E345" si="18">E337+1</f>
        <v>3</v>
      </c>
      <c r="F338" s="1449"/>
      <c r="G338" s="1423"/>
      <c r="H338" s="1417"/>
      <c r="I338" s="1416"/>
      <c r="J338" s="1341"/>
      <c r="K338" s="1416"/>
      <c r="L338" s="1417"/>
      <c r="M338" s="1421"/>
      <c r="N338" s="1422"/>
      <c r="O338" s="25"/>
      <c r="P338" s="640"/>
      <c r="Q338" s="634" t="str">
        <f>IF(NOT(ISBLANK(F338)),COUNTA($F$336:$F338),"")</f>
        <v/>
      </c>
      <c r="R338" s="634" t="str">
        <f t="shared" si="17"/>
        <v/>
      </c>
    </row>
    <row r="339" spans="2:18" x14ac:dyDescent="0.2">
      <c r="B339" s="38"/>
      <c r="C339" s="38"/>
      <c r="D339" s="68"/>
      <c r="E339" s="76">
        <f t="shared" si="18"/>
        <v>4</v>
      </c>
      <c r="F339" s="1449"/>
      <c r="G339" s="1423"/>
      <c r="H339" s="1417"/>
      <c r="I339" s="1416"/>
      <c r="J339" s="1341"/>
      <c r="K339" s="1416"/>
      <c r="L339" s="1417"/>
      <c r="M339" s="1421"/>
      <c r="N339" s="1422"/>
      <c r="O339" s="25"/>
      <c r="P339" s="640"/>
      <c r="Q339" s="634" t="str">
        <f>IF(NOT(ISBLANK(F339)),COUNTA($F$336:$F339),"")</f>
        <v/>
      </c>
      <c r="R339" s="634" t="str">
        <f t="shared" si="17"/>
        <v/>
      </c>
    </row>
    <row r="340" spans="2:18" x14ac:dyDescent="0.2">
      <c r="B340" s="38"/>
      <c r="C340" s="38"/>
      <c r="D340" s="68"/>
      <c r="E340" s="76">
        <f t="shared" si="18"/>
        <v>5</v>
      </c>
      <c r="F340" s="1449"/>
      <c r="G340" s="1423"/>
      <c r="H340" s="1417"/>
      <c r="I340" s="1416"/>
      <c r="J340" s="1341"/>
      <c r="K340" s="1416"/>
      <c r="L340" s="1417"/>
      <c r="M340" s="1421"/>
      <c r="N340" s="1422"/>
      <c r="O340" s="25"/>
      <c r="P340" s="640"/>
      <c r="Q340" s="634" t="str">
        <f>IF(NOT(ISBLANK(F340)),COUNTA($F$336:$F340),"")</f>
        <v/>
      </c>
      <c r="R340" s="634" t="str">
        <f t="shared" si="17"/>
        <v/>
      </c>
    </row>
    <row r="341" spans="2:18" x14ac:dyDescent="0.2">
      <c r="B341" s="38"/>
      <c r="C341" s="38"/>
      <c r="D341" s="68"/>
      <c r="E341" s="76">
        <f t="shared" si="18"/>
        <v>6</v>
      </c>
      <c r="F341" s="1416"/>
      <c r="G341" s="1423"/>
      <c r="H341" s="1417"/>
      <c r="I341" s="1416"/>
      <c r="J341" s="1341"/>
      <c r="K341" s="1416"/>
      <c r="L341" s="1417"/>
      <c r="M341" s="1421"/>
      <c r="N341" s="1422"/>
      <c r="O341" s="25"/>
      <c r="P341" s="640"/>
      <c r="Q341" s="634" t="str">
        <f>IF(NOT(ISBLANK(F341)),COUNTA($F$336:$F341),"")</f>
        <v/>
      </c>
      <c r="R341" s="634" t="str">
        <f t="shared" si="17"/>
        <v/>
      </c>
    </row>
    <row r="342" spans="2:18" x14ac:dyDescent="0.2">
      <c r="B342" s="38"/>
      <c r="C342" s="38"/>
      <c r="D342" s="68"/>
      <c r="E342" s="76">
        <f t="shared" si="18"/>
        <v>7</v>
      </c>
      <c r="F342" s="1416"/>
      <c r="G342" s="1423"/>
      <c r="H342" s="1417"/>
      <c r="I342" s="1416"/>
      <c r="J342" s="1341"/>
      <c r="K342" s="1416"/>
      <c r="L342" s="1417"/>
      <c r="M342" s="1421"/>
      <c r="N342" s="1422"/>
      <c r="O342" s="25"/>
      <c r="P342" s="640"/>
      <c r="Q342" s="634" t="str">
        <f>IF(NOT(ISBLANK(F342)),COUNTA($F$336:$F342),"")</f>
        <v/>
      </c>
      <c r="R342" s="634" t="str">
        <f t="shared" si="17"/>
        <v/>
      </c>
    </row>
    <row r="343" spans="2:18" x14ac:dyDescent="0.2">
      <c r="B343" s="38"/>
      <c r="C343" s="38"/>
      <c r="D343" s="68"/>
      <c r="E343" s="76">
        <f t="shared" si="18"/>
        <v>8</v>
      </c>
      <c r="F343" s="1416"/>
      <c r="G343" s="1423"/>
      <c r="H343" s="1417"/>
      <c r="I343" s="1416"/>
      <c r="J343" s="1341"/>
      <c r="K343" s="1416"/>
      <c r="L343" s="1417"/>
      <c r="M343" s="1421"/>
      <c r="N343" s="1422"/>
      <c r="O343" s="25"/>
      <c r="P343" s="640"/>
      <c r="Q343" s="634" t="str">
        <f>IF(NOT(ISBLANK(F343)),COUNTA($F$336:$F343),"")</f>
        <v/>
      </c>
      <c r="R343" s="634" t="str">
        <f t="shared" si="17"/>
        <v/>
      </c>
    </row>
    <row r="344" spans="2:18" x14ac:dyDescent="0.2">
      <c r="B344" s="38"/>
      <c r="C344" s="38"/>
      <c r="D344" s="68"/>
      <c r="E344" s="76">
        <f t="shared" si="18"/>
        <v>9</v>
      </c>
      <c r="F344" s="1416"/>
      <c r="G344" s="1423"/>
      <c r="H344" s="1417"/>
      <c r="I344" s="1416"/>
      <c r="J344" s="1341"/>
      <c r="K344" s="1416"/>
      <c r="L344" s="1417"/>
      <c r="M344" s="1421"/>
      <c r="N344" s="1422"/>
      <c r="O344" s="25"/>
      <c r="P344" s="640"/>
      <c r="Q344" s="634" t="str">
        <f>IF(NOT(ISBLANK(F344)),COUNTA($F$336:$F344),"")</f>
        <v/>
      </c>
      <c r="R344" s="634" t="str">
        <f t="shared" si="17"/>
        <v/>
      </c>
    </row>
    <row r="345" spans="2:18" ht="13.5" thickBot="1" x14ac:dyDescent="0.25">
      <c r="B345" s="38"/>
      <c r="C345" s="38"/>
      <c r="D345" s="68"/>
      <c r="E345" s="77">
        <f t="shared" si="18"/>
        <v>10</v>
      </c>
      <c r="F345" s="1448"/>
      <c r="G345" s="1434"/>
      <c r="H345" s="1435"/>
      <c r="I345" s="1433"/>
      <c r="J345" s="1404"/>
      <c r="K345" s="1433"/>
      <c r="L345" s="1435"/>
      <c r="M345" s="1446"/>
      <c r="N345" s="1447"/>
      <c r="O345" s="25"/>
      <c r="P345" s="640"/>
      <c r="Q345" s="636" t="str">
        <f>IF(NOT(ISBLANK(F345)),COUNTA($F$336:$F345),"")</f>
        <v/>
      </c>
      <c r="R345" s="636" t="str">
        <f t="shared" si="17"/>
        <v/>
      </c>
    </row>
    <row r="346" spans="2:18" x14ac:dyDescent="0.2">
      <c r="B346" s="38"/>
      <c r="C346" s="38"/>
      <c r="D346" s="68"/>
      <c r="E346" s="57"/>
      <c r="F346" s="57"/>
      <c r="G346" s="57"/>
      <c r="H346" s="57"/>
      <c r="I346" s="57"/>
      <c r="J346" s="57"/>
      <c r="K346" s="57"/>
      <c r="L346" s="57"/>
      <c r="M346" s="57"/>
      <c r="N346" s="57"/>
      <c r="O346" s="25"/>
    </row>
    <row r="347" spans="2:18" x14ac:dyDescent="0.2">
      <c r="B347" s="38"/>
      <c r="C347" s="38"/>
      <c r="D347" s="230" t="s">
        <v>339</v>
      </c>
      <c r="E347" s="1250" t="str">
        <f>Translations!$B$260</f>
        <v>Attiecīgā gadījumā ievadiet papildu informāciju par šīm savienotajām iekārtām:</v>
      </c>
      <c r="F347" s="1251"/>
      <c r="G347" s="1251"/>
      <c r="H347" s="1251"/>
      <c r="I347" s="1251"/>
      <c r="J347" s="1251"/>
      <c r="K347" s="1251"/>
      <c r="L347" s="1251"/>
      <c r="M347" s="1251"/>
      <c r="N347" s="1251"/>
      <c r="O347" s="25"/>
    </row>
    <row r="348" spans="2:18" ht="25.5" customHeight="1" x14ac:dyDescent="0.2">
      <c r="B348" s="38"/>
      <c r="C348" s="38"/>
      <c r="D348" s="34"/>
      <c r="E348" s="1319" t="str">
        <f>Translations!$B$261</f>
        <v>Ja savienoto iekārtu aptver ES ETS un ES ETS to aptvēra jau pirms 2019. gada 30. jūnija attiecībā uz pirmo iedales periodu un pirms 2024. gada 30. jūnija attiecībā uz otro iedales periodu, obligāti jānorāda iekārtas ID.</v>
      </c>
      <c r="F348" s="1251"/>
      <c r="G348" s="1251"/>
      <c r="H348" s="1251"/>
      <c r="I348" s="1251"/>
      <c r="J348" s="1251"/>
      <c r="K348" s="1251"/>
      <c r="L348" s="1251"/>
      <c r="M348" s="1251"/>
      <c r="N348" s="1251"/>
      <c r="O348" s="25"/>
    </row>
    <row r="349" spans="2:18" ht="12.75" customHeight="1" x14ac:dyDescent="0.2">
      <c r="B349" s="38"/>
      <c r="C349" s="38"/>
      <c r="D349" s="34"/>
      <c r="E349" s="1319" t="str">
        <f>Translations!$B$262</f>
        <v>Attiecībā uz iekārtām, ko ES ETS neaptver, obligāti jānorāda kontaktinformācija, bet nav jānorāda reģistra ID.</v>
      </c>
      <c r="F349" s="1319"/>
      <c r="G349" s="1319"/>
      <c r="H349" s="1319"/>
      <c r="I349" s="1319"/>
      <c r="J349" s="1319"/>
      <c r="K349" s="1319"/>
      <c r="L349" s="1319"/>
      <c r="M349" s="1319"/>
      <c r="N349" s="1319"/>
      <c r="O349" s="25"/>
    </row>
    <row r="350" spans="2:18" ht="25.5" customHeight="1" x14ac:dyDescent="0.2">
      <c r="B350" s="38"/>
      <c r="C350" s="38"/>
      <c r="D350" s="38"/>
      <c r="E350" s="402" t="str">
        <f>Translations!$B$220</f>
        <v>Nr.</v>
      </c>
      <c r="F350" s="1418" t="str">
        <f>Translations!$B$263</f>
        <v>Iekārtas ID reģistrā</v>
      </c>
      <c r="G350" s="1419"/>
      <c r="H350" s="1418" t="str">
        <f>Translations!$B$264</f>
        <v>Kontaktpersonas vārds</v>
      </c>
      <c r="I350" s="1419"/>
      <c r="J350" s="1440" t="str">
        <f>Translations!$B$265</f>
        <v>E-pasta adrese</v>
      </c>
      <c r="K350" s="1441"/>
      <c r="L350" s="1419"/>
      <c r="M350" s="1418" t="str">
        <f>Translations!$B$266</f>
        <v>Tālruņa numurs</v>
      </c>
      <c r="N350" s="1430"/>
      <c r="O350" s="25"/>
    </row>
    <row r="351" spans="2:18" x14ac:dyDescent="0.2">
      <c r="B351" s="38"/>
      <c r="C351" s="38"/>
      <c r="D351" s="38"/>
      <c r="E351" s="94">
        <v>1</v>
      </c>
      <c r="F351" s="1428"/>
      <c r="G351" s="1429"/>
      <c r="H351" s="1436"/>
      <c r="I351" s="1437"/>
      <c r="J351" s="1438"/>
      <c r="K351" s="1439"/>
      <c r="L351" s="1437"/>
      <c r="M351" s="1444"/>
      <c r="N351" s="1445"/>
      <c r="O351" s="25"/>
    </row>
    <row r="352" spans="2:18" x14ac:dyDescent="0.2">
      <c r="B352" s="38"/>
      <c r="C352" s="38"/>
      <c r="D352" s="38"/>
      <c r="E352" s="76">
        <f>E351+1</f>
        <v>2</v>
      </c>
      <c r="F352" s="1426"/>
      <c r="G352" s="1427"/>
      <c r="H352" s="1416"/>
      <c r="I352" s="1417"/>
      <c r="J352" s="1416"/>
      <c r="K352" s="1423"/>
      <c r="L352" s="1417"/>
      <c r="M352" s="1424"/>
      <c r="N352" s="1425"/>
      <c r="O352" s="25"/>
    </row>
    <row r="353" spans="1:24" x14ac:dyDescent="0.2">
      <c r="B353" s="38"/>
      <c r="C353" s="38"/>
      <c r="D353" s="38"/>
      <c r="E353" s="76">
        <f t="shared" ref="E353:E360" si="19">E352+1</f>
        <v>3</v>
      </c>
      <c r="F353" s="1426"/>
      <c r="G353" s="1427"/>
      <c r="H353" s="1416"/>
      <c r="I353" s="1417"/>
      <c r="J353" s="1416"/>
      <c r="K353" s="1423"/>
      <c r="L353" s="1417"/>
      <c r="M353" s="1424"/>
      <c r="N353" s="1425"/>
      <c r="O353" s="25"/>
    </row>
    <row r="354" spans="1:24" x14ac:dyDescent="0.2">
      <c r="B354" s="38"/>
      <c r="C354" s="38"/>
      <c r="D354" s="38"/>
      <c r="E354" s="76">
        <f t="shared" si="19"/>
        <v>4</v>
      </c>
      <c r="F354" s="1426"/>
      <c r="G354" s="1427"/>
      <c r="H354" s="1416"/>
      <c r="I354" s="1417"/>
      <c r="J354" s="1416"/>
      <c r="K354" s="1423"/>
      <c r="L354" s="1417"/>
      <c r="M354" s="1424"/>
      <c r="N354" s="1425"/>
      <c r="O354" s="25"/>
    </row>
    <row r="355" spans="1:24" x14ac:dyDescent="0.2">
      <c r="B355" s="38"/>
      <c r="C355" s="38"/>
      <c r="D355" s="38"/>
      <c r="E355" s="76">
        <f t="shared" si="19"/>
        <v>5</v>
      </c>
      <c r="F355" s="1426"/>
      <c r="G355" s="1427"/>
      <c r="H355" s="1416"/>
      <c r="I355" s="1417"/>
      <c r="J355" s="1416"/>
      <c r="K355" s="1423"/>
      <c r="L355" s="1417"/>
      <c r="M355" s="1424"/>
      <c r="N355" s="1425"/>
      <c r="O355" s="25"/>
    </row>
    <row r="356" spans="1:24" x14ac:dyDescent="0.2">
      <c r="B356" s="38"/>
      <c r="C356" s="38"/>
      <c r="D356" s="38"/>
      <c r="E356" s="76">
        <f t="shared" si="19"/>
        <v>6</v>
      </c>
      <c r="F356" s="1426"/>
      <c r="G356" s="1427"/>
      <c r="H356" s="1416"/>
      <c r="I356" s="1417"/>
      <c r="J356" s="1416"/>
      <c r="K356" s="1423"/>
      <c r="L356" s="1417"/>
      <c r="M356" s="1424"/>
      <c r="N356" s="1425"/>
      <c r="O356" s="25"/>
    </row>
    <row r="357" spans="1:24" x14ac:dyDescent="0.2">
      <c r="B357" s="38"/>
      <c r="C357" s="38"/>
      <c r="D357" s="38"/>
      <c r="E357" s="76">
        <f t="shared" si="19"/>
        <v>7</v>
      </c>
      <c r="F357" s="1426"/>
      <c r="G357" s="1427"/>
      <c r="H357" s="1416"/>
      <c r="I357" s="1417"/>
      <c r="J357" s="1416"/>
      <c r="K357" s="1423"/>
      <c r="L357" s="1417"/>
      <c r="M357" s="1424"/>
      <c r="N357" s="1425"/>
      <c r="O357" s="25"/>
    </row>
    <row r="358" spans="1:24" x14ac:dyDescent="0.2">
      <c r="B358" s="38"/>
      <c r="C358" s="38"/>
      <c r="D358" s="38"/>
      <c r="E358" s="76">
        <f t="shared" si="19"/>
        <v>8</v>
      </c>
      <c r="F358" s="1426"/>
      <c r="G358" s="1427"/>
      <c r="H358" s="1416"/>
      <c r="I358" s="1417"/>
      <c r="J358" s="1416"/>
      <c r="K358" s="1423"/>
      <c r="L358" s="1417"/>
      <c r="M358" s="1424"/>
      <c r="N358" s="1425"/>
      <c r="O358" s="25"/>
    </row>
    <row r="359" spans="1:24" x14ac:dyDescent="0.2">
      <c r="B359" s="38"/>
      <c r="C359" s="38"/>
      <c r="D359" s="38"/>
      <c r="E359" s="76">
        <f t="shared" si="19"/>
        <v>9</v>
      </c>
      <c r="F359" s="1426"/>
      <c r="G359" s="1427"/>
      <c r="H359" s="1416"/>
      <c r="I359" s="1417"/>
      <c r="J359" s="1416"/>
      <c r="K359" s="1423"/>
      <c r="L359" s="1417"/>
      <c r="M359" s="1424"/>
      <c r="N359" s="1425"/>
      <c r="O359" s="25"/>
    </row>
    <row r="360" spans="1:24" x14ac:dyDescent="0.2">
      <c r="B360" s="38"/>
      <c r="C360" s="38"/>
      <c r="D360" s="38"/>
      <c r="E360" s="77">
        <f t="shared" si="19"/>
        <v>10</v>
      </c>
      <c r="F360" s="1431"/>
      <c r="G360" s="1432"/>
      <c r="H360" s="1433"/>
      <c r="I360" s="1435"/>
      <c r="J360" s="1433"/>
      <c r="K360" s="1434"/>
      <c r="L360" s="1435"/>
      <c r="M360" s="1442"/>
      <c r="N360" s="1443"/>
      <c r="O360" s="25"/>
    </row>
    <row r="361" spans="1:24" x14ac:dyDescent="0.2">
      <c r="B361" s="38"/>
      <c r="C361" s="38"/>
      <c r="D361" s="38"/>
      <c r="E361" s="57"/>
      <c r="F361" s="57"/>
      <c r="G361" s="57"/>
      <c r="H361" s="57"/>
      <c r="I361" s="57"/>
      <c r="J361" s="57"/>
      <c r="K361" s="57"/>
      <c r="L361" s="57"/>
      <c r="M361" s="57"/>
      <c r="N361" s="57"/>
      <c r="O361" s="25"/>
    </row>
    <row r="362" spans="1:24" x14ac:dyDescent="0.2">
      <c r="B362" s="38"/>
      <c r="C362" s="38"/>
      <c r="D362" s="1266" t="str">
        <f>Translations!$B$73</f>
        <v xml:space="preserve">&lt;&lt;&lt; Lai pārietu uz nākamo lapu, klikšķiniet šeit &gt;&gt;&gt; </v>
      </c>
      <c r="E362" s="1266"/>
      <c r="F362" s="1266"/>
      <c r="G362" s="1266"/>
      <c r="H362" s="1266"/>
      <c r="I362" s="1266"/>
      <c r="J362" s="1266"/>
      <c r="K362" s="1266"/>
      <c r="L362" s="1266"/>
      <c r="M362" s="1266"/>
      <c r="N362" s="1266"/>
      <c r="O362" s="25"/>
    </row>
    <row r="363" spans="1:24" x14ac:dyDescent="0.2">
      <c r="B363" s="38"/>
      <c r="C363" s="38"/>
      <c r="D363" s="38"/>
      <c r="E363" s="38"/>
      <c r="F363" s="38"/>
      <c r="G363" s="38"/>
      <c r="H363" s="38"/>
      <c r="I363" s="38"/>
      <c r="J363" s="38"/>
      <c r="K363" s="38"/>
      <c r="L363" s="38"/>
      <c r="M363" s="38"/>
      <c r="N363" s="38"/>
      <c r="O363" s="25"/>
    </row>
    <row r="364" spans="1:24" hidden="1" x14ac:dyDescent="0.2">
      <c r="A364" s="20" t="s">
        <v>93</v>
      </c>
      <c r="B364" s="20" t="s">
        <v>336</v>
      </c>
      <c r="C364" s="20" t="s">
        <v>336</v>
      </c>
      <c r="D364" s="20" t="s">
        <v>336</v>
      </c>
      <c r="E364" s="20" t="s">
        <v>336</v>
      </c>
      <c r="F364" s="20" t="s">
        <v>336</v>
      </c>
      <c r="G364" s="20" t="s">
        <v>336</v>
      </c>
      <c r="H364" s="20" t="s">
        <v>336</v>
      </c>
      <c r="I364" s="20" t="s">
        <v>336</v>
      </c>
      <c r="J364" s="20" t="s">
        <v>336</v>
      </c>
      <c r="K364" s="20" t="s">
        <v>336</v>
      </c>
      <c r="L364" s="20" t="s">
        <v>336</v>
      </c>
      <c r="M364" s="20" t="s">
        <v>336</v>
      </c>
      <c r="N364" s="20" t="s">
        <v>336</v>
      </c>
      <c r="O364" s="20" t="s">
        <v>336</v>
      </c>
      <c r="P364" s="445" t="s">
        <v>336</v>
      </c>
      <c r="Q364" s="445" t="s">
        <v>336</v>
      </c>
      <c r="R364" s="445" t="s">
        <v>336</v>
      </c>
      <c r="S364" s="445" t="s">
        <v>336</v>
      </c>
      <c r="T364" s="445" t="s">
        <v>336</v>
      </c>
      <c r="U364" s="445" t="s">
        <v>336</v>
      </c>
      <c r="V364" s="445" t="s">
        <v>336</v>
      </c>
      <c r="W364" s="445" t="s">
        <v>336</v>
      </c>
      <c r="X364" s="445" t="s">
        <v>336</v>
      </c>
    </row>
    <row r="365" spans="1:24" hidden="1" x14ac:dyDescent="0.2">
      <c r="A365" s="20" t="s">
        <v>93</v>
      </c>
      <c r="B365" s="19"/>
      <c r="C365" s="19"/>
      <c r="D365" s="19"/>
      <c r="E365" s="19"/>
      <c r="F365" s="19"/>
      <c r="G365" s="19"/>
      <c r="H365" s="19"/>
      <c r="I365" s="19"/>
      <c r="J365" s="19"/>
      <c r="K365" s="19"/>
      <c r="L365" s="19"/>
      <c r="M365" s="19"/>
      <c r="N365" s="19"/>
      <c r="O365" s="19"/>
    </row>
    <row r="366" spans="1:24" ht="13.5" hidden="1" thickBot="1" x14ac:dyDescent="0.25">
      <c r="A366" s="20" t="s">
        <v>93</v>
      </c>
      <c r="B366" s="19"/>
      <c r="C366" s="19"/>
      <c r="D366" s="64" t="s">
        <v>337</v>
      </c>
      <c r="E366" s="19"/>
      <c r="F366" s="19"/>
      <c r="G366" s="19"/>
      <c r="H366" s="19"/>
      <c r="I366" s="19" t="s">
        <v>147</v>
      </c>
      <c r="J366" s="19"/>
      <c r="K366" s="19"/>
      <c r="L366" s="19"/>
      <c r="M366" s="19"/>
      <c r="N366" s="19"/>
      <c r="O366" s="19"/>
    </row>
    <row r="367" spans="1:24" hidden="1" x14ac:dyDescent="0.2">
      <c r="A367" s="20" t="s">
        <v>93</v>
      </c>
      <c r="B367" s="19"/>
      <c r="C367" s="19"/>
      <c r="D367" s="64"/>
      <c r="E367" s="180" t="s">
        <v>227</v>
      </c>
      <c r="F367" s="84"/>
      <c r="G367" s="84"/>
      <c r="H367" s="84"/>
      <c r="I367" s="84"/>
      <c r="J367" s="84"/>
      <c r="K367" s="84"/>
      <c r="L367" s="84"/>
      <c r="M367" s="84"/>
      <c r="N367" s="86"/>
      <c r="O367" s="19"/>
    </row>
    <row r="368" spans="1:24" hidden="1" x14ac:dyDescent="0.2">
      <c r="A368" s="20" t="s">
        <v>93</v>
      </c>
      <c r="B368" s="19"/>
      <c r="C368" s="19"/>
      <c r="D368" s="19"/>
      <c r="E368" s="119" t="s">
        <v>340</v>
      </c>
      <c r="F368" s="41"/>
      <c r="G368" s="41"/>
      <c r="H368" s="41"/>
      <c r="I368" s="170">
        <v>1</v>
      </c>
      <c r="J368" s="170">
        <v>2</v>
      </c>
      <c r="K368" s="170">
        <v>3</v>
      </c>
      <c r="L368" s="170">
        <v>4</v>
      </c>
      <c r="M368" s="170">
        <v>5</v>
      </c>
      <c r="N368" s="173"/>
      <c r="O368" s="19"/>
    </row>
    <row r="369" spans="1:15" hidden="1" x14ac:dyDescent="0.2">
      <c r="A369" s="20" t="s">
        <v>93</v>
      </c>
      <c r="B369" s="19"/>
      <c r="C369" s="19"/>
      <c r="D369" s="19"/>
      <c r="E369" s="174" t="s">
        <v>457</v>
      </c>
      <c r="F369" s="41"/>
      <c r="G369" s="41"/>
      <c r="H369" s="41"/>
      <c r="I369" s="170">
        <f>INDEX(EUconst_ReportingYears,I368)</f>
        <v>2014</v>
      </c>
      <c r="J369" s="170">
        <f>INDEX(EUconst_ReportingYears,J368)</f>
        <v>2015</v>
      </c>
      <c r="K369" s="170">
        <f>INDEX(EUconst_ReportingYears,K368)</f>
        <v>2016</v>
      </c>
      <c r="L369" s="170">
        <f>INDEX(EUconst_ReportingYears,L368)</f>
        <v>2017</v>
      </c>
      <c r="M369" s="170">
        <f>INDEX(EUconst_ReportingYears,M368)</f>
        <v>2018</v>
      </c>
      <c r="N369" s="173"/>
      <c r="O369" s="19"/>
    </row>
    <row r="370" spans="1:15" hidden="1" x14ac:dyDescent="0.2">
      <c r="A370" s="20" t="s">
        <v>93</v>
      </c>
      <c r="B370" s="19"/>
      <c r="C370" s="19"/>
      <c r="D370" s="19"/>
      <c r="E370" s="174" t="s">
        <v>456</v>
      </c>
      <c r="F370" s="171"/>
      <c r="G370" s="171"/>
      <c r="H370" s="171"/>
      <c r="I370" s="172">
        <f>IF(CNTR_BaselinePeriod=EUconst_NA,I369,INDEX(EUconst_ReportingYears,I368)+(CNTR_BaselinePeriod-1)*5)</f>
        <v>2019</v>
      </c>
      <c r="J370" s="172">
        <f>IF(CNTR_BaselinePeriod=EUconst_NA,J369,INDEX(EUconst_ReportingYears,J368)+(CNTR_BaselinePeriod-1)*5)</f>
        <v>2020</v>
      </c>
      <c r="K370" s="172">
        <f>IF(CNTR_BaselinePeriod=EUconst_NA,K369,INDEX(EUconst_ReportingYears,K368)+(CNTR_BaselinePeriod-1)*5)</f>
        <v>2021</v>
      </c>
      <c r="L370" s="172">
        <f>IF(CNTR_BaselinePeriod=EUconst_NA,L369,INDEX(EUconst_ReportingYears,L368)+(CNTR_BaselinePeriod-1)*5)</f>
        <v>2022</v>
      </c>
      <c r="M370" s="172">
        <f>IF(CNTR_BaselinePeriod=EUconst_NA,M369,INDEX(EUconst_ReportingYears,M368)+(CNTR_BaselinePeriod-1)*5)</f>
        <v>2023</v>
      </c>
      <c r="N370" s="175"/>
      <c r="O370" s="19"/>
    </row>
    <row r="371" spans="1:15" hidden="1" x14ac:dyDescent="0.2">
      <c r="A371" s="20" t="s">
        <v>93</v>
      </c>
      <c r="B371" s="19"/>
      <c r="C371" s="19"/>
      <c r="D371" s="19"/>
      <c r="E371" s="174" t="s">
        <v>226</v>
      </c>
      <c r="F371" s="171"/>
      <c r="G371" s="171"/>
      <c r="H371" s="171"/>
      <c r="I371" s="172">
        <v>1</v>
      </c>
      <c r="J371" s="172">
        <v>1</v>
      </c>
      <c r="K371" s="172">
        <v>1</v>
      </c>
      <c r="L371" s="172">
        <v>1</v>
      </c>
      <c r="M371" s="172">
        <v>1</v>
      </c>
      <c r="N371" s="175"/>
      <c r="O371" s="19"/>
    </row>
    <row r="372" spans="1:15" hidden="1" x14ac:dyDescent="0.2">
      <c r="A372" s="20" t="s">
        <v>93</v>
      </c>
      <c r="B372" s="19"/>
      <c r="C372" s="19"/>
      <c r="D372" s="19"/>
      <c r="E372" s="174" t="s">
        <v>224</v>
      </c>
      <c r="F372" s="171"/>
      <c r="G372" s="171"/>
      <c r="H372" s="171"/>
      <c r="I372" s="297" t="b">
        <v>1</v>
      </c>
      <c r="J372" s="297" t="b">
        <v>1</v>
      </c>
      <c r="K372" s="297" t="b">
        <v>1</v>
      </c>
      <c r="L372" s="297" t="b">
        <v>1</v>
      </c>
      <c r="M372" s="297" t="b">
        <v>1</v>
      </c>
      <c r="N372" s="298"/>
      <c r="O372" s="19"/>
    </row>
    <row r="373" spans="1:15" ht="13.5" hidden="1" thickBot="1" x14ac:dyDescent="0.25">
      <c r="A373" s="20" t="s">
        <v>93</v>
      </c>
      <c r="B373" s="19"/>
      <c r="C373" s="19"/>
      <c r="D373" s="19"/>
      <c r="E373" s="177" t="s">
        <v>225</v>
      </c>
      <c r="F373" s="178"/>
      <c r="G373" s="178"/>
      <c r="H373" s="178"/>
      <c r="I373" s="299" t="b">
        <f>IF(ISBLANK(INDEX(CNTR_BaslineYearRelevant,I368)),FALSE,INDEX(CNTR_BaslineYearRelevant,I368))</f>
        <v>0</v>
      </c>
      <c r="J373" s="299" t="b">
        <f>IF(ISBLANK(INDEX(CNTR_BaslineYearRelevant,J368)),FALSE,INDEX(CNTR_BaslineYearRelevant,J368))</f>
        <v>0</v>
      </c>
      <c r="K373" s="299" t="b">
        <f>IF(ISBLANK(INDEX(CNTR_BaslineYearRelevant,K368)),FALSE,INDEX(CNTR_BaslineYearRelevant,K368))</f>
        <v>0</v>
      </c>
      <c r="L373" s="299" t="b">
        <f>IF(ISBLANK(INDEX(CNTR_BaslineYearRelevant,L368)),FALSE,INDEX(CNTR_BaslineYearRelevant,L368))</f>
        <v>0</v>
      </c>
      <c r="M373" s="299" t="b">
        <f>IF(ISBLANK(INDEX(CNTR_BaslineYearRelevant,M368)),FALSE,INDEX(CNTR_BaslineYearRelevant,M368))</f>
        <v>0</v>
      </c>
      <c r="N373" s="300"/>
      <c r="O373" s="19"/>
    </row>
    <row r="374" spans="1:15" ht="13.5" hidden="1" thickBot="1" x14ac:dyDescent="0.25">
      <c r="A374" s="20" t="s">
        <v>93</v>
      </c>
      <c r="B374" s="19"/>
      <c r="C374" s="19"/>
      <c r="D374" s="19"/>
      <c r="E374" s="19"/>
      <c r="F374" s="19"/>
      <c r="G374" s="19"/>
      <c r="H374" s="19"/>
      <c r="I374" s="64"/>
      <c r="J374" s="64"/>
      <c r="K374" s="64"/>
      <c r="L374" s="64"/>
      <c r="M374" s="64"/>
      <c r="N374" s="64"/>
      <c r="O374" s="19"/>
    </row>
    <row r="375" spans="1:15" ht="13.5" hidden="1" thickBot="1" x14ac:dyDescent="0.25">
      <c r="A375" s="20" t="s">
        <v>93</v>
      </c>
      <c r="B375" s="19"/>
      <c r="C375" s="19"/>
      <c r="D375" s="19"/>
      <c r="E375" s="64" t="s">
        <v>314</v>
      </c>
      <c r="F375" s="19"/>
      <c r="G375" s="401" t="b">
        <f>0&lt;(COUNTA(J12,J15,J18,J20,J25,J34,J37,J38,J41,J42,J47,J50,J58,J59,J60,J61,J62,J63,J64,J65)+COUNTA(J69,J70,J71,J78,J79,J80,J92,J93,J94,J95,J96,J100,J101,J102,J106,J108,J107)+COUNTA(F116,F117,F118,F119,F120,F121,L129,M141,M143,M153,M155))</f>
        <v>0</v>
      </c>
      <c r="H375" s="19" t="s">
        <v>315</v>
      </c>
      <c r="I375" s="64"/>
      <c r="J375" s="64"/>
      <c r="K375" s="64"/>
      <c r="L375" s="64"/>
      <c r="M375" s="64"/>
      <c r="N375" s="64"/>
      <c r="O375" s="19"/>
    </row>
    <row r="376" spans="1:15" hidden="1" x14ac:dyDescent="0.2">
      <c r="A376" s="20" t="s">
        <v>93</v>
      </c>
      <c r="B376" s="19"/>
      <c r="C376" s="19"/>
      <c r="D376" s="19"/>
      <c r="E376" s="19"/>
      <c r="F376" s="19"/>
      <c r="G376" s="19"/>
      <c r="H376" s="19"/>
      <c r="I376" s="64"/>
      <c r="J376" s="64"/>
      <c r="K376" s="64"/>
      <c r="L376" s="64"/>
      <c r="M376" s="64"/>
      <c r="N376" s="64"/>
      <c r="O376" s="19"/>
    </row>
    <row r="377" spans="1:15" ht="13.5" hidden="1" thickBot="1" x14ac:dyDescent="0.25">
      <c r="A377" s="20" t="s">
        <v>93</v>
      </c>
      <c r="B377" s="19"/>
      <c r="C377" s="19"/>
      <c r="D377" s="19"/>
      <c r="E377" s="64" t="s">
        <v>221</v>
      </c>
      <c r="F377" s="19"/>
      <c r="G377" s="19"/>
      <c r="H377" s="19"/>
      <c r="I377" s="19"/>
      <c r="J377" s="19"/>
      <c r="K377" s="19"/>
      <c r="L377" s="19"/>
      <c r="M377" s="19"/>
      <c r="N377" s="19"/>
      <c r="O377" s="19"/>
    </row>
    <row r="378" spans="1:15" hidden="1" x14ac:dyDescent="0.2">
      <c r="A378" s="20" t="s">
        <v>93</v>
      </c>
      <c r="B378" s="19"/>
      <c r="C378" s="19"/>
      <c r="D378" s="19"/>
      <c r="E378" s="83"/>
      <c r="F378" s="84" t="str">
        <f>Translations!$B$231</f>
        <v>Apakšiekārtas veids</v>
      </c>
      <c r="G378" s="84"/>
      <c r="H378" s="85" t="s">
        <v>243</v>
      </c>
      <c r="I378" s="409" t="s">
        <v>31</v>
      </c>
      <c r="J378" s="841" t="s">
        <v>573</v>
      </c>
      <c r="K378" s="575" t="s">
        <v>574</v>
      </c>
      <c r="L378" s="86" t="str">
        <f>Translations!$B$223</f>
        <v>Pakļauta OEP?</v>
      </c>
      <c r="M378" s="86" t="s">
        <v>362</v>
      </c>
      <c r="N378" s="19"/>
      <c r="O378" s="19"/>
    </row>
    <row r="379" spans="1:15" hidden="1" x14ac:dyDescent="0.2">
      <c r="A379" s="20" t="s">
        <v>93</v>
      </c>
      <c r="B379" s="19"/>
      <c r="C379" s="19"/>
      <c r="D379" s="19"/>
      <c r="E379" s="87">
        <v>1</v>
      </c>
      <c r="F379" s="909" t="str">
        <f t="shared" ref="F379:F394" si="20">IF($E379&gt;MAX($Q$270:$Q$304),EUconst_NA,INDEX(E$270:E$304,MATCH($E379,$Q$270:$Q$304,0)))</f>
        <v>NA</v>
      </c>
      <c r="G379" s="80"/>
      <c r="H379" s="78" t="b">
        <f t="shared" ref="H379:H394" si="21">(E379&lt;=MAX($Q$270:$Q$279))</f>
        <v>0</v>
      </c>
      <c r="I379" s="910" t="str">
        <f t="shared" ref="I379:I394" si="22">IF(H379,INDEX(EUconst_BMlistMainNumberOfBM,MATCH(F379,EUconst_BMlistNames,0)),"")</f>
        <v/>
      </c>
      <c r="J379" s="915" t="str">
        <f t="shared" ref="J379:J394" si="23">IF($E379&gt;MAX($Q$270:$Q$304),EUconst_NA,IF(ISBLANK(INDEX(K$270:K$304,MATCH($E379,$Q$270:$Q$304,0))),0,INDEX(K$270:K$304,MATCH($E379,$Q$270:$Q$304,0))))</f>
        <v>NA</v>
      </c>
      <c r="K379" s="792" t="str">
        <f t="shared" ref="K379:K394" si="24">IF($E379&gt;MAX($Q$270:$Q$304),EUconst_NA,IF(ISBLANK(INDEX(U$270:U$304,MATCH($E379,$Q$270:$Q$304,0))),FALSE,INDEX(U$270:U$304,MATCH($E379,$Q$270:$Q$304,0))))</f>
        <v>NA</v>
      </c>
      <c r="L379" s="88" t="str">
        <f t="shared" ref="L379:L394" si="25">IF($E379&gt;MAX($Q$270:$Q$304),EUconst_NA,INDEX(L$270:L$304,MATCH($E379,$Q$270:$Q$304,0)))</f>
        <v>NA</v>
      </c>
      <c r="M379" s="406" t="str">
        <f t="shared" ref="M379:M394" si="26">IF($E379&gt;MAX($Q$270:$Q$304),EUconst_NA,INDEX(R$270:R$304,MATCH($E379,$Q$270:$Q$304,0)))</f>
        <v>NA</v>
      </c>
      <c r="N379" s="19"/>
      <c r="O379" s="19"/>
    </row>
    <row r="380" spans="1:15" hidden="1" x14ac:dyDescent="0.2">
      <c r="A380" s="20" t="s">
        <v>93</v>
      </c>
      <c r="B380" s="19"/>
      <c r="C380" s="19"/>
      <c r="D380" s="19"/>
      <c r="E380" s="89">
        <f>E379+1</f>
        <v>2</v>
      </c>
      <c r="F380" s="911" t="str">
        <f t="shared" si="20"/>
        <v>NA</v>
      </c>
      <c r="G380" s="81"/>
      <c r="H380" s="79" t="b">
        <f t="shared" si="21"/>
        <v>0</v>
      </c>
      <c r="I380" s="912" t="str">
        <f t="shared" si="22"/>
        <v/>
      </c>
      <c r="J380" s="916" t="str">
        <f t="shared" si="23"/>
        <v>NA</v>
      </c>
      <c r="K380" s="793" t="str">
        <f t="shared" si="24"/>
        <v>NA</v>
      </c>
      <c r="L380" s="90" t="str">
        <f t="shared" si="25"/>
        <v>NA</v>
      </c>
      <c r="M380" s="407" t="str">
        <f t="shared" si="26"/>
        <v>NA</v>
      </c>
      <c r="N380" s="19"/>
      <c r="O380" s="19"/>
    </row>
    <row r="381" spans="1:15" hidden="1" x14ac:dyDescent="0.2">
      <c r="A381" s="20" t="s">
        <v>93</v>
      </c>
      <c r="B381" s="19"/>
      <c r="C381" s="19"/>
      <c r="D381" s="19"/>
      <c r="E381" s="89">
        <f t="shared" ref="E381:E394" si="27">E380+1</f>
        <v>3</v>
      </c>
      <c r="F381" s="911" t="str">
        <f t="shared" si="20"/>
        <v>NA</v>
      </c>
      <c r="G381" s="81"/>
      <c r="H381" s="79" t="b">
        <f t="shared" si="21"/>
        <v>0</v>
      </c>
      <c r="I381" s="912" t="str">
        <f t="shared" si="22"/>
        <v/>
      </c>
      <c r="J381" s="916" t="str">
        <f t="shared" si="23"/>
        <v>NA</v>
      </c>
      <c r="K381" s="793" t="str">
        <f t="shared" si="24"/>
        <v>NA</v>
      </c>
      <c r="L381" s="90" t="str">
        <f t="shared" si="25"/>
        <v>NA</v>
      </c>
      <c r="M381" s="407" t="str">
        <f t="shared" si="26"/>
        <v>NA</v>
      </c>
      <c r="N381" s="19"/>
      <c r="O381" s="19"/>
    </row>
    <row r="382" spans="1:15" hidden="1" x14ac:dyDescent="0.2">
      <c r="A382" s="20" t="s">
        <v>93</v>
      </c>
      <c r="B382" s="19"/>
      <c r="C382" s="19"/>
      <c r="D382" s="19"/>
      <c r="E382" s="89">
        <f t="shared" si="27"/>
        <v>4</v>
      </c>
      <c r="F382" s="911" t="str">
        <f t="shared" si="20"/>
        <v>NA</v>
      </c>
      <c r="G382" s="81"/>
      <c r="H382" s="79" t="b">
        <f t="shared" si="21"/>
        <v>0</v>
      </c>
      <c r="I382" s="912" t="str">
        <f t="shared" si="22"/>
        <v/>
      </c>
      <c r="J382" s="916" t="str">
        <f t="shared" si="23"/>
        <v>NA</v>
      </c>
      <c r="K382" s="793" t="str">
        <f t="shared" si="24"/>
        <v>NA</v>
      </c>
      <c r="L382" s="90" t="str">
        <f t="shared" si="25"/>
        <v>NA</v>
      </c>
      <c r="M382" s="407" t="str">
        <f t="shared" si="26"/>
        <v>NA</v>
      </c>
      <c r="N382" s="19"/>
      <c r="O382" s="19"/>
    </row>
    <row r="383" spans="1:15" hidden="1" x14ac:dyDescent="0.2">
      <c r="A383" s="20" t="s">
        <v>93</v>
      </c>
      <c r="B383" s="19"/>
      <c r="C383" s="19"/>
      <c r="D383" s="19"/>
      <c r="E383" s="89">
        <f t="shared" si="27"/>
        <v>5</v>
      </c>
      <c r="F383" s="911" t="str">
        <f t="shared" si="20"/>
        <v>NA</v>
      </c>
      <c r="G383" s="81"/>
      <c r="H383" s="79" t="b">
        <f t="shared" si="21"/>
        <v>0</v>
      </c>
      <c r="I383" s="912" t="str">
        <f t="shared" si="22"/>
        <v/>
      </c>
      <c r="J383" s="916" t="str">
        <f t="shared" si="23"/>
        <v>NA</v>
      </c>
      <c r="K383" s="793" t="str">
        <f t="shared" si="24"/>
        <v>NA</v>
      </c>
      <c r="L383" s="90" t="str">
        <f t="shared" si="25"/>
        <v>NA</v>
      </c>
      <c r="M383" s="407" t="str">
        <f t="shared" si="26"/>
        <v>NA</v>
      </c>
      <c r="N383" s="19"/>
      <c r="O383" s="19"/>
    </row>
    <row r="384" spans="1:15" hidden="1" x14ac:dyDescent="0.2">
      <c r="A384" s="20" t="s">
        <v>93</v>
      </c>
      <c r="B384" s="19"/>
      <c r="C384" s="19"/>
      <c r="D384" s="19"/>
      <c r="E384" s="89">
        <f t="shared" si="27"/>
        <v>6</v>
      </c>
      <c r="F384" s="911" t="str">
        <f t="shared" si="20"/>
        <v>NA</v>
      </c>
      <c r="G384" s="81"/>
      <c r="H384" s="79" t="b">
        <f t="shared" si="21"/>
        <v>0</v>
      </c>
      <c r="I384" s="912" t="str">
        <f t="shared" si="22"/>
        <v/>
      </c>
      <c r="J384" s="916" t="str">
        <f t="shared" si="23"/>
        <v>NA</v>
      </c>
      <c r="K384" s="793" t="str">
        <f t="shared" si="24"/>
        <v>NA</v>
      </c>
      <c r="L384" s="90" t="str">
        <f t="shared" si="25"/>
        <v>NA</v>
      </c>
      <c r="M384" s="407" t="str">
        <f t="shared" si="26"/>
        <v>NA</v>
      </c>
      <c r="N384" s="19"/>
      <c r="O384" s="19"/>
    </row>
    <row r="385" spans="1:15" hidden="1" x14ac:dyDescent="0.2">
      <c r="A385" s="20" t="s">
        <v>93</v>
      </c>
      <c r="B385" s="19"/>
      <c r="C385" s="19"/>
      <c r="D385" s="19"/>
      <c r="E385" s="89">
        <f t="shared" si="27"/>
        <v>7</v>
      </c>
      <c r="F385" s="911" t="str">
        <f t="shared" si="20"/>
        <v>NA</v>
      </c>
      <c r="G385" s="81"/>
      <c r="H385" s="79" t="b">
        <f t="shared" si="21"/>
        <v>0</v>
      </c>
      <c r="I385" s="912" t="str">
        <f t="shared" si="22"/>
        <v/>
      </c>
      <c r="J385" s="916" t="str">
        <f t="shared" si="23"/>
        <v>NA</v>
      </c>
      <c r="K385" s="793" t="str">
        <f t="shared" si="24"/>
        <v>NA</v>
      </c>
      <c r="L385" s="90" t="str">
        <f t="shared" si="25"/>
        <v>NA</v>
      </c>
      <c r="M385" s="407" t="str">
        <f t="shared" si="26"/>
        <v>NA</v>
      </c>
      <c r="N385" s="19"/>
      <c r="O385" s="19"/>
    </row>
    <row r="386" spans="1:15" hidden="1" x14ac:dyDescent="0.2">
      <c r="A386" s="20" t="s">
        <v>93</v>
      </c>
      <c r="B386" s="19"/>
      <c r="C386" s="19"/>
      <c r="D386" s="19"/>
      <c r="E386" s="89">
        <f t="shared" si="27"/>
        <v>8</v>
      </c>
      <c r="F386" s="911" t="str">
        <f t="shared" si="20"/>
        <v>NA</v>
      </c>
      <c r="G386" s="81"/>
      <c r="H386" s="79" t="b">
        <f t="shared" si="21"/>
        <v>0</v>
      </c>
      <c r="I386" s="912" t="str">
        <f t="shared" si="22"/>
        <v/>
      </c>
      <c r="J386" s="916" t="str">
        <f t="shared" si="23"/>
        <v>NA</v>
      </c>
      <c r="K386" s="793" t="str">
        <f t="shared" si="24"/>
        <v>NA</v>
      </c>
      <c r="L386" s="90" t="str">
        <f t="shared" si="25"/>
        <v>NA</v>
      </c>
      <c r="M386" s="407" t="str">
        <f t="shared" si="26"/>
        <v>NA</v>
      </c>
      <c r="N386" s="19"/>
      <c r="O386" s="19"/>
    </row>
    <row r="387" spans="1:15" hidden="1" x14ac:dyDescent="0.2">
      <c r="A387" s="20" t="s">
        <v>93</v>
      </c>
      <c r="B387" s="19"/>
      <c r="C387" s="19"/>
      <c r="D387" s="19"/>
      <c r="E387" s="89">
        <f t="shared" si="27"/>
        <v>9</v>
      </c>
      <c r="F387" s="911" t="str">
        <f t="shared" si="20"/>
        <v>NA</v>
      </c>
      <c r="G387" s="81"/>
      <c r="H387" s="79" t="b">
        <f t="shared" si="21"/>
        <v>0</v>
      </c>
      <c r="I387" s="912" t="str">
        <f t="shared" si="22"/>
        <v/>
      </c>
      <c r="J387" s="916" t="str">
        <f t="shared" si="23"/>
        <v>NA</v>
      </c>
      <c r="K387" s="793" t="str">
        <f t="shared" si="24"/>
        <v>NA</v>
      </c>
      <c r="L387" s="90" t="str">
        <f t="shared" si="25"/>
        <v>NA</v>
      </c>
      <c r="M387" s="407" t="str">
        <f t="shared" si="26"/>
        <v>NA</v>
      </c>
      <c r="N387" s="19"/>
      <c r="O387" s="19"/>
    </row>
    <row r="388" spans="1:15" hidden="1" x14ac:dyDescent="0.2">
      <c r="A388" s="20" t="s">
        <v>93</v>
      </c>
      <c r="B388" s="19"/>
      <c r="C388" s="19"/>
      <c r="D388" s="19"/>
      <c r="E388" s="89">
        <f t="shared" si="27"/>
        <v>10</v>
      </c>
      <c r="F388" s="911" t="str">
        <f t="shared" si="20"/>
        <v>NA</v>
      </c>
      <c r="G388" s="81"/>
      <c r="H388" s="79" t="b">
        <f t="shared" si="21"/>
        <v>0</v>
      </c>
      <c r="I388" s="912" t="str">
        <f t="shared" si="22"/>
        <v/>
      </c>
      <c r="J388" s="916" t="str">
        <f t="shared" si="23"/>
        <v>NA</v>
      </c>
      <c r="K388" s="793" t="str">
        <f t="shared" si="24"/>
        <v>NA</v>
      </c>
      <c r="L388" s="90" t="str">
        <f t="shared" si="25"/>
        <v>NA</v>
      </c>
      <c r="M388" s="407" t="str">
        <f t="shared" si="26"/>
        <v>NA</v>
      </c>
      <c r="N388" s="19"/>
      <c r="O388" s="19"/>
    </row>
    <row r="389" spans="1:15" hidden="1" x14ac:dyDescent="0.2">
      <c r="A389" s="20" t="s">
        <v>93</v>
      </c>
      <c r="B389" s="19"/>
      <c r="C389" s="19"/>
      <c r="D389" s="19"/>
      <c r="E389" s="89">
        <f t="shared" si="27"/>
        <v>11</v>
      </c>
      <c r="F389" s="911" t="str">
        <f t="shared" si="20"/>
        <v>NA</v>
      </c>
      <c r="G389" s="81"/>
      <c r="H389" s="79" t="b">
        <f t="shared" si="21"/>
        <v>0</v>
      </c>
      <c r="I389" s="912" t="str">
        <f t="shared" si="22"/>
        <v/>
      </c>
      <c r="J389" s="916" t="str">
        <f t="shared" si="23"/>
        <v>NA</v>
      </c>
      <c r="K389" s="793" t="str">
        <f t="shared" si="24"/>
        <v>NA</v>
      </c>
      <c r="L389" s="90" t="str">
        <f t="shared" si="25"/>
        <v>NA</v>
      </c>
      <c r="M389" s="407" t="str">
        <f t="shared" si="26"/>
        <v>NA</v>
      </c>
      <c r="N389" s="19"/>
      <c r="O389" s="19"/>
    </row>
    <row r="390" spans="1:15" hidden="1" x14ac:dyDescent="0.2">
      <c r="A390" s="20" t="s">
        <v>93</v>
      </c>
      <c r="B390" s="19"/>
      <c r="C390" s="19"/>
      <c r="D390" s="19"/>
      <c r="E390" s="89">
        <f t="shared" si="27"/>
        <v>12</v>
      </c>
      <c r="F390" s="911" t="str">
        <f t="shared" si="20"/>
        <v>NA</v>
      </c>
      <c r="G390" s="81"/>
      <c r="H390" s="79" t="b">
        <f t="shared" si="21"/>
        <v>0</v>
      </c>
      <c r="I390" s="912" t="str">
        <f t="shared" si="22"/>
        <v/>
      </c>
      <c r="J390" s="916" t="str">
        <f t="shared" si="23"/>
        <v>NA</v>
      </c>
      <c r="K390" s="793" t="str">
        <f t="shared" si="24"/>
        <v>NA</v>
      </c>
      <c r="L390" s="90" t="str">
        <f t="shared" si="25"/>
        <v>NA</v>
      </c>
      <c r="M390" s="407" t="str">
        <f t="shared" si="26"/>
        <v>NA</v>
      </c>
      <c r="N390" s="19"/>
      <c r="O390" s="19"/>
    </row>
    <row r="391" spans="1:15" hidden="1" x14ac:dyDescent="0.2">
      <c r="A391" s="20" t="s">
        <v>93</v>
      </c>
      <c r="B391" s="19"/>
      <c r="C391" s="19"/>
      <c r="D391" s="19"/>
      <c r="E391" s="89">
        <f t="shared" si="27"/>
        <v>13</v>
      </c>
      <c r="F391" s="911" t="str">
        <f t="shared" si="20"/>
        <v>NA</v>
      </c>
      <c r="G391" s="81"/>
      <c r="H391" s="79" t="b">
        <f t="shared" si="21"/>
        <v>0</v>
      </c>
      <c r="I391" s="912" t="str">
        <f t="shared" si="22"/>
        <v/>
      </c>
      <c r="J391" s="916" t="str">
        <f t="shared" si="23"/>
        <v>NA</v>
      </c>
      <c r="K391" s="793" t="str">
        <f t="shared" si="24"/>
        <v>NA</v>
      </c>
      <c r="L391" s="90" t="str">
        <f t="shared" si="25"/>
        <v>NA</v>
      </c>
      <c r="M391" s="407" t="str">
        <f t="shared" si="26"/>
        <v>NA</v>
      </c>
      <c r="N391" s="19"/>
      <c r="O391" s="19"/>
    </row>
    <row r="392" spans="1:15" hidden="1" x14ac:dyDescent="0.2">
      <c r="A392" s="20" t="s">
        <v>93</v>
      </c>
      <c r="B392" s="19"/>
      <c r="C392" s="19"/>
      <c r="D392" s="19"/>
      <c r="E392" s="89">
        <f t="shared" si="27"/>
        <v>14</v>
      </c>
      <c r="F392" s="911" t="str">
        <f t="shared" si="20"/>
        <v>NA</v>
      </c>
      <c r="G392" s="81"/>
      <c r="H392" s="79" t="b">
        <f t="shared" si="21"/>
        <v>0</v>
      </c>
      <c r="I392" s="912" t="str">
        <f t="shared" si="22"/>
        <v/>
      </c>
      <c r="J392" s="916" t="str">
        <f t="shared" si="23"/>
        <v>NA</v>
      </c>
      <c r="K392" s="793" t="str">
        <f t="shared" si="24"/>
        <v>NA</v>
      </c>
      <c r="L392" s="90" t="str">
        <f t="shared" si="25"/>
        <v>NA</v>
      </c>
      <c r="M392" s="407" t="str">
        <f t="shared" si="26"/>
        <v>NA</v>
      </c>
      <c r="N392" s="19"/>
      <c r="O392" s="19"/>
    </row>
    <row r="393" spans="1:15" hidden="1" x14ac:dyDescent="0.2">
      <c r="A393" s="20" t="s">
        <v>93</v>
      </c>
      <c r="B393" s="19"/>
      <c r="C393" s="19"/>
      <c r="D393" s="19"/>
      <c r="E393" s="89">
        <f t="shared" si="27"/>
        <v>15</v>
      </c>
      <c r="F393" s="911" t="str">
        <f t="shared" si="20"/>
        <v>NA</v>
      </c>
      <c r="G393" s="81"/>
      <c r="H393" s="79" t="b">
        <f t="shared" si="21"/>
        <v>0</v>
      </c>
      <c r="I393" s="912" t="str">
        <f t="shared" si="22"/>
        <v/>
      </c>
      <c r="J393" s="916" t="str">
        <f t="shared" si="23"/>
        <v>NA</v>
      </c>
      <c r="K393" s="793" t="str">
        <f t="shared" si="24"/>
        <v>NA</v>
      </c>
      <c r="L393" s="90" t="str">
        <f t="shared" si="25"/>
        <v>NA</v>
      </c>
      <c r="M393" s="407" t="str">
        <f t="shared" si="26"/>
        <v>NA</v>
      </c>
      <c r="N393" s="19"/>
      <c r="O393" s="19"/>
    </row>
    <row r="394" spans="1:15" ht="13.5" hidden="1" thickBot="1" x14ac:dyDescent="0.25">
      <c r="A394" s="20" t="s">
        <v>93</v>
      </c>
      <c r="B394" s="19"/>
      <c r="C394" s="19"/>
      <c r="D394" s="19"/>
      <c r="E394" s="91">
        <f t="shared" si="27"/>
        <v>16</v>
      </c>
      <c r="F394" s="913" t="str">
        <f t="shared" si="20"/>
        <v>NA</v>
      </c>
      <c r="G394" s="92"/>
      <c r="H394" s="112" t="b">
        <f t="shared" si="21"/>
        <v>0</v>
      </c>
      <c r="I394" s="914" t="str">
        <f t="shared" si="22"/>
        <v/>
      </c>
      <c r="J394" s="917" t="str">
        <f t="shared" si="23"/>
        <v>NA</v>
      </c>
      <c r="K394" s="794" t="str">
        <f t="shared" si="24"/>
        <v>NA</v>
      </c>
      <c r="L394" s="93" t="str">
        <f t="shared" si="25"/>
        <v>NA</v>
      </c>
      <c r="M394" s="408" t="str">
        <f t="shared" si="26"/>
        <v>NA</v>
      </c>
      <c r="N394" s="19"/>
      <c r="O394" s="19"/>
    </row>
    <row r="395" spans="1:15" hidden="1" x14ac:dyDescent="0.2">
      <c r="A395" s="20" t="s">
        <v>93</v>
      </c>
      <c r="B395" s="19"/>
      <c r="C395" s="19"/>
      <c r="D395" s="19"/>
      <c r="E395" s="19"/>
      <c r="F395" s="19"/>
      <c r="G395" s="19"/>
      <c r="H395" s="19"/>
      <c r="I395" s="19"/>
      <c r="J395" s="19"/>
      <c r="K395" s="19"/>
      <c r="L395" s="19"/>
      <c r="M395" s="19"/>
      <c r="N395" s="19"/>
      <c r="O395" s="19"/>
    </row>
    <row r="396" spans="1:15" hidden="1" x14ac:dyDescent="0.2">
      <c r="A396" s="20" t="s">
        <v>93</v>
      </c>
      <c r="B396" s="19"/>
      <c r="C396" s="19"/>
      <c r="D396" s="19"/>
      <c r="E396" s="19" t="s">
        <v>308</v>
      </c>
      <c r="F396" s="19"/>
      <c r="G396" s="19"/>
      <c r="H396" s="19"/>
      <c r="I396" s="19"/>
      <c r="J396" s="19"/>
      <c r="K396" s="19"/>
      <c r="L396" s="19"/>
      <c r="M396" s="19"/>
      <c r="N396" s="19"/>
      <c r="O396" s="19"/>
    </row>
    <row r="397" spans="1:15" hidden="1" x14ac:dyDescent="0.2">
      <c r="A397" s="20" t="s">
        <v>93</v>
      </c>
      <c r="B397" s="19"/>
      <c r="C397" s="19"/>
      <c r="D397" s="19"/>
      <c r="E397" s="19" t="s">
        <v>309</v>
      </c>
      <c r="F397" s="19"/>
      <c r="G397" s="67" t="b">
        <f>COUNTA(E270:E279,CNTR_FallBackSubInstRelevant)&gt;0</f>
        <v>0</v>
      </c>
      <c r="H397" s="19"/>
      <c r="I397" s="583" t="s">
        <v>582</v>
      </c>
      <c r="J397" s="67" t="b">
        <f>OR(CNTR_SubInstListIsProdBM)</f>
        <v>0</v>
      </c>
      <c r="K397" s="19"/>
      <c r="L397" s="19"/>
      <c r="M397" s="19"/>
      <c r="N397" s="19"/>
      <c r="O397" s="19"/>
    </row>
    <row r="398" spans="1:15" hidden="1" x14ac:dyDescent="0.2">
      <c r="A398" s="20" t="s">
        <v>93</v>
      </c>
      <c r="B398" s="19"/>
      <c r="C398" s="19"/>
      <c r="D398" s="19"/>
      <c r="E398" s="19"/>
      <c r="F398" s="19"/>
      <c r="G398" s="19"/>
      <c r="H398" s="19"/>
      <c r="I398" s="19"/>
      <c r="J398" s="19"/>
      <c r="K398" s="19"/>
      <c r="L398" s="19"/>
      <c r="M398" s="19"/>
      <c r="N398" s="19"/>
      <c r="O398" s="19"/>
    </row>
    <row r="399" spans="1:15" ht="13.5" hidden="1" thickBot="1" x14ac:dyDescent="0.25">
      <c r="A399" s="20" t="s">
        <v>93</v>
      </c>
      <c r="B399" s="19"/>
      <c r="C399" s="19"/>
      <c r="D399" s="19"/>
      <c r="E399" s="64" t="s">
        <v>239</v>
      </c>
      <c r="F399" s="19"/>
      <c r="G399" s="19"/>
      <c r="H399" s="19"/>
      <c r="I399" s="19"/>
      <c r="J399" s="19"/>
      <c r="K399" s="19"/>
      <c r="L399" s="19"/>
      <c r="M399" s="19"/>
      <c r="N399" s="19"/>
      <c r="O399" s="19"/>
    </row>
    <row r="400" spans="1:15" hidden="1" x14ac:dyDescent="0.2">
      <c r="A400" s="20" t="s">
        <v>93</v>
      </c>
      <c r="B400" s="19"/>
      <c r="C400" s="19"/>
      <c r="D400" s="19"/>
      <c r="E400" s="103"/>
      <c r="F400" s="101" t="s">
        <v>240</v>
      </c>
      <c r="G400" s="106" t="s">
        <v>241</v>
      </c>
      <c r="H400" s="101" t="s">
        <v>242</v>
      </c>
      <c r="I400" s="101"/>
      <c r="J400" s="791" t="s">
        <v>536</v>
      </c>
      <c r="K400" s="420" t="str">
        <f>Translations!$B$257</f>
        <v>Vienības veids</v>
      </c>
      <c r="L400" s="109"/>
      <c r="M400" s="101"/>
      <c r="N400" s="102"/>
      <c r="O400" s="19"/>
    </row>
    <row r="401" spans="1:15" hidden="1" x14ac:dyDescent="0.2">
      <c r="A401" s="20" t="s">
        <v>93</v>
      </c>
      <c r="B401" s="19"/>
      <c r="C401" s="19"/>
      <c r="D401" s="19"/>
      <c r="E401" s="119">
        <v>0</v>
      </c>
      <c r="F401" s="120"/>
      <c r="G401" s="121"/>
      <c r="H401" s="795" t="str">
        <f>EUconst_WithinInst</f>
        <v>Iekārtā</v>
      </c>
      <c r="I401" s="120"/>
      <c r="J401" s="41"/>
      <c r="K401" s="41"/>
      <c r="L401" s="114"/>
      <c r="M401" s="120"/>
      <c r="N401" s="122"/>
      <c r="O401" s="19"/>
    </row>
    <row r="402" spans="1:15" hidden="1" x14ac:dyDescent="0.2">
      <c r="A402" s="20" t="s">
        <v>93</v>
      </c>
      <c r="B402" s="19"/>
      <c r="C402" s="19"/>
      <c r="D402" s="19"/>
      <c r="E402" s="104">
        <v>1</v>
      </c>
      <c r="F402" s="96" t="str">
        <f t="shared" ref="F402:F411" si="28">IF(ISNUMBER(MATCH($E402,$Q$336:$Q$345,0)),MATCH($E402,$Q$336:$Q$345,0),EUconst_NA)</f>
        <v>NA</v>
      </c>
      <c r="G402" s="107" t="str">
        <f t="shared" ref="G402:G411" si="29">IF(AND(ISNUMBER($F402),NOT(ISBLANK(INDEX($K$336:$K$345,$F402)))),INDEX(EUconst_ConnectionShortTypes,MATCH(INDEX($K$336:$K$345,$F402),EUconst_ConnectionTypes,0)),EUconst_NA)</f>
        <v>NA</v>
      </c>
      <c r="H402" s="796" t="str">
        <f t="shared" ref="H402:H411" si="30">IF(NOT(ISNUMBER(F402)),EUconst_NA,CONCATENATE(INDEX($F$336:$F$345,$F402),": ",G402," ",IF(ISBLANK(INDEX($M$336:$M$345,$F402)),EUconst_NA,INDEX($M$336:$M$345,$F402))))</f>
        <v>NA</v>
      </c>
      <c r="I402" s="19"/>
      <c r="J402" s="798" t="str">
        <f>IF(ISNUMBER($F402),IF(ISBLANK(INDEX($F$351:$F$360,$F402)),"",INDEX($F$351:$F$360,$F402)),"")</f>
        <v/>
      </c>
      <c r="K402" s="798" t="str">
        <f>IF(ISNUMBER($F402),IF(ISBLANK(INDEX($I$336:$I$345,$F402)),"",INDEX($I$336:$I$345,$F402)),"")</f>
        <v/>
      </c>
      <c r="L402" s="110"/>
      <c r="M402" s="19"/>
      <c r="N402" s="97"/>
      <c r="O402" s="19"/>
    </row>
    <row r="403" spans="1:15" hidden="1" x14ac:dyDescent="0.2">
      <c r="A403" s="20" t="s">
        <v>93</v>
      </c>
      <c r="B403" s="19"/>
      <c r="C403" s="19"/>
      <c r="D403" s="19"/>
      <c r="E403" s="104">
        <f>E402+1</f>
        <v>2</v>
      </c>
      <c r="F403" s="96" t="str">
        <f t="shared" si="28"/>
        <v>NA</v>
      </c>
      <c r="G403" s="107" t="str">
        <f t="shared" si="29"/>
        <v>NA</v>
      </c>
      <c r="H403" s="796" t="str">
        <f t="shared" si="30"/>
        <v>NA</v>
      </c>
      <c r="I403" s="19"/>
      <c r="J403" s="798" t="str">
        <f t="shared" ref="J403:J411" si="31">IF(ISNUMBER($F403),IF(ISBLANK(INDEX($F$351:$F$360,$F403)),"",INDEX($F$351:$F$360,$F403)),"")</f>
        <v/>
      </c>
      <c r="K403" s="798" t="str">
        <f t="shared" ref="K403:K411" si="32">IF(ISNUMBER($F403),IF(ISBLANK(INDEX($I$336:$I$345,$F403)),"",INDEX($I$336:$I$345,$F403)),"")</f>
        <v/>
      </c>
      <c r="L403" s="110"/>
      <c r="M403" s="19"/>
      <c r="N403" s="97"/>
      <c r="O403" s="19"/>
    </row>
    <row r="404" spans="1:15" hidden="1" x14ac:dyDescent="0.2">
      <c r="A404" s="20" t="s">
        <v>93</v>
      </c>
      <c r="B404" s="19"/>
      <c r="C404" s="19"/>
      <c r="D404" s="19"/>
      <c r="E404" s="104">
        <f t="shared" ref="E404:E411" si="33">E403+1</f>
        <v>3</v>
      </c>
      <c r="F404" s="96" t="str">
        <f t="shared" si="28"/>
        <v>NA</v>
      </c>
      <c r="G404" s="107" t="str">
        <f t="shared" si="29"/>
        <v>NA</v>
      </c>
      <c r="H404" s="796" t="str">
        <f t="shared" si="30"/>
        <v>NA</v>
      </c>
      <c r="I404" s="19"/>
      <c r="J404" s="798" t="str">
        <f t="shared" si="31"/>
        <v/>
      </c>
      <c r="K404" s="798" t="str">
        <f t="shared" si="32"/>
        <v/>
      </c>
      <c r="L404" s="110"/>
      <c r="M404" s="19"/>
      <c r="N404" s="97"/>
      <c r="O404" s="19"/>
    </row>
    <row r="405" spans="1:15" hidden="1" x14ac:dyDescent="0.2">
      <c r="A405" s="20" t="s">
        <v>93</v>
      </c>
      <c r="B405" s="19"/>
      <c r="C405" s="19"/>
      <c r="D405" s="19"/>
      <c r="E405" s="104">
        <f t="shared" si="33"/>
        <v>4</v>
      </c>
      <c r="F405" s="96" t="str">
        <f t="shared" si="28"/>
        <v>NA</v>
      </c>
      <c r="G405" s="107" t="str">
        <f t="shared" si="29"/>
        <v>NA</v>
      </c>
      <c r="H405" s="796" t="str">
        <f t="shared" si="30"/>
        <v>NA</v>
      </c>
      <c r="I405" s="19"/>
      <c r="J405" s="798" t="str">
        <f t="shared" si="31"/>
        <v/>
      </c>
      <c r="K405" s="798" t="str">
        <f t="shared" si="32"/>
        <v/>
      </c>
      <c r="L405" s="110"/>
      <c r="M405" s="19"/>
      <c r="N405" s="97"/>
      <c r="O405" s="19"/>
    </row>
    <row r="406" spans="1:15" hidden="1" x14ac:dyDescent="0.2">
      <c r="A406" s="20" t="s">
        <v>93</v>
      </c>
      <c r="B406" s="19"/>
      <c r="C406" s="19"/>
      <c r="D406" s="19"/>
      <c r="E406" s="104">
        <f t="shared" si="33"/>
        <v>5</v>
      </c>
      <c r="F406" s="96" t="str">
        <f t="shared" si="28"/>
        <v>NA</v>
      </c>
      <c r="G406" s="107" t="str">
        <f t="shared" si="29"/>
        <v>NA</v>
      </c>
      <c r="H406" s="796" t="str">
        <f t="shared" si="30"/>
        <v>NA</v>
      </c>
      <c r="I406" s="19"/>
      <c r="J406" s="798" t="str">
        <f t="shared" si="31"/>
        <v/>
      </c>
      <c r="K406" s="798" t="str">
        <f t="shared" si="32"/>
        <v/>
      </c>
      <c r="L406" s="110"/>
      <c r="M406" s="19"/>
      <c r="N406" s="97"/>
      <c r="O406" s="19"/>
    </row>
    <row r="407" spans="1:15" hidden="1" x14ac:dyDescent="0.2">
      <c r="A407" s="20" t="s">
        <v>93</v>
      </c>
      <c r="B407" s="19"/>
      <c r="C407" s="19"/>
      <c r="D407" s="19"/>
      <c r="E407" s="104">
        <f t="shared" si="33"/>
        <v>6</v>
      </c>
      <c r="F407" s="96" t="str">
        <f t="shared" si="28"/>
        <v>NA</v>
      </c>
      <c r="G407" s="107" t="str">
        <f t="shared" si="29"/>
        <v>NA</v>
      </c>
      <c r="H407" s="796" t="str">
        <f t="shared" si="30"/>
        <v>NA</v>
      </c>
      <c r="I407" s="19"/>
      <c r="J407" s="798" t="str">
        <f t="shared" si="31"/>
        <v/>
      </c>
      <c r="K407" s="798" t="str">
        <f t="shared" si="32"/>
        <v/>
      </c>
      <c r="L407" s="110"/>
      <c r="M407" s="19"/>
      <c r="N407" s="97"/>
      <c r="O407" s="19"/>
    </row>
    <row r="408" spans="1:15" hidden="1" x14ac:dyDescent="0.2">
      <c r="A408" s="20" t="s">
        <v>93</v>
      </c>
      <c r="B408" s="19"/>
      <c r="C408" s="19"/>
      <c r="D408" s="19"/>
      <c r="E408" s="104">
        <f t="shared" si="33"/>
        <v>7</v>
      </c>
      <c r="F408" s="96" t="str">
        <f t="shared" si="28"/>
        <v>NA</v>
      </c>
      <c r="G408" s="107" t="str">
        <f t="shared" si="29"/>
        <v>NA</v>
      </c>
      <c r="H408" s="796" t="str">
        <f t="shared" si="30"/>
        <v>NA</v>
      </c>
      <c r="I408" s="19"/>
      <c r="J408" s="798" t="str">
        <f t="shared" si="31"/>
        <v/>
      </c>
      <c r="K408" s="798" t="str">
        <f t="shared" si="32"/>
        <v/>
      </c>
      <c r="L408" s="110"/>
      <c r="M408" s="19"/>
      <c r="N408" s="97"/>
      <c r="O408" s="19"/>
    </row>
    <row r="409" spans="1:15" hidden="1" x14ac:dyDescent="0.2">
      <c r="A409" s="20" t="s">
        <v>93</v>
      </c>
      <c r="B409" s="19"/>
      <c r="C409" s="19"/>
      <c r="D409" s="19"/>
      <c r="E409" s="104">
        <f t="shared" si="33"/>
        <v>8</v>
      </c>
      <c r="F409" s="96" t="str">
        <f t="shared" si="28"/>
        <v>NA</v>
      </c>
      <c r="G409" s="107" t="str">
        <f t="shared" si="29"/>
        <v>NA</v>
      </c>
      <c r="H409" s="796" t="str">
        <f t="shared" si="30"/>
        <v>NA</v>
      </c>
      <c r="I409" s="19"/>
      <c r="J409" s="798" t="str">
        <f t="shared" si="31"/>
        <v/>
      </c>
      <c r="K409" s="798" t="str">
        <f t="shared" si="32"/>
        <v/>
      </c>
      <c r="L409" s="110"/>
      <c r="M409" s="19"/>
      <c r="N409" s="97"/>
      <c r="O409" s="19"/>
    </row>
    <row r="410" spans="1:15" hidden="1" x14ac:dyDescent="0.2">
      <c r="A410" s="20" t="s">
        <v>93</v>
      </c>
      <c r="B410" s="19"/>
      <c r="C410" s="19"/>
      <c r="D410" s="19"/>
      <c r="E410" s="104">
        <f t="shared" si="33"/>
        <v>9</v>
      </c>
      <c r="F410" s="96" t="str">
        <f t="shared" si="28"/>
        <v>NA</v>
      </c>
      <c r="G410" s="107" t="str">
        <f t="shared" si="29"/>
        <v>NA</v>
      </c>
      <c r="H410" s="796" t="str">
        <f t="shared" si="30"/>
        <v>NA</v>
      </c>
      <c r="I410" s="19"/>
      <c r="J410" s="798" t="str">
        <f t="shared" si="31"/>
        <v/>
      </c>
      <c r="K410" s="798" t="str">
        <f t="shared" si="32"/>
        <v/>
      </c>
      <c r="L410" s="110"/>
      <c r="M410" s="19"/>
      <c r="N410" s="97"/>
      <c r="O410" s="19"/>
    </row>
    <row r="411" spans="1:15" ht="13.5" hidden="1" thickBot="1" x14ac:dyDescent="0.25">
      <c r="A411" s="20" t="s">
        <v>93</v>
      </c>
      <c r="B411" s="19"/>
      <c r="C411" s="19"/>
      <c r="D411" s="19"/>
      <c r="E411" s="105">
        <f t="shared" si="33"/>
        <v>10</v>
      </c>
      <c r="F411" s="98" t="str">
        <f t="shared" si="28"/>
        <v>NA</v>
      </c>
      <c r="G411" s="108" t="str">
        <f t="shared" si="29"/>
        <v>NA</v>
      </c>
      <c r="H411" s="797" t="str">
        <f t="shared" si="30"/>
        <v>NA</v>
      </c>
      <c r="I411" s="99"/>
      <c r="J411" s="799" t="str">
        <f t="shared" si="31"/>
        <v/>
      </c>
      <c r="K411" s="799" t="str">
        <f t="shared" si="32"/>
        <v/>
      </c>
      <c r="L411" s="111"/>
      <c r="M411" s="99"/>
      <c r="N411" s="100"/>
      <c r="O411" s="19"/>
    </row>
    <row r="412" spans="1:15" hidden="1" x14ac:dyDescent="0.2">
      <c r="A412" s="20" t="s">
        <v>93</v>
      </c>
      <c r="B412" s="19"/>
      <c r="C412" s="19"/>
      <c r="D412" s="19"/>
      <c r="E412" s="19"/>
      <c r="F412" s="19"/>
      <c r="G412" s="19"/>
      <c r="H412" s="19"/>
      <c r="I412" s="19"/>
      <c r="J412" s="19"/>
      <c r="K412" s="19"/>
      <c r="L412" s="19"/>
      <c r="M412" s="19"/>
      <c r="N412" s="19"/>
      <c r="O412" s="19"/>
    </row>
    <row r="413" spans="1:15" hidden="1" x14ac:dyDescent="0.2">
      <c r="A413" s="20" t="s">
        <v>93</v>
      </c>
      <c r="B413" s="19"/>
      <c r="C413" s="19"/>
      <c r="D413" s="19"/>
      <c r="E413" s="19" t="s">
        <v>310</v>
      </c>
      <c r="F413" s="19"/>
      <c r="G413" s="19"/>
      <c r="H413" s="19"/>
      <c r="I413" s="19"/>
      <c r="J413" s="19"/>
      <c r="K413" s="19"/>
      <c r="L413" s="19"/>
      <c r="M413" s="19"/>
      <c r="N413" s="19"/>
      <c r="O413" s="19"/>
    </row>
    <row r="414" spans="1:15" hidden="1" x14ac:dyDescent="0.2">
      <c r="A414" s="20" t="s">
        <v>93</v>
      </c>
      <c r="B414" s="19"/>
      <c r="C414" s="19"/>
      <c r="D414" s="19"/>
      <c r="E414" s="19" t="s">
        <v>311</v>
      </c>
      <c r="F414" s="19"/>
      <c r="G414" s="67" t="b">
        <f>COUNTA($F$336:$F$345)&gt;0</f>
        <v>0</v>
      </c>
      <c r="H414" s="19"/>
      <c r="I414" s="19"/>
      <c r="J414" s="19"/>
      <c r="K414" s="19"/>
      <c r="L414" s="19"/>
      <c r="M414" s="19"/>
      <c r="N414" s="19"/>
      <c r="O414" s="19"/>
    </row>
    <row r="415" spans="1:15" hidden="1" x14ac:dyDescent="0.2">
      <c r="A415" s="20" t="s">
        <v>93</v>
      </c>
      <c r="B415" s="19"/>
      <c r="C415" s="19"/>
      <c r="D415" s="19"/>
      <c r="E415" s="19"/>
      <c r="F415" s="19"/>
      <c r="G415" s="19"/>
      <c r="H415" s="19"/>
      <c r="I415" s="19"/>
      <c r="J415" s="19"/>
      <c r="K415" s="19"/>
      <c r="L415" s="19"/>
      <c r="M415" s="19"/>
      <c r="N415" s="19"/>
      <c r="O415" s="19"/>
    </row>
    <row r="416" spans="1:15" hidden="1" x14ac:dyDescent="0.2">
      <c r="A416" s="20" t="s">
        <v>93</v>
      </c>
      <c r="B416" s="19"/>
      <c r="C416" s="19"/>
      <c r="D416" s="19"/>
      <c r="E416" s="19"/>
      <c r="F416" s="19"/>
      <c r="G416" s="19"/>
      <c r="H416" s="19"/>
      <c r="I416" s="19"/>
      <c r="J416" s="19"/>
      <c r="K416" s="19"/>
      <c r="L416" s="19"/>
      <c r="M416" s="19"/>
      <c r="N416" s="19"/>
      <c r="O416" s="19"/>
    </row>
    <row r="417" spans="1:15" hidden="1" x14ac:dyDescent="0.2">
      <c r="A417" s="20" t="s">
        <v>93</v>
      </c>
      <c r="B417" s="19"/>
      <c r="C417" s="19"/>
      <c r="D417" s="19"/>
      <c r="E417" s="19" t="s">
        <v>312</v>
      </c>
      <c r="F417" s="19"/>
      <c r="G417" s="19"/>
      <c r="H417" s="19"/>
      <c r="I417" s="19"/>
      <c r="J417" s="19"/>
      <c r="K417" s="19"/>
      <c r="L417" s="19"/>
      <c r="M417" s="19"/>
      <c r="N417" s="19"/>
      <c r="O417" s="19"/>
    </row>
    <row r="418" spans="1:15" hidden="1" x14ac:dyDescent="0.2">
      <c r="A418" s="20" t="s">
        <v>93</v>
      </c>
      <c r="B418" s="19"/>
      <c r="C418" s="19"/>
      <c r="D418" s="19"/>
      <c r="E418" s="19"/>
      <c r="F418" s="19" t="s">
        <v>346</v>
      </c>
      <c r="G418" s="67" t="b">
        <f>AND(CNTR_HasEntries_A_I,COUNTIFS($P:$P,EUconst_CNTR_ConditionalityOK,$S:$S,TRUE)&gt;0)</f>
        <v>0</v>
      </c>
      <c r="H418" s="19" t="s">
        <v>352</v>
      </c>
      <c r="I418" s="19"/>
      <c r="J418" s="19"/>
      <c r="K418" s="19"/>
      <c r="L418" s="19"/>
      <c r="M418" s="19"/>
      <c r="N418" s="19"/>
      <c r="O418" s="19"/>
    </row>
    <row r="419" spans="1:15" hidden="1" x14ac:dyDescent="0.2">
      <c r="A419" s="20" t="s">
        <v>93</v>
      </c>
      <c r="B419" s="19"/>
      <c r="C419" s="19"/>
      <c r="D419" s="19"/>
      <c r="E419" s="19"/>
      <c r="F419" s="19" t="s">
        <v>347</v>
      </c>
      <c r="G419" s="67" t="b">
        <f>OR(I254&lt;&gt;"",J254&lt;&gt;"",K254&lt;&gt;"",L254&lt;&gt;"",M254&lt;&gt;"",L246&lt;&gt;"")</f>
        <v>0</v>
      </c>
      <c r="H419" s="19"/>
      <c r="I419" s="19"/>
      <c r="J419" s="19"/>
      <c r="K419" s="19"/>
      <c r="L419" s="19"/>
      <c r="M419" s="19"/>
      <c r="N419" s="19"/>
      <c r="O419" s="19"/>
    </row>
    <row r="420" spans="1:15" ht="13.5" hidden="1" thickBot="1" x14ac:dyDescent="0.25">
      <c r="A420" s="20" t="s">
        <v>93</v>
      </c>
      <c r="B420" s="19"/>
      <c r="C420" s="19"/>
      <c r="D420" s="19"/>
      <c r="E420" s="19"/>
      <c r="F420" s="19" t="s">
        <v>76</v>
      </c>
      <c r="G420" s="67" t="b">
        <f>OR(E280&lt;&gt;"",D282&lt;&gt;"",E305&lt;&gt;"",L305&lt;&gt;"")</f>
        <v>0</v>
      </c>
      <c r="H420" s="19"/>
      <c r="I420" s="19"/>
      <c r="J420" s="19"/>
      <c r="K420" s="19"/>
      <c r="L420" s="19"/>
      <c r="M420" s="19"/>
      <c r="N420" s="19"/>
      <c r="O420" s="19"/>
    </row>
    <row r="421" spans="1:15" ht="13.5" hidden="1" thickBot="1" x14ac:dyDescent="0.25">
      <c r="A421" s="20" t="s">
        <v>93</v>
      </c>
      <c r="B421" s="19"/>
      <c r="C421" s="19"/>
      <c r="D421" s="19"/>
      <c r="E421" s="19"/>
      <c r="F421" s="64" t="s">
        <v>313</v>
      </c>
      <c r="G421" s="286" t="b">
        <f>OR(G418:G420)</f>
        <v>0</v>
      </c>
      <c r="H421" s="19"/>
      <c r="I421" s="19"/>
      <c r="J421" s="19"/>
      <c r="K421" s="19"/>
      <c r="L421" s="19"/>
      <c r="M421" s="19"/>
      <c r="N421" s="19"/>
      <c r="O421" s="19"/>
    </row>
    <row r="422" spans="1:15" hidden="1" x14ac:dyDescent="0.2">
      <c r="A422" s="20" t="s">
        <v>93</v>
      </c>
    </row>
    <row r="423" spans="1:15" hidden="1" x14ac:dyDescent="0.2">
      <c r="A423" s="20" t="s">
        <v>93</v>
      </c>
    </row>
  </sheetData>
  <sheetCalcPr fullCalcOnLoad="1"/>
  <sheetProtection sheet="1" objects="1" scenarios="1" formatCells="0" formatColumns="0" formatRows="0"/>
  <mergeCells count="431">
    <mergeCell ref="E277:H277"/>
    <mergeCell ref="E267:N267"/>
    <mergeCell ref="E274:H274"/>
    <mergeCell ref="E260:N260"/>
    <mergeCell ref="E276:H276"/>
    <mergeCell ref="E249:N249"/>
    <mergeCell ref="E272:H272"/>
    <mergeCell ref="E275:H275"/>
    <mergeCell ref="E253:H253"/>
    <mergeCell ref="E261:N261"/>
    <mergeCell ref="J246:K246"/>
    <mergeCell ref="E243:N243"/>
    <mergeCell ref="E242:N242"/>
    <mergeCell ref="D256:N256"/>
    <mergeCell ref="M226:N226"/>
    <mergeCell ref="E232:L232"/>
    <mergeCell ref="M229:N229"/>
    <mergeCell ref="M232:N232"/>
    <mergeCell ref="E233:N233"/>
    <mergeCell ref="E250:N250"/>
    <mergeCell ref="D245:N245"/>
    <mergeCell ref="E246:I246"/>
    <mergeCell ref="D238:N238"/>
    <mergeCell ref="E236:N236"/>
    <mergeCell ref="F204:N204"/>
    <mergeCell ref="F203:N203"/>
    <mergeCell ref="E205:N205"/>
    <mergeCell ref="M213:N213"/>
    <mergeCell ref="F222:N222"/>
    <mergeCell ref="F223:N223"/>
    <mergeCell ref="F153:L153"/>
    <mergeCell ref="E186:N186"/>
    <mergeCell ref="E185:N185"/>
    <mergeCell ref="M192:N192"/>
    <mergeCell ref="E190:N190"/>
    <mergeCell ref="E192:L192"/>
    <mergeCell ref="E181:N181"/>
    <mergeCell ref="E180:N180"/>
    <mergeCell ref="D189:N189"/>
    <mergeCell ref="M145:N145"/>
    <mergeCell ref="F145:L145"/>
    <mergeCell ref="E164:I164"/>
    <mergeCell ref="E165:N165"/>
    <mergeCell ref="F157:L157"/>
    <mergeCell ref="E159:N159"/>
    <mergeCell ref="F150:N150"/>
    <mergeCell ref="E148:N148"/>
    <mergeCell ref="E160:N160"/>
    <mergeCell ref="M153:N153"/>
    <mergeCell ref="E184:N184"/>
    <mergeCell ref="E273:H273"/>
    <mergeCell ref="E270:H270"/>
    <mergeCell ref="E227:N227"/>
    <mergeCell ref="E271:H271"/>
    <mergeCell ref="E263:N263"/>
    <mergeCell ref="E207:F207"/>
    <mergeCell ref="G207:H207"/>
    <mergeCell ref="E247:N247"/>
    <mergeCell ref="K207:L207"/>
    <mergeCell ref="K338:L338"/>
    <mergeCell ref="F320:N320"/>
    <mergeCell ref="F321:N321"/>
    <mergeCell ref="K337:L337"/>
    <mergeCell ref="M338:N338"/>
    <mergeCell ref="F338:H338"/>
    <mergeCell ref="F333:N333"/>
    <mergeCell ref="E331:N331"/>
    <mergeCell ref="F324:N324"/>
    <mergeCell ref="F327:N327"/>
    <mergeCell ref="F318:N318"/>
    <mergeCell ref="E288:N288"/>
    <mergeCell ref="E279:H279"/>
    <mergeCell ref="F317:N317"/>
    <mergeCell ref="E316:N316"/>
    <mergeCell ref="F323:N323"/>
    <mergeCell ref="D307:N307"/>
    <mergeCell ref="E322:N322"/>
    <mergeCell ref="E303:I303"/>
    <mergeCell ref="E291:N291"/>
    <mergeCell ref="F337:H337"/>
    <mergeCell ref="I337:J337"/>
    <mergeCell ref="M336:N336"/>
    <mergeCell ref="F325:N325"/>
    <mergeCell ref="I336:J336"/>
    <mergeCell ref="M337:N337"/>
    <mergeCell ref="K336:L336"/>
    <mergeCell ref="M335:N335"/>
    <mergeCell ref="F335:H335"/>
    <mergeCell ref="F336:H336"/>
    <mergeCell ref="F332:N332"/>
    <mergeCell ref="F143:L143"/>
    <mergeCell ref="E326:N326"/>
    <mergeCell ref="M143:N143"/>
    <mergeCell ref="F155:L155"/>
    <mergeCell ref="E313:N313"/>
    <mergeCell ref="E315:N315"/>
    <mergeCell ref="F319:N319"/>
    <mergeCell ref="E311:N311"/>
    <mergeCell ref="F141:L141"/>
    <mergeCell ref="E312:N312"/>
    <mergeCell ref="E252:H252"/>
    <mergeCell ref="E292:N292"/>
    <mergeCell ref="G107:I107"/>
    <mergeCell ref="G108:I108"/>
    <mergeCell ref="E135:N135"/>
    <mergeCell ref="F116:L116"/>
    <mergeCell ref="E196:N196"/>
    <mergeCell ref="E226:L226"/>
    <mergeCell ref="F139:N139"/>
    <mergeCell ref="M141:N141"/>
    <mergeCell ref="G95:I95"/>
    <mergeCell ref="E131:K131"/>
    <mergeCell ref="D74:N74"/>
    <mergeCell ref="J72:N72"/>
    <mergeCell ref="G81:I81"/>
    <mergeCell ref="J81:N81"/>
    <mergeCell ref="E105:N105"/>
    <mergeCell ref="G106:I106"/>
    <mergeCell ref="J78:N78"/>
    <mergeCell ref="G72:I72"/>
    <mergeCell ref="E77:N77"/>
    <mergeCell ref="G71:I71"/>
    <mergeCell ref="E52:N52"/>
    <mergeCell ref="J63:N63"/>
    <mergeCell ref="J66:N66"/>
    <mergeCell ref="E75:N75"/>
    <mergeCell ref="J59:N59"/>
    <mergeCell ref="J60:N60"/>
    <mergeCell ref="F45:I45"/>
    <mergeCell ref="G78:I78"/>
    <mergeCell ref="E16:N16"/>
    <mergeCell ref="E31:N31"/>
    <mergeCell ref="E25:I25"/>
    <mergeCell ref="E29:I29"/>
    <mergeCell ref="F36:N36"/>
    <mergeCell ref="F34:I34"/>
    <mergeCell ref="E27:N27"/>
    <mergeCell ref="J69:N69"/>
    <mergeCell ref="J25:N25"/>
    <mergeCell ref="E32:N32"/>
    <mergeCell ref="J34:N34"/>
    <mergeCell ref="J15:N15"/>
    <mergeCell ref="J29:N29"/>
    <mergeCell ref="E21:N21"/>
    <mergeCell ref="E22:N22"/>
    <mergeCell ref="E18:I18"/>
    <mergeCell ref="E15:I15"/>
    <mergeCell ref="J20:N20"/>
    <mergeCell ref="J41:N41"/>
    <mergeCell ref="E20:I20"/>
    <mergeCell ref="E26:N26"/>
    <mergeCell ref="E33:N33"/>
    <mergeCell ref="F41:I41"/>
    <mergeCell ref="E53:N53"/>
    <mergeCell ref="F37:I37"/>
    <mergeCell ref="F42:I42"/>
    <mergeCell ref="J38:N38"/>
    <mergeCell ref="J42:N42"/>
    <mergeCell ref="M344:N344"/>
    <mergeCell ref="F339:H339"/>
    <mergeCell ref="M341:N341"/>
    <mergeCell ref="F340:H340"/>
    <mergeCell ref="I340:J340"/>
    <mergeCell ref="F343:H343"/>
    <mergeCell ref="I344:J344"/>
    <mergeCell ref="K344:L344"/>
    <mergeCell ref="I343:J343"/>
    <mergeCell ref="M342:N342"/>
    <mergeCell ref="M351:N351"/>
    <mergeCell ref="M345:N345"/>
    <mergeCell ref="E348:N348"/>
    <mergeCell ref="E347:N347"/>
    <mergeCell ref="I345:J345"/>
    <mergeCell ref="E349:N349"/>
    <mergeCell ref="K345:L345"/>
    <mergeCell ref="F345:H345"/>
    <mergeCell ref="M360:N360"/>
    <mergeCell ref="J353:L353"/>
    <mergeCell ref="M353:N353"/>
    <mergeCell ref="H356:I356"/>
    <mergeCell ref="J356:L356"/>
    <mergeCell ref="H355:I355"/>
    <mergeCell ref="H360:I360"/>
    <mergeCell ref="J354:L354"/>
    <mergeCell ref="H359:I359"/>
    <mergeCell ref="J359:L359"/>
    <mergeCell ref="M359:N359"/>
    <mergeCell ref="J352:L352"/>
    <mergeCell ref="J355:L355"/>
    <mergeCell ref="H353:I353"/>
    <mergeCell ref="H352:I352"/>
    <mergeCell ref="M352:N352"/>
    <mergeCell ref="M357:N357"/>
    <mergeCell ref="F360:G360"/>
    <mergeCell ref="J360:L360"/>
    <mergeCell ref="H351:I351"/>
    <mergeCell ref="J351:L351"/>
    <mergeCell ref="J350:L350"/>
    <mergeCell ref="H358:I358"/>
    <mergeCell ref="F359:G359"/>
    <mergeCell ref="H350:I350"/>
    <mergeCell ref="F358:G358"/>
    <mergeCell ref="J357:L357"/>
    <mergeCell ref="F355:G355"/>
    <mergeCell ref="F354:G354"/>
    <mergeCell ref="F353:G353"/>
    <mergeCell ref="M354:N354"/>
    <mergeCell ref="F350:G350"/>
    <mergeCell ref="M356:N356"/>
    <mergeCell ref="F356:G356"/>
    <mergeCell ref="F351:G351"/>
    <mergeCell ref="F352:G352"/>
    <mergeCell ref="M350:N350"/>
    <mergeCell ref="F344:H344"/>
    <mergeCell ref="F341:H341"/>
    <mergeCell ref="D362:N362"/>
    <mergeCell ref="M358:N358"/>
    <mergeCell ref="F357:G357"/>
    <mergeCell ref="H357:I357"/>
    <mergeCell ref="J358:L358"/>
    <mergeCell ref="H354:I354"/>
    <mergeCell ref="M355:N355"/>
    <mergeCell ref="F342:H342"/>
    <mergeCell ref="K343:L343"/>
    <mergeCell ref="I341:J341"/>
    <mergeCell ref="M343:N343"/>
    <mergeCell ref="I342:J342"/>
    <mergeCell ref="I339:J339"/>
    <mergeCell ref="K339:L339"/>
    <mergeCell ref="K340:L340"/>
    <mergeCell ref="M339:N339"/>
    <mergeCell ref="M340:N340"/>
    <mergeCell ref="K342:L342"/>
    <mergeCell ref="K341:L341"/>
    <mergeCell ref="K335:L335"/>
    <mergeCell ref="I335:J335"/>
    <mergeCell ref="F330:N330"/>
    <mergeCell ref="E123:N123"/>
    <mergeCell ref="E124:N124"/>
    <mergeCell ref="E126:N126"/>
    <mergeCell ref="F329:N329"/>
    <mergeCell ref="I338:J338"/>
    <mergeCell ref="F328:N328"/>
    <mergeCell ref="G94:I94"/>
    <mergeCell ref="D89:N89"/>
    <mergeCell ref="J86:N86"/>
    <mergeCell ref="G92:I92"/>
    <mergeCell ref="E91:N91"/>
    <mergeCell ref="G93:I93"/>
    <mergeCell ref="K4:L4"/>
    <mergeCell ref="D10:N10"/>
    <mergeCell ref="M4:N4"/>
    <mergeCell ref="D309:N309"/>
    <mergeCell ref="G87:I87"/>
    <mergeCell ref="J87:N87"/>
    <mergeCell ref="F121:L121"/>
    <mergeCell ref="B2:D4"/>
    <mergeCell ref="G3:H3"/>
    <mergeCell ref="G103:I103"/>
    <mergeCell ref="K3:L3"/>
    <mergeCell ref="G4:H4"/>
    <mergeCell ref="J85:N85"/>
    <mergeCell ref="J92:N92"/>
    <mergeCell ref="D6:N6"/>
    <mergeCell ref="E13:N13"/>
    <mergeCell ref="M3:N3"/>
    <mergeCell ref="E12:I12"/>
    <mergeCell ref="F38:I38"/>
    <mergeCell ref="I4:J4"/>
    <mergeCell ref="G2:H2"/>
    <mergeCell ref="I2:J2"/>
    <mergeCell ref="K2:L2"/>
    <mergeCell ref="E4:F4"/>
    <mergeCell ref="E23:N23"/>
    <mergeCell ref="J12:N12"/>
    <mergeCell ref="D8:N8"/>
    <mergeCell ref="M2:N2"/>
    <mergeCell ref="E3:F3"/>
    <mergeCell ref="I3:J3"/>
    <mergeCell ref="J37:N37"/>
    <mergeCell ref="G65:I65"/>
    <mergeCell ref="J61:N61"/>
    <mergeCell ref="J65:N65"/>
    <mergeCell ref="J62:N62"/>
    <mergeCell ref="G58:I58"/>
    <mergeCell ref="F40:N40"/>
    <mergeCell ref="E51:N51"/>
    <mergeCell ref="E54:N54"/>
    <mergeCell ref="G63:I63"/>
    <mergeCell ref="G62:I62"/>
    <mergeCell ref="E47:I47"/>
    <mergeCell ref="E48:N48"/>
    <mergeCell ref="E57:N57"/>
    <mergeCell ref="G59:I59"/>
    <mergeCell ref="G60:I60"/>
    <mergeCell ref="E83:N83"/>
    <mergeCell ref="J80:N80"/>
    <mergeCell ref="J71:N71"/>
    <mergeCell ref="J70:N70"/>
    <mergeCell ref="J79:N79"/>
    <mergeCell ref="J64:N64"/>
    <mergeCell ref="G64:I64"/>
    <mergeCell ref="G70:I70"/>
    <mergeCell ref="G79:I79"/>
    <mergeCell ref="G80:I80"/>
    <mergeCell ref="J95:N95"/>
    <mergeCell ref="E50:I50"/>
    <mergeCell ref="G69:I69"/>
    <mergeCell ref="E56:N56"/>
    <mergeCell ref="G84:I84"/>
    <mergeCell ref="G66:I66"/>
    <mergeCell ref="J58:N58"/>
    <mergeCell ref="G61:I61"/>
    <mergeCell ref="J84:N84"/>
    <mergeCell ref="E68:N68"/>
    <mergeCell ref="J102:N102"/>
    <mergeCell ref="J103:N103"/>
    <mergeCell ref="J101:N101"/>
    <mergeCell ref="G100:I100"/>
    <mergeCell ref="G101:I101"/>
    <mergeCell ref="J106:N106"/>
    <mergeCell ref="F117:L117"/>
    <mergeCell ref="F118:L118"/>
    <mergeCell ref="F119:L119"/>
    <mergeCell ref="J108:N108"/>
    <mergeCell ref="E98:N98"/>
    <mergeCell ref="G85:I85"/>
    <mergeCell ref="G86:I86"/>
    <mergeCell ref="J100:N100"/>
    <mergeCell ref="G96:I96"/>
    <mergeCell ref="J93:N93"/>
    <mergeCell ref="J96:N96"/>
    <mergeCell ref="E99:N99"/>
    <mergeCell ref="J94:N94"/>
    <mergeCell ref="G102:I102"/>
    <mergeCell ref="M157:N157"/>
    <mergeCell ref="E132:N132"/>
    <mergeCell ref="J107:N107"/>
    <mergeCell ref="E114:N114"/>
    <mergeCell ref="E149:N149"/>
    <mergeCell ref="E133:N133"/>
    <mergeCell ref="E128:N128"/>
    <mergeCell ref="E112:N112"/>
    <mergeCell ref="L131:N131"/>
    <mergeCell ref="D175:N175"/>
    <mergeCell ref="E178:N178"/>
    <mergeCell ref="F138:N138"/>
    <mergeCell ref="F151:N151"/>
    <mergeCell ref="M119:N119"/>
    <mergeCell ref="M120:N120"/>
    <mergeCell ref="M121:N121"/>
    <mergeCell ref="D110:N110"/>
    <mergeCell ref="E113:N113"/>
    <mergeCell ref="E127:N127"/>
    <mergeCell ref="F129:K129"/>
    <mergeCell ref="F115:L115"/>
    <mergeCell ref="E302:I302"/>
    <mergeCell ref="E230:N230"/>
    <mergeCell ref="F202:N202"/>
    <mergeCell ref="D173:N173"/>
    <mergeCell ref="D220:N220"/>
    <mergeCell ref="F120:L120"/>
    <mergeCell ref="E183:N183"/>
    <mergeCell ref="E136:N136"/>
    <mergeCell ref="E125:N125"/>
    <mergeCell ref="F137:N137"/>
    <mergeCell ref="E314:N314"/>
    <mergeCell ref="E289:N289"/>
    <mergeCell ref="M155:N155"/>
    <mergeCell ref="E265:N265"/>
    <mergeCell ref="E262:N262"/>
    <mergeCell ref="E287:N287"/>
    <mergeCell ref="E285:N285"/>
    <mergeCell ref="E286:N286"/>
    <mergeCell ref="D282:N282"/>
    <mergeCell ref="G208:H208"/>
    <mergeCell ref="E210:L210"/>
    <mergeCell ref="M210:N210"/>
    <mergeCell ref="D284:N284"/>
    <mergeCell ref="E278:H278"/>
    <mergeCell ref="M217:N217"/>
    <mergeCell ref="E239:N239"/>
    <mergeCell ref="E213:L213"/>
    <mergeCell ref="E241:L241"/>
    <mergeCell ref="M241:N241"/>
    <mergeCell ref="F224:N224"/>
    <mergeCell ref="E235:L235"/>
    <mergeCell ref="M235:N235"/>
    <mergeCell ref="E229:L229"/>
    <mergeCell ref="E215:N215"/>
    <mergeCell ref="E217:L217"/>
    <mergeCell ref="E199:N199"/>
    <mergeCell ref="E195:L195"/>
    <mergeCell ref="M195:N195"/>
    <mergeCell ref="E218:N218"/>
    <mergeCell ref="E208:F208"/>
    <mergeCell ref="I208:J208"/>
    <mergeCell ref="E211:N211"/>
    <mergeCell ref="F200:N200"/>
    <mergeCell ref="M207:N207"/>
    <mergeCell ref="I207:J207"/>
    <mergeCell ref="F44:N44"/>
    <mergeCell ref="E171:G171"/>
    <mergeCell ref="E169:N169"/>
    <mergeCell ref="E167:N167"/>
    <mergeCell ref="E168:N168"/>
    <mergeCell ref="K208:L208"/>
    <mergeCell ref="M208:N208"/>
    <mergeCell ref="F201:N201"/>
    <mergeCell ref="E193:N193"/>
    <mergeCell ref="E198:N198"/>
    <mergeCell ref="E295:H295"/>
    <mergeCell ref="E296:H296"/>
    <mergeCell ref="E297:H297"/>
    <mergeCell ref="E298:H298"/>
    <mergeCell ref="E221:N221"/>
    <mergeCell ref="E214:N214"/>
    <mergeCell ref="E266:N266"/>
    <mergeCell ref="D258:N258"/>
    <mergeCell ref="E251:N251"/>
    <mergeCell ref="E264:N264"/>
    <mergeCell ref="E299:H299"/>
    <mergeCell ref="E300:H300"/>
    <mergeCell ref="E301:H301"/>
    <mergeCell ref="E290:N290"/>
    <mergeCell ref="E304:I304"/>
    <mergeCell ref="M115:N115"/>
    <mergeCell ref="M116:N116"/>
    <mergeCell ref="M117:N117"/>
    <mergeCell ref="M118:N118"/>
    <mergeCell ref="E294:H294"/>
  </mergeCells>
  <phoneticPr fontId="34" type="noConversion"/>
  <conditionalFormatting sqref="I253:K253">
    <cfRule type="expression" dxfId="350" priority="26" stopIfTrue="1">
      <formula>AND(ISNUMBER(CNTR_BaselinePeriodChosen),I$371&lt;&gt;CNTR_BaselinePeriodChosen,NOT(MSconst_RequireAllYears))</formula>
    </cfRule>
  </conditionalFormatting>
  <conditionalFormatting sqref="F351:G360">
    <cfRule type="expression" dxfId="349" priority="34" stopIfTrue="1">
      <formula>AND(CNTR_ExistConnectionEntries,ISBLANK($F336))</formula>
    </cfRule>
    <cfRule type="expression" dxfId="348" priority="35" stopIfTrue="1">
      <formula>($R336=FALSE)</formula>
    </cfRule>
  </conditionalFormatting>
  <conditionalFormatting sqref="H351:N360">
    <cfRule type="expression" dxfId="347" priority="36" stopIfTrue="1">
      <formula>AND(CNTR_ExistConnectionEntries,ISBLANK($F336))</formula>
    </cfRule>
    <cfRule type="expression" dxfId="346" priority="38" stopIfTrue="1">
      <formula>($R336=FALSE)</formula>
    </cfRule>
  </conditionalFormatting>
  <conditionalFormatting sqref="J34:N34 J37:N38">
    <cfRule type="expression" dxfId="345" priority="42" stopIfTrue="1">
      <formula>(MSconst_RequirePermitInfo=FALSE)</formula>
    </cfRule>
  </conditionalFormatting>
  <conditionalFormatting sqref="B2:D4">
    <cfRule type="expression" dxfId="344" priority="43" stopIfTrue="1">
      <formula>CNTR_HasErrors_A</formula>
    </cfRule>
  </conditionalFormatting>
  <conditionalFormatting sqref="G4:H4">
    <cfRule type="expression" dxfId="343" priority="44" stopIfTrue="1">
      <formula>$G$418</formula>
    </cfRule>
  </conditionalFormatting>
  <conditionalFormatting sqref="I4:J4">
    <cfRule type="expression" dxfId="342" priority="45" stopIfTrue="1">
      <formula>$G$419</formula>
    </cfRule>
  </conditionalFormatting>
  <conditionalFormatting sqref="K4:L4">
    <cfRule type="expression" dxfId="341" priority="46" stopIfTrue="1">
      <formula>$G$420</formula>
    </cfRule>
  </conditionalFormatting>
  <conditionalFormatting sqref="L253:M253">
    <cfRule type="expression" dxfId="340" priority="18" stopIfTrue="1">
      <formula>AND(ISNUMBER(CNTR_BaselinePeriodChosen),L$371&lt;&gt;CNTR_BaselinePeriodChosen,NOT(MSconst_RequireAllYears))</formula>
    </cfRule>
  </conditionalFormatting>
  <conditionalFormatting sqref="M141:N141 M143:N143">
    <cfRule type="expression" dxfId="339" priority="14" stopIfTrue="1">
      <formula>$X$141</formula>
    </cfRule>
  </conditionalFormatting>
  <conditionalFormatting sqref="M153:N153 M155:N155">
    <cfRule type="expression" dxfId="338" priority="13" stopIfTrue="1">
      <formula>$X$153</formula>
    </cfRule>
  </conditionalFormatting>
  <conditionalFormatting sqref="J270:J279">
    <cfRule type="expression" dxfId="337" priority="10" stopIfTrue="1">
      <formula>$W$270</formula>
    </cfRule>
  </conditionalFormatting>
  <conditionalFormatting sqref="M229:N229">
    <cfRule type="expression" dxfId="336" priority="9" stopIfTrue="1">
      <formula>$X229</formula>
    </cfRule>
  </conditionalFormatting>
  <conditionalFormatting sqref="M213:N213 E208:N208 M195:N195">
    <cfRule type="expression" dxfId="335" priority="8" stopIfTrue="1">
      <formula>$X195</formula>
    </cfRule>
  </conditionalFormatting>
  <conditionalFormatting sqref="M210:N210">
    <cfRule type="expression" dxfId="334" priority="7" stopIfTrue="1">
      <formula>$X210</formula>
    </cfRule>
  </conditionalFormatting>
  <conditionalFormatting sqref="M241:N241">
    <cfRule type="expression" dxfId="333" priority="6" stopIfTrue="1">
      <formula>$X241</formula>
    </cfRule>
  </conditionalFormatting>
  <conditionalFormatting sqref="I295:I301 K295:K304">
    <cfRule type="expression" dxfId="332" priority="366" stopIfTrue="1">
      <formula>AND($J295&lt;&gt;"",$J295=FALSE)</formula>
    </cfRule>
  </conditionalFormatting>
  <conditionalFormatting sqref="I270:I279">
    <cfRule type="expression" dxfId="331" priority="4" stopIfTrue="1">
      <formula>$V$270</formula>
    </cfRule>
  </conditionalFormatting>
  <conditionalFormatting sqref="M232:N232">
    <cfRule type="expression" dxfId="330" priority="3" stopIfTrue="1">
      <formula>$X232</formula>
    </cfRule>
  </conditionalFormatting>
  <conditionalFormatting sqref="M116:N121">
    <cfRule type="expression" dxfId="329" priority="2" stopIfTrue="1">
      <formula>$X116</formula>
    </cfRule>
  </conditionalFormatting>
  <conditionalFormatting sqref="I295:I301">
    <cfRule type="expression" dxfId="328" priority="1" stopIfTrue="1">
      <formula>$V$270</formula>
    </cfRule>
  </conditionalFormatting>
  <dataValidations count="11">
    <dataValidation type="list" allowBlank="1" showInputMessage="1" showErrorMessage="1" sqref="I336:I345">
      <formula1>EUconst_ConnectedEntityTypes</formula1>
    </dataValidation>
    <dataValidation type="list" allowBlank="1" showInputMessage="1" showErrorMessage="1" sqref="K336:L345">
      <formula1>EUconst_ConnectionTypes</formula1>
    </dataValidation>
    <dataValidation type="list" allowBlank="1" showInputMessage="1" showErrorMessage="1" sqref="M336:N345">
      <formula1>EUconst_ConnectionTransferTypes</formula1>
    </dataValidation>
    <dataValidation type="list" allowBlank="1" showInputMessage="1" showErrorMessage="1" sqref="J18 M143:N143 J50 I253:M253 M135:N135 M141:N141 M155:N155 J164 M153:N153 M232:N232 M195:N195 M226:N226 M192:N192 M229:N229 I270:J279 E208:N208 M213:N213 M210:N210 M241:N241 J295:J304 I295:I301">
      <formula1>Euconst_TrueFalse</formula1>
    </dataValidation>
    <dataValidation type="list" allowBlank="1" showInputMessage="1" showErrorMessage="1" sqref="E270:E279">
      <formula1>EUconst_BMlistNames</formula1>
    </dataValidation>
    <dataValidation type="list" allowBlank="1" showInputMessage="1" showErrorMessage="1" sqref="J246:K246">
      <formula1>EUconst_BaselinePeriods</formula1>
    </dataValidation>
    <dataValidation type="list" allowBlank="1" showInputMessage="1" showErrorMessage="1" sqref="E181:N181">
      <formula1>EUconst_ConfirmApplicationForAlloc</formula1>
    </dataValidation>
    <dataValidation type="list" allowBlank="1" showInputMessage="1" showErrorMessage="1" sqref="F116:F121">
      <formula1>EUconst_AnnexIActivities</formula1>
    </dataValidation>
    <dataValidation type="list" allowBlank="1" showInputMessage="1" showErrorMessage="1" sqref="J15:N15 J106:N106">
      <formula1>EUconst_MSlist</formula1>
    </dataValidation>
    <dataValidation type="textLength" errorStyle="warning" operator="equal" allowBlank="1" showInputMessage="1" showErrorMessage="1" sqref="L129">
      <formula1>4</formula1>
    </dataValidation>
    <dataValidation type="date" operator="greaterThan" allowBlank="1" showInputMessage="1" showErrorMessage="1" sqref="K270:K279 K295:K304">
      <formula1>1</formula1>
    </dataValidation>
  </dataValidations>
  <hyperlinks>
    <hyperlink ref="E126" r:id="rId1" display="http://ec.europa.eu/eurostat/ramon/nomenclatures/index.cfm?TargetUrl=LST_CLS_DLD&amp;StrNom=NACE_REV2&amp;StrLanguageCode=EN&amp;StrLayoutCode=HIERARCHIC"/>
    <hyperlink ref="G2:H2" location="JUMP_TOC_Home" display="Table of contents"/>
    <hyperlink ref="M2:N2" location="JUMP_K_I" display="Summary"/>
    <hyperlink ref="E3:F3" location="JUMP_A_I" display="Top of sheet"/>
    <hyperlink ref="D362:N362" location="JUMP_BY1_Top" display="JUMP_BY1_Top"/>
    <hyperlink ref="E4:F4" location="JUMP_A_Bottom" display="End of sheet"/>
    <hyperlink ref="I2:J2" location="JUMP_Guidelines_Home" display="Previous sheet"/>
    <hyperlink ref="G3:H3" location="JUMP_A_I1" display="Installation ID"/>
    <hyperlink ref="I3:J3" location="JUMP_A_I2" display="Contact persons"/>
    <hyperlink ref="K3:L3" location="JUMP_A_I3" display="Verifier"/>
    <hyperlink ref="M3:N3" location="JUMP_A_I4" display="Further information"/>
    <hyperlink ref="G4:H4" location="JUMP_A_II1" display="Eligibility"/>
    <hyperlink ref="I4:J4" location="JUMP_A_II2" display="Baseline period"/>
    <hyperlink ref="K4:L4" location="JUMP_A_III1" display="Sub-installations"/>
    <hyperlink ref="M4:N4" location="JUMP_A_IV1" display="Technical connections"/>
    <hyperlink ref="K2:L2" location="JUMP_BY1_Top" display="JUMP_BY1_Top"/>
  </hyperlinks>
  <pageMargins left="0.78740157480314965" right="0.78740157480314965" top="0.78740157480314965" bottom="0.78740157480314965" header="0.51181102362204722" footer="0.51181102362204722"/>
  <pageSetup paperSize="9" scale="61" fitToHeight="10" orientation="portrait" r:id="rId2"/>
  <headerFooter alignWithMargins="0">
    <oddHeader>&amp;L&amp;F; &amp;A&amp;R&amp;D; &amp;T</oddHeader>
    <oddFooter>&amp;C&amp;P / &amp;N</oddFooter>
  </headerFooter>
  <rowBreaks count="1" manualBreakCount="1">
    <brk id="308" min="2" max="14" man="1"/>
  </rowBreaks>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tabColor rgb="FFCCFFCC"/>
    <pageSetUpPr fitToPage="1"/>
  </sheetPr>
  <dimension ref="A1:BD135"/>
  <sheetViews>
    <sheetView zoomScaleNormal="100" workbookViewId="0">
      <pane ySplit="4" topLeftCell="A5" activePane="bottomLeft" state="frozen"/>
      <selection sqref="B2:D4"/>
      <selection pane="bottomLeft" sqref="B2:D4"/>
    </sheetView>
  </sheetViews>
  <sheetFormatPr defaultColWidth="11.42578125" defaultRowHeight="12.75" x14ac:dyDescent="0.2"/>
  <cols>
    <col min="1" max="1" width="3.42578125" style="667" hidden="1" customWidth="1"/>
    <col min="2" max="2" width="3.42578125" style="216" customWidth="1"/>
    <col min="3" max="3" width="6.140625" style="24" customWidth="1"/>
    <col min="4" max="4" width="21.5703125" style="216" bestFit="1" customWidth="1"/>
    <col min="5" max="5" width="35.7109375" style="216" customWidth="1"/>
    <col min="6" max="6" width="15.7109375" style="216" customWidth="1"/>
    <col min="7" max="51" width="12.7109375" style="216" customWidth="1"/>
    <col min="52" max="52" width="9.140625" style="216" customWidth="1"/>
    <col min="53" max="55" width="11.42578125" style="667" hidden="1" customWidth="1"/>
    <col min="56" max="16384" width="11.42578125" style="668"/>
  </cols>
  <sheetData>
    <row r="1" spans="1:56" ht="13.5" hidden="1" thickBot="1" x14ac:dyDescent="0.25">
      <c r="A1" s="519" t="s">
        <v>93</v>
      </c>
      <c r="B1" s="529"/>
      <c r="C1" s="530"/>
      <c r="D1" s="529"/>
      <c r="E1" s="529"/>
      <c r="F1" s="529"/>
      <c r="G1" s="529"/>
      <c r="H1" s="529"/>
      <c r="I1" s="529"/>
      <c r="J1" s="529"/>
      <c r="K1" s="529"/>
      <c r="L1" s="531"/>
      <c r="M1" s="529"/>
      <c r="N1" s="529"/>
      <c r="O1" s="529"/>
      <c r="P1" s="529"/>
      <c r="Q1" s="529"/>
      <c r="R1" s="529"/>
      <c r="S1" s="529"/>
      <c r="T1" s="529"/>
      <c r="U1" s="5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602" t="s">
        <v>93</v>
      </c>
      <c r="BB1" s="602" t="s">
        <v>93</v>
      </c>
      <c r="BC1" s="602" t="s">
        <v>93</v>
      </c>
      <c r="BD1" s="23"/>
    </row>
    <row r="2" spans="1:56" ht="13.5" customHeight="1" thickBot="1" x14ac:dyDescent="0.25">
      <c r="A2" s="602"/>
      <c r="B2" s="1405" t="str">
        <f>Translations!$B$267</f>
        <v>B+C ikgadējie emisiju dati</v>
      </c>
      <c r="C2" s="1497"/>
      <c r="D2" s="1498"/>
      <c r="E2" s="789" t="str">
        <f>Translations!$B$2</f>
        <v>Navigācijas josla:</v>
      </c>
      <c r="F2" s="1388" t="str">
        <f>Translations!$B$18</f>
        <v>Saturs</v>
      </c>
      <c r="G2" s="7"/>
      <c r="H2" s="7" t="str">
        <f>Translations!$B$19</f>
        <v>Iepriekšējā lapa</v>
      </c>
      <c r="I2" s="7"/>
      <c r="J2" s="7" t="str">
        <f>Translations!$B$3</f>
        <v>Nākamā lapa</v>
      </c>
      <c r="K2" s="7"/>
      <c r="L2" s="7" t="str">
        <f>Translations!$B$4</f>
        <v>Kopsavilkums</v>
      </c>
      <c r="M2" s="7"/>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604" t="s">
        <v>494</v>
      </c>
      <c r="BB2" s="603">
        <v>1</v>
      </c>
      <c r="BC2" s="685"/>
      <c r="BD2" s="23"/>
    </row>
    <row r="3" spans="1:56" ht="13.5" thickBot="1" x14ac:dyDescent="0.25">
      <c r="A3" s="602"/>
      <c r="B3" s="1499"/>
      <c r="C3" s="1500"/>
      <c r="D3" s="1501"/>
      <c r="E3" s="1005" t="str">
        <f>Translations!$B$5</f>
        <v>Lapas sākums</v>
      </c>
      <c r="F3" s="1491" t="str">
        <f>Translations!$B$268</f>
        <v>Avota plūsmas (izņemot PFC)</v>
      </c>
      <c r="G3" s="1393"/>
      <c r="H3" s="1393" t="str">
        <f>Translations!$B$269</f>
        <v>PFC avota plūsmas</v>
      </c>
      <c r="I3" s="1393"/>
      <c r="J3" s="1393" t="str">
        <f>Translations!$B$270</f>
        <v>Emisiju avoti (CEMS)</v>
      </c>
      <c r="K3" s="1393"/>
      <c r="L3" s="1393" t="str">
        <f>Translations!$B$271</f>
        <v>Alternatīvās pieejas</v>
      </c>
      <c r="M3" s="1492"/>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604" t="s">
        <v>493</v>
      </c>
      <c r="BB3" s="606">
        <f>INDEX(EUconst_ReportingYears,BB2)+(IF(CNTR_BaselinePeriod=EUconst_NA,0,CNTR_BaselinePeriod-1)*5)</f>
        <v>2019</v>
      </c>
      <c r="BC3" s="685"/>
      <c r="BD3" s="23"/>
    </row>
    <row r="4" spans="1:56" ht="13.5" thickBot="1" x14ac:dyDescent="0.25">
      <c r="A4" s="602"/>
      <c r="B4" s="1502">
        <f>BB3</f>
        <v>2019</v>
      </c>
      <c r="C4" s="1503"/>
      <c r="D4" s="1504"/>
      <c r="E4" s="790"/>
      <c r="F4" s="1506"/>
      <c r="G4" s="1507"/>
      <c r="H4" s="1495"/>
      <c r="I4" s="1495"/>
      <c r="J4" s="1495"/>
      <c r="K4" s="1495"/>
      <c r="L4" s="1495"/>
      <c r="M4" s="1496"/>
      <c r="N4" s="95">
        <f>$B$4</f>
        <v>2019</v>
      </c>
      <c r="O4" s="214"/>
      <c r="P4" s="95">
        <f>$B$4</f>
        <v>2019</v>
      </c>
      <c r="Q4" s="214"/>
      <c r="R4" s="95">
        <f>$B$4</f>
        <v>2019</v>
      </c>
      <c r="S4" s="214"/>
      <c r="T4" s="95">
        <f>$B$4</f>
        <v>2019</v>
      </c>
      <c r="U4" s="214"/>
      <c r="V4" s="95">
        <f>$B$4</f>
        <v>2019</v>
      </c>
      <c r="W4" s="214"/>
      <c r="X4" s="95">
        <f>$B$4</f>
        <v>2019</v>
      </c>
      <c r="Y4" s="214"/>
      <c r="Z4" s="95">
        <f>$B$4</f>
        <v>2019</v>
      </c>
      <c r="AA4" s="214"/>
      <c r="AB4" s="95">
        <f>$B$4</f>
        <v>2019</v>
      </c>
      <c r="AC4" s="214"/>
      <c r="AD4" s="95">
        <f>$B$4</f>
        <v>2019</v>
      </c>
      <c r="AE4" s="214"/>
      <c r="AF4" s="95">
        <f>$B$4</f>
        <v>2019</v>
      </c>
      <c r="AG4" s="214"/>
      <c r="AH4" s="95">
        <f>$B$4</f>
        <v>2019</v>
      </c>
      <c r="AI4" s="214"/>
      <c r="AJ4" s="95">
        <f>$B$4</f>
        <v>2019</v>
      </c>
      <c r="AK4" s="214"/>
      <c r="AL4" s="95">
        <f>$B$4</f>
        <v>2019</v>
      </c>
      <c r="AM4" s="214"/>
      <c r="AN4" s="95">
        <f>$B$4</f>
        <v>2019</v>
      </c>
      <c r="AO4" s="214"/>
      <c r="AP4" s="95">
        <f>$B$4</f>
        <v>2019</v>
      </c>
      <c r="AQ4" s="214"/>
      <c r="AR4" s="95">
        <f>$B$4</f>
        <v>2019</v>
      </c>
      <c r="AS4" s="214"/>
      <c r="AT4" s="95">
        <f>$B$4</f>
        <v>2019</v>
      </c>
      <c r="AU4" s="214"/>
      <c r="AV4" s="95">
        <f>$B$4</f>
        <v>2019</v>
      </c>
      <c r="AW4" s="214"/>
      <c r="AX4" s="95">
        <f>$B$4</f>
        <v>2019</v>
      </c>
      <c r="AY4" s="214"/>
      <c r="AZ4" s="214"/>
      <c r="BA4" s="602"/>
      <c r="BB4" s="605"/>
      <c r="BC4" s="685"/>
      <c r="BD4" s="23"/>
    </row>
    <row r="5" spans="1:56" x14ac:dyDescent="0.2">
      <c r="A5" s="602"/>
      <c r="B5" s="21"/>
      <c r="C5" s="22"/>
      <c r="D5" s="23"/>
      <c r="E5" s="23"/>
      <c r="F5" s="24"/>
      <c r="G5" s="24"/>
      <c r="H5" s="24"/>
      <c r="I5" s="21"/>
      <c r="J5" s="21"/>
      <c r="K5" s="21"/>
      <c r="L5" s="21"/>
      <c r="M5" s="25"/>
      <c r="N5" s="25"/>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602"/>
      <c r="BB5" s="605"/>
      <c r="BC5" s="685"/>
      <c r="BD5" s="23"/>
    </row>
    <row r="6" spans="1:56" ht="18" customHeight="1" x14ac:dyDescent="0.2">
      <c r="A6" s="602"/>
      <c r="B6" s="21"/>
      <c r="C6" s="27" t="s">
        <v>609</v>
      </c>
      <c r="D6" s="1493" t="str">
        <f>Translations!$B$272</f>
        <v>Lapa “Ikgadējie emisiju dati” par šo gadu:</v>
      </c>
      <c r="E6" s="1493"/>
      <c r="F6" s="1493"/>
      <c r="G6" s="1493"/>
      <c r="H6" s="1493"/>
      <c r="I6" s="1494"/>
      <c r="J6" s="1505">
        <f>B4</f>
        <v>2019</v>
      </c>
      <c r="K6" s="1505"/>
      <c r="L6" s="214"/>
      <c r="N6" s="457"/>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8" t="s">
        <v>73</v>
      </c>
      <c r="BB6" s="28" t="s">
        <v>73</v>
      </c>
      <c r="BC6" s="685"/>
      <c r="BD6" s="23"/>
    </row>
    <row r="7" spans="1:56" x14ac:dyDescent="0.2">
      <c r="A7" s="602"/>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9" t="s">
        <v>265</v>
      </c>
      <c r="BB7" s="29" t="s">
        <v>265</v>
      </c>
      <c r="BC7" s="685"/>
      <c r="BD7" s="23"/>
    </row>
    <row r="8" spans="1:56" s="666" customFormat="1" ht="15.75" x14ac:dyDescent="0.25">
      <c r="A8" s="663"/>
      <c r="B8" s="21"/>
      <c r="C8" s="30" t="s">
        <v>391</v>
      </c>
      <c r="D8" s="1508" t="str">
        <f>Translations!$B$273</f>
        <v>Vispārīgi norādījumi par avota plūsmu datiem</v>
      </c>
      <c r="E8" s="1508"/>
      <c r="F8" s="1508"/>
      <c r="G8" s="1508"/>
      <c r="H8" s="1508"/>
      <c r="I8" s="1508"/>
      <c r="J8" s="1508"/>
      <c r="K8" s="1508"/>
      <c r="L8" s="1508"/>
      <c r="M8" s="1508"/>
      <c r="N8" s="1508"/>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602"/>
      <c r="BB8" s="602"/>
      <c r="BC8" s="685"/>
      <c r="BD8" s="23"/>
    </row>
    <row r="9" spans="1:56" s="666" customFormat="1" x14ac:dyDescent="0.2">
      <c r="A9" s="663"/>
      <c r="B9" s="664"/>
      <c r="C9" s="142"/>
      <c r="D9" s="142"/>
      <c r="E9" s="142"/>
      <c r="F9" s="142"/>
      <c r="G9" s="142"/>
      <c r="H9" s="142"/>
      <c r="I9" s="142"/>
      <c r="J9" s="142"/>
      <c r="K9" s="142"/>
      <c r="L9" s="142"/>
      <c r="M9" s="142"/>
      <c r="N9" s="142"/>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602"/>
      <c r="BB9" s="602"/>
      <c r="BC9" s="685"/>
      <c r="BD9" s="23"/>
    </row>
    <row r="10" spans="1:56" s="666" customFormat="1" ht="12.75" customHeight="1" x14ac:dyDescent="0.2">
      <c r="A10" s="663"/>
      <c r="B10" s="21"/>
      <c r="C10" s="32"/>
      <c r="D10" s="1325" t="str">
        <f>Translations!$B$274</f>
        <v>Dalībvalsts pieprasa detalizētus avota plūsmu datus, kuri parasti ziņojami obligāti:</v>
      </c>
      <c r="E10" s="1325"/>
      <c r="F10" s="1325"/>
      <c r="G10" s="1325"/>
      <c r="H10" s="1325"/>
      <c r="I10" s="1489"/>
      <c r="J10" s="1490" t="b">
        <f>NOT(MSconst_AllowInstEmmisionTotals)</f>
        <v>1</v>
      </c>
      <c r="K10" s="1490"/>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602"/>
      <c r="BB10" s="602"/>
      <c r="BC10" s="685"/>
      <c r="BD10" s="23"/>
    </row>
    <row r="11" spans="1:56" s="666" customFormat="1" ht="12.75" customHeight="1" x14ac:dyDescent="0.2">
      <c r="A11" s="663"/>
      <c r="B11" s="664"/>
      <c r="C11" s="664"/>
      <c r="D11" s="1301" t="str">
        <f>Translations!$B$275</f>
        <v>Ja atbilde ir “APLAMS” (“FALSE”), datus šeit var neievadīt un tikai jānorāda kopējās ikgadējās emisijas sadaļā D.I.</v>
      </c>
      <c r="E11" s="1301"/>
      <c r="F11" s="1301"/>
      <c r="G11" s="1301"/>
      <c r="H11" s="1301"/>
      <c r="I11" s="1301"/>
      <c r="J11" s="1301"/>
      <c r="K11" s="1301"/>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602"/>
      <c r="BB11" s="602"/>
      <c r="BC11" s="685"/>
      <c r="BD11" s="23"/>
    </row>
    <row r="12" spans="1:56" s="666" customFormat="1" ht="12.75" customHeight="1" x14ac:dyDescent="0.2">
      <c r="A12" s="663"/>
      <c r="B12" s="664"/>
      <c r="C12" s="664"/>
      <c r="D12" s="1488" t="str">
        <f>IF(MSconst_AllowInstEmmisionTotals,HYPERLINK(BB12,EUconst_ERR_Goto_DI2),HYPERLINK("#JUMP_B_II",EUconst_MsgGoOn))</f>
        <v>Pārejiet pie nākamajiem punktiem.</v>
      </c>
      <c r="E12" s="1488"/>
      <c r="F12" s="1488"/>
      <c r="G12" s="1488"/>
      <c r="H12" s="1488"/>
      <c r="I12" s="1488"/>
      <c r="J12" s="1488"/>
      <c r="K12" s="1488"/>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0" t="s">
        <v>192</v>
      </c>
      <c r="BB12" s="362" t="str">
        <f>"#JUMP_D_I"</f>
        <v>#JUMP_D_I</v>
      </c>
      <c r="BC12" s="685"/>
      <c r="BD12" s="23"/>
    </row>
    <row r="13" spans="1:56" s="666" customFormat="1" x14ac:dyDescent="0.2">
      <c r="A13" s="663"/>
      <c r="B13" s="21"/>
      <c r="C13" s="21"/>
      <c r="D13" s="21"/>
      <c r="E13" s="665"/>
      <c r="F13" s="21"/>
      <c r="G13" s="21"/>
      <c r="H13" s="21"/>
      <c r="I13" s="21"/>
      <c r="J13" s="21"/>
      <c r="K13" s="21"/>
      <c r="L13" s="21"/>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602"/>
      <c r="BB13" s="602"/>
      <c r="BC13" s="602"/>
      <c r="BD13" s="23"/>
    </row>
    <row r="14" spans="1:56" s="666" customFormat="1" ht="15.75" x14ac:dyDescent="0.25">
      <c r="A14" s="663"/>
      <c r="B14" s="21"/>
      <c r="C14" s="30" t="s">
        <v>338</v>
      </c>
      <c r="D14" s="1249" t="str">
        <f>Translations!$B$276</f>
        <v>Avota plūsmas un emisiju avoti</v>
      </c>
      <c r="E14" s="1249"/>
      <c r="F14" s="1249"/>
      <c r="G14" s="1249"/>
      <c r="H14" s="1249"/>
      <c r="I14" s="1249"/>
      <c r="J14" s="1249"/>
      <c r="K14" s="1249"/>
      <c r="L14" s="1249"/>
      <c r="M14" s="1249"/>
      <c r="N14" s="1249"/>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602"/>
      <c r="BB14" s="602"/>
      <c r="BC14" s="602"/>
      <c r="BD14" s="23"/>
    </row>
    <row r="15" spans="1:56" s="666" customFormat="1" ht="12.75" customHeight="1" x14ac:dyDescent="0.2">
      <c r="A15" s="663"/>
      <c r="B15" s="664"/>
      <c r="C15" s="690"/>
      <c r="D15" s="1301" t="str">
        <f>Translations!$B$277</f>
        <v>Nākamās tabulas ir identiskas tām, kas atrodamas lapā “Accounting” Komisijas nodrošinātajā Ikgadējo emisiju datu veidnē.</v>
      </c>
      <c r="E15" s="1301"/>
      <c r="F15" s="1301"/>
      <c r="G15" s="1301"/>
      <c r="H15" s="1301"/>
      <c r="I15" s="1301"/>
      <c r="J15" s="1301"/>
      <c r="K15" s="1301"/>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602"/>
      <c r="BB15" s="602"/>
      <c r="BC15" s="685"/>
      <c r="BD15" s="23"/>
    </row>
    <row r="16" spans="1:56" s="666" customFormat="1" ht="12.75" customHeight="1" x14ac:dyDescent="0.2">
      <c r="A16" s="663"/>
      <c r="B16" s="664"/>
      <c r="C16" s="690"/>
      <c r="D16" s="1301" t="str">
        <f>Translations!$B$278</f>
        <v>Tāpēc varat katras tabulas datus iekopēt no Ikgadējo emisiju ziņojuma veidnes, jaunus datus neievadot; sīkāki norādījumi atrodami tur.</v>
      </c>
      <c r="E16" s="1301"/>
      <c r="F16" s="1301"/>
      <c r="G16" s="1301"/>
      <c r="H16" s="1301"/>
      <c r="I16" s="1301"/>
      <c r="J16" s="1301"/>
      <c r="K16" s="1301"/>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602"/>
      <c r="BB16" s="602"/>
      <c r="BC16" s="685"/>
      <c r="BD16" s="23"/>
    </row>
    <row r="17" spans="1:56" s="666" customFormat="1" ht="12.75" customHeight="1" x14ac:dyDescent="0.2">
      <c r="A17" s="663"/>
      <c r="B17" s="664"/>
      <c r="C17" s="690"/>
      <c r="D17" s="1301" t="str">
        <f>Translations!$B$279</f>
        <v>Ja jūsu dalībvalsts Komisijas veidni neizmanto vai dodat priekšroku datu manuālai ievadei, katras tabulas augšā ir sniegti datu paraugi (baltajos laukos).</v>
      </c>
      <c r="E17" s="1301"/>
      <c r="F17" s="1301"/>
      <c r="G17" s="1301"/>
      <c r="H17" s="1301"/>
      <c r="I17" s="1301"/>
      <c r="J17" s="1301"/>
      <c r="K17" s="1301"/>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602"/>
      <c r="BB17" s="602"/>
      <c r="BC17" s="685"/>
      <c r="BD17" s="23"/>
    </row>
    <row r="18" spans="1:56" s="666" customFormat="1" ht="12.75" customHeight="1" x14ac:dyDescent="0.2">
      <c r="A18" s="663"/>
      <c r="B18" s="664"/>
      <c r="C18" s="690"/>
      <c r="D18" s="1471" t="str">
        <f>Translations!$B$280</f>
        <v>Šajā lapā netiek veikti nekādi aprēķini. Tāpēc kopsummas slejās no AU līdz AY jāievada pareizi, jo šie dati tiks izmantoti tālāk šajā veidnē.</v>
      </c>
      <c r="E18" s="1471"/>
      <c r="F18" s="1471"/>
      <c r="G18" s="1471"/>
      <c r="H18" s="1471"/>
      <c r="I18" s="1471"/>
      <c r="J18" s="1471"/>
      <c r="K18" s="1471"/>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602"/>
      <c r="BB18" s="602"/>
      <c r="BC18" s="685"/>
      <c r="BD18" s="23"/>
    </row>
    <row r="19" spans="1:56" ht="50.1" customHeight="1" thickBot="1" x14ac:dyDescent="0.45">
      <c r="A19" s="602"/>
      <c r="B19" s="214"/>
      <c r="C19" s="95"/>
      <c r="D19" s="532" t="str">
        <f>Translations!$B$281</f>
        <v>Avota plūsmas (izņemot PFC emisijas)</v>
      </c>
      <c r="E19" s="214"/>
      <c r="F19" s="214"/>
      <c r="G19" s="214"/>
      <c r="H19" s="214"/>
      <c r="I19" s="214"/>
      <c r="J19" s="214"/>
      <c r="K19" s="214"/>
      <c r="L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602"/>
      <c r="BB19" s="602"/>
      <c r="BC19" s="685"/>
      <c r="BD19" s="23"/>
    </row>
    <row r="20" spans="1:56" ht="50.1" customHeight="1" thickBot="1" x14ac:dyDescent="0.25">
      <c r="A20" s="602"/>
      <c r="B20" s="214"/>
      <c r="C20" s="533" t="s">
        <v>466</v>
      </c>
      <c r="D20" s="534" t="str">
        <f>Translations!$B$282</f>
        <v>Metode</v>
      </c>
      <c r="E20" s="534" t="str">
        <f>Translations!$B$283</f>
        <v>Avota plūsmas nosaukums</v>
      </c>
      <c r="F20" s="535" t="str">
        <f>Translations!$B$284</f>
        <v>Darbības dati</v>
      </c>
      <c r="G20" s="535" t="str">
        <f>Translations!$B$285</f>
        <v>DD vienība</v>
      </c>
      <c r="H20" s="535" t="str">
        <f>Translations!$B$286</f>
        <v>NCV</v>
      </c>
      <c r="I20" s="535" t="str">
        <f>Translations!$B$287</f>
        <v>NCV vienība</v>
      </c>
      <c r="J20" s="535" t="str">
        <f>Translations!$B$288</f>
        <v>EF</v>
      </c>
      <c r="K20" s="535" t="str">
        <f>Translations!$B$289</f>
        <v>EF vienība</v>
      </c>
      <c r="L20" s="535" t="str">
        <f>Translations!$B$290</f>
        <v>C saturs</v>
      </c>
      <c r="M20" s="535" t="str">
        <f>Translations!$B$291</f>
        <v>C satura vienība</v>
      </c>
      <c r="N20" s="535" t="str">
        <f>Translations!$B$292</f>
        <v>Oksid. koef.</v>
      </c>
      <c r="O20" s="535" t="str">
        <f>Translations!$B$293</f>
        <v>OK vienība</v>
      </c>
      <c r="P20" s="535" t="str">
        <f>Translations!$B$294</f>
        <v>Pārrēķina koef.</v>
      </c>
      <c r="Q20" s="535" t="str">
        <f>Translations!$B$295</f>
        <v>PK vienība</v>
      </c>
      <c r="R20" s="535" t="str">
        <f>Translations!$B$296</f>
        <v>Biomasas saturs</v>
      </c>
      <c r="S20" s="535" t="str">
        <f>Translations!$B$297</f>
        <v>BS vienība</v>
      </c>
      <c r="T20" s="535" t="str">
        <f>Translations!$B$298</f>
        <v>ilgtnesp. BS</v>
      </c>
      <c r="U20" s="535" t="str">
        <f>Translations!$B$299</f>
        <v>ilgtnesp. BS vienība</v>
      </c>
      <c r="V20" s="535" t="str">
        <f>Translations!$B$300</f>
        <v>SEG konc. vidējā vērtība h</v>
      </c>
      <c r="W20" s="535" t="str">
        <f>Translations!$B$301</f>
        <v>SEG konc. h vienība</v>
      </c>
      <c r="X20" s="535" t="str">
        <f>Translations!$B$302</f>
        <v>ekspluatācijas stundas</v>
      </c>
      <c r="Y20" s="535" t="str">
        <f>Translations!$B$303</f>
        <v>ekspluatācijas stundu vienība</v>
      </c>
      <c r="Z20" s="535" t="str">
        <f>Translations!$B$304</f>
        <v>Dūmgāzes (vidēji)</v>
      </c>
      <c r="AA20" s="535" t="str">
        <f>Translations!$B$305</f>
        <v>Dūmgāzes (vidēji), vienība</v>
      </c>
      <c r="AB20" s="535" t="str">
        <f>Translations!$B$306</f>
        <v>Dūmgāzes (kopā)</v>
      </c>
      <c r="AC20" s="535" t="str">
        <f>Translations!$B$307</f>
        <v>Dūmgāzes (kopā), vienība</v>
      </c>
      <c r="AD20" s="535" t="str">
        <f>Translations!$B$308</f>
        <v>SEG daudzums gadā</v>
      </c>
      <c r="AE20" s="535" t="str">
        <f>Translations!$B$309</f>
        <v>SEG daudzums gadā, vienība</v>
      </c>
      <c r="AF20" s="535" t="str">
        <f>Translations!$B$310</f>
        <v>GWP (t CO2 e/t)</v>
      </c>
      <c r="AG20" s="535" t="str">
        <f>Translations!$B$311</f>
        <v>A: biežums</v>
      </c>
      <c r="AH20" s="535" t="str">
        <f>Translations!$B$312</f>
        <v>A: ilgums</v>
      </c>
      <c r="AI20" s="535" t="str">
        <f>Translations!$B$313</f>
        <v>A: SEF (CF4)</v>
      </c>
      <c r="AJ20" s="535" t="str">
        <f>Translations!$B$314</f>
        <v>B: AEO</v>
      </c>
      <c r="AK20" s="535" t="str">
        <f>Translations!$B$315</f>
        <v>B: CE</v>
      </c>
      <c r="AL20" s="535" t="str">
        <f>Translations!$B$316</f>
        <v>B: OVC</v>
      </c>
      <c r="AM20" s="535" t="str">
        <f>Translations!$B$317</f>
        <v>F (C2F6)</v>
      </c>
      <c r="AN20" s="535" t="str">
        <f>Translations!$B$318</f>
        <v>CF4 emisijas (t CF4)</v>
      </c>
      <c r="AO20" s="535" t="str">
        <f>Translations!$B$319</f>
        <v>C2F6 emisijas (t C2F6)</v>
      </c>
      <c r="AP20" s="535" t="str">
        <f>Translations!$B$320</f>
        <v>GWP (CF4) (t CO2 e/t)</v>
      </c>
      <c r="AQ20" s="535" t="str">
        <f>Translations!$B$321</f>
        <v>GWP (C2F6) (t CO2 e/t)</v>
      </c>
      <c r="AR20" s="535" t="str">
        <f>Translations!$B$322</f>
        <v>CF4 emisijas (t CO2e)</v>
      </c>
      <c r="AS20" s="535" t="str">
        <f>Translations!$B$323</f>
        <v>C2F6 emisijas (t CO2 e)</v>
      </c>
      <c r="AT20" s="535" t="str">
        <f>Translations!$B$324</f>
        <v>Uztveršanas efektivitāte, %</v>
      </c>
      <c r="AU20" s="535" t="str">
        <f>Translations!$B$325</f>
        <v>CO2 e, fosilie avoti (t)</v>
      </c>
      <c r="AV20" s="535" t="str">
        <f>Translations!$B$326</f>
        <v>CO2 e bio (t)</v>
      </c>
      <c r="AW20" s="535" t="str">
        <f>Translations!$B$327</f>
        <v>CO2 e, ilgtnesp. biomasa (t)</v>
      </c>
      <c r="AX20" s="536" t="str">
        <f>Translations!$B$328</f>
        <v>Enerģētiskais saturs (fosilie avoti), TJ</v>
      </c>
      <c r="AY20" s="537" t="str">
        <f>Translations!$B$329</f>
        <v>Enerģētiskais saturs (biomasa), TJ</v>
      </c>
      <c r="AZ20" s="214"/>
      <c r="BA20" s="602"/>
      <c r="BB20" s="602"/>
      <c r="BC20" s="685"/>
      <c r="BD20" s="23"/>
    </row>
    <row r="21" spans="1:56" ht="12.75" customHeight="1" x14ac:dyDescent="0.2">
      <c r="A21" s="602"/>
      <c r="B21" s="214"/>
      <c r="C21" s="543" t="str">
        <f>Translations!$B$330</f>
        <v>1. piem.</v>
      </c>
      <c r="D21" s="686" t="str">
        <f>Translations!$B$331</f>
        <v>Sadedzināšana</v>
      </c>
      <c r="E21" s="686" t="str">
        <f>Translations!$B$332</f>
        <v>Smagā degvieleļļa</v>
      </c>
      <c r="F21" s="687">
        <v>252000</v>
      </c>
      <c r="G21" s="538" t="s">
        <v>205</v>
      </c>
      <c r="H21" s="687">
        <v>45</v>
      </c>
      <c r="I21" s="538" t="s">
        <v>509</v>
      </c>
      <c r="J21" s="687">
        <v>73</v>
      </c>
      <c r="K21" s="538" t="s">
        <v>510</v>
      </c>
      <c r="L21" s="538"/>
      <c r="M21" s="538" t="s">
        <v>472</v>
      </c>
      <c r="N21" s="687">
        <v>100</v>
      </c>
      <c r="O21" s="688" t="s">
        <v>393</v>
      </c>
      <c r="P21" s="687"/>
      <c r="Q21" s="688" t="s">
        <v>393</v>
      </c>
      <c r="R21" s="687">
        <v>0</v>
      </c>
      <c r="S21" s="688" t="s">
        <v>393</v>
      </c>
      <c r="T21" s="687">
        <v>0</v>
      </c>
      <c r="U21" s="688" t="s">
        <v>393</v>
      </c>
      <c r="V21" s="774"/>
      <c r="W21" s="774"/>
      <c r="X21" s="774"/>
      <c r="Y21" s="774"/>
      <c r="Z21" s="774"/>
      <c r="AA21" s="774"/>
      <c r="AB21" s="774"/>
      <c r="AC21" s="774"/>
      <c r="AD21" s="774"/>
      <c r="AE21" s="774"/>
      <c r="AF21" s="774"/>
      <c r="AG21" s="774"/>
      <c r="AH21" s="774"/>
      <c r="AI21" s="774"/>
      <c r="AJ21" s="774"/>
      <c r="AK21" s="774"/>
      <c r="AL21" s="774"/>
      <c r="AM21" s="774"/>
      <c r="AN21" s="774"/>
      <c r="AO21" s="774"/>
      <c r="AP21" s="774"/>
      <c r="AQ21" s="774"/>
      <c r="AR21" s="774"/>
      <c r="AS21" s="774"/>
      <c r="AT21" s="774"/>
      <c r="AU21" s="689">
        <v>827820</v>
      </c>
      <c r="AV21" s="689">
        <v>0</v>
      </c>
      <c r="AW21" s="689">
        <v>0</v>
      </c>
      <c r="AX21" s="687">
        <v>11340</v>
      </c>
      <c r="AY21" s="687">
        <v>0</v>
      </c>
      <c r="AZ21" s="214"/>
      <c r="BA21" s="602"/>
      <c r="BB21" s="602"/>
      <c r="BC21" s="685"/>
      <c r="BD21" s="23"/>
    </row>
    <row r="22" spans="1:56" ht="12.75" customHeight="1" x14ac:dyDescent="0.2">
      <c r="A22" s="602"/>
      <c r="B22" s="214"/>
      <c r="C22" s="543" t="str">
        <f>Translations!$B$333</f>
        <v>2. piem.</v>
      </c>
      <c r="D22" s="686" t="str">
        <f>Translations!$B$334</f>
        <v>Procesa emisijas</v>
      </c>
      <c r="E22" s="686" t="str">
        <f>Translations!$B$335</f>
        <v>Māls</v>
      </c>
      <c r="F22" s="687">
        <v>121000</v>
      </c>
      <c r="G22" s="538" t="s">
        <v>205</v>
      </c>
      <c r="H22" s="687"/>
      <c r="I22" s="538" t="s">
        <v>472</v>
      </c>
      <c r="J22" s="687">
        <v>8.7940000000000004E-2</v>
      </c>
      <c r="K22" s="538" t="s">
        <v>511</v>
      </c>
      <c r="L22" s="538"/>
      <c r="M22" s="538" t="s">
        <v>472</v>
      </c>
      <c r="N22" s="687"/>
      <c r="O22" s="688" t="s">
        <v>393</v>
      </c>
      <c r="P22" s="687"/>
      <c r="Q22" s="688" t="s">
        <v>393</v>
      </c>
      <c r="R22" s="687">
        <v>0</v>
      </c>
      <c r="S22" s="688" t="s">
        <v>393</v>
      </c>
      <c r="T22" s="687">
        <v>0</v>
      </c>
      <c r="U22" s="688" t="s">
        <v>393</v>
      </c>
      <c r="V22" s="774"/>
      <c r="W22" s="774"/>
      <c r="X22" s="774"/>
      <c r="Y22" s="774"/>
      <c r="Z22" s="774"/>
      <c r="AA22" s="774"/>
      <c r="AB22" s="774"/>
      <c r="AC22" s="774"/>
      <c r="AD22" s="774"/>
      <c r="AE22" s="774"/>
      <c r="AF22" s="774"/>
      <c r="AG22" s="774"/>
      <c r="AH22" s="774"/>
      <c r="AI22" s="774"/>
      <c r="AJ22" s="774"/>
      <c r="AK22" s="774"/>
      <c r="AL22" s="774"/>
      <c r="AM22" s="774"/>
      <c r="AN22" s="774"/>
      <c r="AO22" s="774"/>
      <c r="AP22" s="774"/>
      <c r="AQ22" s="774"/>
      <c r="AR22" s="774"/>
      <c r="AS22" s="774"/>
      <c r="AT22" s="774"/>
      <c r="AU22" s="689">
        <v>10640.74</v>
      </c>
      <c r="AV22" s="689">
        <v>0</v>
      </c>
      <c r="AW22" s="689">
        <v>0</v>
      </c>
      <c r="AX22" s="687">
        <v>0</v>
      </c>
      <c r="AY22" s="687">
        <v>0</v>
      </c>
      <c r="AZ22" s="214"/>
      <c r="BA22" s="602"/>
      <c r="BB22" s="602"/>
      <c r="BC22" s="685"/>
      <c r="BD22" s="23"/>
    </row>
    <row r="23" spans="1:56" ht="12.75" customHeight="1" x14ac:dyDescent="0.2">
      <c r="A23" s="602"/>
      <c r="B23" s="214"/>
      <c r="C23" s="543" t="str">
        <f>Translations!$B$336</f>
        <v>3. piem.</v>
      </c>
      <c r="D23" s="686" t="str">
        <f>Translations!$B$337</f>
        <v>Masas bilance</v>
      </c>
      <c r="E23" s="686" t="str">
        <f>Translations!$B$338</f>
        <v>Tērauds</v>
      </c>
      <c r="F23" s="687">
        <v>-1808226</v>
      </c>
      <c r="G23" s="538" t="s">
        <v>205</v>
      </c>
      <c r="H23" s="687"/>
      <c r="I23" s="538" t="s">
        <v>472</v>
      </c>
      <c r="J23" s="687">
        <v>0</v>
      </c>
      <c r="K23" s="538" t="s">
        <v>472</v>
      </c>
      <c r="L23" s="538">
        <v>0.38779999999999998</v>
      </c>
      <c r="M23" s="538" t="s">
        <v>512</v>
      </c>
      <c r="N23" s="687"/>
      <c r="O23" s="688" t="s">
        <v>393</v>
      </c>
      <c r="P23" s="687">
        <v>100</v>
      </c>
      <c r="Q23" s="688" t="s">
        <v>393</v>
      </c>
      <c r="R23" s="687">
        <v>0</v>
      </c>
      <c r="S23" s="688" t="s">
        <v>393</v>
      </c>
      <c r="T23" s="687">
        <v>0</v>
      </c>
      <c r="U23" s="688" t="s">
        <v>393</v>
      </c>
      <c r="V23" s="774"/>
      <c r="W23" s="774"/>
      <c r="X23" s="774"/>
      <c r="Y23" s="774"/>
      <c r="Z23" s="774"/>
      <c r="AA23" s="774"/>
      <c r="AB23" s="774"/>
      <c r="AC23" s="774"/>
      <c r="AD23" s="774"/>
      <c r="AE23" s="774"/>
      <c r="AF23" s="774"/>
      <c r="AG23" s="774"/>
      <c r="AH23" s="774"/>
      <c r="AI23" s="774"/>
      <c r="AJ23" s="774"/>
      <c r="AK23" s="774"/>
      <c r="AL23" s="774"/>
      <c r="AM23" s="774"/>
      <c r="AN23" s="774"/>
      <c r="AO23" s="774"/>
      <c r="AP23" s="774"/>
      <c r="AQ23" s="774"/>
      <c r="AR23" s="774"/>
      <c r="AS23" s="774"/>
      <c r="AT23" s="774"/>
      <c r="AU23" s="689">
        <v>-2569306.8768191999</v>
      </c>
      <c r="AV23" s="689">
        <v>0</v>
      </c>
      <c r="AW23" s="689">
        <v>0</v>
      </c>
      <c r="AX23" s="687">
        <v>0</v>
      </c>
      <c r="AY23" s="687">
        <v>0</v>
      </c>
      <c r="AZ23" s="214"/>
      <c r="BA23" s="602"/>
      <c r="BB23" s="602"/>
      <c r="BC23" s="685"/>
      <c r="BD23" s="23"/>
    </row>
    <row r="24" spans="1:56" x14ac:dyDescent="0.2">
      <c r="A24" s="602"/>
      <c r="B24" s="214"/>
      <c r="C24" s="543">
        <v>1</v>
      </c>
      <c r="D24" s="596"/>
      <c r="E24" s="596"/>
      <c r="F24" s="597"/>
      <c r="G24" s="598"/>
      <c r="H24" s="597"/>
      <c r="I24" s="598"/>
      <c r="J24" s="597"/>
      <c r="K24" s="598"/>
      <c r="L24" s="598"/>
      <c r="M24" s="598"/>
      <c r="N24" s="597"/>
      <c r="O24" s="599"/>
      <c r="P24" s="597"/>
      <c r="Q24" s="599"/>
      <c r="R24" s="597"/>
      <c r="S24" s="599"/>
      <c r="T24" s="597"/>
      <c r="U24" s="599"/>
      <c r="V24" s="774"/>
      <c r="W24" s="774"/>
      <c r="X24" s="774"/>
      <c r="Y24" s="774"/>
      <c r="Z24" s="774"/>
      <c r="AA24" s="774"/>
      <c r="AB24" s="774"/>
      <c r="AC24" s="774"/>
      <c r="AD24" s="774"/>
      <c r="AE24" s="774"/>
      <c r="AF24" s="774"/>
      <c r="AG24" s="774"/>
      <c r="AH24" s="774"/>
      <c r="AI24" s="774"/>
      <c r="AJ24" s="774"/>
      <c r="AK24" s="774"/>
      <c r="AL24" s="774"/>
      <c r="AM24" s="774"/>
      <c r="AN24" s="774"/>
      <c r="AO24" s="774"/>
      <c r="AP24" s="774"/>
      <c r="AQ24" s="774"/>
      <c r="AR24" s="774"/>
      <c r="AS24" s="774"/>
      <c r="AT24" s="774"/>
      <c r="AU24" s="600"/>
      <c r="AV24" s="600"/>
      <c r="AW24" s="600"/>
      <c r="AX24" s="597"/>
      <c r="AY24" s="597"/>
      <c r="AZ24" s="214"/>
      <c r="BA24" s="490" t="str">
        <f t="shared" ref="BA24:BA55" si="0">EUconst_SumCO2</f>
        <v>SUM_CO2</v>
      </c>
      <c r="BB24" s="581" t="str">
        <f t="shared" ref="BB24:BB55" si="1">EUconst_SumEnergyIN</f>
        <v>SUM_EnergyIN</v>
      </c>
      <c r="BC24" s="602"/>
      <c r="BD24" s="23"/>
    </row>
    <row r="25" spans="1:56" x14ac:dyDescent="0.2">
      <c r="A25" s="602"/>
      <c r="B25" s="214"/>
      <c r="C25" s="544">
        <v>2</v>
      </c>
      <c r="D25" s="596"/>
      <c r="E25" s="596"/>
      <c r="F25" s="597"/>
      <c r="G25" s="598"/>
      <c r="H25" s="597"/>
      <c r="I25" s="598"/>
      <c r="J25" s="597"/>
      <c r="K25" s="598"/>
      <c r="L25" s="598"/>
      <c r="M25" s="598"/>
      <c r="N25" s="597"/>
      <c r="O25" s="599"/>
      <c r="P25" s="597"/>
      <c r="Q25" s="599"/>
      <c r="R25" s="597"/>
      <c r="S25" s="599"/>
      <c r="T25" s="597"/>
      <c r="U25" s="599"/>
      <c r="V25" s="774"/>
      <c r="W25" s="774"/>
      <c r="X25" s="774"/>
      <c r="Y25" s="774"/>
      <c r="Z25" s="774"/>
      <c r="AA25" s="774"/>
      <c r="AB25" s="774"/>
      <c r="AC25" s="774"/>
      <c r="AD25" s="774"/>
      <c r="AE25" s="774"/>
      <c r="AF25" s="774"/>
      <c r="AG25" s="774"/>
      <c r="AH25" s="774"/>
      <c r="AI25" s="774"/>
      <c r="AJ25" s="774"/>
      <c r="AK25" s="774"/>
      <c r="AL25" s="774"/>
      <c r="AM25" s="774"/>
      <c r="AN25" s="774"/>
      <c r="AO25" s="774"/>
      <c r="AP25" s="774"/>
      <c r="AQ25" s="774"/>
      <c r="AR25" s="774"/>
      <c r="AS25" s="774"/>
      <c r="AT25" s="774"/>
      <c r="AU25" s="600"/>
      <c r="AV25" s="600"/>
      <c r="AW25" s="600"/>
      <c r="AX25" s="597"/>
      <c r="AY25" s="597"/>
      <c r="AZ25" s="214"/>
      <c r="BA25" s="490" t="str">
        <f t="shared" si="0"/>
        <v>SUM_CO2</v>
      </c>
      <c r="BB25" s="581" t="str">
        <f t="shared" si="1"/>
        <v>SUM_EnergyIN</v>
      </c>
      <c r="BC25" s="602"/>
      <c r="BD25" s="23"/>
    </row>
    <row r="26" spans="1:56" x14ac:dyDescent="0.2">
      <c r="A26" s="602"/>
      <c r="B26" s="214"/>
      <c r="C26" s="544">
        <v>3</v>
      </c>
      <c r="D26" s="596"/>
      <c r="E26" s="596"/>
      <c r="F26" s="597"/>
      <c r="G26" s="598"/>
      <c r="H26" s="597"/>
      <c r="I26" s="598"/>
      <c r="J26" s="597"/>
      <c r="K26" s="598"/>
      <c r="L26" s="598"/>
      <c r="M26" s="598"/>
      <c r="N26" s="597"/>
      <c r="O26" s="599"/>
      <c r="P26" s="597"/>
      <c r="Q26" s="599"/>
      <c r="R26" s="597"/>
      <c r="S26" s="599"/>
      <c r="T26" s="597"/>
      <c r="U26" s="599"/>
      <c r="V26" s="774"/>
      <c r="W26" s="774"/>
      <c r="X26" s="774"/>
      <c r="Y26" s="774"/>
      <c r="Z26" s="774"/>
      <c r="AA26" s="774"/>
      <c r="AB26" s="774"/>
      <c r="AC26" s="774"/>
      <c r="AD26" s="774"/>
      <c r="AE26" s="774"/>
      <c r="AF26" s="774"/>
      <c r="AG26" s="774"/>
      <c r="AH26" s="774"/>
      <c r="AI26" s="774"/>
      <c r="AJ26" s="774"/>
      <c r="AK26" s="774"/>
      <c r="AL26" s="774"/>
      <c r="AM26" s="774"/>
      <c r="AN26" s="774"/>
      <c r="AO26" s="774"/>
      <c r="AP26" s="774"/>
      <c r="AQ26" s="774"/>
      <c r="AR26" s="774"/>
      <c r="AS26" s="774"/>
      <c r="AT26" s="774"/>
      <c r="AU26" s="600"/>
      <c r="AV26" s="600"/>
      <c r="AW26" s="600"/>
      <c r="AX26" s="597"/>
      <c r="AY26" s="597"/>
      <c r="AZ26" s="214"/>
      <c r="BA26" s="490" t="str">
        <f t="shared" si="0"/>
        <v>SUM_CO2</v>
      </c>
      <c r="BB26" s="581" t="str">
        <f t="shared" si="1"/>
        <v>SUM_EnergyIN</v>
      </c>
      <c r="BC26" s="602"/>
      <c r="BD26" s="23"/>
    </row>
    <row r="27" spans="1:56" x14ac:dyDescent="0.2">
      <c r="A27" s="602"/>
      <c r="B27" s="214"/>
      <c r="C27" s="544">
        <v>4</v>
      </c>
      <c r="D27" s="596"/>
      <c r="E27" s="596"/>
      <c r="F27" s="597"/>
      <c r="G27" s="598"/>
      <c r="H27" s="597"/>
      <c r="I27" s="598"/>
      <c r="J27" s="597"/>
      <c r="K27" s="598"/>
      <c r="L27" s="598"/>
      <c r="M27" s="598"/>
      <c r="N27" s="597"/>
      <c r="O27" s="599"/>
      <c r="P27" s="597"/>
      <c r="Q27" s="599"/>
      <c r="R27" s="597"/>
      <c r="S27" s="599"/>
      <c r="T27" s="597"/>
      <c r="U27" s="599"/>
      <c r="V27" s="774"/>
      <c r="W27" s="774"/>
      <c r="X27" s="774"/>
      <c r="Y27" s="774"/>
      <c r="Z27" s="774"/>
      <c r="AA27" s="774"/>
      <c r="AB27" s="774"/>
      <c r="AC27" s="774"/>
      <c r="AD27" s="774"/>
      <c r="AE27" s="774"/>
      <c r="AF27" s="774"/>
      <c r="AG27" s="774"/>
      <c r="AH27" s="774"/>
      <c r="AI27" s="774"/>
      <c r="AJ27" s="774"/>
      <c r="AK27" s="774"/>
      <c r="AL27" s="774"/>
      <c r="AM27" s="774"/>
      <c r="AN27" s="774"/>
      <c r="AO27" s="774"/>
      <c r="AP27" s="774"/>
      <c r="AQ27" s="774"/>
      <c r="AR27" s="774"/>
      <c r="AS27" s="774"/>
      <c r="AT27" s="774"/>
      <c r="AU27" s="600"/>
      <c r="AV27" s="600"/>
      <c r="AW27" s="600"/>
      <c r="AX27" s="597"/>
      <c r="AY27" s="597"/>
      <c r="AZ27" s="214"/>
      <c r="BA27" s="490" t="str">
        <f t="shared" si="0"/>
        <v>SUM_CO2</v>
      </c>
      <c r="BB27" s="581" t="str">
        <f t="shared" si="1"/>
        <v>SUM_EnergyIN</v>
      </c>
      <c r="BC27" s="602"/>
      <c r="BD27" s="23"/>
    </row>
    <row r="28" spans="1:56" x14ac:dyDescent="0.2">
      <c r="A28" s="602"/>
      <c r="B28" s="214"/>
      <c r="C28" s="544">
        <v>5</v>
      </c>
      <c r="D28" s="596"/>
      <c r="E28" s="596"/>
      <c r="F28" s="597"/>
      <c r="G28" s="598"/>
      <c r="H28" s="597"/>
      <c r="I28" s="598"/>
      <c r="J28" s="597"/>
      <c r="K28" s="598"/>
      <c r="L28" s="598"/>
      <c r="M28" s="598"/>
      <c r="N28" s="597"/>
      <c r="O28" s="599"/>
      <c r="P28" s="597"/>
      <c r="Q28" s="599"/>
      <c r="R28" s="597"/>
      <c r="S28" s="599"/>
      <c r="T28" s="597"/>
      <c r="U28" s="599"/>
      <c r="V28" s="774"/>
      <c r="W28" s="774"/>
      <c r="X28" s="774"/>
      <c r="Y28" s="774"/>
      <c r="Z28" s="774"/>
      <c r="AA28" s="774"/>
      <c r="AB28" s="774"/>
      <c r="AC28" s="774"/>
      <c r="AD28" s="774"/>
      <c r="AE28" s="774"/>
      <c r="AF28" s="774"/>
      <c r="AG28" s="774"/>
      <c r="AH28" s="774"/>
      <c r="AI28" s="774"/>
      <c r="AJ28" s="774"/>
      <c r="AK28" s="774"/>
      <c r="AL28" s="774"/>
      <c r="AM28" s="774"/>
      <c r="AN28" s="774"/>
      <c r="AO28" s="774"/>
      <c r="AP28" s="774"/>
      <c r="AQ28" s="774"/>
      <c r="AR28" s="774"/>
      <c r="AS28" s="774"/>
      <c r="AT28" s="774"/>
      <c r="AU28" s="600"/>
      <c r="AV28" s="600"/>
      <c r="AW28" s="600"/>
      <c r="AX28" s="597"/>
      <c r="AY28" s="597"/>
      <c r="AZ28" s="214"/>
      <c r="BA28" s="490" t="str">
        <f t="shared" si="0"/>
        <v>SUM_CO2</v>
      </c>
      <c r="BB28" s="581" t="str">
        <f t="shared" si="1"/>
        <v>SUM_EnergyIN</v>
      </c>
      <c r="BC28" s="602"/>
      <c r="BD28" s="23"/>
    </row>
    <row r="29" spans="1:56" x14ac:dyDescent="0.2">
      <c r="A29" s="602"/>
      <c r="B29" s="214"/>
      <c r="C29" s="544">
        <v>6</v>
      </c>
      <c r="D29" s="596"/>
      <c r="E29" s="596"/>
      <c r="F29" s="597"/>
      <c r="G29" s="598"/>
      <c r="H29" s="597"/>
      <c r="I29" s="598"/>
      <c r="J29" s="597"/>
      <c r="K29" s="598"/>
      <c r="L29" s="598"/>
      <c r="M29" s="598"/>
      <c r="N29" s="597"/>
      <c r="O29" s="599"/>
      <c r="P29" s="597"/>
      <c r="Q29" s="599"/>
      <c r="R29" s="597"/>
      <c r="S29" s="599"/>
      <c r="T29" s="597"/>
      <c r="U29" s="599"/>
      <c r="V29" s="774"/>
      <c r="W29" s="774"/>
      <c r="X29" s="774"/>
      <c r="Y29" s="774"/>
      <c r="Z29" s="774"/>
      <c r="AA29" s="774"/>
      <c r="AB29" s="774"/>
      <c r="AC29" s="774"/>
      <c r="AD29" s="774"/>
      <c r="AE29" s="774"/>
      <c r="AF29" s="774"/>
      <c r="AG29" s="774"/>
      <c r="AH29" s="774"/>
      <c r="AI29" s="774"/>
      <c r="AJ29" s="774"/>
      <c r="AK29" s="774"/>
      <c r="AL29" s="774"/>
      <c r="AM29" s="774"/>
      <c r="AN29" s="774"/>
      <c r="AO29" s="774"/>
      <c r="AP29" s="774"/>
      <c r="AQ29" s="774"/>
      <c r="AR29" s="774"/>
      <c r="AS29" s="774"/>
      <c r="AT29" s="774"/>
      <c r="AU29" s="600"/>
      <c r="AV29" s="600"/>
      <c r="AW29" s="600"/>
      <c r="AX29" s="597"/>
      <c r="AY29" s="597"/>
      <c r="AZ29" s="214"/>
      <c r="BA29" s="490" t="str">
        <f t="shared" si="0"/>
        <v>SUM_CO2</v>
      </c>
      <c r="BB29" s="581" t="str">
        <f t="shared" si="1"/>
        <v>SUM_EnergyIN</v>
      </c>
      <c r="BC29" s="602"/>
      <c r="BD29" s="23"/>
    </row>
    <row r="30" spans="1:56" x14ac:dyDescent="0.2">
      <c r="A30" s="602"/>
      <c r="B30" s="214"/>
      <c r="C30" s="544">
        <v>7</v>
      </c>
      <c r="D30" s="596"/>
      <c r="E30" s="596"/>
      <c r="F30" s="597"/>
      <c r="G30" s="598"/>
      <c r="H30" s="597"/>
      <c r="I30" s="598"/>
      <c r="J30" s="597"/>
      <c r="K30" s="598"/>
      <c r="L30" s="598"/>
      <c r="M30" s="598"/>
      <c r="N30" s="597"/>
      <c r="O30" s="599"/>
      <c r="P30" s="597"/>
      <c r="Q30" s="599"/>
      <c r="R30" s="597"/>
      <c r="S30" s="599"/>
      <c r="T30" s="597"/>
      <c r="U30" s="599"/>
      <c r="V30" s="774"/>
      <c r="W30" s="774"/>
      <c r="X30" s="774"/>
      <c r="Y30" s="774"/>
      <c r="Z30" s="774"/>
      <c r="AA30" s="774"/>
      <c r="AB30" s="774"/>
      <c r="AC30" s="774"/>
      <c r="AD30" s="774"/>
      <c r="AE30" s="774"/>
      <c r="AF30" s="774"/>
      <c r="AG30" s="774"/>
      <c r="AH30" s="774"/>
      <c r="AI30" s="774"/>
      <c r="AJ30" s="774"/>
      <c r="AK30" s="774"/>
      <c r="AL30" s="774"/>
      <c r="AM30" s="774"/>
      <c r="AN30" s="774"/>
      <c r="AO30" s="774"/>
      <c r="AP30" s="774"/>
      <c r="AQ30" s="774"/>
      <c r="AR30" s="774"/>
      <c r="AS30" s="774"/>
      <c r="AT30" s="774"/>
      <c r="AU30" s="600"/>
      <c r="AV30" s="600"/>
      <c r="AW30" s="600"/>
      <c r="AX30" s="597"/>
      <c r="AY30" s="597"/>
      <c r="AZ30" s="214"/>
      <c r="BA30" s="490" t="str">
        <f t="shared" si="0"/>
        <v>SUM_CO2</v>
      </c>
      <c r="BB30" s="581" t="str">
        <f t="shared" si="1"/>
        <v>SUM_EnergyIN</v>
      </c>
      <c r="BC30" s="602"/>
      <c r="BD30" s="23"/>
    </row>
    <row r="31" spans="1:56" x14ac:dyDescent="0.2">
      <c r="A31" s="602"/>
      <c r="B31" s="214"/>
      <c r="C31" s="544">
        <v>8</v>
      </c>
      <c r="D31" s="596"/>
      <c r="E31" s="596"/>
      <c r="F31" s="597"/>
      <c r="G31" s="598"/>
      <c r="H31" s="597"/>
      <c r="I31" s="598"/>
      <c r="J31" s="597"/>
      <c r="K31" s="598"/>
      <c r="L31" s="598"/>
      <c r="M31" s="598"/>
      <c r="N31" s="597"/>
      <c r="O31" s="599"/>
      <c r="P31" s="597"/>
      <c r="Q31" s="599"/>
      <c r="R31" s="597"/>
      <c r="S31" s="599"/>
      <c r="T31" s="597"/>
      <c r="U31" s="599"/>
      <c r="V31" s="774"/>
      <c r="W31" s="774"/>
      <c r="X31" s="774"/>
      <c r="Y31" s="774"/>
      <c r="Z31" s="774"/>
      <c r="AA31" s="774"/>
      <c r="AB31" s="774"/>
      <c r="AC31" s="774"/>
      <c r="AD31" s="774"/>
      <c r="AE31" s="774"/>
      <c r="AF31" s="774"/>
      <c r="AG31" s="774"/>
      <c r="AH31" s="774"/>
      <c r="AI31" s="774"/>
      <c r="AJ31" s="774"/>
      <c r="AK31" s="774"/>
      <c r="AL31" s="774"/>
      <c r="AM31" s="774"/>
      <c r="AN31" s="774"/>
      <c r="AO31" s="774"/>
      <c r="AP31" s="774"/>
      <c r="AQ31" s="774"/>
      <c r="AR31" s="774"/>
      <c r="AS31" s="774"/>
      <c r="AT31" s="774"/>
      <c r="AU31" s="600"/>
      <c r="AV31" s="600"/>
      <c r="AW31" s="600"/>
      <c r="AX31" s="597"/>
      <c r="AY31" s="597"/>
      <c r="AZ31" s="214"/>
      <c r="BA31" s="490" t="str">
        <f t="shared" si="0"/>
        <v>SUM_CO2</v>
      </c>
      <c r="BB31" s="581" t="str">
        <f t="shared" si="1"/>
        <v>SUM_EnergyIN</v>
      </c>
      <c r="BC31" s="602"/>
      <c r="BD31" s="23"/>
    </row>
    <row r="32" spans="1:56" x14ac:dyDescent="0.2">
      <c r="A32" s="602"/>
      <c r="B32" s="214"/>
      <c r="C32" s="544">
        <v>9</v>
      </c>
      <c r="D32" s="596"/>
      <c r="E32" s="596"/>
      <c r="F32" s="597"/>
      <c r="G32" s="598"/>
      <c r="H32" s="597"/>
      <c r="I32" s="598"/>
      <c r="J32" s="597"/>
      <c r="K32" s="598"/>
      <c r="L32" s="598"/>
      <c r="M32" s="598"/>
      <c r="N32" s="597"/>
      <c r="O32" s="599"/>
      <c r="P32" s="597"/>
      <c r="Q32" s="599"/>
      <c r="R32" s="597"/>
      <c r="S32" s="599"/>
      <c r="T32" s="597"/>
      <c r="U32" s="599"/>
      <c r="V32" s="774"/>
      <c r="W32" s="774"/>
      <c r="X32" s="774"/>
      <c r="Y32" s="774"/>
      <c r="Z32" s="774"/>
      <c r="AA32" s="774"/>
      <c r="AB32" s="774"/>
      <c r="AC32" s="774"/>
      <c r="AD32" s="774"/>
      <c r="AE32" s="774"/>
      <c r="AF32" s="774"/>
      <c r="AG32" s="774"/>
      <c r="AH32" s="774"/>
      <c r="AI32" s="774"/>
      <c r="AJ32" s="774"/>
      <c r="AK32" s="774"/>
      <c r="AL32" s="774"/>
      <c r="AM32" s="774"/>
      <c r="AN32" s="774"/>
      <c r="AO32" s="774"/>
      <c r="AP32" s="774"/>
      <c r="AQ32" s="774"/>
      <c r="AR32" s="774"/>
      <c r="AS32" s="774"/>
      <c r="AT32" s="774"/>
      <c r="AU32" s="600"/>
      <c r="AV32" s="600"/>
      <c r="AW32" s="600"/>
      <c r="AX32" s="597"/>
      <c r="AY32" s="597"/>
      <c r="AZ32" s="214"/>
      <c r="BA32" s="490" t="str">
        <f t="shared" si="0"/>
        <v>SUM_CO2</v>
      </c>
      <c r="BB32" s="581" t="str">
        <f t="shared" si="1"/>
        <v>SUM_EnergyIN</v>
      </c>
      <c r="BC32" s="602"/>
      <c r="BD32" s="23"/>
    </row>
    <row r="33" spans="1:56" x14ac:dyDescent="0.2">
      <c r="A33" s="602"/>
      <c r="B33" s="214"/>
      <c r="C33" s="544">
        <v>10</v>
      </c>
      <c r="D33" s="596"/>
      <c r="E33" s="596"/>
      <c r="F33" s="597"/>
      <c r="G33" s="598"/>
      <c r="H33" s="597"/>
      <c r="I33" s="598"/>
      <c r="J33" s="597"/>
      <c r="K33" s="598"/>
      <c r="L33" s="598"/>
      <c r="M33" s="598"/>
      <c r="N33" s="597"/>
      <c r="O33" s="599"/>
      <c r="P33" s="597"/>
      <c r="Q33" s="599"/>
      <c r="R33" s="597"/>
      <c r="S33" s="599"/>
      <c r="T33" s="597"/>
      <c r="U33" s="599"/>
      <c r="V33" s="774"/>
      <c r="W33" s="774"/>
      <c r="X33" s="774"/>
      <c r="Y33" s="774"/>
      <c r="Z33" s="774"/>
      <c r="AA33" s="774"/>
      <c r="AB33" s="774"/>
      <c r="AC33" s="774"/>
      <c r="AD33" s="774"/>
      <c r="AE33" s="774"/>
      <c r="AF33" s="774"/>
      <c r="AG33" s="774"/>
      <c r="AH33" s="774"/>
      <c r="AI33" s="774"/>
      <c r="AJ33" s="774"/>
      <c r="AK33" s="774"/>
      <c r="AL33" s="774"/>
      <c r="AM33" s="774"/>
      <c r="AN33" s="774"/>
      <c r="AO33" s="774"/>
      <c r="AP33" s="774"/>
      <c r="AQ33" s="774"/>
      <c r="AR33" s="774"/>
      <c r="AS33" s="774"/>
      <c r="AT33" s="774"/>
      <c r="AU33" s="600"/>
      <c r="AV33" s="600"/>
      <c r="AW33" s="600"/>
      <c r="AX33" s="597"/>
      <c r="AY33" s="597"/>
      <c r="AZ33" s="214"/>
      <c r="BA33" s="490" t="str">
        <f t="shared" si="0"/>
        <v>SUM_CO2</v>
      </c>
      <c r="BB33" s="581" t="str">
        <f t="shared" si="1"/>
        <v>SUM_EnergyIN</v>
      </c>
      <c r="BC33" s="602"/>
      <c r="BD33" s="23"/>
    </row>
    <row r="34" spans="1:56" x14ac:dyDescent="0.2">
      <c r="A34" s="602"/>
      <c r="B34" s="214"/>
      <c r="C34" s="544">
        <v>11</v>
      </c>
      <c r="D34" s="596"/>
      <c r="E34" s="596"/>
      <c r="F34" s="597"/>
      <c r="G34" s="598"/>
      <c r="H34" s="597"/>
      <c r="I34" s="598"/>
      <c r="J34" s="597"/>
      <c r="K34" s="598"/>
      <c r="L34" s="598"/>
      <c r="M34" s="598"/>
      <c r="N34" s="597"/>
      <c r="O34" s="599"/>
      <c r="P34" s="597"/>
      <c r="Q34" s="599"/>
      <c r="R34" s="597"/>
      <c r="S34" s="599"/>
      <c r="T34" s="597"/>
      <c r="U34" s="599"/>
      <c r="V34" s="774"/>
      <c r="W34" s="774"/>
      <c r="X34" s="774"/>
      <c r="Y34" s="774"/>
      <c r="Z34" s="774"/>
      <c r="AA34" s="774"/>
      <c r="AB34" s="774"/>
      <c r="AC34" s="774"/>
      <c r="AD34" s="774"/>
      <c r="AE34" s="774"/>
      <c r="AF34" s="774"/>
      <c r="AG34" s="774"/>
      <c r="AH34" s="774"/>
      <c r="AI34" s="774"/>
      <c r="AJ34" s="774"/>
      <c r="AK34" s="774"/>
      <c r="AL34" s="774"/>
      <c r="AM34" s="774"/>
      <c r="AN34" s="774"/>
      <c r="AO34" s="774"/>
      <c r="AP34" s="774"/>
      <c r="AQ34" s="774"/>
      <c r="AR34" s="774"/>
      <c r="AS34" s="774"/>
      <c r="AT34" s="774"/>
      <c r="AU34" s="600"/>
      <c r="AV34" s="600"/>
      <c r="AW34" s="600"/>
      <c r="AX34" s="597"/>
      <c r="AY34" s="597"/>
      <c r="AZ34" s="214"/>
      <c r="BA34" s="490" t="str">
        <f t="shared" si="0"/>
        <v>SUM_CO2</v>
      </c>
      <c r="BB34" s="581" t="str">
        <f t="shared" si="1"/>
        <v>SUM_EnergyIN</v>
      </c>
      <c r="BC34" s="602"/>
      <c r="BD34" s="23"/>
    </row>
    <row r="35" spans="1:56" x14ac:dyDescent="0.2">
      <c r="A35" s="602"/>
      <c r="B35" s="214"/>
      <c r="C35" s="544">
        <v>12</v>
      </c>
      <c r="D35" s="596"/>
      <c r="E35" s="596"/>
      <c r="F35" s="597"/>
      <c r="G35" s="598"/>
      <c r="H35" s="597"/>
      <c r="I35" s="598"/>
      <c r="J35" s="597"/>
      <c r="K35" s="598"/>
      <c r="L35" s="598"/>
      <c r="M35" s="598"/>
      <c r="N35" s="597"/>
      <c r="O35" s="599"/>
      <c r="P35" s="597"/>
      <c r="Q35" s="599"/>
      <c r="R35" s="597"/>
      <c r="S35" s="599"/>
      <c r="T35" s="597"/>
      <c r="U35" s="599"/>
      <c r="V35" s="774"/>
      <c r="W35" s="774"/>
      <c r="X35" s="774"/>
      <c r="Y35" s="774"/>
      <c r="Z35" s="774"/>
      <c r="AA35" s="774"/>
      <c r="AB35" s="774"/>
      <c r="AC35" s="774"/>
      <c r="AD35" s="774"/>
      <c r="AE35" s="774"/>
      <c r="AF35" s="774"/>
      <c r="AG35" s="774"/>
      <c r="AH35" s="774"/>
      <c r="AI35" s="774"/>
      <c r="AJ35" s="774"/>
      <c r="AK35" s="774"/>
      <c r="AL35" s="774"/>
      <c r="AM35" s="774"/>
      <c r="AN35" s="774"/>
      <c r="AO35" s="774"/>
      <c r="AP35" s="774"/>
      <c r="AQ35" s="774"/>
      <c r="AR35" s="774"/>
      <c r="AS35" s="774"/>
      <c r="AT35" s="774"/>
      <c r="AU35" s="600"/>
      <c r="AV35" s="600"/>
      <c r="AW35" s="600"/>
      <c r="AX35" s="597"/>
      <c r="AY35" s="597"/>
      <c r="AZ35" s="214"/>
      <c r="BA35" s="490" t="str">
        <f t="shared" si="0"/>
        <v>SUM_CO2</v>
      </c>
      <c r="BB35" s="581" t="str">
        <f t="shared" si="1"/>
        <v>SUM_EnergyIN</v>
      </c>
      <c r="BC35" s="602"/>
      <c r="BD35" s="23"/>
    </row>
    <row r="36" spans="1:56" x14ac:dyDescent="0.2">
      <c r="A36" s="602"/>
      <c r="B36" s="214"/>
      <c r="C36" s="544">
        <v>13</v>
      </c>
      <c r="D36" s="596"/>
      <c r="E36" s="596"/>
      <c r="F36" s="597"/>
      <c r="G36" s="598"/>
      <c r="H36" s="597"/>
      <c r="I36" s="598"/>
      <c r="J36" s="597"/>
      <c r="K36" s="598"/>
      <c r="L36" s="598"/>
      <c r="M36" s="598"/>
      <c r="N36" s="597"/>
      <c r="O36" s="599"/>
      <c r="P36" s="597"/>
      <c r="Q36" s="599"/>
      <c r="R36" s="597"/>
      <c r="S36" s="599"/>
      <c r="T36" s="597"/>
      <c r="U36" s="599"/>
      <c r="V36" s="774"/>
      <c r="W36" s="774"/>
      <c r="X36" s="774"/>
      <c r="Y36" s="774"/>
      <c r="Z36" s="774"/>
      <c r="AA36" s="774"/>
      <c r="AB36" s="774"/>
      <c r="AC36" s="774"/>
      <c r="AD36" s="774"/>
      <c r="AE36" s="774"/>
      <c r="AF36" s="774"/>
      <c r="AG36" s="774"/>
      <c r="AH36" s="774"/>
      <c r="AI36" s="774"/>
      <c r="AJ36" s="774"/>
      <c r="AK36" s="774"/>
      <c r="AL36" s="774"/>
      <c r="AM36" s="774"/>
      <c r="AN36" s="774"/>
      <c r="AO36" s="774"/>
      <c r="AP36" s="774"/>
      <c r="AQ36" s="774"/>
      <c r="AR36" s="774"/>
      <c r="AS36" s="774"/>
      <c r="AT36" s="774"/>
      <c r="AU36" s="600"/>
      <c r="AV36" s="600"/>
      <c r="AW36" s="600"/>
      <c r="AX36" s="597"/>
      <c r="AY36" s="597"/>
      <c r="AZ36" s="214"/>
      <c r="BA36" s="490" t="str">
        <f t="shared" si="0"/>
        <v>SUM_CO2</v>
      </c>
      <c r="BB36" s="581" t="str">
        <f t="shared" si="1"/>
        <v>SUM_EnergyIN</v>
      </c>
      <c r="BC36" s="602"/>
      <c r="BD36" s="23"/>
    </row>
    <row r="37" spans="1:56" x14ac:dyDescent="0.2">
      <c r="A37" s="602"/>
      <c r="B37" s="214"/>
      <c r="C37" s="544">
        <v>14</v>
      </c>
      <c r="D37" s="596"/>
      <c r="E37" s="596"/>
      <c r="F37" s="597"/>
      <c r="G37" s="598"/>
      <c r="H37" s="597"/>
      <c r="I37" s="598"/>
      <c r="J37" s="597"/>
      <c r="K37" s="598"/>
      <c r="L37" s="598"/>
      <c r="M37" s="598"/>
      <c r="N37" s="597"/>
      <c r="O37" s="599"/>
      <c r="P37" s="597"/>
      <c r="Q37" s="599"/>
      <c r="R37" s="597"/>
      <c r="S37" s="599"/>
      <c r="T37" s="597"/>
      <c r="U37" s="599"/>
      <c r="V37" s="774"/>
      <c r="W37" s="774"/>
      <c r="X37" s="774"/>
      <c r="Y37" s="774"/>
      <c r="Z37" s="774"/>
      <c r="AA37" s="774"/>
      <c r="AB37" s="774"/>
      <c r="AC37" s="774"/>
      <c r="AD37" s="774"/>
      <c r="AE37" s="774"/>
      <c r="AF37" s="774"/>
      <c r="AG37" s="774"/>
      <c r="AH37" s="774"/>
      <c r="AI37" s="774"/>
      <c r="AJ37" s="774"/>
      <c r="AK37" s="774"/>
      <c r="AL37" s="774"/>
      <c r="AM37" s="774"/>
      <c r="AN37" s="774"/>
      <c r="AO37" s="774"/>
      <c r="AP37" s="774"/>
      <c r="AQ37" s="774"/>
      <c r="AR37" s="774"/>
      <c r="AS37" s="774"/>
      <c r="AT37" s="774"/>
      <c r="AU37" s="600"/>
      <c r="AV37" s="600"/>
      <c r="AW37" s="600"/>
      <c r="AX37" s="597"/>
      <c r="AY37" s="597"/>
      <c r="AZ37" s="214"/>
      <c r="BA37" s="490" t="str">
        <f t="shared" si="0"/>
        <v>SUM_CO2</v>
      </c>
      <c r="BB37" s="581" t="str">
        <f t="shared" si="1"/>
        <v>SUM_EnergyIN</v>
      </c>
      <c r="BC37" s="602"/>
      <c r="BD37" s="23"/>
    </row>
    <row r="38" spans="1:56" x14ac:dyDescent="0.2">
      <c r="A38" s="602"/>
      <c r="B38" s="214"/>
      <c r="C38" s="544">
        <v>15</v>
      </c>
      <c r="D38" s="596"/>
      <c r="E38" s="596"/>
      <c r="F38" s="597"/>
      <c r="G38" s="598"/>
      <c r="H38" s="597"/>
      <c r="I38" s="598"/>
      <c r="J38" s="597"/>
      <c r="K38" s="598"/>
      <c r="L38" s="598"/>
      <c r="M38" s="598"/>
      <c r="N38" s="597"/>
      <c r="O38" s="599"/>
      <c r="P38" s="597"/>
      <c r="Q38" s="599"/>
      <c r="R38" s="597"/>
      <c r="S38" s="599"/>
      <c r="T38" s="597"/>
      <c r="U38" s="599"/>
      <c r="V38" s="774"/>
      <c r="W38" s="774"/>
      <c r="X38" s="774"/>
      <c r="Y38" s="774"/>
      <c r="Z38" s="774"/>
      <c r="AA38" s="774"/>
      <c r="AB38" s="774"/>
      <c r="AC38" s="774"/>
      <c r="AD38" s="774"/>
      <c r="AE38" s="774"/>
      <c r="AF38" s="774"/>
      <c r="AG38" s="774"/>
      <c r="AH38" s="774"/>
      <c r="AI38" s="774"/>
      <c r="AJ38" s="774"/>
      <c r="AK38" s="774"/>
      <c r="AL38" s="774"/>
      <c r="AM38" s="774"/>
      <c r="AN38" s="774"/>
      <c r="AO38" s="774"/>
      <c r="AP38" s="774"/>
      <c r="AQ38" s="774"/>
      <c r="AR38" s="774"/>
      <c r="AS38" s="774"/>
      <c r="AT38" s="774"/>
      <c r="AU38" s="600"/>
      <c r="AV38" s="600"/>
      <c r="AW38" s="600"/>
      <c r="AX38" s="597"/>
      <c r="AY38" s="597"/>
      <c r="AZ38" s="214"/>
      <c r="BA38" s="490" t="str">
        <f t="shared" si="0"/>
        <v>SUM_CO2</v>
      </c>
      <c r="BB38" s="581" t="str">
        <f t="shared" si="1"/>
        <v>SUM_EnergyIN</v>
      </c>
      <c r="BC38" s="602"/>
      <c r="BD38" s="23"/>
    </row>
    <row r="39" spans="1:56" x14ac:dyDescent="0.2">
      <c r="A39" s="602"/>
      <c r="B39" s="214"/>
      <c r="C39" s="544">
        <v>16</v>
      </c>
      <c r="D39" s="596"/>
      <c r="E39" s="596"/>
      <c r="F39" s="597"/>
      <c r="G39" s="598"/>
      <c r="H39" s="597"/>
      <c r="I39" s="598"/>
      <c r="J39" s="597"/>
      <c r="K39" s="598"/>
      <c r="L39" s="598"/>
      <c r="M39" s="598"/>
      <c r="N39" s="597"/>
      <c r="O39" s="599"/>
      <c r="P39" s="597"/>
      <c r="Q39" s="599"/>
      <c r="R39" s="597"/>
      <c r="S39" s="599"/>
      <c r="T39" s="597"/>
      <c r="U39" s="599"/>
      <c r="V39" s="774"/>
      <c r="W39" s="774"/>
      <c r="X39" s="774"/>
      <c r="Y39" s="774"/>
      <c r="Z39" s="774"/>
      <c r="AA39" s="774"/>
      <c r="AB39" s="774"/>
      <c r="AC39" s="774"/>
      <c r="AD39" s="774"/>
      <c r="AE39" s="774"/>
      <c r="AF39" s="774"/>
      <c r="AG39" s="774"/>
      <c r="AH39" s="774"/>
      <c r="AI39" s="774"/>
      <c r="AJ39" s="774"/>
      <c r="AK39" s="774"/>
      <c r="AL39" s="774"/>
      <c r="AM39" s="774"/>
      <c r="AN39" s="774"/>
      <c r="AO39" s="774"/>
      <c r="AP39" s="774"/>
      <c r="AQ39" s="774"/>
      <c r="AR39" s="774"/>
      <c r="AS39" s="774"/>
      <c r="AT39" s="774"/>
      <c r="AU39" s="600"/>
      <c r="AV39" s="600"/>
      <c r="AW39" s="600"/>
      <c r="AX39" s="597"/>
      <c r="AY39" s="597"/>
      <c r="AZ39" s="214"/>
      <c r="BA39" s="490" t="str">
        <f t="shared" si="0"/>
        <v>SUM_CO2</v>
      </c>
      <c r="BB39" s="581" t="str">
        <f t="shared" si="1"/>
        <v>SUM_EnergyIN</v>
      </c>
      <c r="BC39" s="602"/>
      <c r="BD39" s="23"/>
    </row>
    <row r="40" spans="1:56" x14ac:dyDescent="0.2">
      <c r="A40" s="602"/>
      <c r="B40" s="214"/>
      <c r="C40" s="544">
        <v>17</v>
      </c>
      <c r="D40" s="596"/>
      <c r="E40" s="596"/>
      <c r="F40" s="597"/>
      <c r="G40" s="598"/>
      <c r="H40" s="597"/>
      <c r="I40" s="598"/>
      <c r="J40" s="597"/>
      <c r="K40" s="598"/>
      <c r="L40" s="598"/>
      <c r="M40" s="598"/>
      <c r="N40" s="597"/>
      <c r="O40" s="599"/>
      <c r="P40" s="597"/>
      <c r="Q40" s="599"/>
      <c r="R40" s="597"/>
      <c r="S40" s="599"/>
      <c r="T40" s="597"/>
      <c r="U40" s="599"/>
      <c r="V40" s="774"/>
      <c r="W40" s="774"/>
      <c r="X40" s="774"/>
      <c r="Y40" s="774"/>
      <c r="Z40" s="774"/>
      <c r="AA40" s="774"/>
      <c r="AB40" s="774"/>
      <c r="AC40" s="774"/>
      <c r="AD40" s="774"/>
      <c r="AE40" s="774"/>
      <c r="AF40" s="774"/>
      <c r="AG40" s="774"/>
      <c r="AH40" s="774"/>
      <c r="AI40" s="774"/>
      <c r="AJ40" s="774"/>
      <c r="AK40" s="774"/>
      <c r="AL40" s="774"/>
      <c r="AM40" s="774"/>
      <c r="AN40" s="774"/>
      <c r="AO40" s="774"/>
      <c r="AP40" s="774"/>
      <c r="AQ40" s="774"/>
      <c r="AR40" s="774"/>
      <c r="AS40" s="774"/>
      <c r="AT40" s="774"/>
      <c r="AU40" s="600"/>
      <c r="AV40" s="600"/>
      <c r="AW40" s="600"/>
      <c r="AX40" s="597"/>
      <c r="AY40" s="597"/>
      <c r="AZ40" s="214"/>
      <c r="BA40" s="490" t="str">
        <f t="shared" si="0"/>
        <v>SUM_CO2</v>
      </c>
      <c r="BB40" s="581" t="str">
        <f t="shared" si="1"/>
        <v>SUM_EnergyIN</v>
      </c>
      <c r="BC40" s="602"/>
      <c r="BD40" s="23"/>
    </row>
    <row r="41" spans="1:56" x14ac:dyDescent="0.2">
      <c r="A41" s="602"/>
      <c r="B41" s="214"/>
      <c r="C41" s="544">
        <v>18</v>
      </c>
      <c r="D41" s="596"/>
      <c r="E41" s="596"/>
      <c r="F41" s="597"/>
      <c r="G41" s="598"/>
      <c r="H41" s="597"/>
      <c r="I41" s="598"/>
      <c r="J41" s="597"/>
      <c r="K41" s="598"/>
      <c r="L41" s="598"/>
      <c r="M41" s="598"/>
      <c r="N41" s="597"/>
      <c r="O41" s="599"/>
      <c r="P41" s="597"/>
      <c r="Q41" s="599"/>
      <c r="R41" s="597"/>
      <c r="S41" s="599"/>
      <c r="T41" s="597"/>
      <c r="U41" s="599"/>
      <c r="V41" s="774"/>
      <c r="W41" s="774"/>
      <c r="X41" s="774"/>
      <c r="Y41" s="774"/>
      <c r="Z41" s="774"/>
      <c r="AA41" s="774"/>
      <c r="AB41" s="774"/>
      <c r="AC41" s="774"/>
      <c r="AD41" s="774"/>
      <c r="AE41" s="774"/>
      <c r="AF41" s="774"/>
      <c r="AG41" s="774"/>
      <c r="AH41" s="774"/>
      <c r="AI41" s="774"/>
      <c r="AJ41" s="774"/>
      <c r="AK41" s="774"/>
      <c r="AL41" s="774"/>
      <c r="AM41" s="774"/>
      <c r="AN41" s="774"/>
      <c r="AO41" s="774"/>
      <c r="AP41" s="774"/>
      <c r="AQ41" s="774"/>
      <c r="AR41" s="774"/>
      <c r="AS41" s="774"/>
      <c r="AT41" s="774"/>
      <c r="AU41" s="600"/>
      <c r="AV41" s="600"/>
      <c r="AW41" s="600"/>
      <c r="AX41" s="597"/>
      <c r="AY41" s="597"/>
      <c r="AZ41" s="214"/>
      <c r="BA41" s="490" t="str">
        <f t="shared" si="0"/>
        <v>SUM_CO2</v>
      </c>
      <c r="BB41" s="581" t="str">
        <f t="shared" si="1"/>
        <v>SUM_EnergyIN</v>
      </c>
      <c r="BC41" s="602"/>
      <c r="BD41" s="23"/>
    </row>
    <row r="42" spans="1:56" x14ac:dyDescent="0.2">
      <c r="A42" s="602"/>
      <c r="B42" s="214"/>
      <c r="C42" s="544">
        <v>19</v>
      </c>
      <c r="D42" s="596"/>
      <c r="E42" s="596"/>
      <c r="F42" s="597"/>
      <c r="G42" s="598"/>
      <c r="H42" s="597"/>
      <c r="I42" s="598"/>
      <c r="J42" s="597"/>
      <c r="K42" s="598"/>
      <c r="L42" s="598"/>
      <c r="M42" s="598"/>
      <c r="N42" s="597"/>
      <c r="O42" s="599"/>
      <c r="P42" s="597"/>
      <c r="Q42" s="599"/>
      <c r="R42" s="597"/>
      <c r="S42" s="599"/>
      <c r="T42" s="597"/>
      <c r="U42" s="599"/>
      <c r="V42" s="774"/>
      <c r="W42" s="774"/>
      <c r="X42" s="774"/>
      <c r="Y42" s="774"/>
      <c r="Z42" s="774"/>
      <c r="AA42" s="774"/>
      <c r="AB42" s="774"/>
      <c r="AC42" s="774"/>
      <c r="AD42" s="774"/>
      <c r="AE42" s="774"/>
      <c r="AF42" s="774"/>
      <c r="AG42" s="774"/>
      <c r="AH42" s="774"/>
      <c r="AI42" s="774"/>
      <c r="AJ42" s="774"/>
      <c r="AK42" s="774"/>
      <c r="AL42" s="774"/>
      <c r="AM42" s="774"/>
      <c r="AN42" s="774"/>
      <c r="AO42" s="774"/>
      <c r="AP42" s="774"/>
      <c r="AQ42" s="774"/>
      <c r="AR42" s="774"/>
      <c r="AS42" s="774"/>
      <c r="AT42" s="774"/>
      <c r="AU42" s="600"/>
      <c r="AV42" s="600"/>
      <c r="AW42" s="600"/>
      <c r="AX42" s="597"/>
      <c r="AY42" s="597"/>
      <c r="AZ42" s="214"/>
      <c r="BA42" s="490" t="str">
        <f t="shared" si="0"/>
        <v>SUM_CO2</v>
      </c>
      <c r="BB42" s="581" t="str">
        <f t="shared" si="1"/>
        <v>SUM_EnergyIN</v>
      </c>
      <c r="BC42" s="602"/>
      <c r="BD42" s="23"/>
    </row>
    <row r="43" spans="1:56" x14ac:dyDescent="0.2">
      <c r="A43" s="602"/>
      <c r="B43" s="214"/>
      <c r="C43" s="544">
        <v>20</v>
      </c>
      <c r="D43" s="596"/>
      <c r="E43" s="596"/>
      <c r="F43" s="597"/>
      <c r="G43" s="598"/>
      <c r="H43" s="597"/>
      <c r="I43" s="598"/>
      <c r="J43" s="597"/>
      <c r="K43" s="598"/>
      <c r="L43" s="598"/>
      <c r="M43" s="598"/>
      <c r="N43" s="597"/>
      <c r="O43" s="599"/>
      <c r="P43" s="597"/>
      <c r="Q43" s="599"/>
      <c r="R43" s="597"/>
      <c r="S43" s="599"/>
      <c r="T43" s="597"/>
      <c r="U43" s="599"/>
      <c r="V43" s="774"/>
      <c r="W43" s="774"/>
      <c r="X43" s="774"/>
      <c r="Y43" s="774"/>
      <c r="Z43" s="774"/>
      <c r="AA43" s="774"/>
      <c r="AB43" s="774"/>
      <c r="AC43" s="774"/>
      <c r="AD43" s="774"/>
      <c r="AE43" s="774"/>
      <c r="AF43" s="774"/>
      <c r="AG43" s="774"/>
      <c r="AH43" s="774"/>
      <c r="AI43" s="774"/>
      <c r="AJ43" s="774"/>
      <c r="AK43" s="774"/>
      <c r="AL43" s="774"/>
      <c r="AM43" s="774"/>
      <c r="AN43" s="774"/>
      <c r="AO43" s="774"/>
      <c r="AP43" s="774"/>
      <c r="AQ43" s="774"/>
      <c r="AR43" s="774"/>
      <c r="AS43" s="774"/>
      <c r="AT43" s="774"/>
      <c r="AU43" s="600"/>
      <c r="AV43" s="600"/>
      <c r="AW43" s="600"/>
      <c r="AX43" s="597"/>
      <c r="AY43" s="597"/>
      <c r="AZ43" s="214"/>
      <c r="BA43" s="490" t="str">
        <f t="shared" si="0"/>
        <v>SUM_CO2</v>
      </c>
      <c r="BB43" s="581" t="str">
        <f t="shared" si="1"/>
        <v>SUM_EnergyIN</v>
      </c>
      <c r="BC43" s="602"/>
      <c r="BD43" s="23"/>
    </row>
    <row r="44" spans="1:56" x14ac:dyDescent="0.2">
      <c r="A44" s="602"/>
      <c r="B44" s="214"/>
      <c r="C44" s="544">
        <v>21</v>
      </c>
      <c r="D44" s="596"/>
      <c r="E44" s="596"/>
      <c r="F44" s="597"/>
      <c r="G44" s="598"/>
      <c r="H44" s="597"/>
      <c r="I44" s="598"/>
      <c r="J44" s="597"/>
      <c r="K44" s="598"/>
      <c r="L44" s="598"/>
      <c r="M44" s="598"/>
      <c r="N44" s="597"/>
      <c r="O44" s="599"/>
      <c r="P44" s="597"/>
      <c r="Q44" s="599"/>
      <c r="R44" s="597"/>
      <c r="S44" s="599"/>
      <c r="T44" s="597"/>
      <c r="U44" s="599"/>
      <c r="V44" s="774"/>
      <c r="W44" s="774"/>
      <c r="X44" s="774"/>
      <c r="Y44" s="774"/>
      <c r="Z44" s="774"/>
      <c r="AA44" s="774"/>
      <c r="AB44" s="774"/>
      <c r="AC44" s="774"/>
      <c r="AD44" s="774"/>
      <c r="AE44" s="774"/>
      <c r="AF44" s="774"/>
      <c r="AG44" s="774"/>
      <c r="AH44" s="774"/>
      <c r="AI44" s="774"/>
      <c r="AJ44" s="774"/>
      <c r="AK44" s="774"/>
      <c r="AL44" s="774"/>
      <c r="AM44" s="774"/>
      <c r="AN44" s="774"/>
      <c r="AO44" s="774"/>
      <c r="AP44" s="774"/>
      <c r="AQ44" s="774"/>
      <c r="AR44" s="774"/>
      <c r="AS44" s="774"/>
      <c r="AT44" s="774"/>
      <c r="AU44" s="600"/>
      <c r="AV44" s="600"/>
      <c r="AW44" s="600"/>
      <c r="AX44" s="597"/>
      <c r="AY44" s="597"/>
      <c r="AZ44" s="214"/>
      <c r="BA44" s="490" t="str">
        <f t="shared" si="0"/>
        <v>SUM_CO2</v>
      </c>
      <c r="BB44" s="581" t="str">
        <f t="shared" si="1"/>
        <v>SUM_EnergyIN</v>
      </c>
      <c r="BC44" s="602"/>
      <c r="BD44" s="23"/>
    </row>
    <row r="45" spans="1:56" x14ac:dyDescent="0.2">
      <c r="A45" s="602"/>
      <c r="B45" s="214"/>
      <c r="C45" s="544">
        <v>22</v>
      </c>
      <c r="D45" s="596"/>
      <c r="E45" s="596"/>
      <c r="F45" s="597"/>
      <c r="G45" s="598"/>
      <c r="H45" s="597"/>
      <c r="I45" s="598"/>
      <c r="J45" s="597"/>
      <c r="K45" s="598"/>
      <c r="L45" s="598"/>
      <c r="M45" s="598"/>
      <c r="N45" s="597"/>
      <c r="O45" s="599"/>
      <c r="P45" s="597"/>
      <c r="Q45" s="599"/>
      <c r="R45" s="597"/>
      <c r="S45" s="599"/>
      <c r="T45" s="597"/>
      <c r="U45" s="599"/>
      <c r="V45" s="774"/>
      <c r="W45" s="774"/>
      <c r="X45" s="774"/>
      <c r="Y45" s="774"/>
      <c r="Z45" s="774"/>
      <c r="AA45" s="774"/>
      <c r="AB45" s="774"/>
      <c r="AC45" s="774"/>
      <c r="AD45" s="774"/>
      <c r="AE45" s="774"/>
      <c r="AF45" s="774"/>
      <c r="AG45" s="774"/>
      <c r="AH45" s="774"/>
      <c r="AI45" s="774"/>
      <c r="AJ45" s="774"/>
      <c r="AK45" s="774"/>
      <c r="AL45" s="774"/>
      <c r="AM45" s="774"/>
      <c r="AN45" s="774"/>
      <c r="AO45" s="774"/>
      <c r="AP45" s="774"/>
      <c r="AQ45" s="774"/>
      <c r="AR45" s="774"/>
      <c r="AS45" s="774"/>
      <c r="AT45" s="774"/>
      <c r="AU45" s="600"/>
      <c r="AV45" s="600"/>
      <c r="AW45" s="600"/>
      <c r="AX45" s="597"/>
      <c r="AY45" s="597"/>
      <c r="AZ45" s="214"/>
      <c r="BA45" s="490" t="str">
        <f t="shared" si="0"/>
        <v>SUM_CO2</v>
      </c>
      <c r="BB45" s="581" t="str">
        <f t="shared" si="1"/>
        <v>SUM_EnergyIN</v>
      </c>
      <c r="BC45" s="602"/>
      <c r="BD45" s="23"/>
    </row>
    <row r="46" spans="1:56" x14ac:dyDescent="0.2">
      <c r="A46" s="602"/>
      <c r="B46" s="214"/>
      <c r="C46" s="544">
        <v>23</v>
      </c>
      <c r="D46" s="596"/>
      <c r="E46" s="596"/>
      <c r="F46" s="597"/>
      <c r="G46" s="598"/>
      <c r="H46" s="597"/>
      <c r="I46" s="598"/>
      <c r="J46" s="597"/>
      <c r="K46" s="598"/>
      <c r="L46" s="598"/>
      <c r="M46" s="598"/>
      <c r="N46" s="597"/>
      <c r="O46" s="599"/>
      <c r="P46" s="597"/>
      <c r="Q46" s="599"/>
      <c r="R46" s="597"/>
      <c r="S46" s="599"/>
      <c r="T46" s="597"/>
      <c r="U46" s="599"/>
      <c r="V46" s="774"/>
      <c r="W46" s="774"/>
      <c r="X46" s="774"/>
      <c r="Y46" s="774"/>
      <c r="Z46" s="774"/>
      <c r="AA46" s="774"/>
      <c r="AB46" s="774"/>
      <c r="AC46" s="774"/>
      <c r="AD46" s="774"/>
      <c r="AE46" s="774"/>
      <c r="AF46" s="774"/>
      <c r="AG46" s="774"/>
      <c r="AH46" s="774"/>
      <c r="AI46" s="774"/>
      <c r="AJ46" s="774"/>
      <c r="AK46" s="774"/>
      <c r="AL46" s="774"/>
      <c r="AM46" s="774"/>
      <c r="AN46" s="774"/>
      <c r="AO46" s="774"/>
      <c r="AP46" s="774"/>
      <c r="AQ46" s="774"/>
      <c r="AR46" s="774"/>
      <c r="AS46" s="774"/>
      <c r="AT46" s="774"/>
      <c r="AU46" s="600"/>
      <c r="AV46" s="600"/>
      <c r="AW46" s="600"/>
      <c r="AX46" s="597"/>
      <c r="AY46" s="597"/>
      <c r="AZ46" s="214"/>
      <c r="BA46" s="490" t="str">
        <f t="shared" si="0"/>
        <v>SUM_CO2</v>
      </c>
      <c r="BB46" s="581" t="str">
        <f t="shared" si="1"/>
        <v>SUM_EnergyIN</v>
      </c>
      <c r="BC46" s="602"/>
      <c r="BD46" s="23"/>
    </row>
    <row r="47" spans="1:56" x14ac:dyDescent="0.2">
      <c r="A47" s="602"/>
      <c r="B47" s="214"/>
      <c r="C47" s="544">
        <v>24</v>
      </c>
      <c r="D47" s="596"/>
      <c r="E47" s="596"/>
      <c r="F47" s="597"/>
      <c r="G47" s="598"/>
      <c r="H47" s="597"/>
      <c r="I47" s="598"/>
      <c r="J47" s="597"/>
      <c r="K47" s="598"/>
      <c r="L47" s="598"/>
      <c r="M47" s="598"/>
      <c r="N47" s="597"/>
      <c r="O47" s="599"/>
      <c r="P47" s="597"/>
      <c r="Q47" s="599"/>
      <c r="R47" s="597"/>
      <c r="S47" s="599"/>
      <c r="T47" s="597"/>
      <c r="U47" s="599"/>
      <c r="V47" s="774"/>
      <c r="W47" s="774"/>
      <c r="X47" s="774"/>
      <c r="Y47" s="774"/>
      <c r="Z47" s="774"/>
      <c r="AA47" s="774"/>
      <c r="AB47" s="774"/>
      <c r="AC47" s="774"/>
      <c r="AD47" s="774"/>
      <c r="AE47" s="774"/>
      <c r="AF47" s="774"/>
      <c r="AG47" s="774"/>
      <c r="AH47" s="774"/>
      <c r="AI47" s="774"/>
      <c r="AJ47" s="774"/>
      <c r="AK47" s="774"/>
      <c r="AL47" s="774"/>
      <c r="AM47" s="774"/>
      <c r="AN47" s="774"/>
      <c r="AO47" s="774"/>
      <c r="AP47" s="774"/>
      <c r="AQ47" s="774"/>
      <c r="AR47" s="774"/>
      <c r="AS47" s="774"/>
      <c r="AT47" s="774"/>
      <c r="AU47" s="600"/>
      <c r="AV47" s="600"/>
      <c r="AW47" s="600"/>
      <c r="AX47" s="597"/>
      <c r="AY47" s="597"/>
      <c r="AZ47" s="214"/>
      <c r="BA47" s="490" t="str">
        <f t="shared" si="0"/>
        <v>SUM_CO2</v>
      </c>
      <c r="BB47" s="581" t="str">
        <f t="shared" si="1"/>
        <v>SUM_EnergyIN</v>
      </c>
      <c r="BC47" s="602"/>
      <c r="BD47" s="23"/>
    </row>
    <row r="48" spans="1:56" x14ac:dyDescent="0.2">
      <c r="A48" s="602"/>
      <c r="B48" s="214"/>
      <c r="C48" s="544">
        <v>25</v>
      </c>
      <c r="D48" s="596"/>
      <c r="E48" s="596"/>
      <c r="F48" s="597"/>
      <c r="G48" s="598"/>
      <c r="H48" s="597"/>
      <c r="I48" s="598"/>
      <c r="J48" s="597"/>
      <c r="K48" s="598"/>
      <c r="L48" s="598"/>
      <c r="M48" s="598"/>
      <c r="N48" s="597"/>
      <c r="O48" s="599"/>
      <c r="P48" s="597"/>
      <c r="Q48" s="599"/>
      <c r="R48" s="597"/>
      <c r="S48" s="599"/>
      <c r="T48" s="597"/>
      <c r="U48" s="599"/>
      <c r="V48" s="774"/>
      <c r="W48" s="774"/>
      <c r="X48" s="774"/>
      <c r="Y48" s="774"/>
      <c r="Z48" s="774"/>
      <c r="AA48" s="774"/>
      <c r="AB48" s="774"/>
      <c r="AC48" s="774"/>
      <c r="AD48" s="774"/>
      <c r="AE48" s="774"/>
      <c r="AF48" s="774"/>
      <c r="AG48" s="774"/>
      <c r="AH48" s="774"/>
      <c r="AI48" s="774"/>
      <c r="AJ48" s="774"/>
      <c r="AK48" s="774"/>
      <c r="AL48" s="774"/>
      <c r="AM48" s="774"/>
      <c r="AN48" s="774"/>
      <c r="AO48" s="774"/>
      <c r="AP48" s="774"/>
      <c r="AQ48" s="774"/>
      <c r="AR48" s="774"/>
      <c r="AS48" s="774"/>
      <c r="AT48" s="774"/>
      <c r="AU48" s="600"/>
      <c r="AV48" s="600"/>
      <c r="AW48" s="600"/>
      <c r="AX48" s="597"/>
      <c r="AY48" s="597"/>
      <c r="AZ48" s="214"/>
      <c r="BA48" s="490" t="str">
        <f t="shared" si="0"/>
        <v>SUM_CO2</v>
      </c>
      <c r="BB48" s="581" t="str">
        <f t="shared" si="1"/>
        <v>SUM_EnergyIN</v>
      </c>
      <c r="BC48" s="602"/>
      <c r="BD48" s="23"/>
    </row>
    <row r="49" spans="1:56" x14ac:dyDescent="0.2">
      <c r="A49" s="602"/>
      <c r="B49" s="214"/>
      <c r="C49" s="544">
        <v>26</v>
      </c>
      <c r="D49" s="596"/>
      <c r="E49" s="596"/>
      <c r="F49" s="597"/>
      <c r="G49" s="598"/>
      <c r="H49" s="597"/>
      <c r="I49" s="598"/>
      <c r="J49" s="597"/>
      <c r="K49" s="598"/>
      <c r="L49" s="598"/>
      <c r="M49" s="598"/>
      <c r="N49" s="597"/>
      <c r="O49" s="599"/>
      <c r="P49" s="597"/>
      <c r="Q49" s="599"/>
      <c r="R49" s="597"/>
      <c r="S49" s="599"/>
      <c r="T49" s="597"/>
      <c r="U49" s="599"/>
      <c r="V49" s="774"/>
      <c r="W49" s="774"/>
      <c r="X49" s="774"/>
      <c r="Y49" s="774"/>
      <c r="Z49" s="774"/>
      <c r="AA49" s="774"/>
      <c r="AB49" s="774"/>
      <c r="AC49" s="774"/>
      <c r="AD49" s="774"/>
      <c r="AE49" s="774"/>
      <c r="AF49" s="774"/>
      <c r="AG49" s="774"/>
      <c r="AH49" s="774"/>
      <c r="AI49" s="774"/>
      <c r="AJ49" s="774"/>
      <c r="AK49" s="774"/>
      <c r="AL49" s="774"/>
      <c r="AM49" s="774"/>
      <c r="AN49" s="774"/>
      <c r="AO49" s="774"/>
      <c r="AP49" s="774"/>
      <c r="AQ49" s="774"/>
      <c r="AR49" s="774"/>
      <c r="AS49" s="774"/>
      <c r="AT49" s="774"/>
      <c r="AU49" s="600"/>
      <c r="AV49" s="600"/>
      <c r="AW49" s="600"/>
      <c r="AX49" s="597"/>
      <c r="AY49" s="597"/>
      <c r="AZ49" s="214"/>
      <c r="BA49" s="490" t="str">
        <f t="shared" si="0"/>
        <v>SUM_CO2</v>
      </c>
      <c r="BB49" s="581" t="str">
        <f t="shared" si="1"/>
        <v>SUM_EnergyIN</v>
      </c>
      <c r="BC49" s="602"/>
      <c r="BD49" s="23"/>
    </row>
    <row r="50" spans="1:56" x14ac:dyDescent="0.2">
      <c r="A50" s="602"/>
      <c r="B50" s="214"/>
      <c r="C50" s="544">
        <v>27</v>
      </c>
      <c r="D50" s="596"/>
      <c r="E50" s="596"/>
      <c r="F50" s="597"/>
      <c r="G50" s="598"/>
      <c r="H50" s="597"/>
      <c r="I50" s="598"/>
      <c r="J50" s="597"/>
      <c r="K50" s="598"/>
      <c r="L50" s="598"/>
      <c r="M50" s="598"/>
      <c r="N50" s="597"/>
      <c r="O50" s="599"/>
      <c r="P50" s="597"/>
      <c r="Q50" s="599"/>
      <c r="R50" s="597"/>
      <c r="S50" s="599"/>
      <c r="T50" s="597"/>
      <c r="U50" s="599"/>
      <c r="V50" s="774"/>
      <c r="W50" s="774"/>
      <c r="X50" s="774"/>
      <c r="Y50" s="774"/>
      <c r="Z50" s="774"/>
      <c r="AA50" s="774"/>
      <c r="AB50" s="774"/>
      <c r="AC50" s="774"/>
      <c r="AD50" s="774"/>
      <c r="AE50" s="774"/>
      <c r="AF50" s="774"/>
      <c r="AG50" s="774"/>
      <c r="AH50" s="774"/>
      <c r="AI50" s="774"/>
      <c r="AJ50" s="774"/>
      <c r="AK50" s="774"/>
      <c r="AL50" s="774"/>
      <c r="AM50" s="774"/>
      <c r="AN50" s="774"/>
      <c r="AO50" s="774"/>
      <c r="AP50" s="774"/>
      <c r="AQ50" s="774"/>
      <c r="AR50" s="774"/>
      <c r="AS50" s="774"/>
      <c r="AT50" s="774"/>
      <c r="AU50" s="600"/>
      <c r="AV50" s="600"/>
      <c r="AW50" s="600"/>
      <c r="AX50" s="597"/>
      <c r="AY50" s="597"/>
      <c r="AZ50" s="214"/>
      <c r="BA50" s="490" t="str">
        <f t="shared" si="0"/>
        <v>SUM_CO2</v>
      </c>
      <c r="BB50" s="581" t="str">
        <f t="shared" si="1"/>
        <v>SUM_EnergyIN</v>
      </c>
      <c r="BC50" s="602"/>
      <c r="BD50" s="23"/>
    </row>
    <row r="51" spans="1:56" x14ac:dyDescent="0.2">
      <c r="A51" s="602"/>
      <c r="B51" s="214"/>
      <c r="C51" s="544">
        <v>28</v>
      </c>
      <c r="D51" s="596"/>
      <c r="E51" s="596"/>
      <c r="F51" s="597"/>
      <c r="G51" s="598"/>
      <c r="H51" s="597"/>
      <c r="I51" s="598"/>
      <c r="J51" s="597"/>
      <c r="K51" s="598"/>
      <c r="L51" s="598"/>
      <c r="M51" s="598"/>
      <c r="N51" s="597"/>
      <c r="O51" s="599"/>
      <c r="P51" s="597"/>
      <c r="Q51" s="599"/>
      <c r="R51" s="597"/>
      <c r="S51" s="599"/>
      <c r="T51" s="597"/>
      <c r="U51" s="599"/>
      <c r="V51" s="774"/>
      <c r="W51" s="774"/>
      <c r="X51" s="774"/>
      <c r="Y51" s="774"/>
      <c r="Z51" s="774"/>
      <c r="AA51" s="774"/>
      <c r="AB51" s="774"/>
      <c r="AC51" s="774"/>
      <c r="AD51" s="774"/>
      <c r="AE51" s="774"/>
      <c r="AF51" s="774"/>
      <c r="AG51" s="774"/>
      <c r="AH51" s="774"/>
      <c r="AI51" s="774"/>
      <c r="AJ51" s="774"/>
      <c r="AK51" s="774"/>
      <c r="AL51" s="774"/>
      <c r="AM51" s="774"/>
      <c r="AN51" s="774"/>
      <c r="AO51" s="774"/>
      <c r="AP51" s="774"/>
      <c r="AQ51" s="774"/>
      <c r="AR51" s="774"/>
      <c r="AS51" s="774"/>
      <c r="AT51" s="774"/>
      <c r="AU51" s="600"/>
      <c r="AV51" s="600"/>
      <c r="AW51" s="600"/>
      <c r="AX51" s="597"/>
      <c r="AY51" s="597"/>
      <c r="AZ51" s="214"/>
      <c r="BA51" s="490" t="str">
        <f t="shared" si="0"/>
        <v>SUM_CO2</v>
      </c>
      <c r="BB51" s="581" t="str">
        <f t="shared" si="1"/>
        <v>SUM_EnergyIN</v>
      </c>
      <c r="BC51" s="602"/>
      <c r="BD51" s="23"/>
    </row>
    <row r="52" spans="1:56" x14ac:dyDescent="0.2">
      <c r="A52" s="602"/>
      <c r="B52" s="214"/>
      <c r="C52" s="544">
        <v>29</v>
      </c>
      <c r="D52" s="596"/>
      <c r="E52" s="596"/>
      <c r="F52" s="597"/>
      <c r="G52" s="598"/>
      <c r="H52" s="597"/>
      <c r="I52" s="598"/>
      <c r="J52" s="597"/>
      <c r="K52" s="598"/>
      <c r="L52" s="598"/>
      <c r="M52" s="598"/>
      <c r="N52" s="597"/>
      <c r="O52" s="599"/>
      <c r="P52" s="597"/>
      <c r="Q52" s="599"/>
      <c r="R52" s="597"/>
      <c r="S52" s="599"/>
      <c r="T52" s="597"/>
      <c r="U52" s="599"/>
      <c r="V52" s="774"/>
      <c r="W52" s="774"/>
      <c r="X52" s="774"/>
      <c r="Y52" s="774"/>
      <c r="Z52" s="774"/>
      <c r="AA52" s="774"/>
      <c r="AB52" s="774"/>
      <c r="AC52" s="774"/>
      <c r="AD52" s="774"/>
      <c r="AE52" s="774"/>
      <c r="AF52" s="774"/>
      <c r="AG52" s="774"/>
      <c r="AH52" s="774"/>
      <c r="AI52" s="774"/>
      <c r="AJ52" s="774"/>
      <c r="AK52" s="774"/>
      <c r="AL52" s="774"/>
      <c r="AM52" s="774"/>
      <c r="AN52" s="774"/>
      <c r="AO52" s="774"/>
      <c r="AP52" s="774"/>
      <c r="AQ52" s="774"/>
      <c r="AR52" s="774"/>
      <c r="AS52" s="774"/>
      <c r="AT52" s="774"/>
      <c r="AU52" s="600"/>
      <c r="AV52" s="600"/>
      <c r="AW52" s="600"/>
      <c r="AX52" s="597"/>
      <c r="AY52" s="597"/>
      <c r="AZ52" s="214"/>
      <c r="BA52" s="490" t="str">
        <f t="shared" si="0"/>
        <v>SUM_CO2</v>
      </c>
      <c r="BB52" s="581" t="str">
        <f t="shared" si="1"/>
        <v>SUM_EnergyIN</v>
      </c>
      <c r="BC52" s="602"/>
      <c r="BD52" s="23"/>
    </row>
    <row r="53" spans="1:56" x14ac:dyDescent="0.2">
      <c r="A53" s="602"/>
      <c r="B53" s="214"/>
      <c r="C53" s="544">
        <v>30</v>
      </c>
      <c r="D53" s="596"/>
      <c r="E53" s="596"/>
      <c r="F53" s="597"/>
      <c r="G53" s="598"/>
      <c r="H53" s="597"/>
      <c r="I53" s="598"/>
      <c r="J53" s="597"/>
      <c r="K53" s="598"/>
      <c r="L53" s="598"/>
      <c r="M53" s="598"/>
      <c r="N53" s="597"/>
      <c r="O53" s="599"/>
      <c r="P53" s="597"/>
      <c r="Q53" s="599"/>
      <c r="R53" s="597"/>
      <c r="S53" s="599"/>
      <c r="T53" s="597"/>
      <c r="U53" s="599"/>
      <c r="V53" s="774"/>
      <c r="W53" s="774"/>
      <c r="X53" s="774"/>
      <c r="Y53" s="774"/>
      <c r="Z53" s="774"/>
      <c r="AA53" s="774"/>
      <c r="AB53" s="774"/>
      <c r="AC53" s="774"/>
      <c r="AD53" s="774"/>
      <c r="AE53" s="774"/>
      <c r="AF53" s="774"/>
      <c r="AG53" s="774"/>
      <c r="AH53" s="774"/>
      <c r="AI53" s="774"/>
      <c r="AJ53" s="774"/>
      <c r="AK53" s="774"/>
      <c r="AL53" s="774"/>
      <c r="AM53" s="774"/>
      <c r="AN53" s="774"/>
      <c r="AO53" s="774"/>
      <c r="AP53" s="774"/>
      <c r="AQ53" s="774"/>
      <c r="AR53" s="774"/>
      <c r="AS53" s="774"/>
      <c r="AT53" s="774"/>
      <c r="AU53" s="600"/>
      <c r="AV53" s="600"/>
      <c r="AW53" s="600"/>
      <c r="AX53" s="597"/>
      <c r="AY53" s="597"/>
      <c r="AZ53" s="214"/>
      <c r="BA53" s="490" t="str">
        <f t="shared" si="0"/>
        <v>SUM_CO2</v>
      </c>
      <c r="BB53" s="581" t="str">
        <f t="shared" si="1"/>
        <v>SUM_EnergyIN</v>
      </c>
      <c r="BC53" s="602"/>
      <c r="BD53" s="23"/>
    </row>
    <row r="54" spans="1:56" x14ac:dyDescent="0.2">
      <c r="A54" s="602"/>
      <c r="B54" s="214"/>
      <c r="C54" s="544">
        <v>31</v>
      </c>
      <c r="D54" s="596"/>
      <c r="E54" s="596"/>
      <c r="F54" s="597"/>
      <c r="G54" s="598"/>
      <c r="H54" s="597"/>
      <c r="I54" s="598"/>
      <c r="J54" s="597"/>
      <c r="K54" s="598"/>
      <c r="L54" s="598"/>
      <c r="M54" s="598"/>
      <c r="N54" s="597"/>
      <c r="O54" s="599"/>
      <c r="P54" s="597"/>
      <c r="Q54" s="599"/>
      <c r="R54" s="597"/>
      <c r="S54" s="599"/>
      <c r="T54" s="597"/>
      <c r="U54" s="599"/>
      <c r="V54" s="774"/>
      <c r="W54" s="774"/>
      <c r="X54" s="774"/>
      <c r="Y54" s="774"/>
      <c r="Z54" s="774"/>
      <c r="AA54" s="774"/>
      <c r="AB54" s="774"/>
      <c r="AC54" s="774"/>
      <c r="AD54" s="774"/>
      <c r="AE54" s="774"/>
      <c r="AF54" s="774"/>
      <c r="AG54" s="774"/>
      <c r="AH54" s="774"/>
      <c r="AI54" s="774"/>
      <c r="AJ54" s="774"/>
      <c r="AK54" s="774"/>
      <c r="AL54" s="774"/>
      <c r="AM54" s="774"/>
      <c r="AN54" s="774"/>
      <c r="AO54" s="774"/>
      <c r="AP54" s="774"/>
      <c r="AQ54" s="774"/>
      <c r="AR54" s="774"/>
      <c r="AS54" s="774"/>
      <c r="AT54" s="774"/>
      <c r="AU54" s="600"/>
      <c r="AV54" s="600"/>
      <c r="AW54" s="600"/>
      <c r="AX54" s="597"/>
      <c r="AY54" s="597"/>
      <c r="AZ54" s="214"/>
      <c r="BA54" s="490" t="str">
        <f t="shared" si="0"/>
        <v>SUM_CO2</v>
      </c>
      <c r="BB54" s="581" t="str">
        <f t="shared" si="1"/>
        <v>SUM_EnergyIN</v>
      </c>
      <c r="BC54" s="602"/>
      <c r="BD54" s="23"/>
    </row>
    <row r="55" spans="1:56" x14ac:dyDescent="0.2">
      <c r="A55" s="602"/>
      <c r="B55" s="214"/>
      <c r="C55" s="544">
        <v>32</v>
      </c>
      <c r="D55" s="596"/>
      <c r="E55" s="596"/>
      <c r="F55" s="597"/>
      <c r="G55" s="598"/>
      <c r="H55" s="597"/>
      <c r="I55" s="598"/>
      <c r="J55" s="597"/>
      <c r="K55" s="598"/>
      <c r="L55" s="598"/>
      <c r="M55" s="598"/>
      <c r="N55" s="597"/>
      <c r="O55" s="599"/>
      <c r="P55" s="597"/>
      <c r="Q55" s="599"/>
      <c r="R55" s="597"/>
      <c r="S55" s="599"/>
      <c r="T55" s="597"/>
      <c r="U55" s="599"/>
      <c r="V55" s="774"/>
      <c r="W55" s="774"/>
      <c r="X55" s="774"/>
      <c r="Y55" s="774"/>
      <c r="Z55" s="774"/>
      <c r="AA55" s="774"/>
      <c r="AB55" s="774"/>
      <c r="AC55" s="774"/>
      <c r="AD55" s="774"/>
      <c r="AE55" s="774"/>
      <c r="AF55" s="774"/>
      <c r="AG55" s="774"/>
      <c r="AH55" s="774"/>
      <c r="AI55" s="774"/>
      <c r="AJ55" s="774"/>
      <c r="AK55" s="774"/>
      <c r="AL55" s="774"/>
      <c r="AM55" s="774"/>
      <c r="AN55" s="774"/>
      <c r="AO55" s="774"/>
      <c r="AP55" s="774"/>
      <c r="AQ55" s="774"/>
      <c r="AR55" s="774"/>
      <c r="AS55" s="774"/>
      <c r="AT55" s="774"/>
      <c r="AU55" s="600"/>
      <c r="AV55" s="600"/>
      <c r="AW55" s="600"/>
      <c r="AX55" s="597"/>
      <c r="AY55" s="597"/>
      <c r="AZ55" s="214"/>
      <c r="BA55" s="490" t="str">
        <f t="shared" si="0"/>
        <v>SUM_CO2</v>
      </c>
      <c r="BB55" s="581" t="str">
        <f t="shared" si="1"/>
        <v>SUM_EnergyIN</v>
      </c>
      <c r="BC55" s="602"/>
      <c r="BD55" s="23"/>
    </row>
    <row r="56" spans="1:56" x14ac:dyDescent="0.2">
      <c r="A56" s="602"/>
      <c r="B56" s="214"/>
      <c r="C56" s="544">
        <v>33</v>
      </c>
      <c r="D56" s="596"/>
      <c r="E56" s="596"/>
      <c r="F56" s="597"/>
      <c r="G56" s="598"/>
      <c r="H56" s="597"/>
      <c r="I56" s="598"/>
      <c r="J56" s="597"/>
      <c r="K56" s="598"/>
      <c r="L56" s="598"/>
      <c r="M56" s="598"/>
      <c r="N56" s="597"/>
      <c r="O56" s="599"/>
      <c r="P56" s="597"/>
      <c r="Q56" s="599"/>
      <c r="R56" s="597"/>
      <c r="S56" s="599"/>
      <c r="T56" s="597"/>
      <c r="U56" s="599"/>
      <c r="V56" s="774"/>
      <c r="W56" s="774"/>
      <c r="X56" s="774"/>
      <c r="Y56" s="774"/>
      <c r="Z56" s="774"/>
      <c r="AA56" s="774"/>
      <c r="AB56" s="774"/>
      <c r="AC56" s="774"/>
      <c r="AD56" s="774"/>
      <c r="AE56" s="774"/>
      <c r="AF56" s="774"/>
      <c r="AG56" s="774"/>
      <c r="AH56" s="774"/>
      <c r="AI56" s="774"/>
      <c r="AJ56" s="774"/>
      <c r="AK56" s="774"/>
      <c r="AL56" s="774"/>
      <c r="AM56" s="774"/>
      <c r="AN56" s="774"/>
      <c r="AO56" s="774"/>
      <c r="AP56" s="774"/>
      <c r="AQ56" s="774"/>
      <c r="AR56" s="774"/>
      <c r="AS56" s="774"/>
      <c r="AT56" s="774"/>
      <c r="AU56" s="600"/>
      <c r="AV56" s="600"/>
      <c r="AW56" s="600"/>
      <c r="AX56" s="597"/>
      <c r="AY56" s="597"/>
      <c r="AZ56" s="214"/>
      <c r="BA56" s="490" t="str">
        <f t="shared" ref="BA56:BA87" si="2">EUconst_SumCO2</f>
        <v>SUM_CO2</v>
      </c>
      <c r="BB56" s="581" t="str">
        <f t="shared" ref="BB56:BB87" si="3">EUconst_SumEnergyIN</f>
        <v>SUM_EnergyIN</v>
      </c>
      <c r="BC56" s="602"/>
      <c r="BD56" s="23"/>
    </row>
    <row r="57" spans="1:56" x14ac:dyDescent="0.2">
      <c r="A57" s="602"/>
      <c r="B57" s="214"/>
      <c r="C57" s="544">
        <v>34</v>
      </c>
      <c r="D57" s="596"/>
      <c r="E57" s="596"/>
      <c r="F57" s="597"/>
      <c r="G57" s="598"/>
      <c r="H57" s="597"/>
      <c r="I57" s="598"/>
      <c r="J57" s="597"/>
      <c r="K57" s="598"/>
      <c r="L57" s="598"/>
      <c r="M57" s="598"/>
      <c r="N57" s="597"/>
      <c r="O57" s="599"/>
      <c r="P57" s="597"/>
      <c r="Q57" s="599"/>
      <c r="R57" s="597"/>
      <c r="S57" s="599"/>
      <c r="T57" s="597"/>
      <c r="U57" s="599"/>
      <c r="V57" s="774"/>
      <c r="W57" s="774"/>
      <c r="X57" s="774"/>
      <c r="Y57" s="774"/>
      <c r="Z57" s="774"/>
      <c r="AA57" s="774"/>
      <c r="AB57" s="774"/>
      <c r="AC57" s="774"/>
      <c r="AD57" s="774"/>
      <c r="AE57" s="774"/>
      <c r="AF57" s="774"/>
      <c r="AG57" s="774"/>
      <c r="AH57" s="774"/>
      <c r="AI57" s="774"/>
      <c r="AJ57" s="774"/>
      <c r="AK57" s="774"/>
      <c r="AL57" s="774"/>
      <c r="AM57" s="774"/>
      <c r="AN57" s="774"/>
      <c r="AO57" s="774"/>
      <c r="AP57" s="774"/>
      <c r="AQ57" s="774"/>
      <c r="AR57" s="774"/>
      <c r="AS57" s="774"/>
      <c r="AT57" s="774"/>
      <c r="AU57" s="600"/>
      <c r="AV57" s="600"/>
      <c r="AW57" s="600"/>
      <c r="AX57" s="597"/>
      <c r="AY57" s="597"/>
      <c r="AZ57" s="214"/>
      <c r="BA57" s="490" t="str">
        <f t="shared" si="2"/>
        <v>SUM_CO2</v>
      </c>
      <c r="BB57" s="581" t="str">
        <f t="shared" si="3"/>
        <v>SUM_EnergyIN</v>
      </c>
      <c r="BC57" s="602"/>
      <c r="BD57" s="23"/>
    </row>
    <row r="58" spans="1:56" x14ac:dyDescent="0.2">
      <c r="A58" s="602"/>
      <c r="B58" s="214"/>
      <c r="C58" s="544">
        <v>35</v>
      </c>
      <c r="D58" s="596"/>
      <c r="E58" s="596"/>
      <c r="F58" s="597"/>
      <c r="G58" s="598"/>
      <c r="H58" s="597"/>
      <c r="I58" s="598"/>
      <c r="J58" s="597"/>
      <c r="K58" s="598"/>
      <c r="L58" s="598"/>
      <c r="M58" s="598"/>
      <c r="N58" s="597"/>
      <c r="O58" s="599"/>
      <c r="P58" s="597"/>
      <c r="Q58" s="599"/>
      <c r="R58" s="597"/>
      <c r="S58" s="599"/>
      <c r="T58" s="597"/>
      <c r="U58" s="599"/>
      <c r="V58" s="774"/>
      <c r="W58" s="774"/>
      <c r="X58" s="774"/>
      <c r="Y58" s="774"/>
      <c r="Z58" s="774"/>
      <c r="AA58" s="774"/>
      <c r="AB58" s="774"/>
      <c r="AC58" s="774"/>
      <c r="AD58" s="774"/>
      <c r="AE58" s="774"/>
      <c r="AF58" s="774"/>
      <c r="AG58" s="774"/>
      <c r="AH58" s="774"/>
      <c r="AI58" s="774"/>
      <c r="AJ58" s="774"/>
      <c r="AK58" s="774"/>
      <c r="AL58" s="774"/>
      <c r="AM58" s="774"/>
      <c r="AN58" s="774"/>
      <c r="AO58" s="774"/>
      <c r="AP58" s="774"/>
      <c r="AQ58" s="774"/>
      <c r="AR58" s="774"/>
      <c r="AS58" s="774"/>
      <c r="AT58" s="774"/>
      <c r="AU58" s="600"/>
      <c r="AV58" s="600"/>
      <c r="AW58" s="600"/>
      <c r="AX58" s="597"/>
      <c r="AY58" s="597"/>
      <c r="AZ58" s="214"/>
      <c r="BA58" s="490" t="str">
        <f t="shared" si="2"/>
        <v>SUM_CO2</v>
      </c>
      <c r="BB58" s="581" t="str">
        <f t="shared" si="3"/>
        <v>SUM_EnergyIN</v>
      </c>
      <c r="BC58" s="602"/>
      <c r="BD58" s="23"/>
    </row>
    <row r="59" spans="1:56" x14ac:dyDescent="0.2">
      <c r="A59" s="602"/>
      <c r="B59" s="214"/>
      <c r="C59" s="544">
        <v>36</v>
      </c>
      <c r="D59" s="596"/>
      <c r="E59" s="596"/>
      <c r="F59" s="597"/>
      <c r="G59" s="598"/>
      <c r="H59" s="597"/>
      <c r="I59" s="598"/>
      <c r="J59" s="597"/>
      <c r="K59" s="598"/>
      <c r="L59" s="598"/>
      <c r="M59" s="598"/>
      <c r="N59" s="597"/>
      <c r="O59" s="599"/>
      <c r="P59" s="597"/>
      <c r="Q59" s="599"/>
      <c r="R59" s="597"/>
      <c r="S59" s="599"/>
      <c r="T59" s="597"/>
      <c r="U59" s="599"/>
      <c r="V59" s="774"/>
      <c r="W59" s="774"/>
      <c r="X59" s="774"/>
      <c r="Y59" s="774"/>
      <c r="Z59" s="774"/>
      <c r="AA59" s="774"/>
      <c r="AB59" s="774"/>
      <c r="AC59" s="774"/>
      <c r="AD59" s="774"/>
      <c r="AE59" s="774"/>
      <c r="AF59" s="774"/>
      <c r="AG59" s="774"/>
      <c r="AH59" s="774"/>
      <c r="AI59" s="774"/>
      <c r="AJ59" s="774"/>
      <c r="AK59" s="774"/>
      <c r="AL59" s="774"/>
      <c r="AM59" s="774"/>
      <c r="AN59" s="774"/>
      <c r="AO59" s="774"/>
      <c r="AP59" s="774"/>
      <c r="AQ59" s="774"/>
      <c r="AR59" s="774"/>
      <c r="AS59" s="774"/>
      <c r="AT59" s="774"/>
      <c r="AU59" s="600"/>
      <c r="AV59" s="600"/>
      <c r="AW59" s="600"/>
      <c r="AX59" s="597"/>
      <c r="AY59" s="597"/>
      <c r="AZ59" s="214"/>
      <c r="BA59" s="490" t="str">
        <f t="shared" si="2"/>
        <v>SUM_CO2</v>
      </c>
      <c r="BB59" s="581" t="str">
        <f t="shared" si="3"/>
        <v>SUM_EnergyIN</v>
      </c>
      <c r="BC59" s="602"/>
      <c r="BD59" s="23"/>
    </row>
    <row r="60" spans="1:56" x14ac:dyDescent="0.2">
      <c r="A60" s="602"/>
      <c r="B60" s="214"/>
      <c r="C60" s="544">
        <v>37</v>
      </c>
      <c r="D60" s="596"/>
      <c r="E60" s="596"/>
      <c r="F60" s="597"/>
      <c r="G60" s="598"/>
      <c r="H60" s="597"/>
      <c r="I60" s="598"/>
      <c r="J60" s="597"/>
      <c r="K60" s="598"/>
      <c r="L60" s="598"/>
      <c r="M60" s="598"/>
      <c r="N60" s="597"/>
      <c r="O60" s="599"/>
      <c r="P60" s="597"/>
      <c r="Q60" s="599"/>
      <c r="R60" s="597"/>
      <c r="S60" s="599"/>
      <c r="T60" s="597"/>
      <c r="U60" s="599"/>
      <c r="V60" s="774"/>
      <c r="W60" s="774"/>
      <c r="X60" s="774"/>
      <c r="Y60" s="774"/>
      <c r="Z60" s="774"/>
      <c r="AA60" s="774"/>
      <c r="AB60" s="774"/>
      <c r="AC60" s="774"/>
      <c r="AD60" s="774"/>
      <c r="AE60" s="774"/>
      <c r="AF60" s="774"/>
      <c r="AG60" s="774"/>
      <c r="AH60" s="774"/>
      <c r="AI60" s="774"/>
      <c r="AJ60" s="774"/>
      <c r="AK60" s="774"/>
      <c r="AL60" s="774"/>
      <c r="AM60" s="774"/>
      <c r="AN60" s="774"/>
      <c r="AO60" s="774"/>
      <c r="AP60" s="774"/>
      <c r="AQ60" s="774"/>
      <c r="AR60" s="774"/>
      <c r="AS60" s="774"/>
      <c r="AT60" s="774"/>
      <c r="AU60" s="600"/>
      <c r="AV60" s="600"/>
      <c r="AW60" s="600"/>
      <c r="AX60" s="597"/>
      <c r="AY60" s="597"/>
      <c r="AZ60" s="214"/>
      <c r="BA60" s="490" t="str">
        <f t="shared" si="2"/>
        <v>SUM_CO2</v>
      </c>
      <c r="BB60" s="581" t="str">
        <f t="shared" si="3"/>
        <v>SUM_EnergyIN</v>
      </c>
      <c r="BC60" s="602"/>
      <c r="BD60" s="23"/>
    </row>
    <row r="61" spans="1:56" x14ac:dyDescent="0.2">
      <c r="A61" s="602"/>
      <c r="B61" s="214"/>
      <c r="C61" s="544">
        <v>38</v>
      </c>
      <c r="D61" s="596"/>
      <c r="E61" s="596"/>
      <c r="F61" s="597"/>
      <c r="G61" s="598"/>
      <c r="H61" s="597"/>
      <c r="I61" s="598"/>
      <c r="J61" s="597"/>
      <c r="K61" s="598"/>
      <c r="L61" s="598"/>
      <c r="M61" s="598"/>
      <c r="N61" s="597"/>
      <c r="O61" s="599"/>
      <c r="P61" s="597"/>
      <c r="Q61" s="599"/>
      <c r="R61" s="597"/>
      <c r="S61" s="599"/>
      <c r="T61" s="597"/>
      <c r="U61" s="599"/>
      <c r="V61" s="774"/>
      <c r="W61" s="774"/>
      <c r="X61" s="774"/>
      <c r="Y61" s="774"/>
      <c r="Z61" s="774"/>
      <c r="AA61" s="774"/>
      <c r="AB61" s="774"/>
      <c r="AC61" s="774"/>
      <c r="AD61" s="774"/>
      <c r="AE61" s="774"/>
      <c r="AF61" s="774"/>
      <c r="AG61" s="774"/>
      <c r="AH61" s="774"/>
      <c r="AI61" s="774"/>
      <c r="AJ61" s="774"/>
      <c r="AK61" s="774"/>
      <c r="AL61" s="774"/>
      <c r="AM61" s="774"/>
      <c r="AN61" s="774"/>
      <c r="AO61" s="774"/>
      <c r="AP61" s="774"/>
      <c r="AQ61" s="774"/>
      <c r="AR61" s="774"/>
      <c r="AS61" s="774"/>
      <c r="AT61" s="774"/>
      <c r="AU61" s="600"/>
      <c r="AV61" s="600"/>
      <c r="AW61" s="600"/>
      <c r="AX61" s="597"/>
      <c r="AY61" s="597"/>
      <c r="AZ61" s="214"/>
      <c r="BA61" s="490" t="str">
        <f t="shared" si="2"/>
        <v>SUM_CO2</v>
      </c>
      <c r="BB61" s="581" t="str">
        <f t="shared" si="3"/>
        <v>SUM_EnergyIN</v>
      </c>
      <c r="BC61" s="602"/>
      <c r="BD61" s="23"/>
    </row>
    <row r="62" spans="1:56" x14ac:dyDescent="0.2">
      <c r="A62" s="602"/>
      <c r="B62" s="214"/>
      <c r="C62" s="544">
        <v>39</v>
      </c>
      <c r="D62" s="596"/>
      <c r="E62" s="596"/>
      <c r="F62" s="597"/>
      <c r="G62" s="598"/>
      <c r="H62" s="597"/>
      <c r="I62" s="598"/>
      <c r="J62" s="597"/>
      <c r="K62" s="598"/>
      <c r="L62" s="598"/>
      <c r="M62" s="598"/>
      <c r="N62" s="597"/>
      <c r="O62" s="599"/>
      <c r="P62" s="597"/>
      <c r="Q62" s="599"/>
      <c r="R62" s="597"/>
      <c r="S62" s="599"/>
      <c r="T62" s="597"/>
      <c r="U62" s="599"/>
      <c r="V62" s="774"/>
      <c r="W62" s="774"/>
      <c r="X62" s="774"/>
      <c r="Y62" s="774"/>
      <c r="Z62" s="774"/>
      <c r="AA62" s="774"/>
      <c r="AB62" s="774"/>
      <c r="AC62" s="774"/>
      <c r="AD62" s="774"/>
      <c r="AE62" s="774"/>
      <c r="AF62" s="774"/>
      <c r="AG62" s="774"/>
      <c r="AH62" s="774"/>
      <c r="AI62" s="774"/>
      <c r="AJ62" s="774"/>
      <c r="AK62" s="774"/>
      <c r="AL62" s="774"/>
      <c r="AM62" s="774"/>
      <c r="AN62" s="774"/>
      <c r="AO62" s="774"/>
      <c r="AP62" s="774"/>
      <c r="AQ62" s="774"/>
      <c r="AR62" s="774"/>
      <c r="AS62" s="774"/>
      <c r="AT62" s="774"/>
      <c r="AU62" s="600"/>
      <c r="AV62" s="600"/>
      <c r="AW62" s="600"/>
      <c r="AX62" s="597"/>
      <c r="AY62" s="597"/>
      <c r="AZ62" s="214"/>
      <c r="BA62" s="490" t="str">
        <f t="shared" si="2"/>
        <v>SUM_CO2</v>
      </c>
      <c r="BB62" s="581" t="str">
        <f t="shared" si="3"/>
        <v>SUM_EnergyIN</v>
      </c>
      <c r="BC62" s="602"/>
      <c r="BD62" s="23"/>
    </row>
    <row r="63" spans="1:56" x14ac:dyDescent="0.2">
      <c r="A63" s="602"/>
      <c r="B63" s="214"/>
      <c r="C63" s="544">
        <v>40</v>
      </c>
      <c r="D63" s="596"/>
      <c r="E63" s="596"/>
      <c r="F63" s="597"/>
      <c r="G63" s="598"/>
      <c r="H63" s="597"/>
      <c r="I63" s="598"/>
      <c r="J63" s="597"/>
      <c r="K63" s="598"/>
      <c r="L63" s="598"/>
      <c r="M63" s="598"/>
      <c r="N63" s="597"/>
      <c r="O63" s="599"/>
      <c r="P63" s="597"/>
      <c r="Q63" s="599"/>
      <c r="R63" s="597"/>
      <c r="S63" s="599"/>
      <c r="T63" s="597"/>
      <c r="U63" s="599"/>
      <c r="V63" s="774"/>
      <c r="W63" s="774"/>
      <c r="X63" s="774"/>
      <c r="Y63" s="774"/>
      <c r="Z63" s="774"/>
      <c r="AA63" s="774"/>
      <c r="AB63" s="774"/>
      <c r="AC63" s="774"/>
      <c r="AD63" s="774"/>
      <c r="AE63" s="774"/>
      <c r="AF63" s="774"/>
      <c r="AG63" s="774"/>
      <c r="AH63" s="774"/>
      <c r="AI63" s="774"/>
      <c r="AJ63" s="774"/>
      <c r="AK63" s="774"/>
      <c r="AL63" s="774"/>
      <c r="AM63" s="774"/>
      <c r="AN63" s="774"/>
      <c r="AO63" s="774"/>
      <c r="AP63" s="774"/>
      <c r="AQ63" s="774"/>
      <c r="AR63" s="774"/>
      <c r="AS63" s="774"/>
      <c r="AT63" s="774"/>
      <c r="AU63" s="600"/>
      <c r="AV63" s="600"/>
      <c r="AW63" s="600"/>
      <c r="AX63" s="597"/>
      <c r="AY63" s="597"/>
      <c r="AZ63" s="214"/>
      <c r="BA63" s="490" t="str">
        <f t="shared" si="2"/>
        <v>SUM_CO2</v>
      </c>
      <c r="BB63" s="581" t="str">
        <f t="shared" si="3"/>
        <v>SUM_EnergyIN</v>
      </c>
      <c r="BC63" s="602"/>
      <c r="BD63" s="23"/>
    </row>
    <row r="64" spans="1:56" x14ac:dyDescent="0.2">
      <c r="A64" s="602"/>
      <c r="B64" s="214"/>
      <c r="C64" s="544">
        <v>41</v>
      </c>
      <c r="D64" s="596"/>
      <c r="E64" s="596"/>
      <c r="F64" s="597"/>
      <c r="G64" s="598"/>
      <c r="H64" s="597"/>
      <c r="I64" s="598"/>
      <c r="J64" s="597"/>
      <c r="K64" s="598"/>
      <c r="L64" s="598"/>
      <c r="M64" s="598"/>
      <c r="N64" s="597"/>
      <c r="O64" s="599"/>
      <c r="P64" s="597"/>
      <c r="Q64" s="599"/>
      <c r="R64" s="597"/>
      <c r="S64" s="599"/>
      <c r="T64" s="597"/>
      <c r="U64" s="599"/>
      <c r="V64" s="774"/>
      <c r="W64" s="774"/>
      <c r="X64" s="774"/>
      <c r="Y64" s="774"/>
      <c r="Z64" s="774"/>
      <c r="AA64" s="774"/>
      <c r="AB64" s="774"/>
      <c r="AC64" s="774"/>
      <c r="AD64" s="774"/>
      <c r="AE64" s="774"/>
      <c r="AF64" s="774"/>
      <c r="AG64" s="774"/>
      <c r="AH64" s="774"/>
      <c r="AI64" s="774"/>
      <c r="AJ64" s="774"/>
      <c r="AK64" s="774"/>
      <c r="AL64" s="774"/>
      <c r="AM64" s="774"/>
      <c r="AN64" s="774"/>
      <c r="AO64" s="774"/>
      <c r="AP64" s="774"/>
      <c r="AQ64" s="774"/>
      <c r="AR64" s="774"/>
      <c r="AS64" s="774"/>
      <c r="AT64" s="774"/>
      <c r="AU64" s="600"/>
      <c r="AV64" s="600"/>
      <c r="AW64" s="600"/>
      <c r="AX64" s="597"/>
      <c r="AY64" s="597"/>
      <c r="AZ64" s="214"/>
      <c r="BA64" s="490" t="str">
        <f t="shared" si="2"/>
        <v>SUM_CO2</v>
      </c>
      <c r="BB64" s="581" t="str">
        <f t="shared" si="3"/>
        <v>SUM_EnergyIN</v>
      </c>
      <c r="BC64" s="602"/>
      <c r="BD64" s="23"/>
    </row>
    <row r="65" spans="1:56" x14ac:dyDescent="0.2">
      <c r="A65" s="602"/>
      <c r="B65" s="214"/>
      <c r="C65" s="544">
        <v>42</v>
      </c>
      <c r="D65" s="596"/>
      <c r="E65" s="596"/>
      <c r="F65" s="597"/>
      <c r="G65" s="598"/>
      <c r="H65" s="597"/>
      <c r="I65" s="598"/>
      <c r="J65" s="597"/>
      <c r="K65" s="598"/>
      <c r="L65" s="598"/>
      <c r="M65" s="598"/>
      <c r="N65" s="597"/>
      <c r="O65" s="599"/>
      <c r="P65" s="597"/>
      <c r="Q65" s="599"/>
      <c r="R65" s="597"/>
      <c r="S65" s="599"/>
      <c r="T65" s="597"/>
      <c r="U65" s="599"/>
      <c r="V65" s="774"/>
      <c r="W65" s="774"/>
      <c r="X65" s="774"/>
      <c r="Y65" s="774"/>
      <c r="Z65" s="774"/>
      <c r="AA65" s="774"/>
      <c r="AB65" s="774"/>
      <c r="AC65" s="774"/>
      <c r="AD65" s="774"/>
      <c r="AE65" s="774"/>
      <c r="AF65" s="774"/>
      <c r="AG65" s="774"/>
      <c r="AH65" s="774"/>
      <c r="AI65" s="774"/>
      <c r="AJ65" s="774"/>
      <c r="AK65" s="774"/>
      <c r="AL65" s="774"/>
      <c r="AM65" s="774"/>
      <c r="AN65" s="774"/>
      <c r="AO65" s="774"/>
      <c r="AP65" s="774"/>
      <c r="AQ65" s="774"/>
      <c r="AR65" s="774"/>
      <c r="AS65" s="774"/>
      <c r="AT65" s="774"/>
      <c r="AU65" s="600"/>
      <c r="AV65" s="600"/>
      <c r="AW65" s="600"/>
      <c r="AX65" s="597"/>
      <c r="AY65" s="597"/>
      <c r="AZ65" s="214"/>
      <c r="BA65" s="490" t="str">
        <f t="shared" si="2"/>
        <v>SUM_CO2</v>
      </c>
      <c r="BB65" s="581" t="str">
        <f t="shared" si="3"/>
        <v>SUM_EnergyIN</v>
      </c>
      <c r="BC65" s="602"/>
      <c r="BD65" s="23"/>
    </row>
    <row r="66" spans="1:56" x14ac:dyDescent="0.2">
      <c r="A66" s="602"/>
      <c r="B66" s="214"/>
      <c r="C66" s="544">
        <v>43</v>
      </c>
      <c r="D66" s="596"/>
      <c r="E66" s="596"/>
      <c r="F66" s="597"/>
      <c r="G66" s="598"/>
      <c r="H66" s="597"/>
      <c r="I66" s="598"/>
      <c r="J66" s="597"/>
      <c r="K66" s="598"/>
      <c r="L66" s="598"/>
      <c r="M66" s="598"/>
      <c r="N66" s="597"/>
      <c r="O66" s="599"/>
      <c r="P66" s="597"/>
      <c r="Q66" s="599"/>
      <c r="R66" s="597"/>
      <c r="S66" s="599"/>
      <c r="T66" s="597"/>
      <c r="U66" s="599"/>
      <c r="V66" s="774"/>
      <c r="W66" s="774"/>
      <c r="X66" s="774"/>
      <c r="Y66" s="774"/>
      <c r="Z66" s="774"/>
      <c r="AA66" s="774"/>
      <c r="AB66" s="774"/>
      <c r="AC66" s="774"/>
      <c r="AD66" s="774"/>
      <c r="AE66" s="774"/>
      <c r="AF66" s="774"/>
      <c r="AG66" s="774"/>
      <c r="AH66" s="774"/>
      <c r="AI66" s="774"/>
      <c r="AJ66" s="774"/>
      <c r="AK66" s="774"/>
      <c r="AL66" s="774"/>
      <c r="AM66" s="774"/>
      <c r="AN66" s="774"/>
      <c r="AO66" s="774"/>
      <c r="AP66" s="774"/>
      <c r="AQ66" s="774"/>
      <c r="AR66" s="774"/>
      <c r="AS66" s="774"/>
      <c r="AT66" s="774"/>
      <c r="AU66" s="600"/>
      <c r="AV66" s="600"/>
      <c r="AW66" s="600"/>
      <c r="AX66" s="597"/>
      <c r="AY66" s="597"/>
      <c r="AZ66" s="214"/>
      <c r="BA66" s="490" t="str">
        <f t="shared" si="2"/>
        <v>SUM_CO2</v>
      </c>
      <c r="BB66" s="581" t="str">
        <f t="shared" si="3"/>
        <v>SUM_EnergyIN</v>
      </c>
      <c r="BC66" s="602"/>
      <c r="BD66" s="23"/>
    </row>
    <row r="67" spans="1:56" x14ac:dyDescent="0.2">
      <c r="A67" s="602"/>
      <c r="B67" s="214"/>
      <c r="C67" s="544">
        <v>44</v>
      </c>
      <c r="D67" s="596"/>
      <c r="E67" s="596"/>
      <c r="F67" s="597"/>
      <c r="G67" s="598"/>
      <c r="H67" s="597"/>
      <c r="I67" s="598"/>
      <c r="J67" s="597"/>
      <c r="K67" s="598"/>
      <c r="L67" s="598"/>
      <c r="M67" s="598"/>
      <c r="N67" s="597"/>
      <c r="O67" s="599"/>
      <c r="P67" s="597"/>
      <c r="Q67" s="599"/>
      <c r="R67" s="597"/>
      <c r="S67" s="599"/>
      <c r="T67" s="597"/>
      <c r="U67" s="599"/>
      <c r="V67" s="774"/>
      <c r="W67" s="774"/>
      <c r="X67" s="774"/>
      <c r="Y67" s="774"/>
      <c r="Z67" s="774"/>
      <c r="AA67" s="774"/>
      <c r="AB67" s="774"/>
      <c r="AC67" s="774"/>
      <c r="AD67" s="774"/>
      <c r="AE67" s="774"/>
      <c r="AF67" s="774"/>
      <c r="AG67" s="774"/>
      <c r="AH67" s="774"/>
      <c r="AI67" s="774"/>
      <c r="AJ67" s="774"/>
      <c r="AK67" s="774"/>
      <c r="AL67" s="774"/>
      <c r="AM67" s="774"/>
      <c r="AN67" s="774"/>
      <c r="AO67" s="774"/>
      <c r="AP67" s="774"/>
      <c r="AQ67" s="774"/>
      <c r="AR67" s="774"/>
      <c r="AS67" s="774"/>
      <c r="AT67" s="774"/>
      <c r="AU67" s="600"/>
      <c r="AV67" s="600"/>
      <c r="AW67" s="600"/>
      <c r="AX67" s="597"/>
      <c r="AY67" s="597"/>
      <c r="AZ67" s="214"/>
      <c r="BA67" s="490" t="str">
        <f t="shared" si="2"/>
        <v>SUM_CO2</v>
      </c>
      <c r="BB67" s="581" t="str">
        <f t="shared" si="3"/>
        <v>SUM_EnergyIN</v>
      </c>
      <c r="BC67" s="602"/>
      <c r="BD67" s="23"/>
    </row>
    <row r="68" spans="1:56" x14ac:dyDescent="0.2">
      <c r="A68" s="602"/>
      <c r="B68" s="214"/>
      <c r="C68" s="544">
        <v>45</v>
      </c>
      <c r="D68" s="596"/>
      <c r="E68" s="596"/>
      <c r="F68" s="597"/>
      <c r="G68" s="598"/>
      <c r="H68" s="597"/>
      <c r="I68" s="598"/>
      <c r="J68" s="597"/>
      <c r="K68" s="598"/>
      <c r="L68" s="598"/>
      <c r="M68" s="598"/>
      <c r="N68" s="597"/>
      <c r="O68" s="599"/>
      <c r="P68" s="597"/>
      <c r="Q68" s="599"/>
      <c r="R68" s="597"/>
      <c r="S68" s="599"/>
      <c r="T68" s="597"/>
      <c r="U68" s="599"/>
      <c r="V68" s="774"/>
      <c r="W68" s="774"/>
      <c r="X68" s="774"/>
      <c r="Y68" s="774"/>
      <c r="Z68" s="774"/>
      <c r="AA68" s="774"/>
      <c r="AB68" s="774"/>
      <c r="AC68" s="774"/>
      <c r="AD68" s="774"/>
      <c r="AE68" s="774"/>
      <c r="AF68" s="774"/>
      <c r="AG68" s="774"/>
      <c r="AH68" s="774"/>
      <c r="AI68" s="774"/>
      <c r="AJ68" s="774"/>
      <c r="AK68" s="774"/>
      <c r="AL68" s="774"/>
      <c r="AM68" s="774"/>
      <c r="AN68" s="774"/>
      <c r="AO68" s="774"/>
      <c r="AP68" s="774"/>
      <c r="AQ68" s="774"/>
      <c r="AR68" s="774"/>
      <c r="AS68" s="774"/>
      <c r="AT68" s="774"/>
      <c r="AU68" s="600"/>
      <c r="AV68" s="600"/>
      <c r="AW68" s="600"/>
      <c r="AX68" s="597"/>
      <c r="AY68" s="597"/>
      <c r="AZ68" s="214"/>
      <c r="BA68" s="490" t="str">
        <f t="shared" si="2"/>
        <v>SUM_CO2</v>
      </c>
      <c r="BB68" s="581" t="str">
        <f t="shared" si="3"/>
        <v>SUM_EnergyIN</v>
      </c>
      <c r="BC68" s="602"/>
      <c r="BD68" s="23"/>
    </row>
    <row r="69" spans="1:56" x14ac:dyDescent="0.2">
      <c r="A69" s="602"/>
      <c r="B69" s="214"/>
      <c r="C69" s="544">
        <v>46</v>
      </c>
      <c r="D69" s="596"/>
      <c r="E69" s="596"/>
      <c r="F69" s="597"/>
      <c r="G69" s="598"/>
      <c r="H69" s="597"/>
      <c r="I69" s="598"/>
      <c r="J69" s="597"/>
      <c r="K69" s="598"/>
      <c r="L69" s="598"/>
      <c r="M69" s="598"/>
      <c r="N69" s="597"/>
      <c r="O69" s="599"/>
      <c r="P69" s="597"/>
      <c r="Q69" s="599"/>
      <c r="R69" s="597"/>
      <c r="S69" s="599"/>
      <c r="T69" s="597"/>
      <c r="U69" s="599"/>
      <c r="V69" s="774"/>
      <c r="W69" s="774"/>
      <c r="X69" s="774"/>
      <c r="Y69" s="774"/>
      <c r="Z69" s="774"/>
      <c r="AA69" s="774"/>
      <c r="AB69" s="774"/>
      <c r="AC69" s="774"/>
      <c r="AD69" s="774"/>
      <c r="AE69" s="774"/>
      <c r="AF69" s="774"/>
      <c r="AG69" s="774"/>
      <c r="AH69" s="774"/>
      <c r="AI69" s="774"/>
      <c r="AJ69" s="774"/>
      <c r="AK69" s="774"/>
      <c r="AL69" s="774"/>
      <c r="AM69" s="774"/>
      <c r="AN69" s="774"/>
      <c r="AO69" s="774"/>
      <c r="AP69" s="774"/>
      <c r="AQ69" s="774"/>
      <c r="AR69" s="774"/>
      <c r="AS69" s="774"/>
      <c r="AT69" s="774"/>
      <c r="AU69" s="600"/>
      <c r="AV69" s="600"/>
      <c r="AW69" s="600"/>
      <c r="AX69" s="597"/>
      <c r="AY69" s="597"/>
      <c r="AZ69" s="214"/>
      <c r="BA69" s="490" t="str">
        <f t="shared" si="2"/>
        <v>SUM_CO2</v>
      </c>
      <c r="BB69" s="581" t="str">
        <f t="shared" si="3"/>
        <v>SUM_EnergyIN</v>
      </c>
      <c r="BC69" s="602"/>
      <c r="BD69" s="23"/>
    </row>
    <row r="70" spans="1:56" x14ac:dyDescent="0.2">
      <c r="A70" s="602"/>
      <c r="B70" s="214"/>
      <c r="C70" s="544">
        <v>47</v>
      </c>
      <c r="D70" s="596"/>
      <c r="E70" s="596"/>
      <c r="F70" s="597"/>
      <c r="G70" s="598"/>
      <c r="H70" s="597"/>
      <c r="I70" s="598"/>
      <c r="J70" s="597"/>
      <c r="K70" s="598"/>
      <c r="L70" s="598"/>
      <c r="M70" s="598"/>
      <c r="N70" s="597"/>
      <c r="O70" s="599"/>
      <c r="P70" s="597"/>
      <c r="Q70" s="599"/>
      <c r="R70" s="597"/>
      <c r="S70" s="599"/>
      <c r="T70" s="597"/>
      <c r="U70" s="599"/>
      <c r="V70" s="774"/>
      <c r="W70" s="774"/>
      <c r="X70" s="774"/>
      <c r="Y70" s="774"/>
      <c r="Z70" s="774"/>
      <c r="AA70" s="774"/>
      <c r="AB70" s="774"/>
      <c r="AC70" s="774"/>
      <c r="AD70" s="774"/>
      <c r="AE70" s="774"/>
      <c r="AF70" s="774"/>
      <c r="AG70" s="774"/>
      <c r="AH70" s="774"/>
      <c r="AI70" s="774"/>
      <c r="AJ70" s="774"/>
      <c r="AK70" s="774"/>
      <c r="AL70" s="774"/>
      <c r="AM70" s="774"/>
      <c r="AN70" s="774"/>
      <c r="AO70" s="774"/>
      <c r="AP70" s="774"/>
      <c r="AQ70" s="774"/>
      <c r="AR70" s="774"/>
      <c r="AS70" s="774"/>
      <c r="AT70" s="774"/>
      <c r="AU70" s="600"/>
      <c r="AV70" s="600"/>
      <c r="AW70" s="600"/>
      <c r="AX70" s="597"/>
      <c r="AY70" s="597"/>
      <c r="AZ70" s="214"/>
      <c r="BA70" s="490" t="str">
        <f t="shared" si="2"/>
        <v>SUM_CO2</v>
      </c>
      <c r="BB70" s="581" t="str">
        <f t="shared" si="3"/>
        <v>SUM_EnergyIN</v>
      </c>
      <c r="BC70" s="602"/>
      <c r="BD70" s="23"/>
    </row>
    <row r="71" spans="1:56" x14ac:dyDescent="0.2">
      <c r="A71" s="602"/>
      <c r="B71" s="214"/>
      <c r="C71" s="544">
        <v>48</v>
      </c>
      <c r="D71" s="596"/>
      <c r="E71" s="596"/>
      <c r="F71" s="597"/>
      <c r="G71" s="598"/>
      <c r="H71" s="597"/>
      <c r="I71" s="598"/>
      <c r="J71" s="597"/>
      <c r="K71" s="598"/>
      <c r="L71" s="598"/>
      <c r="M71" s="598"/>
      <c r="N71" s="597"/>
      <c r="O71" s="599"/>
      <c r="P71" s="597"/>
      <c r="Q71" s="599"/>
      <c r="R71" s="597"/>
      <c r="S71" s="599"/>
      <c r="T71" s="597"/>
      <c r="U71" s="599"/>
      <c r="V71" s="774"/>
      <c r="W71" s="774"/>
      <c r="X71" s="774"/>
      <c r="Y71" s="774"/>
      <c r="Z71" s="774"/>
      <c r="AA71" s="774"/>
      <c r="AB71" s="774"/>
      <c r="AC71" s="774"/>
      <c r="AD71" s="774"/>
      <c r="AE71" s="774"/>
      <c r="AF71" s="774"/>
      <c r="AG71" s="774"/>
      <c r="AH71" s="774"/>
      <c r="AI71" s="774"/>
      <c r="AJ71" s="774"/>
      <c r="AK71" s="774"/>
      <c r="AL71" s="774"/>
      <c r="AM71" s="774"/>
      <c r="AN71" s="774"/>
      <c r="AO71" s="774"/>
      <c r="AP71" s="774"/>
      <c r="AQ71" s="774"/>
      <c r="AR71" s="774"/>
      <c r="AS71" s="774"/>
      <c r="AT71" s="774"/>
      <c r="AU71" s="600"/>
      <c r="AV71" s="600"/>
      <c r="AW71" s="600"/>
      <c r="AX71" s="597"/>
      <c r="AY71" s="597"/>
      <c r="AZ71" s="214"/>
      <c r="BA71" s="490" t="str">
        <f t="shared" si="2"/>
        <v>SUM_CO2</v>
      </c>
      <c r="BB71" s="581" t="str">
        <f t="shared" si="3"/>
        <v>SUM_EnergyIN</v>
      </c>
      <c r="BC71" s="602"/>
      <c r="BD71" s="23"/>
    </row>
    <row r="72" spans="1:56" x14ac:dyDescent="0.2">
      <c r="A72" s="602"/>
      <c r="B72" s="214"/>
      <c r="C72" s="544">
        <v>49</v>
      </c>
      <c r="D72" s="596"/>
      <c r="E72" s="596"/>
      <c r="F72" s="597"/>
      <c r="G72" s="598"/>
      <c r="H72" s="597"/>
      <c r="I72" s="598"/>
      <c r="J72" s="597"/>
      <c r="K72" s="598"/>
      <c r="L72" s="598"/>
      <c r="M72" s="598"/>
      <c r="N72" s="597"/>
      <c r="O72" s="599"/>
      <c r="P72" s="597"/>
      <c r="Q72" s="599"/>
      <c r="R72" s="597"/>
      <c r="S72" s="599"/>
      <c r="T72" s="597"/>
      <c r="U72" s="599"/>
      <c r="V72" s="774"/>
      <c r="W72" s="774"/>
      <c r="X72" s="774"/>
      <c r="Y72" s="774"/>
      <c r="Z72" s="774"/>
      <c r="AA72" s="774"/>
      <c r="AB72" s="774"/>
      <c r="AC72" s="774"/>
      <c r="AD72" s="774"/>
      <c r="AE72" s="774"/>
      <c r="AF72" s="774"/>
      <c r="AG72" s="774"/>
      <c r="AH72" s="774"/>
      <c r="AI72" s="774"/>
      <c r="AJ72" s="774"/>
      <c r="AK72" s="774"/>
      <c r="AL72" s="774"/>
      <c r="AM72" s="774"/>
      <c r="AN72" s="774"/>
      <c r="AO72" s="774"/>
      <c r="AP72" s="774"/>
      <c r="AQ72" s="774"/>
      <c r="AR72" s="774"/>
      <c r="AS72" s="774"/>
      <c r="AT72" s="774"/>
      <c r="AU72" s="600"/>
      <c r="AV72" s="600"/>
      <c r="AW72" s="600"/>
      <c r="AX72" s="597"/>
      <c r="AY72" s="597"/>
      <c r="AZ72" s="214"/>
      <c r="BA72" s="490" t="str">
        <f t="shared" si="2"/>
        <v>SUM_CO2</v>
      </c>
      <c r="BB72" s="581" t="str">
        <f t="shared" si="3"/>
        <v>SUM_EnergyIN</v>
      </c>
      <c r="BC72" s="602"/>
      <c r="BD72" s="23"/>
    </row>
    <row r="73" spans="1:56" x14ac:dyDescent="0.2">
      <c r="A73" s="602"/>
      <c r="B73" s="214"/>
      <c r="C73" s="544">
        <v>50</v>
      </c>
      <c r="D73" s="596"/>
      <c r="E73" s="596"/>
      <c r="F73" s="597"/>
      <c r="G73" s="598"/>
      <c r="H73" s="597"/>
      <c r="I73" s="598"/>
      <c r="J73" s="597"/>
      <c r="K73" s="598"/>
      <c r="L73" s="598"/>
      <c r="M73" s="598"/>
      <c r="N73" s="597"/>
      <c r="O73" s="599"/>
      <c r="P73" s="597"/>
      <c r="Q73" s="599"/>
      <c r="R73" s="597"/>
      <c r="S73" s="599"/>
      <c r="T73" s="597"/>
      <c r="U73" s="599"/>
      <c r="V73" s="774"/>
      <c r="W73" s="774"/>
      <c r="X73" s="774"/>
      <c r="Y73" s="774"/>
      <c r="Z73" s="774"/>
      <c r="AA73" s="774"/>
      <c r="AB73" s="774"/>
      <c r="AC73" s="774"/>
      <c r="AD73" s="774"/>
      <c r="AE73" s="774"/>
      <c r="AF73" s="774"/>
      <c r="AG73" s="774"/>
      <c r="AH73" s="774"/>
      <c r="AI73" s="774"/>
      <c r="AJ73" s="774"/>
      <c r="AK73" s="774"/>
      <c r="AL73" s="774"/>
      <c r="AM73" s="774"/>
      <c r="AN73" s="774"/>
      <c r="AO73" s="774"/>
      <c r="AP73" s="774"/>
      <c r="AQ73" s="774"/>
      <c r="AR73" s="774"/>
      <c r="AS73" s="774"/>
      <c r="AT73" s="774"/>
      <c r="AU73" s="600"/>
      <c r="AV73" s="600"/>
      <c r="AW73" s="600"/>
      <c r="AX73" s="597"/>
      <c r="AY73" s="597"/>
      <c r="AZ73" s="214"/>
      <c r="BA73" s="490" t="str">
        <f t="shared" si="2"/>
        <v>SUM_CO2</v>
      </c>
      <c r="BB73" s="581" t="str">
        <f t="shared" si="3"/>
        <v>SUM_EnergyIN</v>
      </c>
      <c r="BC73" s="602"/>
      <c r="BD73" s="23"/>
    </row>
    <row r="74" spans="1:56" x14ac:dyDescent="0.2">
      <c r="A74" s="602"/>
      <c r="B74" s="214"/>
      <c r="C74" s="544">
        <v>51</v>
      </c>
      <c r="D74" s="596"/>
      <c r="E74" s="596"/>
      <c r="F74" s="597"/>
      <c r="G74" s="598"/>
      <c r="H74" s="597"/>
      <c r="I74" s="598"/>
      <c r="J74" s="597"/>
      <c r="K74" s="598"/>
      <c r="L74" s="598"/>
      <c r="M74" s="598"/>
      <c r="N74" s="597"/>
      <c r="O74" s="599"/>
      <c r="P74" s="597"/>
      <c r="Q74" s="599"/>
      <c r="R74" s="597"/>
      <c r="S74" s="599"/>
      <c r="T74" s="597"/>
      <c r="U74" s="599"/>
      <c r="V74" s="774"/>
      <c r="W74" s="774"/>
      <c r="X74" s="774"/>
      <c r="Y74" s="774"/>
      <c r="Z74" s="774"/>
      <c r="AA74" s="774"/>
      <c r="AB74" s="774"/>
      <c r="AC74" s="774"/>
      <c r="AD74" s="774"/>
      <c r="AE74" s="774"/>
      <c r="AF74" s="774"/>
      <c r="AG74" s="774"/>
      <c r="AH74" s="774"/>
      <c r="AI74" s="774"/>
      <c r="AJ74" s="774"/>
      <c r="AK74" s="774"/>
      <c r="AL74" s="774"/>
      <c r="AM74" s="774"/>
      <c r="AN74" s="774"/>
      <c r="AO74" s="774"/>
      <c r="AP74" s="774"/>
      <c r="AQ74" s="774"/>
      <c r="AR74" s="774"/>
      <c r="AS74" s="774"/>
      <c r="AT74" s="774"/>
      <c r="AU74" s="600"/>
      <c r="AV74" s="600"/>
      <c r="AW74" s="600"/>
      <c r="AX74" s="597"/>
      <c r="AY74" s="597"/>
      <c r="AZ74" s="214"/>
      <c r="BA74" s="490" t="str">
        <f t="shared" si="2"/>
        <v>SUM_CO2</v>
      </c>
      <c r="BB74" s="581" t="str">
        <f t="shared" si="3"/>
        <v>SUM_EnergyIN</v>
      </c>
      <c r="BC74" s="602"/>
      <c r="BD74" s="23"/>
    </row>
    <row r="75" spans="1:56" x14ac:dyDescent="0.2">
      <c r="A75" s="602"/>
      <c r="B75" s="214"/>
      <c r="C75" s="544">
        <v>52</v>
      </c>
      <c r="D75" s="596"/>
      <c r="E75" s="596"/>
      <c r="F75" s="597"/>
      <c r="G75" s="598"/>
      <c r="H75" s="597"/>
      <c r="I75" s="598"/>
      <c r="J75" s="597"/>
      <c r="K75" s="598"/>
      <c r="L75" s="598"/>
      <c r="M75" s="598"/>
      <c r="N75" s="597"/>
      <c r="O75" s="599"/>
      <c r="P75" s="597"/>
      <c r="Q75" s="599"/>
      <c r="R75" s="597"/>
      <c r="S75" s="599"/>
      <c r="T75" s="597"/>
      <c r="U75" s="599"/>
      <c r="V75" s="774"/>
      <c r="W75" s="774"/>
      <c r="X75" s="774"/>
      <c r="Y75" s="774"/>
      <c r="Z75" s="774"/>
      <c r="AA75" s="774"/>
      <c r="AB75" s="774"/>
      <c r="AC75" s="774"/>
      <c r="AD75" s="774"/>
      <c r="AE75" s="774"/>
      <c r="AF75" s="774"/>
      <c r="AG75" s="774"/>
      <c r="AH75" s="774"/>
      <c r="AI75" s="774"/>
      <c r="AJ75" s="774"/>
      <c r="AK75" s="774"/>
      <c r="AL75" s="774"/>
      <c r="AM75" s="774"/>
      <c r="AN75" s="774"/>
      <c r="AO75" s="774"/>
      <c r="AP75" s="774"/>
      <c r="AQ75" s="774"/>
      <c r="AR75" s="774"/>
      <c r="AS75" s="774"/>
      <c r="AT75" s="774"/>
      <c r="AU75" s="600"/>
      <c r="AV75" s="600"/>
      <c r="AW75" s="600"/>
      <c r="AX75" s="597"/>
      <c r="AY75" s="597"/>
      <c r="AZ75" s="214"/>
      <c r="BA75" s="490" t="str">
        <f t="shared" si="2"/>
        <v>SUM_CO2</v>
      </c>
      <c r="BB75" s="581" t="str">
        <f t="shared" si="3"/>
        <v>SUM_EnergyIN</v>
      </c>
      <c r="BC75" s="602"/>
      <c r="BD75" s="23"/>
    </row>
    <row r="76" spans="1:56" x14ac:dyDescent="0.2">
      <c r="A76" s="602"/>
      <c r="B76" s="214"/>
      <c r="C76" s="544">
        <v>53</v>
      </c>
      <c r="D76" s="596"/>
      <c r="E76" s="596"/>
      <c r="F76" s="597"/>
      <c r="G76" s="598"/>
      <c r="H76" s="597"/>
      <c r="I76" s="598"/>
      <c r="J76" s="597"/>
      <c r="K76" s="598"/>
      <c r="L76" s="598"/>
      <c r="M76" s="598"/>
      <c r="N76" s="597"/>
      <c r="O76" s="599"/>
      <c r="P76" s="597"/>
      <c r="Q76" s="599"/>
      <c r="R76" s="597"/>
      <c r="S76" s="599"/>
      <c r="T76" s="597"/>
      <c r="U76" s="599"/>
      <c r="V76" s="774"/>
      <c r="W76" s="774"/>
      <c r="X76" s="774"/>
      <c r="Y76" s="774"/>
      <c r="Z76" s="774"/>
      <c r="AA76" s="774"/>
      <c r="AB76" s="774"/>
      <c r="AC76" s="774"/>
      <c r="AD76" s="774"/>
      <c r="AE76" s="774"/>
      <c r="AF76" s="774"/>
      <c r="AG76" s="774"/>
      <c r="AH76" s="774"/>
      <c r="AI76" s="774"/>
      <c r="AJ76" s="774"/>
      <c r="AK76" s="774"/>
      <c r="AL76" s="774"/>
      <c r="AM76" s="774"/>
      <c r="AN76" s="774"/>
      <c r="AO76" s="774"/>
      <c r="AP76" s="774"/>
      <c r="AQ76" s="774"/>
      <c r="AR76" s="774"/>
      <c r="AS76" s="774"/>
      <c r="AT76" s="774"/>
      <c r="AU76" s="600"/>
      <c r="AV76" s="600"/>
      <c r="AW76" s="600"/>
      <c r="AX76" s="597"/>
      <c r="AY76" s="597"/>
      <c r="AZ76" s="214"/>
      <c r="BA76" s="490" t="str">
        <f t="shared" si="2"/>
        <v>SUM_CO2</v>
      </c>
      <c r="BB76" s="581" t="str">
        <f t="shared" si="3"/>
        <v>SUM_EnergyIN</v>
      </c>
      <c r="BC76" s="602"/>
      <c r="BD76" s="23"/>
    </row>
    <row r="77" spans="1:56" x14ac:dyDescent="0.2">
      <c r="A77" s="602"/>
      <c r="B77" s="214"/>
      <c r="C77" s="544">
        <v>54</v>
      </c>
      <c r="D77" s="596"/>
      <c r="E77" s="596"/>
      <c r="F77" s="597"/>
      <c r="G77" s="598"/>
      <c r="H77" s="597"/>
      <c r="I77" s="598"/>
      <c r="J77" s="597"/>
      <c r="K77" s="598"/>
      <c r="L77" s="598"/>
      <c r="M77" s="598"/>
      <c r="N77" s="597"/>
      <c r="O77" s="599"/>
      <c r="P77" s="597"/>
      <c r="Q77" s="599"/>
      <c r="R77" s="597"/>
      <c r="S77" s="599"/>
      <c r="T77" s="597"/>
      <c r="U77" s="599"/>
      <c r="V77" s="774"/>
      <c r="W77" s="774"/>
      <c r="X77" s="774"/>
      <c r="Y77" s="774"/>
      <c r="Z77" s="774"/>
      <c r="AA77" s="774"/>
      <c r="AB77" s="774"/>
      <c r="AC77" s="774"/>
      <c r="AD77" s="774"/>
      <c r="AE77" s="774"/>
      <c r="AF77" s="774"/>
      <c r="AG77" s="774"/>
      <c r="AH77" s="774"/>
      <c r="AI77" s="774"/>
      <c r="AJ77" s="774"/>
      <c r="AK77" s="774"/>
      <c r="AL77" s="774"/>
      <c r="AM77" s="774"/>
      <c r="AN77" s="774"/>
      <c r="AO77" s="774"/>
      <c r="AP77" s="774"/>
      <c r="AQ77" s="774"/>
      <c r="AR77" s="774"/>
      <c r="AS77" s="774"/>
      <c r="AT77" s="774"/>
      <c r="AU77" s="600"/>
      <c r="AV77" s="600"/>
      <c r="AW77" s="600"/>
      <c r="AX77" s="597"/>
      <c r="AY77" s="597"/>
      <c r="AZ77" s="214"/>
      <c r="BA77" s="490" t="str">
        <f t="shared" si="2"/>
        <v>SUM_CO2</v>
      </c>
      <c r="BB77" s="581" t="str">
        <f t="shared" si="3"/>
        <v>SUM_EnergyIN</v>
      </c>
      <c r="BC77" s="602"/>
      <c r="BD77" s="23"/>
    </row>
    <row r="78" spans="1:56" x14ac:dyDescent="0.2">
      <c r="A78" s="602"/>
      <c r="B78" s="214"/>
      <c r="C78" s="544">
        <v>55</v>
      </c>
      <c r="D78" s="596"/>
      <c r="E78" s="596"/>
      <c r="F78" s="597"/>
      <c r="G78" s="598"/>
      <c r="H78" s="597"/>
      <c r="I78" s="598"/>
      <c r="J78" s="597"/>
      <c r="K78" s="598"/>
      <c r="L78" s="598"/>
      <c r="M78" s="598"/>
      <c r="N78" s="597"/>
      <c r="O78" s="599"/>
      <c r="P78" s="597"/>
      <c r="Q78" s="599"/>
      <c r="R78" s="597"/>
      <c r="S78" s="599"/>
      <c r="T78" s="597"/>
      <c r="U78" s="599"/>
      <c r="V78" s="774"/>
      <c r="W78" s="774"/>
      <c r="X78" s="774"/>
      <c r="Y78" s="774"/>
      <c r="Z78" s="774"/>
      <c r="AA78" s="774"/>
      <c r="AB78" s="774"/>
      <c r="AC78" s="774"/>
      <c r="AD78" s="774"/>
      <c r="AE78" s="774"/>
      <c r="AF78" s="774"/>
      <c r="AG78" s="774"/>
      <c r="AH78" s="774"/>
      <c r="AI78" s="774"/>
      <c r="AJ78" s="774"/>
      <c r="AK78" s="774"/>
      <c r="AL78" s="774"/>
      <c r="AM78" s="774"/>
      <c r="AN78" s="774"/>
      <c r="AO78" s="774"/>
      <c r="AP78" s="774"/>
      <c r="AQ78" s="774"/>
      <c r="AR78" s="774"/>
      <c r="AS78" s="774"/>
      <c r="AT78" s="774"/>
      <c r="AU78" s="600"/>
      <c r="AV78" s="600"/>
      <c r="AW78" s="600"/>
      <c r="AX78" s="597"/>
      <c r="AY78" s="597"/>
      <c r="AZ78" s="214"/>
      <c r="BA78" s="490" t="str">
        <f t="shared" si="2"/>
        <v>SUM_CO2</v>
      </c>
      <c r="BB78" s="581" t="str">
        <f t="shared" si="3"/>
        <v>SUM_EnergyIN</v>
      </c>
      <c r="BC78" s="602"/>
      <c r="BD78" s="23"/>
    </row>
    <row r="79" spans="1:56" x14ac:dyDescent="0.2">
      <c r="A79" s="602"/>
      <c r="B79" s="214"/>
      <c r="C79" s="544">
        <v>56</v>
      </c>
      <c r="D79" s="596"/>
      <c r="E79" s="596"/>
      <c r="F79" s="597"/>
      <c r="G79" s="598"/>
      <c r="H79" s="597"/>
      <c r="I79" s="598"/>
      <c r="J79" s="597"/>
      <c r="K79" s="598"/>
      <c r="L79" s="598"/>
      <c r="M79" s="598"/>
      <c r="N79" s="597"/>
      <c r="O79" s="599"/>
      <c r="P79" s="597"/>
      <c r="Q79" s="599"/>
      <c r="R79" s="597"/>
      <c r="S79" s="599"/>
      <c r="T79" s="597"/>
      <c r="U79" s="599"/>
      <c r="V79" s="774"/>
      <c r="W79" s="774"/>
      <c r="X79" s="774"/>
      <c r="Y79" s="774"/>
      <c r="Z79" s="774"/>
      <c r="AA79" s="774"/>
      <c r="AB79" s="774"/>
      <c r="AC79" s="774"/>
      <c r="AD79" s="774"/>
      <c r="AE79" s="774"/>
      <c r="AF79" s="774"/>
      <c r="AG79" s="774"/>
      <c r="AH79" s="774"/>
      <c r="AI79" s="774"/>
      <c r="AJ79" s="774"/>
      <c r="AK79" s="774"/>
      <c r="AL79" s="774"/>
      <c r="AM79" s="774"/>
      <c r="AN79" s="774"/>
      <c r="AO79" s="774"/>
      <c r="AP79" s="774"/>
      <c r="AQ79" s="774"/>
      <c r="AR79" s="774"/>
      <c r="AS79" s="774"/>
      <c r="AT79" s="774"/>
      <c r="AU79" s="600"/>
      <c r="AV79" s="600"/>
      <c r="AW79" s="600"/>
      <c r="AX79" s="597"/>
      <c r="AY79" s="597"/>
      <c r="AZ79" s="214"/>
      <c r="BA79" s="490" t="str">
        <f t="shared" si="2"/>
        <v>SUM_CO2</v>
      </c>
      <c r="BB79" s="581" t="str">
        <f t="shared" si="3"/>
        <v>SUM_EnergyIN</v>
      </c>
      <c r="BC79" s="602"/>
      <c r="BD79" s="23"/>
    </row>
    <row r="80" spans="1:56" x14ac:dyDescent="0.2">
      <c r="A80" s="602"/>
      <c r="B80" s="214"/>
      <c r="C80" s="544">
        <v>57</v>
      </c>
      <c r="D80" s="596"/>
      <c r="E80" s="596"/>
      <c r="F80" s="597"/>
      <c r="G80" s="598"/>
      <c r="H80" s="597"/>
      <c r="I80" s="598"/>
      <c r="J80" s="597"/>
      <c r="K80" s="598"/>
      <c r="L80" s="598"/>
      <c r="M80" s="598"/>
      <c r="N80" s="597"/>
      <c r="O80" s="599"/>
      <c r="P80" s="597"/>
      <c r="Q80" s="599"/>
      <c r="R80" s="597"/>
      <c r="S80" s="599"/>
      <c r="T80" s="597"/>
      <c r="U80" s="599"/>
      <c r="V80" s="774"/>
      <c r="W80" s="774"/>
      <c r="X80" s="774"/>
      <c r="Y80" s="774"/>
      <c r="Z80" s="774"/>
      <c r="AA80" s="774"/>
      <c r="AB80" s="774"/>
      <c r="AC80" s="774"/>
      <c r="AD80" s="774"/>
      <c r="AE80" s="774"/>
      <c r="AF80" s="774"/>
      <c r="AG80" s="774"/>
      <c r="AH80" s="774"/>
      <c r="AI80" s="774"/>
      <c r="AJ80" s="774"/>
      <c r="AK80" s="774"/>
      <c r="AL80" s="774"/>
      <c r="AM80" s="774"/>
      <c r="AN80" s="774"/>
      <c r="AO80" s="774"/>
      <c r="AP80" s="774"/>
      <c r="AQ80" s="774"/>
      <c r="AR80" s="774"/>
      <c r="AS80" s="774"/>
      <c r="AT80" s="774"/>
      <c r="AU80" s="600"/>
      <c r="AV80" s="600"/>
      <c r="AW80" s="600"/>
      <c r="AX80" s="597"/>
      <c r="AY80" s="597"/>
      <c r="AZ80" s="214"/>
      <c r="BA80" s="490" t="str">
        <f t="shared" si="2"/>
        <v>SUM_CO2</v>
      </c>
      <c r="BB80" s="581" t="str">
        <f t="shared" si="3"/>
        <v>SUM_EnergyIN</v>
      </c>
      <c r="BC80" s="602"/>
      <c r="BD80" s="23"/>
    </row>
    <row r="81" spans="1:56" x14ac:dyDescent="0.2">
      <c r="A81" s="602"/>
      <c r="B81" s="214"/>
      <c r="C81" s="544">
        <v>58</v>
      </c>
      <c r="D81" s="596"/>
      <c r="E81" s="596"/>
      <c r="F81" s="597"/>
      <c r="G81" s="598"/>
      <c r="H81" s="597"/>
      <c r="I81" s="598"/>
      <c r="J81" s="597"/>
      <c r="K81" s="598"/>
      <c r="L81" s="598"/>
      <c r="M81" s="598"/>
      <c r="N81" s="597"/>
      <c r="O81" s="599"/>
      <c r="P81" s="597"/>
      <c r="Q81" s="599"/>
      <c r="R81" s="597"/>
      <c r="S81" s="599"/>
      <c r="T81" s="597"/>
      <c r="U81" s="599"/>
      <c r="V81" s="774"/>
      <c r="W81" s="774"/>
      <c r="X81" s="774"/>
      <c r="Y81" s="774"/>
      <c r="Z81" s="774"/>
      <c r="AA81" s="774"/>
      <c r="AB81" s="774"/>
      <c r="AC81" s="774"/>
      <c r="AD81" s="774"/>
      <c r="AE81" s="774"/>
      <c r="AF81" s="774"/>
      <c r="AG81" s="774"/>
      <c r="AH81" s="774"/>
      <c r="AI81" s="774"/>
      <c r="AJ81" s="774"/>
      <c r="AK81" s="774"/>
      <c r="AL81" s="774"/>
      <c r="AM81" s="774"/>
      <c r="AN81" s="774"/>
      <c r="AO81" s="774"/>
      <c r="AP81" s="774"/>
      <c r="AQ81" s="774"/>
      <c r="AR81" s="774"/>
      <c r="AS81" s="774"/>
      <c r="AT81" s="774"/>
      <c r="AU81" s="600"/>
      <c r="AV81" s="600"/>
      <c r="AW81" s="600"/>
      <c r="AX81" s="597"/>
      <c r="AY81" s="597"/>
      <c r="AZ81" s="214"/>
      <c r="BA81" s="490" t="str">
        <f t="shared" si="2"/>
        <v>SUM_CO2</v>
      </c>
      <c r="BB81" s="581" t="str">
        <f t="shared" si="3"/>
        <v>SUM_EnergyIN</v>
      </c>
      <c r="BC81" s="602"/>
      <c r="BD81" s="23"/>
    </row>
    <row r="82" spans="1:56" x14ac:dyDescent="0.2">
      <c r="A82" s="602"/>
      <c r="B82" s="214"/>
      <c r="C82" s="544">
        <v>59</v>
      </c>
      <c r="D82" s="596"/>
      <c r="E82" s="596"/>
      <c r="F82" s="597"/>
      <c r="G82" s="598"/>
      <c r="H82" s="597"/>
      <c r="I82" s="598"/>
      <c r="J82" s="597"/>
      <c r="K82" s="598"/>
      <c r="L82" s="598"/>
      <c r="M82" s="598"/>
      <c r="N82" s="597"/>
      <c r="O82" s="599"/>
      <c r="P82" s="597"/>
      <c r="Q82" s="599"/>
      <c r="R82" s="597"/>
      <c r="S82" s="599"/>
      <c r="T82" s="597"/>
      <c r="U82" s="599"/>
      <c r="V82" s="774"/>
      <c r="W82" s="774"/>
      <c r="X82" s="774"/>
      <c r="Y82" s="774"/>
      <c r="Z82" s="774"/>
      <c r="AA82" s="774"/>
      <c r="AB82" s="774"/>
      <c r="AC82" s="774"/>
      <c r="AD82" s="774"/>
      <c r="AE82" s="774"/>
      <c r="AF82" s="774"/>
      <c r="AG82" s="774"/>
      <c r="AH82" s="774"/>
      <c r="AI82" s="774"/>
      <c r="AJ82" s="774"/>
      <c r="AK82" s="774"/>
      <c r="AL82" s="774"/>
      <c r="AM82" s="774"/>
      <c r="AN82" s="774"/>
      <c r="AO82" s="774"/>
      <c r="AP82" s="774"/>
      <c r="AQ82" s="774"/>
      <c r="AR82" s="774"/>
      <c r="AS82" s="774"/>
      <c r="AT82" s="774"/>
      <c r="AU82" s="600"/>
      <c r="AV82" s="600"/>
      <c r="AW82" s="600"/>
      <c r="AX82" s="597"/>
      <c r="AY82" s="597"/>
      <c r="AZ82" s="214"/>
      <c r="BA82" s="490" t="str">
        <f t="shared" si="2"/>
        <v>SUM_CO2</v>
      </c>
      <c r="BB82" s="581" t="str">
        <f t="shared" si="3"/>
        <v>SUM_EnergyIN</v>
      </c>
      <c r="BC82" s="602"/>
      <c r="BD82" s="23"/>
    </row>
    <row r="83" spans="1:56" x14ac:dyDescent="0.2">
      <c r="A83" s="602"/>
      <c r="B83" s="214"/>
      <c r="C83" s="544">
        <v>60</v>
      </c>
      <c r="D83" s="596"/>
      <c r="E83" s="596"/>
      <c r="F83" s="597"/>
      <c r="G83" s="598"/>
      <c r="H83" s="597"/>
      <c r="I83" s="598"/>
      <c r="J83" s="597"/>
      <c r="K83" s="598"/>
      <c r="L83" s="598"/>
      <c r="M83" s="598"/>
      <c r="N83" s="597"/>
      <c r="O83" s="599"/>
      <c r="P83" s="597"/>
      <c r="Q83" s="599"/>
      <c r="R83" s="597"/>
      <c r="S83" s="599"/>
      <c r="T83" s="597"/>
      <c r="U83" s="599"/>
      <c r="V83" s="774"/>
      <c r="W83" s="774"/>
      <c r="X83" s="774"/>
      <c r="Y83" s="774"/>
      <c r="Z83" s="774"/>
      <c r="AA83" s="774"/>
      <c r="AB83" s="774"/>
      <c r="AC83" s="774"/>
      <c r="AD83" s="774"/>
      <c r="AE83" s="774"/>
      <c r="AF83" s="774"/>
      <c r="AG83" s="774"/>
      <c r="AH83" s="774"/>
      <c r="AI83" s="774"/>
      <c r="AJ83" s="774"/>
      <c r="AK83" s="774"/>
      <c r="AL83" s="774"/>
      <c r="AM83" s="774"/>
      <c r="AN83" s="774"/>
      <c r="AO83" s="774"/>
      <c r="AP83" s="774"/>
      <c r="AQ83" s="774"/>
      <c r="AR83" s="774"/>
      <c r="AS83" s="774"/>
      <c r="AT83" s="774"/>
      <c r="AU83" s="600"/>
      <c r="AV83" s="600"/>
      <c r="AW83" s="600"/>
      <c r="AX83" s="597"/>
      <c r="AY83" s="597"/>
      <c r="AZ83" s="214"/>
      <c r="BA83" s="490" t="str">
        <f t="shared" si="2"/>
        <v>SUM_CO2</v>
      </c>
      <c r="BB83" s="581" t="str">
        <f t="shared" si="3"/>
        <v>SUM_EnergyIN</v>
      </c>
      <c r="BC83" s="602"/>
      <c r="BD83" s="23"/>
    </row>
    <row r="84" spans="1:56" x14ac:dyDescent="0.2">
      <c r="A84" s="602"/>
      <c r="B84" s="214"/>
      <c r="C84" s="544">
        <v>61</v>
      </c>
      <c r="D84" s="596"/>
      <c r="E84" s="596"/>
      <c r="F84" s="597"/>
      <c r="G84" s="598"/>
      <c r="H84" s="597"/>
      <c r="I84" s="598"/>
      <c r="J84" s="597"/>
      <c r="K84" s="598"/>
      <c r="L84" s="598"/>
      <c r="M84" s="598"/>
      <c r="N84" s="597"/>
      <c r="O84" s="599"/>
      <c r="P84" s="597"/>
      <c r="Q84" s="599"/>
      <c r="R84" s="597"/>
      <c r="S84" s="599"/>
      <c r="T84" s="597"/>
      <c r="U84" s="599"/>
      <c r="V84" s="774"/>
      <c r="W84" s="774"/>
      <c r="X84" s="774"/>
      <c r="Y84" s="774"/>
      <c r="Z84" s="774"/>
      <c r="AA84" s="774"/>
      <c r="AB84" s="774"/>
      <c r="AC84" s="774"/>
      <c r="AD84" s="774"/>
      <c r="AE84" s="774"/>
      <c r="AF84" s="774"/>
      <c r="AG84" s="774"/>
      <c r="AH84" s="774"/>
      <c r="AI84" s="774"/>
      <c r="AJ84" s="774"/>
      <c r="AK84" s="774"/>
      <c r="AL84" s="774"/>
      <c r="AM84" s="774"/>
      <c r="AN84" s="774"/>
      <c r="AO84" s="774"/>
      <c r="AP84" s="774"/>
      <c r="AQ84" s="774"/>
      <c r="AR84" s="774"/>
      <c r="AS84" s="774"/>
      <c r="AT84" s="774"/>
      <c r="AU84" s="600"/>
      <c r="AV84" s="600"/>
      <c r="AW84" s="600"/>
      <c r="AX84" s="597"/>
      <c r="AY84" s="597"/>
      <c r="AZ84" s="214"/>
      <c r="BA84" s="490" t="str">
        <f t="shared" si="2"/>
        <v>SUM_CO2</v>
      </c>
      <c r="BB84" s="581" t="str">
        <f t="shared" si="3"/>
        <v>SUM_EnergyIN</v>
      </c>
      <c r="BC84" s="602"/>
      <c r="BD84" s="23"/>
    </row>
    <row r="85" spans="1:56" x14ac:dyDescent="0.2">
      <c r="A85" s="602"/>
      <c r="B85" s="214"/>
      <c r="C85" s="544">
        <v>62</v>
      </c>
      <c r="D85" s="596"/>
      <c r="E85" s="596"/>
      <c r="F85" s="597"/>
      <c r="G85" s="598"/>
      <c r="H85" s="597"/>
      <c r="I85" s="598"/>
      <c r="J85" s="597"/>
      <c r="K85" s="598"/>
      <c r="L85" s="598"/>
      <c r="M85" s="598"/>
      <c r="N85" s="597"/>
      <c r="O85" s="599"/>
      <c r="P85" s="597"/>
      <c r="Q85" s="599"/>
      <c r="R85" s="597"/>
      <c r="S85" s="599"/>
      <c r="T85" s="597"/>
      <c r="U85" s="599"/>
      <c r="V85" s="774"/>
      <c r="W85" s="774"/>
      <c r="X85" s="774"/>
      <c r="Y85" s="774"/>
      <c r="Z85" s="774"/>
      <c r="AA85" s="774"/>
      <c r="AB85" s="774"/>
      <c r="AC85" s="774"/>
      <c r="AD85" s="774"/>
      <c r="AE85" s="774"/>
      <c r="AF85" s="774"/>
      <c r="AG85" s="774"/>
      <c r="AH85" s="774"/>
      <c r="AI85" s="774"/>
      <c r="AJ85" s="774"/>
      <c r="AK85" s="774"/>
      <c r="AL85" s="774"/>
      <c r="AM85" s="774"/>
      <c r="AN85" s="774"/>
      <c r="AO85" s="774"/>
      <c r="AP85" s="774"/>
      <c r="AQ85" s="774"/>
      <c r="AR85" s="774"/>
      <c r="AS85" s="774"/>
      <c r="AT85" s="774"/>
      <c r="AU85" s="600"/>
      <c r="AV85" s="600"/>
      <c r="AW85" s="600"/>
      <c r="AX85" s="597"/>
      <c r="AY85" s="597"/>
      <c r="AZ85" s="214"/>
      <c r="BA85" s="490" t="str">
        <f t="shared" si="2"/>
        <v>SUM_CO2</v>
      </c>
      <c r="BB85" s="581" t="str">
        <f t="shared" si="3"/>
        <v>SUM_EnergyIN</v>
      </c>
      <c r="BC85" s="602"/>
      <c r="BD85" s="23"/>
    </row>
    <row r="86" spans="1:56" x14ac:dyDescent="0.2">
      <c r="A86" s="602"/>
      <c r="B86" s="214"/>
      <c r="C86" s="544">
        <v>63</v>
      </c>
      <c r="D86" s="596"/>
      <c r="E86" s="596"/>
      <c r="F86" s="597"/>
      <c r="G86" s="598"/>
      <c r="H86" s="597"/>
      <c r="I86" s="598"/>
      <c r="J86" s="597"/>
      <c r="K86" s="598"/>
      <c r="L86" s="598"/>
      <c r="M86" s="598"/>
      <c r="N86" s="597"/>
      <c r="O86" s="599"/>
      <c r="P86" s="597"/>
      <c r="Q86" s="599"/>
      <c r="R86" s="597"/>
      <c r="S86" s="599"/>
      <c r="T86" s="597"/>
      <c r="U86" s="599"/>
      <c r="V86" s="774"/>
      <c r="W86" s="774"/>
      <c r="X86" s="774"/>
      <c r="Y86" s="774"/>
      <c r="Z86" s="774"/>
      <c r="AA86" s="774"/>
      <c r="AB86" s="774"/>
      <c r="AC86" s="774"/>
      <c r="AD86" s="774"/>
      <c r="AE86" s="774"/>
      <c r="AF86" s="774"/>
      <c r="AG86" s="774"/>
      <c r="AH86" s="774"/>
      <c r="AI86" s="774"/>
      <c r="AJ86" s="774"/>
      <c r="AK86" s="774"/>
      <c r="AL86" s="774"/>
      <c r="AM86" s="774"/>
      <c r="AN86" s="774"/>
      <c r="AO86" s="774"/>
      <c r="AP86" s="774"/>
      <c r="AQ86" s="774"/>
      <c r="AR86" s="774"/>
      <c r="AS86" s="774"/>
      <c r="AT86" s="774"/>
      <c r="AU86" s="600"/>
      <c r="AV86" s="600"/>
      <c r="AW86" s="600"/>
      <c r="AX86" s="597"/>
      <c r="AY86" s="597"/>
      <c r="AZ86" s="214"/>
      <c r="BA86" s="490" t="str">
        <f t="shared" si="2"/>
        <v>SUM_CO2</v>
      </c>
      <c r="BB86" s="581" t="str">
        <f t="shared" si="3"/>
        <v>SUM_EnergyIN</v>
      </c>
      <c r="BC86" s="602"/>
      <c r="BD86" s="23"/>
    </row>
    <row r="87" spans="1:56" x14ac:dyDescent="0.2">
      <c r="A87" s="602"/>
      <c r="B87" s="214"/>
      <c r="C87" s="544">
        <v>64</v>
      </c>
      <c r="D87" s="596"/>
      <c r="E87" s="596"/>
      <c r="F87" s="597"/>
      <c r="G87" s="598"/>
      <c r="H87" s="597"/>
      <c r="I87" s="598"/>
      <c r="J87" s="597"/>
      <c r="K87" s="598"/>
      <c r="L87" s="598"/>
      <c r="M87" s="598"/>
      <c r="N87" s="597"/>
      <c r="O87" s="599"/>
      <c r="P87" s="597"/>
      <c r="Q87" s="599"/>
      <c r="R87" s="597"/>
      <c r="S87" s="599"/>
      <c r="T87" s="597"/>
      <c r="U87" s="599"/>
      <c r="V87" s="774"/>
      <c r="W87" s="774"/>
      <c r="X87" s="774"/>
      <c r="Y87" s="774"/>
      <c r="Z87" s="774"/>
      <c r="AA87" s="774"/>
      <c r="AB87" s="774"/>
      <c r="AC87" s="774"/>
      <c r="AD87" s="774"/>
      <c r="AE87" s="774"/>
      <c r="AF87" s="774"/>
      <c r="AG87" s="774"/>
      <c r="AH87" s="774"/>
      <c r="AI87" s="774"/>
      <c r="AJ87" s="774"/>
      <c r="AK87" s="774"/>
      <c r="AL87" s="774"/>
      <c r="AM87" s="774"/>
      <c r="AN87" s="774"/>
      <c r="AO87" s="774"/>
      <c r="AP87" s="774"/>
      <c r="AQ87" s="774"/>
      <c r="AR87" s="774"/>
      <c r="AS87" s="774"/>
      <c r="AT87" s="774"/>
      <c r="AU87" s="600"/>
      <c r="AV87" s="600"/>
      <c r="AW87" s="600"/>
      <c r="AX87" s="597"/>
      <c r="AY87" s="597"/>
      <c r="AZ87" s="214"/>
      <c r="BA87" s="490" t="str">
        <f t="shared" si="2"/>
        <v>SUM_CO2</v>
      </c>
      <c r="BB87" s="581" t="str">
        <f t="shared" si="3"/>
        <v>SUM_EnergyIN</v>
      </c>
      <c r="BC87" s="602"/>
      <c r="BD87" s="23"/>
    </row>
    <row r="88" spans="1:56" x14ac:dyDescent="0.2">
      <c r="A88" s="602"/>
      <c r="B88" s="214"/>
      <c r="C88" s="544">
        <v>65</v>
      </c>
      <c r="D88" s="596"/>
      <c r="E88" s="596"/>
      <c r="F88" s="597"/>
      <c r="G88" s="598"/>
      <c r="H88" s="597"/>
      <c r="I88" s="598"/>
      <c r="J88" s="597"/>
      <c r="K88" s="598"/>
      <c r="L88" s="598"/>
      <c r="M88" s="598"/>
      <c r="N88" s="597"/>
      <c r="O88" s="599"/>
      <c r="P88" s="597"/>
      <c r="Q88" s="599"/>
      <c r="R88" s="597"/>
      <c r="S88" s="599"/>
      <c r="T88" s="597"/>
      <c r="U88" s="599"/>
      <c r="V88" s="774"/>
      <c r="W88" s="774"/>
      <c r="X88" s="774"/>
      <c r="Y88" s="774"/>
      <c r="Z88" s="774"/>
      <c r="AA88" s="774"/>
      <c r="AB88" s="774"/>
      <c r="AC88" s="774"/>
      <c r="AD88" s="774"/>
      <c r="AE88" s="774"/>
      <c r="AF88" s="774"/>
      <c r="AG88" s="774"/>
      <c r="AH88" s="774"/>
      <c r="AI88" s="774"/>
      <c r="AJ88" s="774"/>
      <c r="AK88" s="774"/>
      <c r="AL88" s="774"/>
      <c r="AM88" s="774"/>
      <c r="AN88" s="774"/>
      <c r="AO88" s="774"/>
      <c r="AP88" s="774"/>
      <c r="AQ88" s="774"/>
      <c r="AR88" s="774"/>
      <c r="AS88" s="774"/>
      <c r="AT88" s="774"/>
      <c r="AU88" s="600"/>
      <c r="AV88" s="600"/>
      <c r="AW88" s="600"/>
      <c r="AX88" s="597"/>
      <c r="AY88" s="597"/>
      <c r="AZ88" s="214"/>
      <c r="BA88" s="490" t="str">
        <f t="shared" ref="BA88:BA98" si="4">EUconst_SumCO2</f>
        <v>SUM_CO2</v>
      </c>
      <c r="BB88" s="581" t="str">
        <f t="shared" ref="BB88:BB98" si="5">EUconst_SumEnergyIN</f>
        <v>SUM_EnergyIN</v>
      </c>
      <c r="BC88" s="602"/>
      <c r="BD88" s="23"/>
    </row>
    <row r="89" spans="1:56" x14ac:dyDescent="0.2">
      <c r="A89" s="602"/>
      <c r="B89" s="214"/>
      <c r="C89" s="544">
        <v>66</v>
      </c>
      <c r="D89" s="596"/>
      <c r="E89" s="596"/>
      <c r="F89" s="597"/>
      <c r="G89" s="598"/>
      <c r="H89" s="597"/>
      <c r="I89" s="598"/>
      <c r="J89" s="597"/>
      <c r="K89" s="598"/>
      <c r="L89" s="598"/>
      <c r="M89" s="598"/>
      <c r="N89" s="597"/>
      <c r="O89" s="599"/>
      <c r="P89" s="597"/>
      <c r="Q89" s="599"/>
      <c r="R89" s="597"/>
      <c r="S89" s="599"/>
      <c r="T89" s="597"/>
      <c r="U89" s="599"/>
      <c r="V89" s="774"/>
      <c r="W89" s="774"/>
      <c r="X89" s="774"/>
      <c r="Y89" s="774"/>
      <c r="Z89" s="774"/>
      <c r="AA89" s="774"/>
      <c r="AB89" s="774"/>
      <c r="AC89" s="774"/>
      <c r="AD89" s="774"/>
      <c r="AE89" s="774"/>
      <c r="AF89" s="774"/>
      <c r="AG89" s="774"/>
      <c r="AH89" s="774"/>
      <c r="AI89" s="774"/>
      <c r="AJ89" s="774"/>
      <c r="AK89" s="774"/>
      <c r="AL89" s="774"/>
      <c r="AM89" s="774"/>
      <c r="AN89" s="774"/>
      <c r="AO89" s="774"/>
      <c r="AP89" s="774"/>
      <c r="AQ89" s="774"/>
      <c r="AR89" s="774"/>
      <c r="AS89" s="774"/>
      <c r="AT89" s="774"/>
      <c r="AU89" s="600"/>
      <c r="AV89" s="600"/>
      <c r="AW89" s="600"/>
      <c r="AX89" s="597"/>
      <c r="AY89" s="597"/>
      <c r="AZ89" s="214"/>
      <c r="BA89" s="490" t="str">
        <f t="shared" si="4"/>
        <v>SUM_CO2</v>
      </c>
      <c r="BB89" s="581" t="str">
        <f t="shared" si="5"/>
        <v>SUM_EnergyIN</v>
      </c>
      <c r="BC89" s="602"/>
      <c r="BD89" s="23"/>
    </row>
    <row r="90" spans="1:56" x14ac:dyDescent="0.2">
      <c r="A90" s="602"/>
      <c r="B90" s="214"/>
      <c r="C90" s="544">
        <v>67</v>
      </c>
      <c r="D90" s="596"/>
      <c r="E90" s="596"/>
      <c r="F90" s="597"/>
      <c r="G90" s="598"/>
      <c r="H90" s="597"/>
      <c r="I90" s="598"/>
      <c r="J90" s="597"/>
      <c r="K90" s="598"/>
      <c r="L90" s="598"/>
      <c r="M90" s="598"/>
      <c r="N90" s="597"/>
      <c r="O90" s="599"/>
      <c r="P90" s="597"/>
      <c r="Q90" s="599"/>
      <c r="R90" s="597"/>
      <c r="S90" s="599"/>
      <c r="T90" s="597"/>
      <c r="U90" s="599"/>
      <c r="V90" s="774"/>
      <c r="W90" s="774"/>
      <c r="X90" s="774"/>
      <c r="Y90" s="774"/>
      <c r="Z90" s="774"/>
      <c r="AA90" s="774"/>
      <c r="AB90" s="774"/>
      <c r="AC90" s="774"/>
      <c r="AD90" s="774"/>
      <c r="AE90" s="774"/>
      <c r="AF90" s="774"/>
      <c r="AG90" s="774"/>
      <c r="AH90" s="774"/>
      <c r="AI90" s="774"/>
      <c r="AJ90" s="774"/>
      <c r="AK90" s="774"/>
      <c r="AL90" s="774"/>
      <c r="AM90" s="774"/>
      <c r="AN90" s="774"/>
      <c r="AO90" s="774"/>
      <c r="AP90" s="774"/>
      <c r="AQ90" s="774"/>
      <c r="AR90" s="774"/>
      <c r="AS90" s="774"/>
      <c r="AT90" s="774"/>
      <c r="AU90" s="600"/>
      <c r="AV90" s="600"/>
      <c r="AW90" s="600"/>
      <c r="AX90" s="597"/>
      <c r="AY90" s="597"/>
      <c r="AZ90" s="214"/>
      <c r="BA90" s="490" t="str">
        <f t="shared" si="4"/>
        <v>SUM_CO2</v>
      </c>
      <c r="BB90" s="581" t="str">
        <f t="shared" si="5"/>
        <v>SUM_EnergyIN</v>
      </c>
      <c r="BC90" s="602"/>
      <c r="BD90" s="23"/>
    </row>
    <row r="91" spans="1:56" x14ac:dyDescent="0.2">
      <c r="A91" s="602"/>
      <c r="B91" s="214"/>
      <c r="C91" s="544">
        <v>68</v>
      </c>
      <c r="D91" s="596"/>
      <c r="E91" s="596"/>
      <c r="F91" s="597"/>
      <c r="G91" s="598"/>
      <c r="H91" s="597"/>
      <c r="I91" s="598"/>
      <c r="J91" s="597"/>
      <c r="K91" s="598"/>
      <c r="L91" s="598"/>
      <c r="M91" s="598"/>
      <c r="N91" s="597"/>
      <c r="O91" s="599"/>
      <c r="P91" s="597"/>
      <c r="Q91" s="599"/>
      <c r="R91" s="597"/>
      <c r="S91" s="599"/>
      <c r="T91" s="597"/>
      <c r="U91" s="599"/>
      <c r="V91" s="774"/>
      <c r="W91" s="774"/>
      <c r="X91" s="774"/>
      <c r="Y91" s="774"/>
      <c r="Z91" s="774"/>
      <c r="AA91" s="774"/>
      <c r="AB91" s="774"/>
      <c r="AC91" s="774"/>
      <c r="AD91" s="774"/>
      <c r="AE91" s="774"/>
      <c r="AF91" s="774"/>
      <c r="AG91" s="774"/>
      <c r="AH91" s="774"/>
      <c r="AI91" s="774"/>
      <c r="AJ91" s="774"/>
      <c r="AK91" s="774"/>
      <c r="AL91" s="774"/>
      <c r="AM91" s="774"/>
      <c r="AN91" s="774"/>
      <c r="AO91" s="774"/>
      <c r="AP91" s="774"/>
      <c r="AQ91" s="774"/>
      <c r="AR91" s="774"/>
      <c r="AS91" s="774"/>
      <c r="AT91" s="774"/>
      <c r="AU91" s="600"/>
      <c r="AV91" s="600"/>
      <c r="AW91" s="600"/>
      <c r="AX91" s="597"/>
      <c r="AY91" s="597"/>
      <c r="AZ91" s="214"/>
      <c r="BA91" s="490" t="str">
        <f t="shared" si="4"/>
        <v>SUM_CO2</v>
      </c>
      <c r="BB91" s="581" t="str">
        <f t="shared" si="5"/>
        <v>SUM_EnergyIN</v>
      </c>
      <c r="BC91" s="602"/>
      <c r="BD91" s="23"/>
    </row>
    <row r="92" spans="1:56" x14ac:dyDescent="0.2">
      <c r="A92" s="602"/>
      <c r="B92" s="214"/>
      <c r="C92" s="544">
        <v>69</v>
      </c>
      <c r="D92" s="596"/>
      <c r="E92" s="596"/>
      <c r="F92" s="597"/>
      <c r="G92" s="598"/>
      <c r="H92" s="597"/>
      <c r="I92" s="598"/>
      <c r="J92" s="597"/>
      <c r="K92" s="598"/>
      <c r="L92" s="598"/>
      <c r="M92" s="598"/>
      <c r="N92" s="597"/>
      <c r="O92" s="599"/>
      <c r="P92" s="597"/>
      <c r="Q92" s="599"/>
      <c r="R92" s="597"/>
      <c r="S92" s="599"/>
      <c r="T92" s="597"/>
      <c r="U92" s="599"/>
      <c r="V92" s="774"/>
      <c r="W92" s="774"/>
      <c r="X92" s="774"/>
      <c r="Y92" s="774"/>
      <c r="Z92" s="774"/>
      <c r="AA92" s="774"/>
      <c r="AB92" s="774"/>
      <c r="AC92" s="774"/>
      <c r="AD92" s="774"/>
      <c r="AE92" s="774"/>
      <c r="AF92" s="774"/>
      <c r="AG92" s="774"/>
      <c r="AH92" s="774"/>
      <c r="AI92" s="774"/>
      <c r="AJ92" s="774"/>
      <c r="AK92" s="774"/>
      <c r="AL92" s="774"/>
      <c r="AM92" s="774"/>
      <c r="AN92" s="774"/>
      <c r="AO92" s="774"/>
      <c r="AP92" s="774"/>
      <c r="AQ92" s="774"/>
      <c r="AR92" s="774"/>
      <c r="AS92" s="774"/>
      <c r="AT92" s="774"/>
      <c r="AU92" s="600"/>
      <c r="AV92" s="600"/>
      <c r="AW92" s="600"/>
      <c r="AX92" s="597"/>
      <c r="AY92" s="597"/>
      <c r="AZ92" s="214"/>
      <c r="BA92" s="490" t="str">
        <f t="shared" si="4"/>
        <v>SUM_CO2</v>
      </c>
      <c r="BB92" s="581" t="str">
        <f t="shared" si="5"/>
        <v>SUM_EnergyIN</v>
      </c>
      <c r="BC92" s="602"/>
      <c r="BD92" s="23"/>
    </row>
    <row r="93" spans="1:56" x14ac:dyDescent="0.2">
      <c r="A93" s="602"/>
      <c r="B93" s="214"/>
      <c r="C93" s="544">
        <v>70</v>
      </c>
      <c r="D93" s="596"/>
      <c r="E93" s="596"/>
      <c r="F93" s="597"/>
      <c r="G93" s="598"/>
      <c r="H93" s="597"/>
      <c r="I93" s="598"/>
      <c r="J93" s="597"/>
      <c r="K93" s="598"/>
      <c r="L93" s="598"/>
      <c r="M93" s="598"/>
      <c r="N93" s="597"/>
      <c r="O93" s="599"/>
      <c r="P93" s="597"/>
      <c r="Q93" s="599"/>
      <c r="R93" s="597"/>
      <c r="S93" s="599"/>
      <c r="T93" s="597"/>
      <c r="U93" s="599"/>
      <c r="V93" s="774"/>
      <c r="W93" s="774"/>
      <c r="X93" s="774"/>
      <c r="Y93" s="774"/>
      <c r="Z93" s="774"/>
      <c r="AA93" s="774"/>
      <c r="AB93" s="774"/>
      <c r="AC93" s="774"/>
      <c r="AD93" s="774"/>
      <c r="AE93" s="774"/>
      <c r="AF93" s="774"/>
      <c r="AG93" s="774"/>
      <c r="AH93" s="774"/>
      <c r="AI93" s="774"/>
      <c r="AJ93" s="774"/>
      <c r="AK93" s="774"/>
      <c r="AL93" s="774"/>
      <c r="AM93" s="774"/>
      <c r="AN93" s="774"/>
      <c r="AO93" s="774"/>
      <c r="AP93" s="774"/>
      <c r="AQ93" s="774"/>
      <c r="AR93" s="774"/>
      <c r="AS93" s="774"/>
      <c r="AT93" s="774"/>
      <c r="AU93" s="600"/>
      <c r="AV93" s="600"/>
      <c r="AW93" s="600"/>
      <c r="AX93" s="597"/>
      <c r="AY93" s="597"/>
      <c r="AZ93" s="214"/>
      <c r="BA93" s="490" t="str">
        <f t="shared" si="4"/>
        <v>SUM_CO2</v>
      </c>
      <c r="BB93" s="581" t="str">
        <f t="shared" si="5"/>
        <v>SUM_EnergyIN</v>
      </c>
      <c r="BC93" s="602"/>
      <c r="BD93" s="23"/>
    </row>
    <row r="94" spans="1:56" x14ac:dyDescent="0.2">
      <c r="A94" s="602"/>
      <c r="B94" s="214"/>
      <c r="C94" s="544">
        <v>71</v>
      </c>
      <c r="D94" s="596"/>
      <c r="E94" s="596"/>
      <c r="F94" s="597"/>
      <c r="G94" s="598"/>
      <c r="H94" s="597"/>
      <c r="I94" s="598"/>
      <c r="J94" s="597"/>
      <c r="K94" s="598"/>
      <c r="L94" s="598"/>
      <c r="M94" s="598"/>
      <c r="N94" s="597"/>
      <c r="O94" s="599"/>
      <c r="P94" s="597"/>
      <c r="Q94" s="599"/>
      <c r="R94" s="597"/>
      <c r="S94" s="599"/>
      <c r="T94" s="597"/>
      <c r="U94" s="599"/>
      <c r="V94" s="774"/>
      <c r="W94" s="774"/>
      <c r="X94" s="774"/>
      <c r="Y94" s="774"/>
      <c r="Z94" s="774"/>
      <c r="AA94" s="774"/>
      <c r="AB94" s="774"/>
      <c r="AC94" s="774"/>
      <c r="AD94" s="774"/>
      <c r="AE94" s="774"/>
      <c r="AF94" s="774"/>
      <c r="AG94" s="774"/>
      <c r="AH94" s="774"/>
      <c r="AI94" s="774"/>
      <c r="AJ94" s="774"/>
      <c r="AK94" s="774"/>
      <c r="AL94" s="774"/>
      <c r="AM94" s="774"/>
      <c r="AN94" s="774"/>
      <c r="AO94" s="774"/>
      <c r="AP94" s="774"/>
      <c r="AQ94" s="774"/>
      <c r="AR94" s="774"/>
      <c r="AS94" s="774"/>
      <c r="AT94" s="774"/>
      <c r="AU94" s="600"/>
      <c r="AV94" s="600"/>
      <c r="AW94" s="600"/>
      <c r="AX94" s="597"/>
      <c r="AY94" s="597"/>
      <c r="AZ94" s="214"/>
      <c r="BA94" s="490" t="str">
        <f t="shared" si="4"/>
        <v>SUM_CO2</v>
      </c>
      <c r="BB94" s="581" t="str">
        <f t="shared" si="5"/>
        <v>SUM_EnergyIN</v>
      </c>
      <c r="BC94" s="602"/>
      <c r="BD94" s="23"/>
    </row>
    <row r="95" spans="1:56" x14ac:dyDescent="0.2">
      <c r="A95" s="602"/>
      <c r="B95" s="214"/>
      <c r="C95" s="544">
        <v>72</v>
      </c>
      <c r="D95" s="596"/>
      <c r="E95" s="596"/>
      <c r="F95" s="597"/>
      <c r="G95" s="598"/>
      <c r="H95" s="597"/>
      <c r="I95" s="598"/>
      <c r="J95" s="597"/>
      <c r="K95" s="598"/>
      <c r="L95" s="598"/>
      <c r="M95" s="598"/>
      <c r="N95" s="597"/>
      <c r="O95" s="599"/>
      <c r="P95" s="597"/>
      <c r="Q95" s="599"/>
      <c r="R95" s="597"/>
      <c r="S95" s="599"/>
      <c r="T95" s="597"/>
      <c r="U95" s="599"/>
      <c r="V95" s="774"/>
      <c r="W95" s="774"/>
      <c r="X95" s="774"/>
      <c r="Y95" s="774"/>
      <c r="Z95" s="774"/>
      <c r="AA95" s="774"/>
      <c r="AB95" s="774"/>
      <c r="AC95" s="774"/>
      <c r="AD95" s="774"/>
      <c r="AE95" s="774"/>
      <c r="AF95" s="774"/>
      <c r="AG95" s="774"/>
      <c r="AH95" s="774"/>
      <c r="AI95" s="774"/>
      <c r="AJ95" s="774"/>
      <c r="AK95" s="774"/>
      <c r="AL95" s="774"/>
      <c r="AM95" s="774"/>
      <c r="AN95" s="774"/>
      <c r="AO95" s="774"/>
      <c r="AP95" s="774"/>
      <c r="AQ95" s="774"/>
      <c r="AR95" s="774"/>
      <c r="AS95" s="774"/>
      <c r="AT95" s="774"/>
      <c r="AU95" s="600"/>
      <c r="AV95" s="600"/>
      <c r="AW95" s="600"/>
      <c r="AX95" s="597"/>
      <c r="AY95" s="597"/>
      <c r="AZ95" s="214"/>
      <c r="BA95" s="490" t="str">
        <f t="shared" si="4"/>
        <v>SUM_CO2</v>
      </c>
      <c r="BB95" s="581" t="str">
        <f t="shared" si="5"/>
        <v>SUM_EnergyIN</v>
      </c>
      <c r="BC95" s="602"/>
      <c r="BD95" s="23"/>
    </row>
    <row r="96" spans="1:56" x14ac:dyDescent="0.2">
      <c r="A96" s="602"/>
      <c r="B96" s="214"/>
      <c r="C96" s="544">
        <v>73</v>
      </c>
      <c r="D96" s="596"/>
      <c r="E96" s="596"/>
      <c r="F96" s="597"/>
      <c r="G96" s="598"/>
      <c r="H96" s="597"/>
      <c r="I96" s="598"/>
      <c r="J96" s="597"/>
      <c r="K96" s="598"/>
      <c r="L96" s="598"/>
      <c r="M96" s="598"/>
      <c r="N96" s="597"/>
      <c r="O96" s="599"/>
      <c r="P96" s="597"/>
      <c r="Q96" s="599"/>
      <c r="R96" s="597"/>
      <c r="S96" s="599"/>
      <c r="T96" s="597"/>
      <c r="U96" s="599"/>
      <c r="V96" s="774"/>
      <c r="W96" s="774"/>
      <c r="X96" s="774"/>
      <c r="Y96" s="774"/>
      <c r="Z96" s="774"/>
      <c r="AA96" s="774"/>
      <c r="AB96" s="774"/>
      <c r="AC96" s="774"/>
      <c r="AD96" s="774"/>
      <c r="AE96" s="774"/>
      <c r="AF96" s="774"/>
      <c r="AG96" s="774"/>
      <c r="AH96" s="774"/>
      <c r="AI96" s="774"/>
      <c r="AJ96" s="774"/>
      <c r="AK96" s="774"/>
      <c r="AL96" s="774"/>
      <c r="AM96" s="774"/>
      <c r="AN96" s="774"/>
      <c r="AO96" s="774"/>
      <c r="AP96" s="774"/>
      <c r="AQ96" s="774"/>
      <c r="AR96" s="774"/>
      <c r="AS96" s="774"/>
      <c r="AT96" s="774"/>
      <c r="AU96" s="600"/>
      <c r="AV96" s="600"/>
      <c r="AW96" s="600"/>
      <c r="AX96" s="597"/>
      <c r="AY96" s="597"/>
      <c r="AZ96" s="214"/>
      <c r="BA96" s="490" t="str">
        <f t="shared" si="4"/>
        <v>SUM_CO2</v>
      </c>
      <c r="BB96" s="581" t="str">
        <f t="shared" si="5"/>
        <v>SUM_EnergyIN</v>
      </c>
      <c r="BC96" s="602"/>
      <c r="BD96" s="23"/>
    </row>
    <row r="97" spans="1:56" x14ac:dyDescent="0.2">
      <c r="A97" s="602"/>
      <c r="B97" s="214"/>
      <c r="C97" s="544">
        <v>74</v>
      </c>
      <c r="D97" s="596"/>
      <c r="E97" s="596"/>
      <c r="F97" s="597"/>
      <c r="G97" s="598"/>
      <c r="H97" s="597"/>
      <c r="I97" s="598"/>
      <c r="J97" s="597"/>
      <c r="K97" s="598"/>
      <c r="L97" s="598"/>
      <c r="M97" s="598"/>
      <c r="N97" s="597"/>
      <c r="O97" s="599"/>
      <c r="P97" s="597"/>
      <c r="Q97" s="599"/>
      <c r="R97" s="597"/>
      <c r="S97" s="599"/>
      <c r="T97" s="597"/>
      <c r="U97" s="599"/>
      <c r="V97" s="774"/>
      <c r="W97" s="774"/>
      <c r="X97" s="774"/>
      <c r="Y97" s="774"/>
      <c r="Z97" s="774"/>
      <c r="AA97" s="774"/>
      <c r="AB97" s="774"/>
      <c r="AC97" s="774"/>
      <c r="AD97" s="774"/>
      <c r="AE97" s="774"/>
      <c r="AF97" s="774"/>
      <c r="AG97" s="774"/>
      <c r="AH97" s="774"/>
      <c r="AI97" s="774"/>
      <c r="AJ97" s="774"/>
      <c r="AK97" s="774"/>
      <c r="AL97" s="774"/>
      <c r="AM97" s="774"/>
      <c r="AN97" s="774"/>
      <c r="AO97" s="774"/>
      <c r="AP97" s="774"/>
      <c r="AQ97" s="774"/>
      <c r="AR97" s="774"/>
      <c r="AS97" s="774"/>
      <c r="AT97" s="774"/>
      <c r="AU97" s="600"/>
      <c r="AV97" s="600"/>
      <c r="AW97" s="600"/>
      <c r="AX97" s="597"/>
      <c r="AY97" s="597"/>
      <c r="AZ97" s="214"/>
      <c r="BA97" s="490" t="str">
        <f t="shared" si="4"/>
        <v>SUM_CO2</v>
      </c>
      <c r="BB97" s="581" t="str">
        <f t="shared" si="5"/>
        <v>SUM_EnergyIN</v>
      </c>
      <c r="BC97" s="602"/>
      <c r="BD97" s="23"/>
    </row>
    <row r="98" spans="1:56" x14ac:dyDescent="0.2">
      <c r="A98" s="602"/>
      <c r="B98" s="214"/>
      <c r="C98" s="544">
        <v>75</v>
      </c>
      <c r="D98" s="596"/>
      <c r="E98" s="596"/>
      <c r="F98" s="597"/>
      <c r="G98" s="598"/>
      <c r="H98" s="597"/>
      <c r="I98" s="598"/>
      <c r="J98" s="597"/>
      <c r="K98" s="598"/>
      <c r="L98" s="598"/>
      <c r="M98" s="598"/>
      <c r="N98" s="597"/>
      <c r="O98" s="599"/>
      <c r="P98" s="597"/>
      <c r="Q98" s="599"/>
      <c r="R98" s="597"/>
      <c r="S98" s="599"/>
      <c r="T98" s="597"/>
      <c r="U98" s="599"/>
      <c r="V98" s="774"/>
      <c r="W98" s="774"/>
      <c r="X98" s="774"/>
      <c r="Y98" s="774"/>
      <c r="Z98" s="774"/>
      <c r="AA98" s="774"/>
      <c r="AB98" s="774"/>
      <c r="AC98" s="774"/>
      <c r="AD98" s="774"/>
      <c r="AE98" s="774"/>
      <c r="AF98" s="774"/>
      <c r="AG98" s="774"/>
      <c r="AH98" s="774"/>
      <c r="AI98" s="774"/>
      <c r="AJ98" s="774"/>
      <c r="AK98" s="774"/>
      <c r="AL98" s="774"/>
      <c r="AM98" s="774"/>
      <c r="AN98" s="774"/>
      <c r="AO98" s="774"/>
      <c r="AP98" s="774"/>
      <c r="AQ98" s="774"/>
      <c r="AR98" s="774"/>
      <c r="AS98" s="774"/>
      <c r="AT98" s="774"/>
      <c r="AU98" s="600"/>
      <c r="AV98" s="600"/>
      <c r="AW98" s="600"/>
      <c r="AX98" s="597"/>
      <c r="AY98" s="597"/>
      <c r="AZ98" s="214"/>
      <c r="BA98" s="490" t="str">
        <f t="shared" si="4"/>
        <v>SUM_CO2</v>
      </c>
      <c r="BB98" s="581" t="str">
        <f t="shared" si="5"/>
        <v>SUM_EnergyIN</v>
      </c>
      <c r="BC98" s="602"/>
      <c r="BD98" s="23"/>
    </row>
    <row r="99" spans="1:56" x14ac:dyDescent="0.2">
      <c r="A99" s="602"/>
      <c r="B99" s="214"/>
      <c r="C99" s="95"/>
      <c r="D99" s="214"/>
      <c r="E99" s="214"/>
      <c r="F99" s="214"/>
      <c r="G99" s="214"/>
      <c r="H99" s="214"/>
      <c r="I99" s="214"/>
      <c r="J99" s="214"/>
      <c r="K99" s="214"/>
      <c r="L99" s="214"/>
      <c r="N99" s="214"/>
      <c r="O99" s="214"/>
      <c r="P99" s="214"/>
      <c r="Q99" s="214"/>
      <c r="R99" s="214"/>
      <c r="S99" s="214"/>
      <c r="T99" s="214"/>
      <c r="U99" s="214"/>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602"/>
      <c r="BB99" s="602"/>
      <c r="BC99" s="602"/>
      <c r="BD99" s="23"/>
    </row>
    <row r="100" spans="1:56" ht="50.1" customHeight="1" thickBot="1" x14ac:dyDescent="0.45">
      <c r="A100" s="602"/>
      <c r="B100" s="214"/>
      <c r="C100" s="95"/>
      <c r="D100" s="532" t="str">
        <f>Translations!$B$339</f>
        <v>PFC avota plūsmas</v>
      </c>
      <c r="E100" s="214"/>
      <c r="F100" s="214"/>
      <c r="G100" s="214"/>
      <c r="H100" s="214"/>
      <c r="I100" s="214"/>
      <c r="J100" s="214"/>
      <c r="K100" s="214"/>
      <c r="L100" s="214"/>
      <c r="N100" s="214"/>
      <c r="O100" s="214"/>
      <c r="P100" s="214"/>
      <c r="Q100" s="214"/>
      <c r="R100" s="214"/>
      <c r="S100" s="214"/>
      <c r="T100" s="214"/>
      <c r="U100" s="214"/>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602"/>
      <c r="BB100" s="602"/>
      <c r="BC100" s="602"/>
      <c r="BD100" s="23"/>
    </row>
    <row r="101" spans="1:56" ht="50.1" customHeight="1" thickBot="1" x14ac:dyDescent="0.25">
      <c r="A101" s="602"/>
      <c r="B101" s="214"/>
      <c r="C101" s="533" t="s">
        <v>466</v>
      </c>
      <c r="D101" s="534" t="str">
        <f>Translations!$B$282</f>
        <v>Metode</v>
      </c>
      <c r="E101" s="534" t="str">
        <f>Translations!$B$340</f>
        <v>Nosaukums</v>
      </c>
      <c r="F101" s="535" t="str">
        <f>Translations!$B$284</f>
        <v>Darbības dati</v>
      </c>
      <c r="G101" s="535" t="str">
        <f>Translations!$B$285</f>
        <v>DD vienība</v>
      </c>
      <c r="H101" s="535" t="str">
        <f>Translations!$B$286</f>
        <v>NCV</v>
      </c>
      <c r="I101" s="535" t="str">
        <f>Translations!$B$287</f>
        <v>NCV vienība</v>
      </c>
      <c r="J101" s="535" t="str">
        <f>Translations!$B$288</f>
        <v>EF</v>
      </c>
      <c r="K101" s="535" t="str">
        <f>Translations!$B$289</f>
        <v>EF vienība</v>
      </c>
      <c r="L101" s="535" t="str">
        <f>Translations!$B$290</f>
        <v>C saturs</v>
      </c>
      <c r="M101" s="535" t="str">
        <f>Translations!$B$291</f>
        <v>C satura vienība</v>
      </c>
      <c r="N101" s="535" t="str">
        <f>Translations!$B$292</f>
        <v>Oksid. koef.</v>
      </c>
      <c r="O101" s="535" t="str">
        <f>Translations!$B$293</f>
        <v>OK vienība</v>
      </c>
      <c r="P101" s="535" t="str">
        <f>Translations!$B$294</f>
        <v>Pārrēķina koef.</v>
      </c>
      <c r="Q101" s="535" t="str">
        <f>Translations!$B$295</f>
        <v>PK vienība</v>
      </c>
      <c r="R101" s="535" t="str">
        <f>Translations!$B$296</f>
        <v>Biomasas saturs</v>
      </c>
      <c r="S101" s="535" t="str">
        <f>Translations!$B$297</f>
        <v>BS vienība</v>
      </c>
      <c r="T101" s="535" t="str">
        <f>Translations!$B$298</f>
        <v>ilgtnesp. BS</v>
      </c>
      <c r="U101" s="535" t="str">
        <f>Translations!$B$299</f>
        <v>ilgtnesp. BS vienība</v>
      </c>
      <c r="V101" s="535" t="str">
        <f>Translations!$B$300</f>
        <v>SEG konc. vidējā vērtība h</v>
      </c>
      <c r="W101" s="535" t="str">
        <f>Translations!$B$301</f>
        <v>SEG konc. h vienība</v>
      </c>
      <c r="X101" s="535" t="str">
        <f>Translations!$B$302</f>
        <v>ekspluatācijas stundas</v>
      </c>
      <c r="Y101" s="535" t="str">
        <f>Translations!$B$303</f>
        <v>ekspluatācijas stundu vienība</v>
      </c>
      <c r="Z101" s="535" t="str">
        <f>Translations!$B$304</f>
        <v>Dūmgāzes (vidēji)</v>
      </c>
      <c r="AA101" s="535" t="str">
        <f>Translations!$B$305</f>
        <v>Dūmgāzes (vidēji), vienība</v>
      </c>
      <c r="AB101" s="535" t="str">
        <f>Translations!$B$306</f>
        <v>Dūmgāzes (kopā)</v>
      </c>
      <c r="AC101" s="535" t="str">
        <f>Translations!$B$307</f>
        <v>Dūmgāzes (kopā), vienība</v>
      </c>
      <c r="AD101" s="535" t="str">
        <f>Translations!$B$308</f>
        <v>SEG daudzums gadā</v>
      </c>
      <c r="AE101" s="535" t="str">
        <f>Translations!$B$309</f>
        <v>SEG daudzums gadā, vienība</v>
      </c>
      <c r="AF101" s="535" t="str">
        <f>Translations!$B$310</f>
        <v>GWP (t CO2 e/t)</v>
      </c>
      <c r="AG101" s="535" t="str">
        <f>Translations!$B$311</f>
        <v>A: biežums</v>
      </c>
      <c r="AH101" s="535" t="str">
        <f>Translations!$B$312</f>
        <v>A: ilgums</v>
      </c>
      <c r="AI101" s="535" t="str">
        <f>Translations!$B$313</f>
        <v>A: SEF (CF4)</v>
      </c>
      <c r="AJ101" s="535" t="str">
        <f>Translations!$B$314</f>
        <v>B: AEO</v>
      </c>
      <c r="AK101" s="535" t="str">
        <f>Translations!$B$315</f>
        <v>B: CE</v>
      </c>
      <c r="AL101" s="535" t="str">
        <f>Translations!$B$316</f>
        <v>B: OVC</v>
      </c>
      <c r="AM101" s="535" t="str">
        <f>Translations!$B$317</f>
        <v>F (C2F6)</v>
      </c>
      <c r="AN101" s="535" t="str">
        <f>Translations!$B$318</f>
        <v>CF4 emisijas (t CF4)</v>
      </c>
      <c r="AO101" s="535" t="str">
        <f>Translations!$B$319</f>
        <v>C2F6 emisijas (t C2F6)</v>
      </c>
      <c r="AP101" s="535" t="str">
        <f>Translations!$B$320</f>
        <v>GWP (CF4) (t CO2 e/t)</v>
      </c>
      <c r="AQ101" s="535" t="str">
        <f>Translations!$B$321</f>
        <v>GWP (C2F6) (t CO2 e/t)</v>
      </c>
      <c r="AR101" s="535" t="str">
        <f>Translations!$B$322</f>
        <v>CF4 emisijas (t CO2e)</v>
      </c>
      <c r="AS101" s="535" t="str">
        <f>Translations!$B$323</f>
        <v>C2F6 emisijas (t CO2 e)</v>
      </c>
      <c r="AT101" s="535" t="str">
        <f>Translations!$B$324</f>
        <v>Uztveršanas efektivitāte, %</v>
      </c>
      <c r="AU101" s="535" t="str">
        <f>Translations!$B$325</f>
        <v>CO2 e, fosilie avoti (t)</v>
      </c>
      <c r="AV101" s="535" t="str">
        <f>Translations!$B$326</f>
        <v>CO2 e bio (t)</v>
      </c>
      <c r="AW101" s="535" t="str">
        <f>Translations!$B$327</f>
        <v>CO2 e, ilgtnesp. biomasa (t)</v>
      </c>
      <c r="AX101" s="536" t="str">
        <f>Translations!$B$328</f>
        <v>Enerģētiskais saturs (fosilie avoti), TJ</v>
      </c>
      <c r="AY101" s="537" t="str">
        <f>Translations!$B$329</f>
        <v>Enerģētiskais saturs (biomasa), TJ</v>
      </c>
      <c r="AZ101" s="214"/>
      <c r="BA101" s="602"/>
      <c r="BB101" s="602"/>
      <c r="BC101" s="602"/>
      <c r="BD101" s="23"/>
    </row>
    <row r="102" spans="1:56" ht="12.75" customHeight="1" x14ac:dyDescent="0.2">
      <c r="A102" s="602"/>
      <c r="B102" s="214"/>
      <c r="C102" s="543" t="str">
        <f>Translations!$B$341</f>
        <v>Piem.</v>
      </c>
      <c r="D102" s="686" t="str">
        <f>Translations!$B$342</f>
        <v>PFC emisijas</v>
      </c>
      <c r="E102" s="686" t="str">
        <f>Translations!$B$343</f>
        <v>Centriska priekšdedzināšana (CWPB); A tipa anodi</v>
      </c>
      <c r="F102" s="687">
        <v>5000</v>
      </c>
      <c r="G102" s="538" t="s">
        <v>205</v>
      </c>
      <c r="H102" s="775"/>
      <c r="I102" s="776"/>
      <c r="J102" s="775"/>
      <c r="K102" s="776"/>
      <c r="L102" s="776"/>
      <c r="M102" s="776"/>
      <c r="N102" s="775"/>
      <c r="O102" s="774"/>
      <c r="P102" s="775"/>
      <c r="Q102" s="774"/>
      <c r="R102" s="775"/>
      <c r="S102" s="774"/>
      <c r="T102" s="775"/>
      <c r="U102" s="774"/>
      <c r="V102" s="774"/>
      <c r="W102" s="774"/>
      <c r="X102" s="774"/>
      <c r="Y102" s="774"/>
      <c r="Z102" s="774"/>
      <c r="AA102" s="774"/>
      <c r="AB102" s="774"/>
      <c r="AC102" s="774"/>
      <c r="AD102" s="774"/>
      <c r="AE102" s="774"/>
      <c r="AF102" s="774"/>
      <c r="AG102" s="687">
        <v>300</v>
      </c>
      <c r="AH102" s="687">
        <v>2</v>
      </c>
      <c r="AI102" s="687">
        <v>0.14599999999999999</v>
      </c>
      <c r="AJ102" s="687">
        <v>0</v>
      </c>
      <c r="AK102" s="687">
        <v>0</v>
      </c>
      <c r="AL102" s="687">
        <v>0</v>
      </c>
      <c r="AM102" s="687">
        <v>0.122</v>
      </c>
      <c r="AN102" s="687">
        <v>4.38</v>
      </c>
      <c r="AO102" s="687">
        <v>0.53435999999999995</v>
      </c>
      <c r="AP102" s="691">
        <v>7390</v>
      </c>
      <c r="AQ102" s="691">
        <v>12200</v>
      </c>
      <c r="AR102" s="691">
        <v>32368.2</v>
      </c>
      <c r="AS102" s="691">
        <v>6519.1919999999991</v>
      </c>
      <c r="AT102" s="687">
        <v>98</v>
      </c>
      <c r="AU102" s="689">
        <v>39681.01224489796</v>
      </c>
      <c r="AV102" s="689"/>
      <c r="AW102" s="689"/>
      <c r="AX102" s="687"/>
      <c r="AY102" s="687"/>
      <c r="AZ102" s="214"/>
      <c r="BA102" s="602"/>
      <c r="BB102" s="602"/>
      <c r="BC102" s="602"/>
      <c r="BD102" s="23"/>
    </row>
    <row r="103" spans="1:56" x14ac:dyDescent="0.2">
      <c r="A103" s="602"/>
      <c r="B103" s="214"/>
      <c r="C103" s="538">
        <v>1</v>
      </c>
      <c r="D103" s="671"/>
      <c r="E103" s="596"/>
      <c r="F103" s="597"/>
      <c r="G103" s="598"/>
      <c r="H103" s="775"/>
      <c r="I103" s="776"/>
      <c r="J103" s="775"/>
      <c r="K103" s="776"/>
      <c r="L103" s="776"/>
      <c r="M103" s="776"/>
      <c r="N103" s="775"/>
      <c r="O103" s="774"/>
      <c r="P103" s="775"/>
      <c r="Q103" s="774"/>
      <c r="R103" s="775"/>
      <c r="S103" s="774"/>
      <c r="T103" s="775"/>
      <c r="U103" s="774"/>
      <c r="V103" s="774"/>
      <c r="W103" s="774"/>
      <c r="X103" s="774"/>
      <c r="Y103" s="774"/>
      <c r="Z103" s="774"/>
      <c r="AA103" s="774"/>
      <c r="AB103" s="774"/>
      <c r="AC103" s="774"/>
      <c r="AD103" s="774"/>
      <c r="AE103" s="774"/>
      <c r="AF103" s="774"/>
      <c r="AG103" s="597"/>
      <c r="AH103" s="597"/>
      <c r="AI103" s="597"/>
      <c r="AJ103" s="597"/>
      <c r="AK103" s="597"/>
      <c r="AL103" s="597"/>
      <c r="AM103" s="597"/>
      <c r="AN103" s="597"/>
      <c r="AO103" s="597"/>
      <c r="AP103" s="601"/>
      <c r="AQ103" s="601"/>
      <c r="AR103" s="601"/>
      <c r="AS103" s="601"/>
      <c r="AT103" s="597"/>
      <c r="AU103" s="600"/>
      <c r="AV103" s="600"/>
      <c r="AW103" s="600"/>
      <c r="AX103" s="597"/>
      <c r="AY103" s="597"/>
      <c r="AZ103" s="214"/>
      <c r="BA103" s="490" t="str">
        <f t="shared" ref="BA103:BA112" si="6">EUconst_SumPFC</f>
        <v>SUM_PFC</v>
      </c>
      <c r="BB103" s="581" t="str">
        <f t="shared" ref="BB103:BB112" si="7">EUconst_SumEnergyIN</f>
        <v>SUM_EnergyIN</v>
      </c>
      <c r="BC103" s="602"/>
      <c r="BD103" s="23"/>
    </row>
    <row r="104" spans="1:56" x14ac:dyDescent="0.2">
      <c r="A104" s="602"/>
      <c r="B104" s="214"/>
      <c r="C104" s="539">
        <v>2</v>
      </c>
      <c r="D104" s="671"/>
      <c r="E104" s="596"/>
      <c r="F104" s="597"/>
      <c r="G104" s="598"/>
      <c r="H104" s="775"/>
      <c r="I104" s="776"/>
      <c r="J104" s="775"/>
      <c r="K104" s="776"/>
      <c r="L104" s="776"/>
      <c r="M104" s="776"/>
      <c r="N104" s="775"/>
      <c r="O104" s="774"/>
      <c r="P104" s="775"/>
      <c r="Q104" s="774"/>
      <c r="R104" s="775"/>
      <c r="S104" s="774"/>
      <c r="T104" s="775"/>
      <c r="U104" s="774"/>
      <c r="V104" s="774"/>
      <c r="W104" s="774"/>
      <c r="X104" s="774"/>
      <c r="Y104" s="774"/>
      <c r="Z104" s="774"/>
      <c r="AA104" s="774"/>
      <c r="AB104" s="774"/>
      <c r="AC104" s="774"/>
      <c r="AD104" s="774"/>
      <c r="AE104" s="774"/>
      <c r="AF104" s="774"/>
      <c r="AG104" s="597"/>
      <c r="AH104" s="597"/>
      <c r="AI104" s="597"/>
      <c r="AJ104" s="597"/>
      <c r="AK104" s="597"/>
      <c r="AL104" s="597"/>
      <c r="AM104" s="597"/>
      <c r="AN104" s="597"/>
      <c r="AO104" s="597"/>
      <c r="AP104" s="601"/>
      <c r="AQ104" s="601"/>
      <c r="AR104" s="601"/>
      <c r="AS104" s="601"/>
      <c r="AT104" s="597"/>
      <c r="AU104" s="600"/>
      <c r="AV104" s="600"/>
      <c r="AW104" s="600"/>
      <c r="AX104" s="597"/>
      <c r="AY104" s="597"/>
      <c r="AZ104" s="214"/>
      <c r="BA104" s="490" t="str">
        <f t="shared" si="6"/>
        <v>SUM_PFC</v>
      </c>
      <c r="BB104" s="581" t="str">
        <f t="shared" si="7"/>
        <v>SUM_EnergyIN</v>
      </c>
      <c r="BC104" s="602"/>
      <c r="BD104" s="23"/>
    </row>
    <row r="105" spans="1:56" x14ac:dyDescent="0.2">
      <c r="A105" s="602"/>
      <c r="B105" s="214"/>
      <c r="C105" s="539">
        <v>3</v>
      </c>
      <c r="D105" s="671"/>
      <c r="E105" s="596"/>
      <c r="F105" s="597"/>
      <c r="G105" s="598"/>
      <c r="H105" s="775"/>
      <c r="I105" s="776"/>
      <c r="J105" s="775"/>
      <c r="K105" s="776"/>
      <c r="L105" s="776"/>
      <c r="M105" s="776"/>
      <c r="N105" s="775"/>
      <c r="O105" s="774"/>
      <c r="P105" s="775"/>
      <c r="Q105" s="774"/>
      <c r="R105" s="775"/>
      <c r="S105" s="774"/>
      <c r="T105" s="775"/>
      <c r="U105" s="774"/>
      <c r="V105" s="774"/>
      <c r="W105" s="774"/>
      <c r="X105" s="774"/>
      <c r="Y105" s="774"/>
      <c r="Z105" s="774"/>
      <c r="AA105" s="774"/>
      <c r="AB105" s="774"/>
      <c r="AC105" s="774"/>
      <c r="AD105" s="774"/>
      <c r="AE105" s="774"/>
      <c r="AF105" s="774"/>
      <c r="AG105" s="597"/>
      <c r="AH105" s="597"/>
      <c r="AI105" s="597"/>
      <c r="AJ105" s="597"/>
      <c r="AK105" s="597"/>
      <c r="AL105" s="597"/>
      <c r="AM105" s="597"/>
      <c r="AN105" s="597"/>
      <c r="AO105" s="597"/>
      <c r="AP105" s="601"/>
      <c r="AQ105" s="601"/>
      <c r="AR105" s="601"/>
      <c r="AS105" s="601"/>
      <c r="AT105" s="597"/>
      <c r="AU105" s="600"/>
      <c r="AV105" s="600"/>
      <c r="AW105" s="600"/>
      <c r="AX105" s="597"/>
      <c r="AY105" s="597"/>
      <c r="AZ105" s="214"/>
      <c r="BA105" s="490" t="str">
        <f t="shared" si="6"/>
        <v>SUM_PFC</v>
      </c>
      <c r="BB105" s="581" t="str">
        <f t="shared" si="7"/>
        <v>SUM_EnergyIN</v>
      </c>
      <c r="BC105" s="602"/>
      <c r="BD105" s="23"/>
    </row>
    <row r="106" spans="1:56" x14ac:dyDescent="0.2">
      <c r="A106" s="602"/>
      <c r="B106" s="214"/>
      <c r="C106" s="539">
        <v>4</v>
      </c>
      <c r="D106" s="671"/>
      <c r="E106" s="596"/>
      <c r="F106" s="597"/>
      <c r="G106" s="598"/>
      <c r="H106" s="775"/>
      <c r="I106" s="776"/>
      <c r="J106" s="775"/>
      <c r="K106" s="776"/>
      <c r="L106" s="776"/>
      <c r="M106" s="776"/>
      <c r="N106" s="775"/>
      <c r="O106" s="774"/>
      <c r="P106" s="775"/>
      <c r="Q106" s="774"/>
      <c r="R106" s="775"/>
      <c r="S106" s="774"/>
      <c r="T106" s="775"/>
      <c r="U106" s="774"/>
      <c r="V106" s="774"/>
      <c r="W106" s="774"/>
      <c r="X106" s="774"/>
      <c r="Y106" s="774"/>
      <c r="Z106" s="774"/>
      <c r="AA106" s="774"/>
      <c r="AB106" s="774"/>
      <c r="AC106" s="774"/>
      <c r="AD106" s="774"/>
      <c r="AE106" s="774"/>
      <c r="AF106" s="774"/>
      <c r="AG106" s="597"/>
      <c r="AH106" s="597"/>
      <c r="AI106" s="597"/>
      <c r="AJ106" s="597"/>
      <c r="AK106" s="597"/>
      <c r="AL106" s="597"/>
      <c r="AM106" s="597"/>
      <c r="AN106" s="597"/>
      <c r="AO106" s="597"/>
      <c r="AP106" s="601"/>
      <c r="AQ106" s="601"/>
      <c r="AR106" s="601"/>
      <c r="AS106" s="601"/>
      <c r="AT106" s="597"/>
      <c r="AU106" s="600"/>
      <c r="AV106" s="600"/>
      <c r="AW106" s="600"/>
      <c r="AX106" s="597"/>
      <c r="AY106" s="597"/>
      <c r="AZ106" s="214"/>
      <c r="BA106" s="490" t="str">
        <f t="shared" si="6"/>
        <v>SUM_PFC</v>
      </c>
      <c r="BB106" s="581" t="str">
        <f t="shared" si="7"/>
        <v>SUM_EnergyIN</v>
      </c>
      <c r="BC106" s="602"/>
      <c r="BD106" s="23"/>
    </row>
    <row r="107" spans="1:56" x14ac:dyDescent="0.2">
      <c r="A107" s="602"/>
      <c r="B107" s="214"/>
      <c r="C107" s="539">
        <v>5</v>
      </c>
      <c r="D107" s="671"/>
      <c r="E107" s="596"/>
      <c r="F107" s="597"/>
      <c r="G107" s="598"/>
      <c r="H107" s="775"/>
      <c r="I107" s="776"/>
      <c r="J107" s="775"/>
      <c r="K107" s="776"/>
      <c r="L107" s="776"/>
      <c r="M107" s="776"/>
      <c r="N107" s="775"/>
      <c r="O107" s="774"/>
      <c r="P107" s="775"/>
      <c r="Q107" s="774"/>
      <c r="R107" s="775"/>
      <c r="S107" s="774"/>
      <c r="T107" s="775"/>
      <c r="U107" s="774"/>
      <c r="V107" s="774"/>
      <c r="W107" s="774"/>
      <c r="X107" s="774"/>
      <c r="Y107" s="774"/>
      <c r="Z107" s="774"/>
      <c r="AA107" s="774"/>
      <c r="AB107" s="774"/>
      <c r="AC107" s="774"/>
      <c r="AD107" s="774"/>
      <c r="AE107" s="774"/>
      <c r="AF107" s="774"/>
      <c r="AG107" s="597"/>
      <c r="AH107" s="597"/>
      <c r="AI107" s="597"/>
      <c r="AJ107" s="597"/>
      <c r="AK107" s="597"/>
      <c r="AL107" s="597"/>
      <c r="AM107" s="597"/>
      <c r="AN107" s="597"/>
      <c r="AO107" s="597"/>
      <c r="AP107" s="601"/>
      <c r="AQ107" s="601"/>
      <c r="AR107" s="601"/>
      <c r="AS107" s="601"/>
      <c r="AT107" s="597"/>
      <c r="AU107" s="600"/>
      <c r="AV107" s="600"/>
      <c r="AW107" s="600"/>
      <c r="AX107" s="597"/>
      <c r="AY107" s="597"/>
      <c r="AZ107" s="214"/>
      <c r="BA107" s="490" t="str">
        <f t="shared" si="6"/>
        <v>SUM_PFC</v>
      </c>
      <c r="BB107" s="581" t="str">
        <f t="shared" si="7"/>
        <v>SUM_EnergyIN</v>
      </c>
      <c r="BC107" s="602"/>
      <c r="BD107" s="23"/>
    </row>
    <row r="108" spans="1:56" x14ac:dyDescent="0.2">
      <c r="A108" s="602"/>
      <c r="B108" s="214"/>
      <c r="C108" s="539">
        <v>6</v>
      </c>
      <c r="D108" s="671"/>
      <c r="E108" s="596"/>
      <c r="F108" s="597"/>
      <c r="G108" s="598"/>
      <c r="H108" s="775"/>
      <c r="I108" s="776"/>
      <c r="J108" s="775"/>
      <c r="K108" s="776"/>
      <c r="L108" s="776"/>
      <c r="M108" s="776"/>
      <c r="N108" s="775"/>
      <c r="O108" s="774"/>
      <c r="P108" s="775"/>
      <c r="Q108" s="774"/>
      <c r="R108" s="775"/>
      <c r="S108" s="774"/>
      <c r="T108" s="775"/>
      <c r="U108" s="774"/>
      <c r="V108" s="774"/>
      <c r="W108" s="774"/>
      <c r="X108" s="774"/>
      <c r="Y108" s="774"/>
      <c r="Z108" s="774"/>
      <c r="AA108" s="774"/>
      <c r="AB108" s="774"/>
      <c r="AC108" s="774"/>
      <c r="AD108" s="774"/>
      <c r="AE108" s="774"/>
      <c r="AF108" s="774"/>
      <c r="AG108" s="597"/>
      <c r="AH108" s="597"/>
      <c r="AI108" s="597"/>
      <c r="AJ108" s="597"/>
      <c r="AK108" s="597"/>
      <c r="AL108" s="597"/>
      <c r="AM108" s="597"/>
      <c r="AN108" s="597"/>
      <c r="AO108" s="597"/>
      <c r="AP108" s="601"/>
      <c r="AQ108" s="601"/>
      <c r="AR108" s="601"/>
      <c r="AS108" s="601"/>
      <c r="AT108" s="597"/>
      <c r="AU108" s="600"/>
      <c r="AV108" s="600"/>
      <c r="AW108" s="600"/>
      <c r="AX108" s="597"/>
      <c r="AY108" s="597"/>
      <c r="AZ108" s="214"/>
      <c r="BA108" s="490" t="str">
        <f t="shared" si="6"/>
        <v>SUM_PFC</v>
      </c>
      <c r="BB108" s="581" t="str">
        <f t="shared" si="7"/>
        <v>SUM_EnergyIN</v>
      </c>
      <c r="BC108" s="602"/>
      <c r="BD108" s="23"/>
    </row>
    <row r="109" spans="1:56" x14ac:dyDescent="0.2">
      <c r="A109" s="602"/>
      <c r="B109" s="214"/>
      <c r="C109" s="539">
        <v>7</v>
      </c>
      <c r="D109" s="671"/>
      <c r="E109" s="596"/>
      <c r="F109" s="597"/>
      <c r="G109" s="598"/>
      <c r="H109" s="775"/>
      <c r="I109" s="776"/>
      <c r="J109" s="775"/>
      <c r="K109" s="776"/>
      <c r="L109" s="776"/>
      <c r="M109" s="776"/>
      <c r="N109" s="775"/>
      <c r="O109" s="774"/>
      <c r="P109" s="775"/>
      <c r="Q109" s="774"/>
      <c r="R109" s="775"/>
      <c r="S109" s="774"/>
      <c r="T109" s="775"/>
      <c r="U109" s="774"/>
      <c r="V109" s="774"/>
      <c r="W109" s="774"/>
      <c r="X109" s="774"/>
      <c r="Y109" s="774"/>
      <c r="Z109" s="774"/>
      <c r="AA109" s="774"/>
      <c r="AB109" s="774"/>
      <c r="AC109" s="774"/>
      <c r="AD109" s="774"/>
      <c r="AE109" s="774"/>
      <c r="AF109" s="774"/>
      <c r="AG109" s="597"/>
      <c r="AH109" s="597"/>
      <c r="AI109" s="597"/>
      <c r="AJ109" s="597"/>
      <c r="AK109" s="597"/>
      <c r="AL109" s="597"/>
      <c r="AM109" s="597"/>
      <c r="AN109" s="597"/>
      <c r="AO109" s="597"/>
      <c r="AP109" s="601"/>
      <c r="AQ109" s="601"/>
      <c r="AR109" s="601"/>
      <c r="AS109" s="601"/>
      <c r="AT109" s="597"/>
      <c r="AU109" s="600"/>
      <c r="AV109" s="600"/>
      <c r="AW109" s="600"/>
      <c r="AX109" s="597"/>
      <c r="AY109" s="597"/>
      <c r="AZ109" s="214"/>
      <c r="BA109" s="490" t="str">
        <f t="shared" si="6"/>
        <v>SUM_PFC</v>
      </c>
      <c r="BB109" s="581" t="str">
        <f t="shared" si="7"/>
        <v>SUM_EnergyIN</v>
      </c>
      <c r="BC109" s="602"/>
      <c r="BD109" s="23"/>
    </row>
    <row r="110" spans="1:56" x14ac:dyDescent="0.2">
      <c r="A110" s="602"/>
      <c r="B110" s="214"/>
      <c r="C110" s="539">
        <v>8</v>
      </c>
      <c r="D110" s="671"/>
      <c r="E110" s="596"/>
      <c r="F110" s="597"/>
      <c r="G110" s="598"/>
      <c r="H110" s="775"/>
      <c r="I110" s="776"/>
      <c r="J110" s="775"/>
      <c r="K110" s="776"/>
      <c r="L110" s="776"/>
      <c r="M110" s="776"/>
      <c r="N110" s="775"/>
      <c r="O110" s="774"/>
      <c r="P110" s="775"/>
      <c r="Q110" s="774"/>
      <c r="R110" s="775"/>
      <c r="S110" s="774"/>
      <c r="T110" s="775"/>
      <c r="U110" s="774"/>
      <c r="V110" s="774"/>
      <c r="W110" s="774"/>
      <c r="X110" s="774"/>
      <c r="Y110" s="774"/>
      <c r="Z110" s="774"/>
      <c r="AA110" s="774"/>
      <c r="AB110" s="774"/>
      <c r="AC110" s="774"/>
      <c r="AD110" s="774"/>
      <c r="AE110" s="774"/>
      <c r="AF110" s="774"/>
      <c r="AG110" s="597"/>
      <c r="AH110" s="597"/>
      <c r="AI110" s="597"/>
      <c r="AJ110" s="597"/>
      <c r="AK110" s="597"/>
      <c r="AL110" s="597"/>
      <c r="AM110" s="597"/>
      <c r="AN110" s="597"/>
      <c r="AO110" s="597"/>
      <c r="AP110" s="601"/>
      <c r="AQ110" s="601"/>
      <c r="AR110" s="601"/>
      <c r="AS110" s="601"/>
      <c r="AT110" s="597"/>
      <c r="AU110" s="600"/>
      <c r="AV110" s="600"/>
      <c r="AW110" s="600"/>
      <c r="AX110" s="597"/>
      <c r="AY110" s="597"/>
      <c r="AZ110" s="214"/>
      <c r="BA110" s="490" t="str">
        <f t="shared" si="6"/>
        <v>SUM_PFC</v>
      </c>
      <c r="BB110" s="581" t="str">
        <f t="shared" si="7"/>
        <v>SUM_EnergyIN</v>
      </c>
      <c r="BC110" s="602"/>
      <c r="BD110" s="23"/>
    </row>
    <row r="111" spans="1:56" x14ac:dyDescent="0.2">
      <c r="A111" s="602"/>
      <c r="B111" s="214"/>
      <c r="C111" s="539">
        <v>9</v>
      </c>
      <c r="D111" s="671"/>
      <c r="E111" s="596"/>
      <c r="F111" s="597"/>
      <c r="G111" s="598"/>
      <c r="H111" s="775"/>
      <c r="I111" s="776"/>
      <c r="J111" s="775"/>
      <c r="K111" s="776"/>
      <c r="L111" s="776"/>
      <c r="M111" s="776"/>
      <c r="N111" s="775"/>
      <c r="O111" s="774"/>
      <c r="P111" s="775"/>
      <c r="Q111" s="774"/>
      <c r="R111" s="775"/>
      <c r="S111" s="774"/>
      <c r="T111" s="775"/>
      <c r="U111" s="774"/>
      <c r="V111" s="774"/>
      <c r="W111" s="774"/>
      <c r="X111" s="774"/>
      <c r="Y111" s="774"/>
      <c r="Z111" s="774"/>
      <c r="AA111" s="774"/>
      <c r="AB111" s="774"/>
      <c r="AC111" s="774"/>
      <c r="AD111" s="774"/>
      <c r="AE111" s="774"/>
      <c r="AF111" s="774"/>
      <c r="AG111" s="597"/>
      <c r="AH111" s="597"/>
      <c r="AI111" s="597"/>
      <c r="AJ111" s="597"/>
      <c r="AK111" s="597"/>
      <c r="AL111" s="597"/>
      <c r="AM111" s="597"/>
      <c r="AN111" s="597"/>
      <c r="AO111" s="597"/>
      <c r="AP111" s="601"/>
      <c r="AQ111" s="601"/>
      <c r="AR111" s="601"/>
      <c r="AS111" s="601"/>
      <c r="AT111" s="597"/>
      <c r="AU111" s="600"/>
      <c r="AV111" s="600"/>
      <c r="AW111" s="600"/>
      <c r="AX111" s="597"/>
      <c r="AY111" s="597"/>
      <c r="AZ111" s="214"/>
      <c r="BA111" s="490" t="str">
        <f t="shared" si="6"/>
        <v>SUM_PFC</v>
      </c>
      <c r="BB111" s="581" t="str">
        <f t="shared" si="7"/>
        <v>SUM_EnergyIN</v>
      </c>
      <c r="BC111" s="602"/>
      <c r="BD111" s="23"/>
    </row>
    <row r="112" spans="1:56" x14ac:dyDescent="0.2">
      <c r="A112" s="602"/>
      <c r="B112" s="214"/>
      <c r="C112" s="539">
        <v>10</v>
      </c>
      <c r="D112" s="671"/>
      <c r="E112" s="596"/>
      <c r="F112" s="597"/>
      <c r="G112" s="598"/>
      <c r="H112" s="775"/>
      <c r="I112" s="776"/>
      <c r="J112" s="775"/>
      <c r="K112" s="776"/>
      <c r="L112" s="776"/>
      <c r="M112" s="776"/>
      <c r="N112" s="775"/>
      <c r="O112" s="774"/>
      <c r="P112" s="775"/>
      <c r="Q112" s="774"/>
      <c r="R112" s="775"/>
      <c r="S112" s="774"/>
      <c r="T112" s="775"/>
      <c r="U112" s="774"/>
      <c r="V112" s="774"/>
      <c r="W112" s="774"/>
      <c r="X112" s="774"/>
      <c r="Y112" s="774"/>
      <c r="Z112" s="774"/>
      <c r="AA112" s="774"/>
      <c r="AB112" s="774"/>
      <c r="AC112" s="774"/>
      <c r="AD112" s="774"/>
      <c r="AE112" s="774"/>
      <c r="AF112" s="774"/>
      <c r="AG112" s="597"/>
      <c r="AH112" s="597"/>
      <c r="AI112" s="597"/>
      <c r="AJ112" s="597"/>
      <c r="AK112" s="597"/>
      <c r="AL112" s="597"/>
      <c r="AM112" s="597"/>
      <c r="AN112" s="597"/>
      <c r="AO112" s="597"/>
      <c r="AP112" s="601"/>
      <c r="AQ112" s="601"/>
      <c r="AR112" s="601"/>
      <c r="AS112" s="601"/>
      <c r="AT112" s="597"/>
      <c r="AU112" s="600"/>
      <c r="AV112" s="600"/>
      <c r="AW112" s="600"/>
      <c r="AX112" s="597"/>
      <c r="AY112" s="597"/>
      <c r="AZ112" s="214"/>
      <c r="BA112" s="490" t="str">
        <f t="shared" si="6"/>
        <v>SUM_PFC</v>
      </c>
      <c r="BB112" s="581" t="str">
        <f t="shared" si="7"/>
        <v>SUM_EnergyIN</v>
      </c>
      <c r="BC112" s="602"/>
      <c r="BD112" s="23"/>
    </row>
    <row r="113" spans="1:56" x14ac:dyDescent="0.2">
      <c r="A113" s="602"/>
      <c r="B113" s="214"/>
      <c r="F113" s="540"/>
      <c r="G113" s="24"/>
      <c r="H113" s="540"/>
      <c r="I113" s="24"/>
      <c r="J113" s="540"/>
      <c r="K113" s="24"/>
      <c r="L113" s="24"/>
      <c r="M113" s="24"/>
      <c r="N113" s="540"/>
      <c r="O113" s="541"/>
      <c r="P113" s="540"/>
      <c r="Q113" s="541"/>
      <c r="R113" s="540"/>
      <c r="S113" s="541"/>
      <c r="T113" s="540"/>
      <c r="U113" s="541"/>
      <c r="V113" s="541"/>
      <c r="W113" s="541"/>
      <c r="X113" s="541"/>
      <c r="Y113" s="541"/>
      <c r="Z113" s="541"/>
      <c r="AA113" s="541"/>
      <c r="AB113" s="541"/>
      <c r="AC113" s="541"/>
      <c r="AD113" s="541"/>
      <c r="AE113" s="541"/>
      <c r="AF113" s="541"/>
      <c r="AG113" s="541"/>
      <c r="AH113" s="541"/>
      <c r="AI113" s="541"/>
      <c r="AJ113" s="541"/>
      <c r="AK113" s="541"/>
      <c r="AL113" s="541"/>
      <c r="AM113" s="541"/>
      <c r="AN113" s="541"/>
      <c r="AO113" s="541"/>
      <c r="AP113" s="541"/>
      <c r="AQ113" s="541"/>
      <c r="AR113" s="541"/>
      <c r="AS113" s="541"/>
      <c r="AT113" s="541"/>
      <c r="AU113" s="542"/>
      <c r="AV113" s="542"/>
      <c r="AW113" s="542"/>
      <c r="AX113" s="540"/>
      <c r="AY113" s="540"/>
      <c r="AZ113" s="214"/>
      <c r="BA113" s="602"/>
      <c r="BB113" s="602"/>
      <c r="BC113" s="602"/>
      <c r="BD113" s="23"/>
    </row>
    <row r="114" spans="1:56" ht="50.1" customHeight="1" thickBot="1" x14ac:dyDescent="0.45">
      <c r="A114" s="602"/>
      <c r="B114" s="214"/>
      <c r="C114" s="95"/>
      <c r="D114" s="532" t="str">
        <f>Translations!$B$344</f>
        <v>Emisiju avoti (mērījumos balstītas pieejas)</v>
      </c>
      <c r="E114" s="214"/>
      <c r="F114" s="214"/>
      <c r="G114" s="214"/>
      <c r="H114" s="214"/>
      <c r="I114" s="214"/>
      <c r="J114" s="214"/>
      <c r="K114" s="214"/>
      <c r="L114" s="214"/>
      <c r="N114" s="214"/>
      <c r="O114" s="214"/>
      <c r="P114" s="214"/>
      <c r="Q114" s="214"/>
      <c r="R114" s="214"/>
      <c r="S114" s="214"/>
      <c r="T114" s="214"/>
      <c r="U114" s="214"/>
      <c r="V114" s="214"/>
      <c r="W114" s="214"/>
      <c r="X114" s="214"/>
      <c r="Y114" s="214"/>
      <c r="Z114" s="214"/>
      <c r="AA114" s="214"/>
      <c r="AB114" s="214"/>
      <c r="AC114" s="214"/>
      <c r="AD114" s="214"/>
      <c r="AE114" s="214"/>
      <c r="AF114" s="673"/>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602"/>
      <c r="BB114" s="602"/>
      <c r="BC114" s="602"/>
      <c r="BD114" s="23"/>
    </row>
    <row r="115" spans="1:56" ht="50.1" customHeight="1" thickBot="1" x14ac:dyDescent="0.25">
      <c r="A115" s="602"/>
      <c r="B115" s="214"/>
      <c r="C115" s="533" t="s">
        <v>466</v>
      </c>
      <c r="D115" s="534" t="str">
        <f>Translations!$B$282</f>
        <v>Metode</v>
      </c>
      <c r="E115" s="534" t="str">
        <f>Translations!$B$340</f>
        <v>Nosaukums</v>
      </c>
      <c r="F115" s="535" t="str">
        <f>Translations!$B$284</f>
        <v>Darbības dati</v>
      </c>
      <c r="G115" s="535" t="str">
        <f>Translations!$B$285</f>
        <v>DD vienība</v>
      </c>
      <c r="H115" s="535" t="str">
        <f>Translations!$B$286</f>
        <v>NCV</v>
      </c>
      <c r="I115" s="535" t="str">
        <f>Translations!$B$287</f>
        <v>NCV vienība</v>
      </c>
      <c r="J115" s="535" t="str">
        <f>Translations!$B$288</f>
        <v>EF</v>
      </c>
      <c r="K115" s="535" t="str">
        <f>Translations!$B$289</f>
        <v>EF vienība</v>
      </c>
      <c r="L115" s="535" t="str">
        <f>Translations!$B$290</f>
        <v>C saturs</v>
      </c>
      <c r="M115" s="535" t="str">
        <f>Translations!$B$291</f>
        <v>C satura vienība</v>
      </c>
      <c r="N115" s="535" t="str">
        <f>Translations!$B$292</f>
        <v>Oksid. koef.</v>
      </c>
      <c r="O115" s="535" t="str">
        <f>Translations!$B$293</f>
        <v>OK vienība</v>
      </c>
      <c r="P115" s="535" t="str">
        <f>Translations!$B$294</f>
        <v>Pārrēķina koef.</v>
      </c>
      <c r="Q115" s="535" t="str">
        <f>Translations!$B$295</f>
        <v>PK vienība</v>
      </c>
      <c r="R115" s="535" t="str">
        <f>Translations!$B$296</f>
        <v>Biomasas saturs</v>
      </c>
      <c r="S115" s="535" t="str">
        <f>Translations!$B$297</f>
        <v>BS vienība</v>
      </c>
      <c r="T115" s="535" t="str">
        <f>Translations!$B$298</f>
        <v>ilgtnesp. BS</v>
      </c>
      <c r="U115" s="535" t="str">
        <f>Translations!$B$299</f>
        <v>ilgtnesp. BS vienība</v>
      </c>
      <c r="V115" s="535" t="str">
        <f>Translations!$B$300</f>
        <v>SEG konc. vidējā vērtība h</v>
      </c>
      <c r="W115" s="535" t="str">
        <f>Translations!$B$301</f>
        <v>SEG konc. h vienība</v>
      </c>
      <c r="X115" s="535" t="str">
        <f>Translations!$B$302</f>
        <v>ekspluatācijas stundas</v>
      </c>
      <c r="Y115" s="535" t="str">
        <f>Translations!$B$303</f>
        <v>ekspluatācijas stundu vienība</v>
      </c>
      <c r="Z115" s="535" t="str">
        <f>Translations!$B$304</f>
        <v>Dūmgāzes (vidēji)</v>
      </c>
      <c r="AA115" s="535" t="str">
        <f>Translations!$B$305</f>
        <v>Dūmgāzes (vidēji), vienība</v>
      </c>
      <c r="AB115" s="535" t="str">
        <f>Translations!$B$306</f>
        <v>Dūmgāzes (kopā)</v>
      </c>
      <c r="AC115" s="535" t="str">
        <f>Translations!$B$307</f>
        <v>Dūmgāzes (kopā), vienība</v>
      </c>
      <c r="AD115" s="535" t="str">
        <f>Translations!$B$308</f>
        <v>SEG daudzums gadā</v>
      </c>
      <c r="AE115" s="535" t="str">
        <f>Translations!$B$309</f>
        <v>SEG daudzums gadā, vienība</v>
      </c>
      <c r="AF115" s="535" t="str">
        <f>Translations!$B$310</f>
        <v>GWP (t CO2 e/t)</v>
      </c>
      <c r="AG115" s="535" t="str">
        <f>Translations!$B$311</f>
        <v>A: biežums</v>
      </c>
      <c r="AH115" s="535" t="str">
        <f>Translations!$B$312</f>
        <v>A: ilgums</v>
      </c>
      <c r="AI115" s="535" t="str">
        <f>Translations!$B$313</f>
        <v>A: SEF (CF4)</v>
      </c>
      <c r="AJ115" s="535" t="str">
        <f>Translations!$B$314</f>
        <v>B: AEO</v>
      </c>
      <c r="AK115" s="535" t="str">
        <f>Translations!$B$315</f>
        <v>B: CE</v>
      </c>
      <c r="AL115" s="535" t="str">
        <f>Translations!$B$316</f>
        <v>B: OVC</v>
      </c>
      <c r="AM115" s="535" t="str">
        <f>Translations!$B$317</f>
        <v>F (C2F6)</v>
      </c>
      <c r="AN115" s="535" t="str">
        <f>Translations!$B$318</f>
        <v>CF4 emisijas (t CF4)</v>
      </c>
      <c r="AO115" s="535" t="str">
        <f>Translations!$B$319</f>
        <v>C2F6 emisijas (t C2F6)</v>
      </c>
      <c r="AP115" s="535" t="str">
        <f>Translations!$B$320</f>
        <v>GWP (CF4) (t CO2 e/t)</v>
      </c>
      <c r="AQ115" s="535" t="str">
        <f>Translations!$B$321</f>
        <v>GWP (C2F6) (t CO2 e/t)</v>
      </c>
      <c r="AR115" s="535" t="str">
        <f>Translations!$B$322</f>
        <v>CF4 emisijas (t CO2e)</v>
      </c>
      <c r="AS115" s="535" t="str">
        <f>Translations!$B$323</f>
        <v>C2F6 emisijas (t CO2 e)</v>
      </c>
      <c r="AT115" s="535" t="str">
        <f>Translations!$B$324</f>
        <v>Uztveršanas efektivitāte, %</v>
      </c>
      <c r="AU115" s="535" t="str">
        <f>Translations!$B$325</f>
        <v>CO2 e, fosilie avoti (t)</v>
      </c>
      <c r="AV115" s="535" t="str">
        <f>Translations!$B$326</f>
        <v>CO2 e bio (t)</v>
      </c>
      <c r="AW115" s="535" t="str">
        <f>Translations!$B$327</f>
        <v>CO2 e, ilgtnesp. biomasa (t)</v>
      </c>
      <c r="AX115" s="536" t="str">
        <f>Translations!$B$328</f>
        <v>Enerģētiskais saturs (fosilie avoti), TJ</v>
      </c>
      <c r="AY115" s="537" t="str">
        <f>Translations!$B$329</f>
        <v>Enerģētiskais saturs (biomasa), TJ</v>
      </c>
      <c r="AZ115" s="214"/>
      <c r="BA115" s="602"/>
      <c r="BB115" s="602"/>
      <c r="BC115" s="602"/>
      <c r="BD115" s="23"/>
    </row>
    <row r="116" spans="1:56" ht="12.75" customHeight="1" x14ac:dyDescent="0.2">
      <c r="A116" s="602"/>
      <c r="B116" s="214"/>
      <c r="C116" s="543" t="str">
        <f>Translations!$B$330</f>
        <v>1. piem.</v>
      </c>
      <c r="D116" s="686" t="s">
        <v>372</v>
      </c>
      <c r="E116" s="686" t="str">
        <f>Translations!$B$345</f>
        <v>Slāpekļskābe, 1. līnija</v>
      </c>
      <c r="F116" s="775"/>
      <c r="G116" s="776"/>
      <c r="H116" s="775"/>
      <c r="I116" s="776"/>
      <c r="J116" s="775"/>
      <c r="K116" s="776"/>
      <c r="L116" s="776"/>
      <c r="M116" s="776"/>
      <c r="N116" s="775"/>
      <c r="O116" s="774"/>
      <c r="P116" s="775"/>
      <c r="Q116" s="774"/>
      <c r="R116" s="691">
        <v>0</v>
      </c>
      <c r="S116" s="688" t="s">
        <v>393</v>
      </c>
      <c r="T116" s="691">
        <v>0</v>
      </c>
      <c r="U116" s="688" t="s">
        <v>393</v>
      </c>
      <c r="V116" s="691">
        <v>64.292500000000004</v>
      </c>
      <c r="W116" s="688" t="s">
        <v>513</v>
      </c>
      <c r="X116" s="691">
        <v>4</v>
      </c>
      <c r="Y116" s="688" t="str">
        <f>Translations!$B$346</f>
        <v>h gadā</v>
      </c>
      <c r="Z116" s="691">
        <v>265</v>
      </c>
      <c r="AA116" s="688" t="str">
        <f>Translations!$B$347</f>
        <v>1000 Nm3/h</v>
      </c>
      <c r="AB116" s="691">
        <v>1060</v>
      </c>
      <c r="AC116" s="688" t="str">
        <f>Translations!$B$348</f>
        <v>1000 Nm3 gadā</v>
      </c>
      <c r="AD116" s="691">
        <v>68</v>
      </c>
      <c r="AE116" s="688" t="s">
        <v>205</v>
      </c>
      <c r="AF116" s="691">
        <v>298</v>
      </c>
      <c r="AG116" s="777"/>
      <c r="AH116" s="777"/>
      <c r="AI116" s="777"/>
      <c r="AJ116" s="777"/>
      <c r="AK116" s="777"/>
      <c r="AL116" s="777"/>
      <c r="AM116" s="777"/>
      <c r="AN116" s="777"/>
      <c r="AO116" s="777"/>
      <c r="AP116" s="777"/>
      <c r="AQ116" s="777"/>
      <c r="AR116" s="777"/>
      <c r="AS116" s="777"/>
      <c r="AT116" s="777"/>
      <c r="AU116" s="689">
        <v>20308.714900000003</v>
      </c>
      <c r="AV116" s="689">
        <v>0</v>
      </c>
      <c r="AW116" s="689">
        <v>0</v>
      </c>
      <c r="AX116" s="691">
        <v>0</v>
      </c>
      <c r="AY116" s="691">
        <v>0</v>
      </c>
      <c r="AZ116" s="214"/>
      <c r="BA116" s="602"/>
      <c r="BB116" s="602"/>
      <c r="BC116" s="602"/>
      <c r="BD116" s="23"/>
    </row>
    <row r="117" spans="1:56" ht="12.75" customHeight="1" x14ac:dyDescent="0.2">
      <c r="A117" s="602"/>
      <c r="B117" s="214"/>
      <c r="C117" s="543" t="str">
        <f>Translations!$B$333</f>
        <v>2. piem.</v>
      </c>
      <c r="D117" s="686" t="str">
        <f>Translations!$B$349</f>
        <v>CO2 pārvade</v>
      </c>
      <c r="E117" s="686" t="str">
        <f>Translations!$B$350</f>
        <v>Pārvade uz ES ETS iekārtu X</v>
      </c>
      <c r="F117" s="775"/>
      <c r="G117" s="776"/>
      <c r="H117" s="775"/>
      <c r="I117" s="776"/>
      <c r="J117" s="775"/>
      <c r="K117" s="776"/>
      <c r="L117" s="776"/>
      <c r="M117" s="776"/>
      <c r="N117" s="775"/>
      <c r="O117" s="774"/>
      <c r="P117" s="775"/>
      <c r="Q117" s="774"/>
      <c r="R117" s="691">
        <v>0</v>
      </c>
      <c r="S117" s="688" t="s">
        <v>393</v>
      </c>
      <c r="T117" s="691">
        <v>0</v>
      </c>
      <c r="U117" s="688" t="s">
        <v>393</v>
      </c>
      <c r="V117" s="691">
        <v>1820</v>
      </c>
      <c r="W117" s="688" t="s">
        <v>513</v>
      </c>
      <c r="X117" s="691">
        <v>5000</v>
      </c>
      <c r="Y117" s="688" t="str">
        <f>Translations!$B$346</f>
        <v>h gadā</v>
      </c>
      <c r="Z117" s="691">
        <v>50</v>
      </c>
      <c r="AA117" s="688" t="str">
        <f>Translations!$B$347</f>
        <v>1000 Nm3/h</v>
      </c>
      <c r="AB117" s="691">
        <v>250000</v>
      </c>
      <c r="AC117" s="688" t="str">
        <f>Translations!$B$348</f>
        <v>1000 Nm3 gadā</v>
      </c>
      <c r="AD117" s="691">
        <v>455000</v>
      </c>
      <c r="AE117" s="688" t="s">
        <v>205</v>
      </c>
      <c r="AF117" s="691">
        <v>1</v>
      </c>
      <c r="AG117" s="777"/>
      <c r="AH117" s="777"/>
      <c r="AI117" s="777"/>
      <c r="AJ117" s="777"/>
      <c r="AK117" s="777"/>
      <c r="AL117" s="777"/>
      <c r="AM117" s="777"/>
      <c r="AN117" s="777"/>
      <c r="AO117" s="777"/>
      <c r="AP117" s="777"/>
      <c r="AQ117" s="777"/>
      <c r="AR117" s="777"/>
      <c r="AS117" s="777"/>
      <c r="AT117" s="777"/>
      <c r="AU117" s="689">
        <v>-455000</v>
      </c>
      <c r="AV117" s="689">
        <v>0</v>
      </c>
      <c r="AW117" s="689">
        <v>0</v>
      </c>
      <c r="AX117" s="691">
        <v>0</v>
      </c>
      <c r="AY117" s="691">
        <v>0</v>
      </c>
      <c r="AZ117" s="214"/>
      <c r="BA117" s="602"/>
      <c r="BB117" s="602"/>
      <c r="BC117" s="602"/>
      <c r="BD117" s="23"/>
    </row>
    <row r="118" spans="1:56" x14ac:dyDescent="0.2">
      <c r="A118" s="602"/>
      <c r="B118" s="214"/>
      <c r="C118" s="539">
        <v>1</v>
      </c>
      <c r="D118" s="671"/>
      <c r="E118" s="596"/>
      <c r="F118" s="775"/>
      <c r="G118" s="776"/>
      <c r="H118" s="775"/>
      <c r="I118" s="776"/>
      <c r="J118" s="775"/>
      <c r="K118" s="776"/>
      <c r="L118" s="776"/>
      <c r="M118" s="776"/>
      <c r="N118" s="775"/>
      <c r="O118" s="774"/>
      <c r="P118" s="775"/>
      <c r="Q118" s="774"/>
      <c r="R118" s="601"/>
      <c r="S118" s="599"/>
      <c r="T118" s="601"/>
      <c r="U118" s="599"/>
      <c r="V118" s="601"/>
      <c r="W118" s="599"/>
      <c r="X118" s="601"/>
      <c r="Y118" s="599"/>
      <c r="Z118" s="601"/>
      <c r="AA118" s="599"/>
      <c r="AB118" s="601"/>
      <c r="AC118" s="599"/>
      <c r="AD118" s="601"/>
      <c r="AE118" s="599"/>
      <c r="AF118" s="601"/>
      <c r="AG118" s="777"/>
      <c r="AH118" s="777"/>
      <c r="AI118" s="777"/>
      <c r="AJ118" s="777"/>
      <c r="AK118" s="777"/>
      <c r="AL118" s="777"/>
      <c r="AM118" s="777"/>
      <c r="AN118" s="777"/>
      <c r="AO118" s="777"/>
      <c r="AP118" s="777"/>
      <c r="AQ118" s="777"/>
      <c r="AR118" s="777"/>
      <c r="AS118" s="777"/>
      <c r="AT118" s="777"/>
      <c r="AU118" s="600"/>
      <c r="AV118" s="600"/>
      <c r="AW118" s="600"/>
      <c r="AX118" s="601"/>
      <c r="AY118" s="601"/>
      <c r="AZ118" s="214"/>
      <c r="BA118" s="490" t="str">
        <f t="shared" ref="BA118:BA127" si="8">IF(SUM(AF118)&gt;1,EUconst_SumN2O,IF(SUM(AU118:AV118)&lt;0,EUconst_SumTransferCO2,EUconst_SumCO2))</f>
        <v>SUM_CO2</v>
      </c>
      <c r="BB118" s="581" t="str">
        <f t="shared" ref="BB118:BB127" si="9">EUconst_SumEnergyIN</f>
        <v>SUM_EnergyIN</v>
      </c>
      <c r="BC118" s="602"/>
      <c r="BD118" s="23"/>
    </row>
    <row r="119" spans="1:56" x14ac:dyDescent="0.2">
      <c r="A119" s="602"/>
      <c r="B119" s="214"/>
      <c r="C119" s="539">
        <v>2</v>
      </c>
      <c r="D119" s="671"/>
      <c r="E119" s="596"/>
      <c r="F119" s="775"/>
      <c r="G119" s="776"/>
      <c r="H119" s="775"/>
      <c r="I119" s="776"/>
      <c r="J119" s="775"/>
      <c r="K119" s="776"/>
      <c r="L119" s="776"/>
      <c r="M119" s="776"/>
      <c r="N119" s="775"/>
      <c r="O119" s="774"/>
      <c r="P119" s="775"/>
      <c r="Q119" s="774"/>
      <c r="R119" s="601"/>
      <c r="S119" s="599"/>
      <c r="T119" s="601"/>
      <c r="U119" s="599"/>
      <c r="V119" s="601"/>
      <c r="W119" s="599"/>
      <c r="X119" s="601"/>
      <c r="Y119" s="599"/>
      <c r="Z119" s="601"/>
      <c r="AA119" s="599"/>
      <c r="AB119" s="601"/>
      <c r="AC119" s="599"/>
      <c r="AD119" s="601"/>
      <c r="AE119" s="599"/>
      <c r="AF119" s="601"/>
      <c r="AG119" s="777"/>
      <c r="AH119" s="777"/>
      <c r="AI119" s="777"/>
      <c r="AJ119" s="777"/>
      <c r="AK119" s="777"/>
      <c r="AL119" s="777"/>
      <c r="AM119" s="777"/>
      <c r="AN119" s="777"/>
      <c r="AO119" s="777"/>
      <c r="AP119" s="777"/>
      <c r="AQ119" s="777"/>
      <c r="AR119" s="777"/>
      <c r="AS119" s="777"/>
      <c r="AT119" s="777"/>
      <c r="AU119" s="600"/>
      <c r="AV119" s="600"/>
      <c r="AW119" s="600"/>
      <c r="AX119" s="601"/>
      <c r="AY119" s="601"/>
      <c r="AZ119" s="214"/>
      <c r="BA119" s="490" t="str">
        <f t="shared" si="8"/>
        <v>SUM_CO2</v>
      </c>
      <c r="BB119" s="581" t="str">
        <f t="shared" si="9"/>
        <v>SUM_EnergyIN</v>
      </c>
      <c r="BC119" s="602"/>
      <c r="BD119" s="23"/>
    </row>
    <row r="120" spans="1:56" x14ac:dyDescent="0.2">
      <c r="A120" s="602"/>
      <c r="B120" s="214"/>
      <c r="C120" s="539">
        <v>3</v>
      </c>
      <c r="D120" s="671"/>
      <c r="E120" s="596"/>
      <c r="F120" s="775"/>
      <c r="G120" s="776"/>
      <c r="H120" s="775"/>
      <c r="I120" s="776"/>
      <c r="J120" s="775"/>
      <c r="K120" s="776"/>
      <c r="L120" s="776"/>
      <c r="M120" s="776"/>
      <c r="N120" s="775"/>
      <c r="O120" s="774"/>
      <c r="P120" s="775"/>
      <c r="Q120" s="774"/>
      <c r="R120" s="601"/>
      <c r="S120" s="599"/>
      <c r="T120" s="601"/>
      <c r="U120" s="599"/>
      <c r="V120" s="601"/>
      <c r="W120" s="599"/>
      <c r="X120" s="601"/>
      <c r="Y120" s="599"/>
      <c r="Z120" s="601"/>
      <c r="AA120" s="599"/>
      <c r="AB120" s="601"/>
      <c r="AC120" s="599"/>
      <c r="AD120" s="601"/>
      <c r="AE120" s="599"/>
      <c r="AF120" s="601"/>
      <c r="AG120" s="777"/>
      <c r="AH120" s="777"/>
      <c r="AI120" s="777"/>
      <c r="AJ120" s="777"/>
      <c r="AK120" s="777"/>
      <c r="AL120" s="777"/>
      <c r="AM120" s="777"/>
      <c r="AN120" s="777"/>
      <c r="AO120" s="777"/>
      <c r="AP120" s="777"/>
      <c r="AQ120" s="777"/>
      <c r="AR120" s="777"/>
      <c r="AS120" s="777"/>
      <c r="AT120" s="777"/>
      <c r="AU120" s="600"/>
      <c r="AV120" s="600"/>
      <c r="AW120" s="600"/>
      <c r="AX120" s="601"/>
      <c r="AY120" s="601"/>
      <c r="AZ120" s="214"/>
      <c r="BA120" s="490" t="str">
        <f t="shared" si="8"/>
        <v>SUM_CO2</v>
      </c>
      <c r="BB120" s="581" t="str">
        <f t="shared" si="9"/>
        <v>SUM_EnergyIN</v>
      </c>
      <c r="BC120" s="602"/>
      <c r="BD120" s="23"/>
    </row>
    <row r="121" spans="1:56" x14ac:dyDescent="0.2">
      <c r="A121" s="602"/>
      <c r="B121" s="214"/>
      <c r="C121" s="539">
        <v>4</v>
      </c>
      <c r="D121" s="671"/>
      <c r="E121" s="596"/>
      <c r="F121" s="775"/>
      <c r="G121" s="776"/>
      <c r="H121" s="775"/>
      <c r="I121" s="776"/>
      <c r="J121" s="775"/>
      <c r="K121" s="776"/>
      <c r="L121" s="776"/>
      <c r="M121" s="776"/>
      <c r="N121" s="775"/>
      <c r="O121" s="774"/>
      <c r="P121" s="775"/>
      <c r="Q121" s="774"/>
      <c r="R121" s="601"/>
      <c r="S121" s="599"/>
      <c r="T121" s="601"/>
      <c r="U121" s="599"/>
      <c r="V121" s="601"/>
      <c r="W121" s="599"/>
      <c r="X121" s="601"/>
      <c r="Y121" s="599"/>
      <c r="Z121" s="601"/>
      <c r="AA121" s="599"/>
      <c r="AB121" s="601"/>
      <c r="AC121" s="599"/>
      <c r="AD121" s="601"/>
      <c r="AE121" s="599"/>
      <c r="AF121" s="601"/>
      <c r="AG121" s="777"/>
      <c r="AH121" s="777"/>
      <c r="AI121" s="777"/>
      <c r="AJ121" s="777"/>
      <c r="AK121" s="777"/>
      <c r="AL121" s="777"/>
      <c r="AM121" s="777"/>
      <c r="AN121" s="777"/>
      <c r="AO121" s="777"/>
      <c r="AP121" s="777"/>
      <c r="AQ121" s="777"/>
      <c r="AR121" s="777"/>
      <c r="AS121" s="777"/>
      <c r="AT121" s="777"/>
      <c r="AU121" s="600"/>
      <c r="AV121" s="600"/>
      <c r="AW121" s="600"/>
      <c r="AX121" s="601"/>
      <c r="AY121" s="601"/>
      <c r="AZ121" s="214"/>
      <c r="BA121" s="490" t="str">
        <f t="shared" si="8"/>
        <v>SUM_CO2</v>
      </c>
      <c r="BB121" s="581" t="str">
        <f t="shared" si="9"/>
        <v>SUM_EnergyIN</v>
      </c>
      <c r="BC121" s="602"/>
      <c r="BD121" s="23"/>
    </row>
    <row r="122" spans="1:56" x14ac:dyDescent="0.2">
      <c r="A122" s="602"/>
      <c r="B122" s="214"/>
      <c r="C122" s="539">
        <v>5</v>
      </c>
      <c r="D122" s="671"/>
      <c r="E122" s="596"/>
      <c r="F122" s="775"/>
      <c r="G122" s="776"/>
      <c r="H122" s="775"/>
      <c r="I122" s="776"/>
      <c r="J122" s="775"/>
      <c r="K122" s="776"/>
      <c r="L122" s="776"/>
      <c r="M122" s="776"/>
      <c r="N122" s="775"/>
      <c r="O122" s="774"/>
      <c r="P122" s="775"/>
      <c r="Q122" s="774"/>
      <c r="R122" s="601"/>
      <c r="S122" s="599"/>
      <c r="T122" s="601"/>
      <c r="U122" s="599"/>
      <c r="V122" s="601"/>
      <c r="W122" s="599"/>
      <c r="X122" s="601"/>
      <c r="Y122" s="599"/>
      <c r="Z122" s="601"/>
      <c r="AA122" s="599"/>
      <c r="AB122" s="601"/>
      <c r="AC122" s="599"/>
      <c r="AD122" s="601"/>
      <c r="AE122" s="599"/>
      <c r="AF122" s="601"/>
      <c r="AG122" s="777"/>
      <c r="AH122" s="777"/>
      <c r="AI122" s="777"/>
      <c r="AJ122" s="777"/>
      <c r="AK122" s="777"/>
      <c r="AL122" s="777"/>
      <c r="AM122" s="777"/>
      <c r="AN122" s="777"/>
      <c r="AO122" s="777"/>
      <c r="AP122" s="777"/>
      <c r="AQ122" s="777"/>
      <c r="AR122" s="777"/>
      <c r="AS122" s="777"/>
      <c r="AT122" s="777"/>
      <c r="AU122" s="600"/>
      <c r="AV122" s="600"/>
      <c r="AW122" s="600"/>
      <c r="AX122" s="601"/>
      <c r="AY122" s="601"/>
      <c r="AZ122" s="214"/>
      <c r="BA122" s="490" t="str">
        <f t="shared" si="8"/>
        <v>SUM_CO2</v>
      </c>
      <c r="BB122" s="581" t="str">
        <f t="shared" si="9"/>
        <v>SUM_EnergyIN</v>
      </c>
      <c r="BC122" s="602"/>
      <c r="BD122" s="23"/>
    </row>
    <row r="123" spans="1:56" x14ac:dyDescent="0.2">
      <c r="A123" s="602"/>
      <c r="B123" s="214"/>
      <c r="C123" s="539">
        <v>6</v>
      </c>
      <c r="D123" s="671"/>
      <c r="E123" s="596"/>
      <c r="F123" s="775"/>
      <c r="G123" s="776"/>
      <c r="H123" s="775"/>
      <c r="I123" s="776"/>
      <c r="J123" s="775"/>
      <c r="K123" s="776"/>
      <c r="L123" s="776"/>
      <c r="M123" s="776"/>
      <c r="N123" s="775"/>
      <c r="O123" s="774"/>
      <c r="P123" s="775"/>
      <c r="Q123" s="774"/>
      <c r="R123" s="601"/>
      <c r="S123" s="599"/>
      <c r="T123" s="601"/>
      <c r="U123" s="599"/>
      <c r="V123" s="601"/>
      <c r="W123" s="599"/>
      <c r="X123" s="601"/>
      <c r="Y123" s="599"/>
      <c r="Z123" s="601"/>
      <c r="AA123" s="599"/>
      <c r="AB123" s="601"/>
      <c r="AC123" s="599"/>
      <c r="AD123" s="601"/>
      <c r="AE123" s="599"/>
      <c r="AF123" s="601"/>
      <c r="AG123" s="777"/>
      <c r="AH123" s="777"/>
      <c r="AI123" s="777"/>
      <c r="AJ123" s="777"/>
      <c r="AK123" s="777"/>
      <c r="AL123" s="777"/>
      <c r="AM123" s="777"/>
      <c r="AN123" s="777"/>
      <c r="AO123" s="777"/>
      <c r="AP123" s="777"/>
      <c r="AQ123" s="777"/>
      <c r="AR123" s="777"/>
      <c r="AS123" s="777"/>
      <c r="AT123" s="777"/>
      <c r="AU123" s="600"/>
      <c r="AV123" s="600"/>
      <c r="AW123" s="600"/>
      <c r="AX123" s="601"/>
      <c r="AY123" s="601"/>
      <c r="AZ123" s="214"/>
      <c r="BA123" s="490" t="str">
        <f t="shared" si="8"/>
        <v>SUM_CO2</v>
      </c>
      <c r="BB123" s="581" t="str">
        <f t="shared" si="9"/>
        <v>SUM_EnergyIN</v>
      </c>
      <c r="BC123" s="602"/>
      <c r="BD123" s="23"/>
    </row>
    <row r="124" spans="1:56" x14ac:dyDescent="0.2">
      <c r="A124" s="602"/>
      <c r="B124" s="214"/>
      <c r="C124" s="539">
        <v>7</v>
      </c>
      <c r="D124" s="671"/>
      <c r="E124" s="596"/>
      <c r="F124" s="775"/>
      <c r="G124" s="776"/>
      <c r="H124" s="775"/>
      <c r="I124" s="776"/>
      <c r="J124" s="775"/>
      <c r="K124" s="776"/>
      <c r="L124" s="776"/>
      <c r="M124" s="776"/>
      <c r="N124" s="775"/>
      <c r="O124" s="774"/>
      <c r="P124" s="775"/>
      <c r="Q124" s="774"/>
      <c r="R124" s="601"/>
      <c r="S124" s="599"/>
      <c r="T124" s="601"/>
      <c r="U124" s="599"/>
      <c r="V124" s="601"/>
      <c r="W124" s="599"/>
      <c r="X124" s="601"/>
      <c r="Y124" s="599"/>
      <c r="Z124" s="601"/>
      <c r="AA124" s="599"/>
      <c r="AB124" s="601"/>
      <c r="AC124" s="599"/>
      <c r="AD124" s="601"/>
      <c r="AE124" s="599"/>
      <c r="AF124" s="601"/>
      <c r="AG124" s="777"/>
      <c r="AH124" s="777"/>
      <c r="AI124" s="777"/>
      <c r="AJ124" s="777"/>
      <c r="AK124" s="777"/>
      <c r="AL124" s="777"/>
      <c r="AM124" s="777"/>
      <c r="AN124" s="777"/>
      <c r="AO124" s="777"/>
      <c r="AP124" s="777"/>
      <c r="AQ124" s="777"/>
      <c r="AR124" s="777"/>
      <c r="AS124" s="777"/>
      <c r="AT124" s="777"/>
      <c r="AU124" s="600"/>
      <c r="AV124" s="600"/>
      <c r="AW124" s="600"/>
      <c r="AX124" s="601"/>
      <c r="AY124" s="601"/>
      <c r="AZ124" s="214"/>
      <c r="BA124" s="490" t="str">
        <f t="shared" si="8"/>
        <v>SUM_CO2</v>
      </c>
      <c r="BB124" s="581" t="str">
        <f t="shared" si="9"/>
        <v>SUM_EnergyIN</v>
      </c>
      <c r="BC124" s="602"/>
      <c r="BD124" s="23"/>
    </row>
    <row r="125" spans="1:56" x14ac:dyDescent="0.2">
      <c r="A125" s="602"/>
      <c r="B125" s="214"/>
      <c r="C125" s="539">
        <v>8</v>
      </c>
      <c r="D125" s="671"/>
      <c r="E125" s="596"/>
      <c r="F125" s="775"/>
      <c r="G125" s="776"/>
      <c r="H125" s="775"/>
      <c r="I125" s="776"/>
      <c r="J125" s="775"/>
      <c r="K125" s="776"/>
      <c r="L125" s="776"/>
      <c r="M125" s="776"/>
      <c r="N125" s="775"/>
      <c r="O125" s="774"/>
      <c r="P125" s="775"/>
      <c r="Q125" s="774"/>
      <c r="R125" s="601"/>
      <c r="S125" s="599"/>
      <c r="T125" s="601"/>
      <c r="U125" s="599"/>
      <c r="V125" s="601"/>
      <c r="W125" s="599"/>
      <c r="X125" s="601"/>
      <c r="Y125" s="599"/>
      <c r="Z125" s="601"/>
      <c r="AA125" s="599"/>
      <c r="AB125" s="601"/>
      <c r="AC125" s="599"/>
      <c r="AD125" s="601"/>
      <c r="AE125" s="599"/>
      <c r="AF125" s="601"/>
      <c r="AG125" s="777"/>
      <c r="AH125" s="777"/>
      <c r="AI125" s="777"/>
      <c r="AJ125" s="777"/>
      <c r="AK125" s="777"/>
      <c r="AL125" s="777"/>
      <c r="AM125" s="777"/>
      <c r="AN125" s="777"/>
      <c r="AO125" s="777"/>
      <c r="AP125" s="777"/>
      <c r="AQ125" s="777"/>
      <c r="AR125" s="777"/>
      <c r="AS125" s="777"/>
      <c r="AT125" s="777"/>
      <c r="AU125" s="600"/>
      <c r="AV125" s="600"/>
      <c r="AW125" s="600"/>
      <c r="AX125" s="601"/>
      <c r="AY125" s="601"/>
      <c r="AZ125" s="214"/>
      <c r="BA125" s="490" t="str">
        <f t="shared" si="8"/>
        <v>SUM_CO2</v>
      </c>
      <c r="BB125" s="581" t="str">
        <f t="shared" si="9"/>
        <v>SUM_EnergyIN</v>
      </c>
      <c r="BC125" s="602"/>
      <c r="BD125" s="23"/>
    </row>
    <row r="126" spans="1:56" x14ac:dyDescent="0.2">
      <c r="A126" s="602"/>
      <c r="B126" s="214"/>
      <c r="C126" s="539">
        <v>9</v>
      </c>
      <c r="D126" s="671"/>
      <c r="E126" s="596"/>
      <c r="F126" s="775"/>
      <c r="G126" s="776"/>
      <c r="H126" s="775"/>
      <c r="I126" s="776"/>
      <c r="J126" s="775"/>
      <c r="K126" s="776"/>
      <c r="L126" s="776"/>
      <c r="M126" s="776"/>
      <c r="N126" s="775"/>
      <c r="O126" s="774"/>
      <c r="P126" s="775"/>
      <c r="Q126" s="774"/>
      <c r="R126" s="601"/>
      <c r="S126" s="599"/>
      <c r="T126" s="601"/>
      <c r="U126" s="599"/>
      <c r="V126" s="601"/>
      <c r="W126" s="599"/>
      <c r="X126" s="601"/>
      <c r="Y126" s="599"/>
      <c r="Z126" s="601"/>
      <c r="AA126" s="599"/>
      <c r="AB126" s="601"/>
      <c r="AC126" s="599"/>
      <c r="AD126" s="601"/>
      <c r="AE126" s="599"/>
      <c r="AF126" s="601"/>
      <c r="AG126" s="777"/>
      <c r="AH126" s="777"/>
      <c r="AI126" s="777"/>
      <c r="AJ126" s="777"/>
      <c r="AK126" s="777"/>
      <c r="AL126" s="777"/>
      <c r="AM126" s="777"/>
      <c r="AN126" s="777"/>
      <c r="AO126" s="777"/>
      <c r="AP126" s="777"/>
      <c r="AQ126" s="777"/>
      <c r="AR126" s="777"/>
      <c r="AS126" s="777"/>
      <c r="AT126" s="777"/>
      <c r="AU126" s="600"/>
      <c r="AV126" s="600"/>
      <c r="AW126" s="600"/>
      <c r="AX126" s="601"/>
      <c r="AY126" s="601"/>
      <c r="AZ126" s="214"/>
      <c r="BA126" s="490" t="str">
        <f t="shared" si="8"/>
        <v>SUM_CO2</v>
      </c>
      <c r="BB126" s="581" t="str">
        <f t="shared" si="9"/>
        <v>SUM_EnergyIN</v>
      </c>
      <c r="BC126" s="602"/>
      <c r="BD126" s="23"/>
    </row>
    <row r="127" spans="1:56" x14ac:dyDescent="0.2">
      <c r="A127" s="602"/>
      <c r="B127" s="214"/>
      <c r="C127" s="539">
        <v>10</v>
      </c>
      <c r="D127" s="671"/>
      <c r="E127" s="596"/>
      <c r="F127" s="775"/>
      <c r="G127" s="776"/>
      <c r="H127" s="775"/>
      <c r="I127" s="776"/>
      <c r="J127" s="775"/>
      <c r="K127" s="776"/>
      <c r="L127" s="776"/>
      <c r="M127" s="776"/>
      <c r="N127" s="775"/>
      <c r="O127" s="774"/>
      <c r="P127" s="775"/>
      <c r="Q127" s="774"/>
      <c r="R127" s="601"/>
      <c r="S127" s="599"/>
      <c r="T127" s="601"/>
      <c r="U127" s="599"/>
      <c r="V127" s="601"/>
      <c r="W127" s="599"/>
      <c r="X127" s="601"/>
      <c r="Y127" s="599"/>
      <c r="Z127" s="601"/>
      <c r="AA127" s="599"/>
      <c r="AB127" s="601"/>
      <c r="AC127" s="599"/>
      <c r="AD127" s="601"/>
      <c r="AE127" s="599"/>
      <c r="AF127" s="601"/>
      <c r="AG127" s="777"/>
      <c r="AH127" s="777"/>
      <c r="AI127" s="777"/>
      <c r="AJ127" s="777"/>
      <c r="AK127" s="777"/>
      <c r="AL127" s="777"/>
      <c r="AM127" s="777"/>
      <c r="AN127" s="777"/>
      <c r="AO127" s="777"/>
      <c r="AP127" s="777"/>
      <c r="AQ127" s="777"/>
      <c r="AR127" s="777"/>
      <c r="AS127" s="777"/>
      <c r="AT127" s="777"/>
      <c r="AU127" s="600"/>
      <c r="AV127" s="600"/>
      <c r="AW127" s="600"/>
      <c r="AX127" s="601"/>
      <c r="AY127" s="601"/>
      <c r="AZ127" s="214"/>
      <c r="BA127" s="490" t="str">
        <f t="shared" si="8"/>
        <v>SUM_CO2</v>
      </c>
      <c r="BB127" s="581" t="str">
        <f t="shared" si="9"/>
        <v>SUM_EnergyIN</v>
      </c>
      <c r="BC127" s="602"/>
      <c r="BD127" s="23"/>
    </row>
    <row r="128" spans="1:56" x14ac:dyDescent="0.2">
      <c r="A128" s="602"/>
      <c r="B128" s="214"/>
      <c r="C128" s="95"/>
      <c r="D128" s="214"/>
      <c r="E128" s="214"/>
      <c r="F128" s="214"/>
      <c r="G128" s="214"/>
      <c r="H128" s="214"/>
      <c r="I128" s="214"/>
      <c r="J128" s="214"/>
      <c r="K128" s="214"/>
      <c r="L128" s="214"/>
      <c r="N128" s="214"/>
      <c r="O128" s="214"/>
      <c r="P128" s="214"/>
      <c r="Q128" s="214"/>
      <c r="R128" s="214"/>
      <c r="S128" s="214"/>
      <c r="T128" s="214"/>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4"/>
      <c r="AP128" s="214"/>
      <c r="AQ128" s="214"/>
      <c r="AR128" s="214"/>
      <c r="AS128" s="214"/>
      <c r="AT128" s="214"/>
      <c r="AU128" s="214"/>
      <c r="AV128" s="214"/>
      <c r="AW128" s="214"/>
      <c r="AX128" s="214"/>
      <c r="AY128" s="214"/>
      <c r="AZ128" s="214"/>
      <c r="BA128" s="602"/>
      <c r="BB128" s="602"/>
      <c r="BC128" s="602"/>
      <c r="BD128" s="23"/>
    </row>
    <row r="129" spans="1:56" ht="50.1" customHeight="1" thickBot="1" x14ac:dyDescent="0.45">
      <c r="A129" s="602"/>
      <c r="B129" s="214"/>
      <c r="C129" s="95"/>
      <c r="D129" s="532" t="str">
        <f>Translations!$B$271</f>
        <v>Alternatīvās pieejas</v>
      </c>
      <c r="E129" s="214"/>
      <c r="F129" s="214"/>
      <c r="G129" s="214"/>
      <c r="H129" s="214"/>
      <c r="I129" s="214"/>
      <c r="J129" s="214"/>
      <c r="K129" s="214"/>
      <c r="L129" s="214"/>
      <c r="N129" s="214"/>
      <c r="O129" s="214"/>
      <c r="P129" s="214"/>
      <c r="Q129" s="214"/>
      <c r="R129" s="214"/>
      <c r="S129" s="214"/>
      <c r="T129" s="214"/>
      <c r="U129" s="214"/>
      <c r="V129" s="214"/>
      <c r="W129" s="214"/>
      <c r="X129" s="214"/>
      <c r="Y129" s="214"/>
      <c r="Z129" s="214"/>
      <c r="AA129" s="214"/>
      <c r="AB129" s="214"/>
      <c r="AC129" s="214"/>
      <c r="AD129" s="214"/>
      <c r="AE129" s="214"/>
      <c r="AF129" s="214"/>
      <c r="AG129" s="214"/>
      <c r="AH129" s="214"/>
      <c r="AI129" s="214"/>
      <c r="AJ129" s="214"/>
      <c r="AK129" s="214"/>
      <c r="AL129" s="214"/>
      <c r="AM129" s="214"/>
      <c r="AN129" s="214"/>
      <c r="AO129" s="214"/>
      <c r="AP129" s="214"/>
      <c r="AQ129" s="214"/>
      <c r="AR129" s="214"/>
      <c r="AS129" s="214"/>
      <c r="AT129" s="214"/>
      <c r="AU129" s="214"/>
      <c r="AV129" s="214"/>
      <c r="AW129" s="214"/>
      <c r="AX129" s="214"/>
      <c r="AY129" s="214"/>
      <c r="AZ129" s="214"/>
      <c r="BA129" s="602"/>
      <c r="BB129" s="602"/>
      <c r="BC129" s="602"/>
      <c r="BD129" s="23"/>
    </row>
    <row r="130" spans="1:56" ht="50.1" customHeight="1" thickBot="1" x14ac:dyDescent="0.25">
      <c r="A130" s="602"/>
      <c r="B130" s="214"/>
      <c r="C130" s="533" t="s">
        <v>466</v>
      </c>
      <c r="D130" s="534" t="str">
        <f>Translations!$B$282</f>
        <v>Metode</v>
      </c>
      <c r="E130" s="534" t="str">
        <f>Translations!$B$340</f>
        <v>Nosaukums</v>
      </c>
      <c r="F130" s="535" t="str">
        <f>Translations!$B$284</f>
        <v>Darbības dati</v>
      </c>
      <c r="G130" s="535" t="str">
        <f>Translations!$B$285</f>
        <v>DD vienība</v>
      </c>
      <c r="H130" s="535" t="str">
        <f>Translations!$B$286</f>
        <v>NCV</v>
      </c>
      <c r="I130" s="535" t="str">
        <f>Translations!$B$287</f>
        <v>NCV vienība</v>
      </c>
      <c r="J130" s="535" t="str">
        <f>Translations!$B$288</f>
        <v>EF</v>
      </c>
      <c r="K130" s="535" t="str">
        <f>Translations!$B$289</f>
        <v>EF vienība</v>
      </c>
      <c r="L130" s="535" t="str">
        <f>Translations!$B$290</f>
        <v>C saturs</v>
      </c>
      <c r="M130" s="535" t="str">
        <f>Translations!$B$291</f>
        <v>C satura vienība</v>
      </c>
      <c r="N130" s="535" t="str">
        <f>Translations!$B$292</f>
        <v>Oksid. koef.</v>
      </c>
      <c r="O130" s="535" t="str">
        <f>Translations!$B$293</f>
        <v>OK vienība</v>
      </c>
      <c r="P130" s="535" t="str">
        <f>Translations!$B$294</f>
        <v>Pārrēķina koef.</v>
      </c>
      <c r="Q130" s="535" t="str">
        <f>Translations!$B$295</f>
        <v>PK vienība</v>
      </c>
      <c r="R130" s="535" t="str">
        <f>Translations!$B$296</f>
        <v>Biomasas saturs</v>
      </c>
      <c r="S130" s="535" t="str">
        <f>Translations!$B$297</f>
        <v>BS vienība</v>
      </c>
      <c r="T130" s="535" t="str">
        <f>Translations!$B$298</f>
        <v>ilgtnesp. BS</v>
      </c>
      <c r="U130" s="535" t="str">
        <f>Translations!$B$299</f>
        <v>ilgtnesp. BS vienība</v>
      </c>
      <c r="V130" s="535" t="str">
        <f>Translations!$B$300</f>
        <v>SEG konc. vidējā vērtība h</v>
      </c>
      <c r="W130" s="535" t="str">
        <f>Translations!$B$301</f>
        <v>SEG konc. h vienība</v>
      </c>
      <c r="X130" s="535" t="str">
        <f>Translations!$B$302</f>
        <v>ekspluatācijas stundas</v>
      </c>
      <c r="Y130" s="535" t="str">
        <f>Translations!$B$303</f>
        <v>ekspluatācijas stundu vienība</v>
      </c>
      <c r="Z130" s="535" t="str">
        <f>Translations!$B$304</f>
        <v>Dūmgāzes (vidēji)</v>
      </c>
      <c r="AA130" s="535" t="str">
        <f>Translations!$B$305</f>
        <v>Dūmgāzes (vidēji), vienība</v>
      </c>
      <c r="AB130" s="535" t="str">
        <f>Translations!$B$306</f>
        <v>Dūmgāzes (kopā)</v>
      </c>
      <c r="AC130" s="535" t="str">
        <f>Translations!$B$307</f>
        <v>Dūmgāzes (kopā), vienība</v>
      </c>
      <c r="AD130" s="535" t="str">
        <f>Translations!$B$308</f>
        <v>SEG daudzums gadā</v>
      </c>
      <c r="AE130" s="535" t="str">
        <f>Translations!$B$309</f>
        <v>SEG daudzums gadā, vienība</v>
      </c>
      <c r="AF130" s="535" t="str">
        <f>Translations!$B$310</f>
        <v>GWP (t CO2 e/t)</v>
      </c>
      <c r="AG130" s="535" t="str">
        <f>Translations!$B$311</f>
        <v>A: biežums</v>
      </c>
      <c r="AH130" s="535" t="str">
        <f>Translations!$B$312</f>
        <v>A: ilgums</v>
      </c>
      <c r="AI130" s="535" t="str">
        <f>Translations!$B$313</f>
        <v>A: SEF (CF4)</v>
      </c>
      <c r="AJ130" s="535" t="str">
        <f>Translations!$B$314</f>
        <v>B: AEO</v>
      </c>
      <c r="AK130" s="535" t="str">
        <f>Translations!$B$315</f>
        <v>B: CE</v>
      </c>
      <c r="AL130" s="535" t="str">
        <f>Translations!$B$316</f>
        <v>B: OVC</v>
      </c>
      <c r="AM130" s="535" t="str">
        <f>Translations!$B$317</f>
        <v>F (C2F6)</v>
      </c>
      <c r="AN130" s="535" t="str">
        <f>Translations!$B$318</f>
        <v>CF4 emisijas (t CF4)</v>
      </c>
      <c r="AO130" s="535" t="str">
        <f>Translations!$B$319</f>
        <v>C2F6 emisijas (t C2F6)</v>
      </c>
      <c r="AP130" s="535" t="str">
        <f>Translations!$B$320</f>
        <v>GWP (CF4) (t CO2 e/t)</v>
      </c>
      <c r="AQ130" s="535" t="str">
        <f>Translations!$B$321</f>
        <v>GWP (C2F6) (t CO2 e/t)</v>
      </c>
      <c r="AR130" s="535" t="str">
        <f>Translations!$B$322</f>
        <v>CF4 emisijas (t CO2e)</v>
      </c>
      <c r="AS130" s="535" t="str">
        <f>Translations!$B$323</f>
        <v>C2F6 emisijas (t CO2 e)</v>
      </c>
      <c r="AT130" s="535" t="str">
        <f>Translations!$B$324</f>
        <v>Uztveršanas efektivitāte, %</v>
      </c>
      <c r="AU130" s="535" t="str">
        <f>Translations!$B$325</f>
        <v>CO2 e, fosilie avoti (t)</v>
      </c>
      <c r="AV130" s="535" t="str">
        <f>Translations!$B$326</f>
        <v>CO2 e bio (t)</v>
      </c>
      <c r="AW130" s="535" t="str">
        <f>Translations!$B$327</f>
        <v>CO2 e, ilgtnesp. biomasa (t)</v>
      </c>
      <c r="AX130" s="536" t="str">
        <f>Translations!$B$328</f>
        <v>Enerģētiskais saturs (fosilie avoti), TJ</v>
      </c>
      <c r="AY130" s="537" t="str">
        <f>Translations!$B$329</f>
        <v>Enerģētiskais saturs (biomasa), TJ</v>
      </c>
      <c r="AZ130" s="214"/>
      <c r="BA130" s="602"/>
      <c r="BB130" s="602"/>
      <c r="BC130" s="602"/>
      <c r="BD130" s="23"/>
    </row>
    <row r="131" spans="1:56" ht="12.75" customHeight="1" x14ac:dyDescent="0.2">
      <c r="A131" s="602"/>
      <c r="B131" s="214"/>
      <c r="C131" s="692" t="str">
        <f>Translations!$B$341</f>
        <v>Piem.</v>
      </c>
      <c r="D131" s="669" t="str">
        <f>Translations!$B$271</f>
        <v>Alternatīvās pieejas</v>
      </c>
      <c r="E131" s="778"/>
      <c r="F131" s="779"/>
      <c r="G131" s="780"/>
      <c r="H131" s="779"/>
      <c r="I131" s="780"/>
      <c r="J131" s="779"/>
      <c r="K131" s="780"/>
      <c r="L131" s="780"/>
      <c r="M131" s="780"/>
      <c r="N131" s="779"/>
      <c r="O131" s="781"/>
      <c r="P131" s="779"/>
      <c r="Q131" s="781"/>
      <c r="R131" s="779"/>
      <c r="S131" s="781"/>
      <c r="T131" s="779"/>
      <c r="U131" s="781"/>
      <c r="V131" s="781"/>
      <c r="W131" s="781"/>
      <c r="X131" s="781"/>
      <c r="Y131" s="781"/>
      <c r="Z131" s="781"/>
      <c r="AA131" s="781"/>
      <c r="AB131" s="781"/>
      <c r="AC131" s="781"/>
      <c r="AD131" s="781"/>
      <c r="AE131" s="781"/>
      <c r="AF131" s="781"/>
      <c r="AG131" s="781"/>
      <c r="AH131" s="781"/>
      <c r="AI131" s="781"/>
      <c r="AJ131" s="781"/>
      <c r="AK131" s="781"/>
      <c r="AL131" s="781"/>
      <c r="AM131" s="781"/>
      <c r="AN131" s="781"/>
      <c r="AO131" s="781"/>
      <c r="AP131" s="781"/>
      <c r="AQ131" s="781"/>
      <c r="AR131" s="781"/>
      <c r="AS131" s="781"/>
      <c r="AT131" s="781"/>
      <c r="AU131" s="693">
        <v>2850</v>
      </c>
      <c r="AV131" s="693">
        <v>340</v>
      </c>
      <c r="AW131" s="693">
        <v>0</v>
      </c>
      <c r="AX131" s="694">
        <v>45</v>
      </c>
      <c r="AY131" s="694">
        <v>5</v>
      </c>
      <c r="AZ131" s="214"/>
      <c r="BA131" s="602"/>
      <c r="BB131" s="602"/>
      <c r="BC131" s="602"/>
      <c r="BD131" s="23"/>
    </row>
    <row r="132" spans="1:56" x14ac:dyDescent="0.2">
      <c r="A132" s="602"/>
      <c r="B132" s="214"/>
      <c r="C132" s="538">
        <v>1</v>
      </c>
      <c r="D132" s="686" t="str">
        <f>Translations!$B$271</f>
        <v>Alternatīvās pieejas</v>
      </c>
      <c r="E132" s="782"/>
      <c r="F132" s="775"/>
      <c r="G132" s="776"/>
      <c r="H132" s="775"/>
      <c r="I132" s="776"/>
      <c r="J132" s="775"/>
      <c r="K132" s="776"/>
      <c r="L132" s="776"/>
      <c r="M132" s="776"/>
      <c r="N132" s="775"/>
      <c r="O132" s="774"/>
      <c r="P132" s="775"/>
      <c r="Q132" s="774"/>
      <c r="R132" s="775"/>
      <c r="S132" s="774"/>
      <c r="T132" s="775"/>
      <c r="U132" s="774"/>
      <c r="V132" s="774"/>
      <c r="W132" s="774"/>
      <c r="X132" s="774"/>
      <c r="Y132" s="774"/>
      <c r="Z132" s="774"/>
      <c r="AA132" s="774"/>
      <c r="AB132" s="774"/>
      <c r="AC132" s="774"/>
      <c r="AD132" s="774"/>
      <c r="AE132" s="774"/>
      <c r="AF132" s="774"/>
      <c r="AG132" s="774"/>
      <c r="AH132" s="774"/>
      <c r="AI132" s="774"/>
      <c r="AJ132" s="774"/>
      <c r="AK132" s="774"/>
      <c r="AL132" s="774"/>
      <c r="AM132" s="774"/>
      <c r="AN132" s="774"/>
      <c r="AO132" s="774"/>
      <c r="AP132" s="774"/>
      <c r="AQ132" s="774"/>
      <c r="AR132" s="774"/>
      <c r="AS132" s="774"/>
      <c r="AT132" s="774"/>
      <c r="AU132" s="600"/>
      <c r="AV132" s="600"/>
      <c r="AW132" s="600"/>
      <c r="AX132" s="601"/>
      <c r="AY132" s="601"/>
      <c r="AZ132" s="214"/>
      <c r="BA132" s="490" t="str">
        <f>EUconst_SumCO2</f>
        <v>SUM_CO2</v>
      </c>
      <c r="BB132" s="581" t="str">
        <f>EUconst_SumEnergyIN</f>
        <v>SUM_EnergyIN</v>
      </c>
      <c r="BC132" s="602"/>
      <c r="BD132" s="23"/>
    </row>
    <row r="133" spans="1:56" x14ac:dyDescent="0.2">
      <c r="AZ133" s="668"/>
      <c r="BC133" s="670"/>
      <c r="BD133" s="23"/>
    </row>
    <row r="134" spans="1:56" s="20" customFormat="1" hidden="1" x14ac:dyDescent="0.2">
      <c r="A134" s="20" t="s">
        <v>93</v>
      </c>
      <c r="B134" s="20" t="s">
        <v>336</v>
      </c>
      <c r="C134" s="20" t="s">
        <v>336</v>
      </c>
      <c r="D134" s="20" t="s">
        <v>336</v>
      </c>
      <c r="E134" s="20" t="s">
        <v>336</v>
      </c>
      <c r="F134" s="20" t="s">
        <v>336</v>
      </c>
      <c r="G134" s="20" t="s">
        <v>336</v>
      </c>
      <c r="H134" s="20" t="s">
        <v>336</v>
      </c>
      <c r="I134" s="20" t="s">
        <v>336</v>
      </c>
      <c r="J134" s="20" t="s">
        <v>336</v>
      </c>
      <c r="K134" s="20" t="s">
        <v>336</v>
      </c>
      <c r="L134" s="20" t="s">
        <v>336</v>
      </c>
      <c r="M134" s="20" t="s">
        <v>336</v>
      </c>
      <c r="N134" s="20" t="s">
        <v>336</v>
      </c>
      <c r="O134" s="20" t="s">
        <v>336</v>
      </c>
      <c r="P134" s="20" t="s">
        <v>336</v>
      </c>
      <c r="Q134" s="20" t="s">
        <v>336</v>
      </c>
      <c r="R134" s="20" t="s">
        <v>336</v>
      </c>
      <c r="S134" s="20" t="s">
        <v>336</v>
      </c>
      <c r="T134" s="20" t="s">
        <v>336</v>
      </c>
      <c r="U134" s="20" t="s">
        <v>336</v>
      </c>
      <c r="V134" s="20" t="s">
        <v>336</v>
      </c>
      <c r="W134" s="20" t="s">
        <v>336</v>
      </c>
      <c r="X134" s="20" t="s">
        <v>336</v>
      </c>
      <c r="Y134" s="20" t="s">
        <v>336</v>
      </c>
      <c r="Z134" s="20" t="s">
        <v>336</v>
      </c>
      <c r="AA134" s="20" t="s">
        <v>336</v>
      </c>
      <c r="AB134" s="20" t="s">
        <v>336</v>
      </c>
      <c r="AC134" s="20" t="s">
        <v>336</v>
      </c>
      <c r="AD134" s="20" t="s">
        <v>336</v>
      </c>
      <c r="AE134" s="20" t="s">
        <v>336</v>
      </c>
      <c r="AF134" s="20" t="s">
        <v>336</v>
      </c>
      <c r="AG134" s="20" t="s">
        <v>336</v>
      </c>
      <c r="AH134" s="20" t="s">
        <v>336</v>
      </c>
      <c r="AI134" s="20" t="s">
        <v>336</v>
      </c>
      <c r="AJ134" s="20" t="s">
        <v>336</v>
      </c>
      <c r="AK134" s="20" t="s">
        <v>336</v>
      </c>
      <c r="AL134" s="20" t="s">
        <v>336</v>
      </c>
      <c r="AM134" s="20" t="s">
        <v>336</v>
      </c>
      <c r="AN134" s="20" t="s">
        <v>336</v>
      </c>
      <c r="AO134" s="20" t="s">
        <v>336</v>
      </c>
      <c r="AP134" s="20" t="s">
        <v>336</v>
      </c>
      <c r="AQ134" s="20" t="s">
        <v>336</v>
      </c>
      <c r="AR134" s="20" t="s">
        <v>336</v>
      </c>
      <c r="AS134" s="20" t="s">
        <v>336</v>
      </c>
      <c r="AT134" s="20" t="s">
        <v>336</v>
      </c>
      <c r="AU134" s="20" t="s">
        <v>336</v>
      </c>
      <c r="AV134" s="20" t="s">
        <v>336</v>
      </c>
      <c r="AW134" s="20" t="s">
        <v>336</v>
      </c>
      <c r="AX134" s="20" t="s">
        <v>336</v>
      </c>
      <c r="AY134" s="20" t="s">
        <v>336</v>
      </c>
      <c r="AZ134" s="20" t="s">
        <v>336</v>
      </c>
      <c r="BA134" s="20" t="s">
        <v>336</v>
      </c>
      <c r="BB134" s="20" t="s">
        <v>336</v>
      </c>
      <c r="BC134" s="445"/>
    </row>
    <row r="135" spans="1:56" x14ac:dyDescent="0.2">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670"/>
      <c r="BB135" s="670"/>
      <c r="BC135" s="670"/>
      <c r="BD135" s="23"/>
    </row>
  </sheetData>
  <sheetProtection sheet="1" objects="1" scenarios="1" formatCells="0" formatColumns="0" formatRows="0"/>
  <mergeCells count="26">
    <mergeCell ref="D18:K18"/>
    <mergeCell ref="B2:D3"/>
    <mergeCell ref="B4:D4"/>
    <mergeCell ref="J6:K6"/>
    <mergeCell ref="F4:G4"/>
    <mergeCell ref="H4:I4"/>
    <mergeCell ref="J4:K4"/>
    <mergeCell ref="J2:K2"/>
    <mergeCell ref="D8:N8"/>
    <mergeCell ref="L2:M2"/>
    <mergeCell ref="F3:G3"/>
    <mergeCell ref="H3:I3"/>
    <mergeCell ref="J3:K3"/>
    <mergeCell ref="L3:M3"/>
    <mergeCell ref="D6:I6"/>
    <mergeCell ref="L4:M4"/>
    <mergeCell ref="F2:G2"/>
    <mergeCell ref="H2:I2"/>
    <mergeCell ref="D15:K15"/>
    <mergeCell ref="D16:K16"/>
    <mergeCell ref="D17:K17"/>
    <mergeCell ref="D12:K12"/>
    <mergeCell ref="D10:I10"/>
    <mergeCell ref="D11:K11"/>
    <mergeCell ref="D14:N14"/>
    <mergeCell ref="J10:K10"/>
  </mergeCells>
  <conditionalFormatting sqref="D24:U98 AU24:AY98 AG103:AY112 D103:G112 D118:E127 R118:AF127 AU118:AY127 AU132:AY132">
    <cfRule type="expression" dxfId="327" priority="3" stopIfTrue="1">
      <formula>MSconst_AllowInstEmmisionTotals</formula>
    </cfRule>
  </conditionalFormatting>
  <hyperlinks>
    <hyperlink ref="F2:G2" location="JUMP_TOC_Home" display="Table of contents"/>
    <hyperlink ref="L2:M2" location="JUMP_K_I" display="Summary"/>
    <hyperlink ref="J2:K2" location="JUMP_BY2_Top" display="JUMP_BY2_Top"/>
    <hyperlink ref="E3" location="JUMP_B_I" display="JUMP_B_I"/>
    <hyperlink ref="H2:I2" location="JUMP_A_I" display="JUMP_A_I"/>
    <hyperlink ref="F3:G3" location="JUMP_BY1_Source" display="Source streams (excl. PFC)"/>
    <hyperlink ref="H3:I3" location="JUMP_BY1_PFC" display="PFC source streams"/>
    <hyperlink ref="J3:K3" location="JUMP_BY1_Emissions" display="Emission Sources (CEMS)"/>
    <hyperlink ref="L3:M3" location="JUMP_BY1_Fallback" display="Fall-back"/>
  </hyperlinks>
  <pageMargins left="0.70866141732283472" right="0.70866141732283472" top="0.78740157480314965" bottom="0.78740157480314965" header="0.31496062992125984" footer="0.31496062992125984"/>
  <pageSetup paperSize="9" scale="37" fitToWidth="20" orientation="portrait" r:id="rId1"/>
  <headerFooter>
    <oddFooter>&amp;L&amp;F; &amp;A&amp;C&amp;P / &amp;N&amp;R&amp;D; &amp;T</oddFooter>
  </headerFooter>
  <colBreaks count="1" manualBreakCount="1">
    <brk id="5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rgb="FFCCFFCC"/>
    <pageSetUpPr fitToPage="1"/>
  </sheetPr>
  <dimension ref="A1:BD136"/>
  <sheetViews>
    <sheetView zoomScaleNormal="100" workbookViewId="0">
      <pane ySplit="4" topLeftCell="A5" activePane="bottomLeft" state="frozen"/>
      <selection sqref="B2:D4"/>
      <selection pane="bottomLeft" sqref="B2:D4"/>
    </sheetView>
  </sheetViews>
  <sheetFormatPr defaultColWidth="11.42578125" defaultRowHeight="12.75" x14ac:dyDescent="0.2"/>
  <cols>
    <col min="1" max="1" width="3.42578125" style="667" hidden="1" customWidth="1"/>
    <col min="2" max="2" width="3.42578125" style="216" customWidth="1"/>
    <col min="3" max="3" width="6.140625" style="24" customWidth="1"/>
    <col min="4" max="4" width="21.5703125" style="216" bestFit="1" customWidth="1"/>
    <col min="5" max="5" width="35.7109375" style="216" customWidth="1"/>
    <col min="6" max="6" width="15.7109375" style="216" customWidth="1"/>
    <col min="7" max="51" width="12.7109375" style="216" customWidth="1"/>
    <col min="52" max="52" width="9.140625" style="216" customWidth="1"/>
    <col min="53" max="55" width="11.42578125" style="667" hidden="1" customWidth="1"/>
    <col min="56" max="16384" width="11.42578125" style="668"/>
  </cols>
  <sheetData>
    <row r="1" spans="1:56" ht="13.5" hidden="1" thickBot="1" x14ac:dyDescent="0.25">
      <c r="A1" s="519" t="s">
        <v>93</v>
      </c>
      <c r="B1" s="529"/>
      <c r="C1" s="530"/>
      <c r="D1" s="529"/>
      <c r="E1" s="529"/>
      <c r="F1" s="529"/>
      <c r="G1" s="529"/>
      <c r="H1" s="529"/>
      <c r="I1" s="529"/>
      <c r="J1" s="529"/>
      <c r="K1" s="529"/>
      <c r="L1" s="531"/>
      <c r="M1" s="529"/>
      <c r="N1" s="529"/>
      <c r="O1" s="529"/>
      <c r="P1" s="529"/>
      <c r="Q1" s="529"/>
      <c r="R1" s="529"/>
      <c r="S1" s="529"/>
      <c r="T1" s="529"/>
      <c r="U1" s="5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602" t="s">
        <v>93</v>
      </c>
      <c r="BB1" s="602" t="s">
        <v>93</v>
      </c>
      <c r="BC1" s="602" t="s">
        <v>93</v>
      </c>
      <c r="BD1" s="23"/>
    </row>
    <row r="2" spans="1:56" ht="13.5" customHeight="1" thickBot="1" x14ac:dyDescent="0.25">
      <c r="A2" s="602"/>
      <c r="B2" s="1405" t="str">
        <f>Translations!$B$267</f>
        <v>B+C ikgadējie emisiju dati</v>
      </c>
      <c r="C2" s="1497"/>
      <c r="D2" s="1498"/>
      <c r="E2" s="789" t="str">
        <f>Translations!$B$2</f>
        <v>Navigācijas josla:</v>
      </c>
      <c r="F2" s="1388" t="str">
        <f>Translations!$B$18</f>
        <v>Saturs</v>
      </c>
      <c r="G2" s="7"/>
      <c r="H2" s="7" t="str">
        <f>Translations!$B$19</f>
        <v>Iepriekšējā lapa</v>
      </c>
      <c r="I2" s="1509"/>
      <c r="J2" s="7" t="str">
        <f>Translations!$B$3</f>
        <v>Nākamā lapa</v>
      </c>
      <c r="K2" s="1509"/>
      <c r="L2" s="7" t="str">
        <f>Translations!$B$4</f>
        <v>Kopsavilkums</v>
      </c>
      <c r="M2" s="1509"/>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604" t="s">
        <v>494</v>
      </c>
      <c r="BB2" s="603">
        <v>2</v>
      </c>
      <c r="BC2" s="685"/>
      <c r="BD2" s="23"/>
    </row>
    <row r="3" spans="1:56" ht="13.5" thickBot="1" x14ac:dyDescent="0.25">
      <c r="A3" s="602"/>
      <c r="B3" s="1499"/>
      <c r="C3" s="1500"/>
      <c r="D3" s="1501"/>
      <c r="E3" s="1005" t="str">
        <f>Translations!$B$5</f>
        <v>Lapas sākums</v>
      </c>
      <c r="F3" s="1491" t="str">
        <f>Translations!$B$268</f>
        <v>Avota plūsmas (izņemot PFC)</v>
      </c>
      <c r="G3" s="1393"/>
      <c r="H3" s="1393" t="str">
        <f>Translations!$B$269</f>
        <v>PFC avota plūsmas</v>
      </c>
      <c r="I3" s="1393"/>
      <c r="J3" s="1393" t="str">
        <f>Translations!$B$270</f>
        <v>Emisiju avoti (CEMS)</v>
      </c>
      <c r="K3" s="1393"/>
      <c r="L3" s="1393" t="str">
        <f>Translations!$B$271</f>
        <v>Alternatīvās pieejas</v>
      </c>
      <c r="M3" s="1492"/>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604" t="s">
        <v>493</v>
      </c>
      <c r="BB3" s="606">
        <f>INDEX(EUconst_ReportingYears,BB2)+(IF(CNTR_BaselinePeriod=EUconst_NA,0,CNTR_BaselinePeriod-1)*5)</f>
        <v>2020</v>
      </c>
      <c r="BC3" s="685"/>
      <c r="BD3" s="23"/>
    </row>
    <row r="4" spans="1:56" ht="13.5" thickBot="1" x14ac:dyDescent="0.25">
      <c r="A4" s="602"/>
      <c r="B4" s="1502">
        <f>BB3</f>
        <v>2020</v>
      </c>
      <c r="C4" s="1503"/>
      <c r="D4" s="1504"/>
      <c r="E4" s="790"/>
      <c r="F4" s="1506"/>
      <c r="G4" s="1510"/>
      <c r="H4" s="1495"/>
      <c r="I4" s="1495"/>
      <c r="J4" s="1495"/>
      <c r="K4" s="1495"/>
      <c r="L4" s="1495"/>
      <c r="M4" s="1496"/>
      <c r="N4" s="95">
        <f>$B$4</f>
        <v>2020</v>
      </c>
      <c r="O4" s="214"/>
      <c r="P4" s="95">
        <f>$B$4</f>
        <v>2020</v>
      </c>
      <c r="Q4" s="214"/>
      <c r="R4" s="95">
        <f>$B$4</f>
        <v>2020</v>
      </c>
      <c r="S4" s="214"/>
      <c r="T4" s="95">
        <f>$B$4</f>
        <v>2020</v>
      </c>
      <c r="U4" s="214"/>
      <c r="V4" s="95">
        <f>$B$4</f>
        <v>2020</v>
      </c>
      <c r="W4" s="214"/>
      <c r="X4" s="95">
        <f>$B$4</f>
        <v>2020</v>
      </c>
      <c r="Y4" s="214"/>
      <c r="Z4" s="95">
        <f>$B$4</f>
        <v>2020</v>
      </c>
      <c r="AA4" s="214"/>
      <c r="AB4" s="95">
        <f>$B$4</f>
        <v>2020</v>
      </c>
      <c r="AC4" s="214"/>
      <c r="AD4" s="95">
        <f>$B$4</f>
        <v>2020</v>
      </c>
      <c r="AE4" s="214"/>
      <c r="AF4" s="95">
        <f>$B$4</f>
        <v>2020</v>
      </c>
      <c r="AG4" s="214"/>
      <c r="AH4" s="95">
        <f>$B$4</f>
        <v>2020</v>
      </c>
      <c r="AI4" s="214"/>
      <c r="AJ4" s="95">
        <f>$B$4</f>
        <v>2020</v>
      </c>
      <c r="AK4" s="214"/>
      <c r="AL4" s="95">
        <f>$B$4</f>
        <v>2020</v>
      </c>
      <c r="AM4" s="214"/>
      <c r="AN4" s="95">
        <f>$B$4</f>
        <v>2020</v>
      </c>
      <c r="AO4" s="214"/>
      <c r="AP4" s="95">
        <f>$B$4</f>
        <v>2020</v>
      </c>
      <c r="AQ4" s="214"/>
      <c r="AR4" s="95">
        <f>$B$4</f>
        <v>2020</v>
      </c>
      <c r="AS4" s="214"/>
      <c r="AT4" s="95">
        <f>$B$4</f>
        <v>2020</v>
      </c>
      <c r="AU4" s="214"/>
      <c r="AV4" s="95">
        <f>$B$4</f>
        <v>2020</v>
      </c>
      <c r="AW4" s="214"/>
      <c r="AX4" s="95">
        <f>$B$4</f>
        <v>2020</v>
      </c>
      <c r="AY4" s="214"/>
      <c r="AZ4" s="214"/>
      <c r="BA4" s="602"/>
      <c r="BB4" s="605"/>
      <c r="BC4" s="685"/>
      <c r="BD4" s="23"/>
    </row>
    <row r="5" spans="1:56" x14ac:dyDescent="0.2">
      <c r="A5" s="602"/>
      <c r="B5" s="21"/>
      <c r="C5" s="22"/>
      <c r="D5" s="23"/>
      <c r="E5" s="23"/>
      <c r="F5" s="24"/>
      <c r="G5" s="24"/>
      <c r="H5" s="24"/>
      <c r="I5" s="21"/>
      <c r="J5" s="21"/>
      <c r="K5" s="21"/>
      <c r="L5" s="21"/>
      <c r="M5" s="25"/>
      <c r="N5" s="25"/>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602"/>
      <c r="BB5" s="605"/>
      <c r="BC5" s="685"/>
      <c r="BD5" s="23"/>
    </row>
    <row r="6" spans="1:56" ht="18" customHeight="1" x14ac:dyDescent="0.2">
      <c r="A6" s="602"/>
      <c r="B6" s="21"/>
      <c r="C6" s="27" t="s">
        <v>611</v>
      </c>
      <c r="D6" s="1493" t="str">
        <f>Translations!$B$272</f>
        <v>Lapa “Ikgadējie emisiju dati” par šo gadu:</v>
      </c>
      <c r="E6" s="1493"/>
      <c r="F6" s="1493"/>
      <c r="G6" s="1493"/>
      <c r="H6" s="1493"/>
      <c r="I6" s="1494"/>
      <c r="J6" s="1505">
        <f>B4</f>
        <v>2020</v>
      </c>
      <c r="K6" s="1505"/>
      <c r="L6" s="214"/>
      <c r="N6" s="457"/>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8" t="s">
        <v>73</v>
      </c>
      <c r="BB6" s="28" t="s">
        <v>73</v>
      </c>
      <c r="BC6" s="685"/>
      <c r="BD6" s="23"/>
    </row>
    <row r="7" spans="1:56" x14ac:dyDescent="0.2">
      <c r="A7" s="602"/>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9" t="s">
        <v>265</v>
      </c>
      <c r="BB7" s="29" t="s">
        <v>265</v>
      </c>
      <c r="BC7" s="685"/>
      <c r="BD7" s="23"/>
    </row>
    <row r="8" spans="1:56" s="666" customFormat="1" ht="15.75" x14ac:dyDescent="0.25">
      <c r="A8" s="663"/>
      <c r="B8" s="21"/>
      <c r="C8" s="30" t="s">
        <v>391</v>
      </c>
      <c r="D8" s="1508" t="str">
        <f>Translations!$B$273</f>
        <v>Vispārīgi norādījumi par avota plūsmu datiem</v>
      </c>
      <c r="E8" s="1508"/>
      <c r="F8" s="1508"/>
      <c r="G8" s="1508"/>
      <c r="H8" s="1508"/>
      <c r="I8" s="1508"/>
      <c r="J8" s="1508"/>
      <c r="K8" s="1508"/>
      <c r="L8" s="1508"/>
      <c r="M8" s="1508"/>
      <c r="N8" s="1508"/>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602"/>
      <c r="BB8" s="602"/>
      <c r="BC8" s="685"/>
      <c r="BD8" s="23"/>
    </row>
    <row r="9" spans="1:56" s="666" customFormat="1" x14ac:dyDescent="0.2">
      <c r="A9" s="663"/>
      <c r="B9" s="664"/>
      <c r="C9" s="142"/>
      <c r="D9" s="142"/>
      <c r="E9" s="142"/>
      <c r="F9" s="142"/>
      <c r="G9" s="142"/>
      <c r="H9" s="142"/>
      <c r="I9" s="142"/>
      <c r="J9" s="142"/>
      <c r="K9" s="142"/>
      <c r="L9" s="142"/>
      <c r="M9" s="142"/>
      <c r="N9" s="142"/>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602"/>
      <c r="BB9" s="602"/>
      <c r="BC9" s="685"/>
      <c r="BD9" s="23"/>
    </row>
    <row r="10" spans="1:56" s="666" customFormat="1" ht="12.75" customHeight="1" x14ac:dyDescent="0.2">
      <c r="A10" s="663"/>
      <c r="B10" s="21"/>
      <c r="C10" s="32"/>
      <c r="D10" s="1325" t="str">
        <f>Translations!$B$274</f>
        <v>Dalībvalsts pieprasa detalizētus avota plūsmu datus, kuri parasti ziņojami obligāti:</v>
      </c>
      <c r="E10" s="1325"/>
      <c r="F10" s="1325"/>
      <c r="G10" s="1325"/>
      <c r="H10" s="1325"/>
      <c r="I10" s="1489"/>
      <c r="J10" s="1490" t="b">
        <f>NOT(MSconst_AllowInstEmmisionTotals)</f>
        <v>1</v>
      </c>
      <c r="K10" s="1490"/>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602"/>
      <c r="BB10" s="602"/>
      <c r="BC10" s="685"/>
      <c r="BD10" s="23"/>
    </row>
    <row r="11" spans="1:56" s="666" customFormat="1" ht="12.75" customHeight="1" x14ac:dyDescent="0.2">
      <c r="A11" s="663"/>
      <c r="B11" s="664"/>
      <c r="C11" s="664"/>
      <c r="D11" s="1301" t="str">
        <f>Translations!$B$275</f>
        <v>Ja atbilde ir “APLAMS” (“FALSE”), datus šeit var neievadīt un tikai jānorāda kopējās ikgadējās emisijas sadaļā D.I.</v>
      </c>
      <c r="E11" s="1301"/>
      <c r="F11" s="1301"/>
      <c r="G11" s="1301"/>
      <c r="H11" s="1301"/>
      <c r="I11" s="1301"/>
      <c r="J11" s="1301"/>
      <c r="K11" s="1301"/>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602"/>
      <c r="BB11" s="602"/>
      <c r="BC11" s="685"/>
      <c r="BD11" s="23"/>
    </row>
    <row r="12" spans="1:56" s="666" customFormat="1" ht="12.75" customHeight="1" x14ac:dyDescent="0.2">
      <c r="A12" s="663"/>
      <c r="B12" s="664"/>
      <c r="C12" s="664"/>
      <c r="D12" s="1511" t="str">
        <f>IF(MSconst_AllowInstEmmisionTotals,HYPERLINK(BB12,EUconst_ERR_Goto_DI2),"")</f>
        <v/>
      </c>
      <c r="E12" s="1512"/>
      <c r="F12" s="1512"/>
      <c r="G12" s="1512"/>
      <c r="H12" s="1512"/>
      <c r="I12" s="1512"/>
      <c r="J12" s="1512"/>
      <c r="K12" s="1513"/>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0" t="s">
        <v>192</v>
      </c>
      <c r="BB12" s="362" t="str">
        <f>"#JUMP_D_I"</f>
        <v>#JUMP_D_I</v>
      </c>
      <c r="BC12" s="685"/>
      <c r="BD12" s="23"/>
    </row>
    <row r="13" spans="1:56" s="666" customFormat="1" x14ac:dyDescent="0.2">
      <c r="A13" s="663"/>
      <c r="B13" s="21"/>
      <c r="C13" s="21"/>
      <c r="D13" s="21"/>
      <c r="E13" s="665"/>
      <c r="F13" s="21"/>
      <c r="G13" s="21"/>
      <c r="H13" s="21"/>
      <c r="I13" s="21"/>
      <c r="J13" s="21"/>
      <c r="K13" s="21"/>
      <c r="L13" s="21"/>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602"/>
      <c r="BB13" s="602"/>
      <c r="BC13" s="602"/>
      <c r="BD13" s="23"/>
    </row>
    <row r="14" spans="1:56" s="666" customFormat="1" ht="15.75" x14ac:dyDescent="0.25">
      <c r="A14" s="663"/>
      <c r="B14" s="21"/>
      <c r="C14" s="30" t="s">
        <v>338</v>
      </c>
      <c r="D14" s="1249" t="str">
        <f>Translations!$B$276</f>
        <v>Avota plūsmas un emisiju avoti</v>
      </c>
      <c r="E14" s="1249"/>
      <c r="F14" s="1249"/>
      <c r="G14" s="1249"/>
      <c r="H14" s="1249"/>
      <c r="I14" s="1249"/>
      <c r="J14" s="1249"/>
      <c r="K14" s="1249"/>
      <c r="L14" s="1249"/>
      <c r="M14" s="1249"/>
      <c r="N14" s="1249"/>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602"/>
      <c r="BB14" s="602"/>
      <c r="BC14" s="602"/>
      <c r="BD14" s="23"/>
    </row>
    <row r="15" spans="1:56" s="666" customFormat="1" ht="12.75" customHeight="1" x14ac:dyDescent="0.2">
      <c r="A15" s="663"/>
      <c r="B15" s="664"/>
      <c r="C15" s="690"/>
      <c r="D15" s="1301" t="str">
        <f>Translations!$B$277</f>
        <v>Nākamās tabulas ir identiskas tām, kas atrodamas lapā “Accounting” Komisijas nodrošinātajā Ikgadējo emisiju datu veidnē.</v>
      </c>
      <c r="E15" s="1301"/>
      <c r="F15" s="1301"/>
      <c r="G15" s="1301"/>
      <c r="H15" s="1301"/>
      <c r="I15" s="1301"/>
      <c r="J15" s="1301"/>
      <c r="K15" s="1301"/>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602"/>
      <c r="BB15" s="602"/>
      <c r="BC15" s="685"/>
      <c r="BD15" s="23"/>
    </row>
    <row r="16" spans="1:56" s="666" customFormat="1" ht="12.75" customHeight="1" x14ac:dyDescent="0.2">
      <c r="A16" s="663"/>
      <c r="B16" s="664"/>
      <c r="C16" s="690"/>
      <c r="D16" s="1301" t="str">
        <f>Translations!$B$278</f>
        <v>Tāpēc varat katras tabulas datus iekopēt no Ikgadējo emisiju ziņojuma veidnes, jaunus datus neievadot; sīkāki norādījumi atrodami tur.</v>
      </c>
      <c r="E16" s="1301"/>
      <c r="F16" s="1301"/>
      <c r="G16" s="1301"/>
      <c r="H16" s="1301"/>
      <c r="I16" s="1301"/>
      <c r="J16" s="1301"/>
      <c r="K16" s="1301"/>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602"/>
      <c r="BB16" s="602"/>
      <c r="BC16" s="685"/>
      <c r="BD16" s="23"/>
    </row>
    <row r="17" spans="1:56" s="666" customFormat="1" ht="12.75" customHeight="1" x14ac:dyDescent="0.2">
      <c r="A17" s="663"/>
      <c r="B17" s="664"/>
      <c r="C17" s="690"/>
      <c r="D17" s="1301" t="str">
        <f>Translations!$B$279</f>
        <v>Ja jūsu dalībvalsts Komisijas veidni neizmanto vai dodat priekšroku datu manuālai ievadei, katras tabulas augšā ir sniegti datu paraugi (baltajos laukos).</v>
      </c>
      <c r="E17" s="1301"/>
      <c r="F17" s="1301"/>
      <c r="G17" s="1301"/>
      <c r="H17" s="1301"/>
      <c r="I17" s="1301"/>
      <c r="J17" s="1301"/>
      <c r="K17" s="1301"/>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602"/>
      <c r="BB17" s="602"/>
      <c r="BC17" s="685"/>
      <c r="BD17" s="23"/>
    </row>
    <row r="18" spans="1:56" s="666" customFormat="1" ht="12.75" customHeight="1" x14ac:dyDescent="0.2">
      <c r="A18" s="663"/>
      <c r="B18" s="664"/>
      <c r="C18" s="690"/>
      <c r="D18" s="1471" t="str">
        <f>Translations!$B$280</f>
        <v>Šajā lapā netiek veikti nekādi aprēķini. Tāpēc kopsummas slejās no AU līdz AY jāievada pareizi, jo šie dati tiks izmantoti tālāk šajā veidnē.</v>
      </c>
      <c r="E18" s="1471"/>
      <c r="F18" s="1471"/>
      <c r="G18" s="1471"/>
      <c r="H18" s="1471"/>
      <c r="I18" s="1471"/>
      <c r="J18" s="1471"/>
      <c r="K18" s="1471"/>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602"/>
      <c r="BB18" s="602"/>
      <c r="BC18" s="685"/>
      <c r="BD18" s="23"/>
    </row>
    <row r="19" spans="1:56" ht="50.1" customHeight="1" thickBot="1" x14ac:dyDescent="0.45">
      <c r="A19" s="602"/>
      <c r="B19" s="214"/>
      <c r="C19" s="95"/>
      <c r="D19" s="532" t="str">
        <f>Translations!$B$281</f>
        <v>Avota plūsmas (izņemot PFC emisijas)</v>
      </c>
      <c r="E19" s="214"/>
      <c r="F19" s="214"/>
      <c r="G19" s="214"/>
      <c r="H19" s="214"/>
      <c r="I19" s="214"/>
      <c r="J19" s="214"/>
      <c r="K19" s="214"/>
      <c r="L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602"/>
      <c r="BB19" s="602"/>
      <c r="BC19" s="685"/>
      <c r="BD19" s="23"/>
    </row>
    <row r="20" spans="1:56" ht="50.1" customHeight="1" thickBot="1" x14ac:dyDescent="0.25">
      <c r="A20" s="602"/>
      <c r="B20" s="214"/>
      <c r="C20" s="533" t="s">
        <v>466</v>
      </c>
      <c r="D20" s="534" t="str">
        <f>Translations!$B$282</f>
        <v>Metode</v>
      </c>
      <c r="E20" s="534" t="str">
        <f>Translations!$B$283</f>
        <v>Avota plūsmas nosaukums</v>
      </c>
      <c r="F20" s="535" t="str">
        <f>Translations!$B$284</f>
        <v>Darbības dati</v>
      </c>
      <c r="G20" s="535" t="str">
        <f>Translations!$B$285</f>
        <v>DD vienība</v>
      </c>
      <c r="H20" s="535" t="str">
        <f>Translations!$B$286</f>
        <v>NCV</v>
      </c>
      <c r="I20" s="535" t="str">
        <f>Translations!$B$287</f>
        <v>NCV vienība</v>
      </c>
      <c r="J20" s="535" t="str">
        <f>Translations!$B$288</f>
        <v>EF</v>
      </c>
      <c r="K20" s="535" t="str">
        <f>Translations!$B$289</f>
        <v>EF vienība</v>
      </c>
      <c r="L20" s="535" t="str">
        <f>Translations!$B$290</f>
        <v>C saturs</v>
      </c>
      <c r="M20" s="535" t="str">
        <f>Translations!$B$291</f>
        <v>C satura vienība</v>
      </c>
      <c r="N20" s="535" t="str">
        <f>Translations!$B$292</f>
        <v>Oksid. koef.</v>
      </c>
      <c r="O20" s="535" t="str">
        <f>Translations!$B$293</f>
        <v>OK vienība</v>
      </c>
      <c r="P20" s="535" t="str">
        <f>Translations!$B$294</f>
        <v>Pārrēķina koef.</v>
      </c>
      <c r="Q20" s="535" t="str">
        <f>Translations!$B$295</f>
        <v>PK vienība</v>
      </c>
      <c r="R20" s="535" t="str">
        <f>Translations!$B$296</f>
        <v>Biomasas saturs</v>
      </c>
      <c r="S20" s="535" t="str">
        <f>Translations!$B$297</f>
        <v>BS vienība</v>
      </c>
      <c r="T20" s="535" t="str">
        <f>Translations!$B$298</f>
        <v>ilgtnesp. BS</v>
      </c>
      <c r="U20" s="535" t="str">
        <f>Translations!$B$299</f>
        <v>ilgtnesp. BS vienība</v>
      </c>
      <c r="V20" s="535" t="str">
        <f>Translations!$B$300</f>
        <v>SEG konc. vidējā vērtība h</v>
      </c>
      <c r="W20" s="535" t="str">
        <f>Translations!$B$301</f>
        <v>SEG konc. h vienība</v>
      </c>
      <c r="X20" s="535" t="str">
        <f>Translations!$B$302</f>
        <v>ekspluatācijas stundas</v>
      </c>
      <c r="Y20" s="535" t="str">
        <f>Translations!$B$303</f>
        <v>ekspluatācijas stundu vienība</v>
      </c>
      <c r="Z20" s="535" t="str">
        <f>Translations!$B$304</f>
        <v>Dūmgāzes (vidēji)</v>
      </c>
      <c r="AA20" s="535" t="str">
        <f>Translations!$B$305</f>
        <v>Dūmgāzes (vidēji), vienība</v>
      </c>
      <c r="AB20" s="535" t="str">
        <f>Translations!$B$306</f>
        <v>Dūmgāzes (kopā)</v>
      </c>
      <c r="AC20" s="535" t="str">
        <f>Translations!$B$307</f>
        <v>Dūmgāzes (kopā), vienība</v>
      </c>
      <c r="AD20" s="535" t="str">
        <f>Translations!$B$308</f>
        <v>SEG daudzums gadā</v>
      </c>
      <c r="AE20" s="535" t="str">
        <f>Translations!$B$309</f>
        <v>SEG daudzums gadā, vienība</v>
      </c>
      <c r="AF20" s="535" t="str">
        <f>Translations!$B$310</f>
        <v>GWP (t CO2 e/t)</v>
      </c>
      <c r="AG20" s="535" t="str">
        <f>Translations!$B$311</f>
        <v>A: biežums</v>
      </c>
      <c r="AH20" s="535" t="str">
        <f>Translations!$B$312</f>
        <v>A: ilgums</v>
      </c>
      <c r="AI20" s="535" t="str">
        <f>Translations!$B$313</f>
        <v>A: SEF (CF4)</v>
      </c>
      <c r="AJ20" s="535" t="str">
        <f>Translations!$B$314</f>
        <v>B: AEO</v>
      </c>
      <c r="AK20" s="535" t="str">
        <f>Translations!$B$315</f>
        <v>B: CE</v>
      </c>
      <c r="AL20" s="535" t="str">
        <f>Translations!$B$316</f>
        <v>B: OVC</v>
      </c>
      <c r="AM20" s="535" t="str">
        <f>Translations!$B$317</f>
        <v>F (C2F6)</v>
      </c>
      <c r="AN20" s="535" t="str">
        <f>Translations!$B$318</f>
        <v>CF4 emisijas (t CF4)</v>
      </c>
      <c r="AO20" s="535" t="str">
        <f>Translations!$B$319</f>
        <v>C2F6 emisijas (t C2F6)</v>
      </c>
      <c r="AP20" s="535" t="str">
        <f>Translations!$B$320</f>
        <v>GWP (CF4) (t CO2 e/t)</v>
      </c>
      <c r="AQ20" s="535" t="str">
        <f>Translations!$B$321</f>
        <v>GWP (C2F6) (t CO2 e/t)</v>
      </c>
      <c r="AR20" s="535" t="str">
        <f>Translations!$B$322</f>
        <v>CF4 emisijas (t CO2e)</v>
      </c>
      <c r="AS20" s="535" t="str">
        <f>Translations!$B$323</f>
        <v>C2F6 emisijas (t CO2 e)</v>
      </c>
      <c r="AT20" s="535" t="str">
        <f>Translations!$B$324</f>
        <v>Uztveršanas efektivitāte, %</v>
      </c>
      <c r="AU20" s="535" t="str">
        <f>Translations!$B$325</f>
        <v>CO2 e, fosilie avoti (t)</v>
      </c>
      <c r="AV20" s="535" t="str">
        <f>Translations!$B$326</f>
        <v>CO2 e bio (t)</v>
      </c>
      <c r="AW20" s="535" t="str">
        <f>Translations!$B$327</f>
        <v>CO2 e, ilgtnesp. biomasa (t)</v>
      </c>
      <c r="AX20" s="536" t="str">
        <f>Translations!$B$328</f>
        <v>Enerģētiskais saturs (fosilie avoti), TJ</v>
      </c>
      <c r="AY20" s="537" t="str">
        <f>Translations!$B$329</f>
        <v>Enerģētiskais saturs (biomasa), TJ</v>
      </c>
      <c r="AZ20" s="214"/>
      <c r="BA20" s="602"/>
      <c r="BB20" s="602"/>
      <c r="BC20" s="685"/>
      <c r="BD20" s="23"/>
    </row>
    <row r="21" spans="1:56" ht="12.75" customHeight="1" x14ac:dyDescent="0.2">
      <c r="A21" s="602"/>
      <c r="B21" s="214"/>
      <c r="C21" s="543" t="str">
        <f>Translations!$B$330</f>
        <v>1. piem.</v>
      </c>
      <c r="D21" s="686" t="str">
        <f>Translations!$B$331</f>
        <v>Sadedzināšana</v>
      </c>
      <c r="E21" s="686" t="str">
        <f>Translations!$B$332</f>
        <v>Smagā degvieleļļa</v>
      </c>
      <c r="F21" s="687">
        <v>252000</v>
      </c>
      <c r="G21" s="538" t="s">
        <v>205</v>
      </c>
      <c r="H21" s="687">
        <v>45</v>
      </c>
      <c r="I21" s="538" t="s">
        <v>509</v>
      </c>
      <c r="J21" s="687">
        <v>73</v>
      </c>
      <c r="K21" s="538" t="s">
        <v>510</v>
      </c>
      <c r="L21" s="538"/>
      <c r="M21" s="538" t="s">
        <v>472</v>
      </c>
      <c r="N21" s="687">
        <v>100</v>
      </c>
      <c r="O21" s="688" t="s">
        <v>393</v>
      </c>
      <c r="P21" s="687"/>
      <c r="Q21" s="688" t="s">
        <v>393</v>
      </c>
      <c r="R21" s="687">
        <v>0</v>
      </c>
      <c r="S21" s="688" t="s">
        <v>393</v>
      </c>
      <c r="T21" s="687">
        <v>0</v>
      </c>
      <c r="U21" s="688" t="s">
        <v>393</v>
      </c>
      <c r="V21" s="774"/>
      <c r="W21" s="774"/>
      <c r="X21" s="774"/>
      <c r="Y21" s="774"/>
      <c r="Z21" s="774"/>
      <c r="AA21" s="774"/>
      <c r="AB21" s="774"/>
      <c r="AC21" s="774"/>
      <c r="AD21" s="774"/>
      <c r="AE21" s="774"/>
      <c r="AF21" s="774"/>
      <c r="AG21" s="774"/>
      <c r="AH21" s="774"/>
      <c r="AI21" s="774"/>
      <c r="AJ21" s="774"/>
      <c r="AK21" s="774"/>
      <c r="AL21" s="774"/>
      <c r="AM21" s="774"/>
      <c r="AN21" s="774"/>
      <c r="AO21" s="774"/>
      <c r="AP21" s="774"/>
      <c r="AQ21" s="774"/>
      <c r="AR21" s="774"/>
      <c r="AS21" s="774"/>
      <c r="AT21" s="774"/>
      <c r="AU21" s="689">
        <v>827820</v>
      </c>
      <c r="AV21" s="689">
        <v>0</v>
      </c>
      <c r="AW21" s="689">
        <v>0</v>
      </c>
      <c r="AX21" s="687">
        <v>11340</v>
      </c>
      <c r="AY21" s="687">
        <v>0</v>
      </c>
      <c r="AZ21" s="214"/>
      <c r="BA21" s="602"/>
      <c r="BB21" s="602"/>
      <c r="BC21" s="685"/>
      <c r="BD21" s="23"/>
    </row>
    <row r="22" spans="1:56" ht="12.75" customHeight="1" x14ac:dyDescent="0.2">
      <c r="A22" s="602"/>
      <c r="B22" s="214"/>
      <c r="C22" s="543" t="str">
        <f>Translations!$B$333</f>
        <v>2. piem.</v>
      </c>
      <c r="D22" s="686" t="str">
        <f>Translations!$B$334</f>
        <v>Procesa emisijas</v>
      </c>
      <c r="E22" s="686" t="str">
        <f>Translations!$B$335</f>
        <v>Māls</v>
      </c>
      <c r="F22" s="687">
        <v>121000</v>
      </c>
      <c r="G22" s="538" t="s">
        <v>205</v>
      </c>
      <c r="H22" s="687"/>
      <c r="I22" s="538" t="s">
        <v>472</v>
      </c>
      <c r="J22" s="687">
        <v>8.7940000000000004E-2</v>
      </c>
      <c r="K22" s="538" t="s">
        <v>511</v>
      </c>
      <c r="L22" s="538"/>
      <c r="M22" s="538" t="s">
        <v>472</v>
      </c>
      <c r="N22" s="687"/>
      <c r="O22" s="688" t="s">
        <v>393</v>
      </c>
      <c r="P22" s="687"/>
      <c r="Q22" s="688" t="s">
        <v>393</v>
      </c>
      <c r="R22" s="687">
        <v>0</v>
      </c>
      <c r="S22" s="688" t="s">
        <v>393</v>
      </c>
      <c r="T22" s="687">
        <v>0</v>
      </c>
      <c r="U22" s="688" t="s">
        <v>393</v>
      </c>
      <c r="V22" s="774"/>
      <c r="W22" s="774"/>
      <c r="X22" s="774"/>
      <c r="Y22" s="774"/>
      <c r="Z22" s="774"/>
      <c r="AA22" s="774"/>
      <c r="AB22" s="774"/>
      <c r="AC22" s="774"/>
      <c r="AD22" s="774"/>
      <c r="AE22" s="774"/>
      <c r="AF22" s="774"/>
      <c r="AG22" s="774"/>
      <c r="AH22" s="774"/>
      <c r="AI22" s="774"/>
      <c r="AJ22" s="774"/>
      <c r="AK22" s="774"/>
      <c r="AL22" s="774"/>
      <c r="AM22" s="774"/>
      <c r="AN22" s="774"/>
      <c r="AO22" s="774"/>
      <c r="AP22" s="774"/>
      <c r="AQ22" s="774"/>
      <c r="AR22" s="774"/>
      <c r="AS22" s="774"/>
      <c r="AT22" s="774"/>
      <c r="AU22" s="689">
        <v>10640.74</v>
      </c>
      <c r="AV22" s="689">
        <v>0</v>
      </c>
      <c r="AW22" s="689">
        <v>0</v>
      </c>
      <c r="AX22" s="687">
        <v>0</v>
      </c>
      <c r="AY22" s="687">
        <v>0</v>
      </c>
      <c r="AZ22" s="214"/>
      <c r="BA22" s="602"/>
      <c r="BB22" s="602"/>
      <c r="BC22" s="685"/>
      <c r="BD22" s="23"/>
    </row>
    <row r="23" spans="1:56" ht="12.75" customHeight="1" x14ac:dyDescent="0.2">
      <c r="A23" s="602"/>
      <c r="B23" s="214"/>
      <c r="C23" s="543" t="str">
        <f>Translations!$B$336</f>
        <v>3. piem.</v>
      </c>
      <c r="D23" s="686" t="str">
        <f>Translations!$B$337</f>
        <v>Masas bilance</v>
      </c>
      <c r="E23" s="686" t="str">
        <f>Translations!$B$338</f>
        <v>Tērauds</v>
      </c>
      <c r="F23" s="687">
        <v>-1808226</v>
      </c>
      <c r="G23" s="538" t="s">
        <v>205</v>
      </c>
      <c r="H23" s="687"/>
      <c r="I23" s="538" t="s">
        <v>472</v>
      </c>
      <c r="J23" s="687">
        <v>0</v>
      </c>
      <c r="K23" s="538" t="s">
        <v>472</v>
      </c>
      <c r="L23" s="538">
        <v>0.38779999999999998</v>
      </c>
      <c r="M23" s="538" t="s">
        <v>512</v>
      </c>
      <c r="N23" s="687"/>
      <c r="O23" s="688" t="s">
        <v>393</v>
      </c>
      <c r="P23" s="687">
        <v>100</v>
      </c>
      <c r="Q23" s="688" t="s">
        <v>393</v>
      </c>
      <c r="R23" s="687">
        <v>0</v>
      </c>
      <c r="S23" s="688" t="s">
        <v>393</v>
      </c>
      <c r="T23" s="687">
        <v>0</v>
      </c>
      <c r="U23" s="688" t="s">
        <v>393</v>
      </c>
      <c r="V23" s="774"/>
      <c r="W23" s="774"/>
      <c r="X23" s="774"/>
      <c r="Y23" s="774"/>
      <c r="Z23" s="774"/>
      <c r="AA23" s="774"/>
      <c r="AB23" s="774"/>
      <c r="AC23" s="774"/>
      <c r="AD23" s="774"/>
      <c r="AE23" s="774"/>
      <c r="AF23" s="774"/>
      <c r="AG23" s="774"/>
      <c r="AH23" s="774"/>
      <c r="AI23" s="774"/>
      <c r="AJ23" s="774"/>
      <c r="AK23" s="774"/>
      <c r="AL23" s="774"/>
      <c r="AM23" s="774"/>
      <c r="AN23" s="774"/>
      <c r="AO23" s="774"/>
      <c r="AP23" s="774"/>
      <c r="AQ23" s="774"/>
      <c r="AR23" s="774"/>
      <c r="AS23" s="774"/>
      <c r="AT23" s="774"/>
      <c r="AU23" s="689">
        <v>-2569306.8768191999</v>
      </c>
      <c r="AV23" s="689">
        <v>0</v>
      </c>
      <c r="AW23" s="689">
        <v>0</v>
      </c>
      <c r="AX23" s="687">
        <v>0</v>
      </c>
      <c r="AY23" s="687">
        <v>0</v>
      </c>
      <c r="AZ23" s="214"/>
      <c r="BA23" s="602"/>
      <c r="BB23" s="602"/>
      <c r="BC23" s="685"/>
      <c r="BD23" s="23"/>
    </row>
    <row r="24" spans="1:56" x14ac:dyDescent="0.2">
      <c r="A24" s="602"/>
      <c r="B24" s="214"/>
      <c r="C24" s="543">
        <v>1</v>
      </c>
      <c r="D24" s="596"/>
      <c r="E24" s="596"/>
      <c r="F24" s="597"/>
      <c r="G24" s="598"/>
      <c r="H24" s="597"/>
      <c r="I24" s="598"/>
      <c r="J24" s="597"/>
      <c r="K24" s="598"/>
      <c r="L24" s="598"/>
      <c r="M24" s="598"/>
      <c r="N24" s="597"/>
      <c r="O24" s="599"/>
      <c r="P24" s="597"/>
      <c r="Q24" s="599"/>
      <c r="R24" s="597"/>
      <c r="S24" s="599"/>
      <c r="T24" s="597"/>
      <c r="U24" s="599"/>
      <c r="V24" s="774"/>
      <c r="W24" s="774"/>
      <c r="X24" s="774"/>
      <c r="Y24" s="774"/>
      <c r="Z24" s="774"/>
      <c r="AA24" s="774"/>
      <c r="AB24" s="774"/>
      <c r="AC24" s="774"/>
      <c r="AD24" s="774"/>
      <c r="AE24" s="774"/>
      <c r="AF24" s="774"/>
      <c r="AG24" s="774"/>
      <c r="AH24" s="774"/>
      <c r="AI24" s="774"/>
      <c r="AJ24" s="774"/>
      <c r="AK24" s="774"/>
      <c r="AL24" s="774"/>
      <c r="AM24" s="774"/>
      <c r="AN24" s="774"/>
      <c r="AO24" s="774"/>
      <c r="AP24" s="774"/>
      <c r="AQ24" s="774"/>
      <c r="AR24" s="774"/>
      <c r="AS24" s="774"/>
      <c r="AT24" s="774"/>
      <c r="AU24" s="600"/>
      <c r="AV24" s="600"/>
      <c r="AW24" s="600"/>
      <c r="AX24" s="597"/>
      <c r="AY24" s="597"/>
      <c r="AZ24" s="214"/>
      <c r="BA24" s="490" t="str">
        <f t="shared" ref="BA24:BA87" si="0">EUconst_SumCO2</f>
        <v>SUM_CO2</v>
      </c>
      <c r="BB24" s="581" t="str">
        <f t="shared" ref="BB24:BB87" si="1">EUconst_SumEnergyIN</f>
        <v>SUM_EnergyIN</v>
      </c>
      <c r="BC24" s="602"/>
      <c r="BD24" s="23"/>
    </row>
    <row r="25" spans="1:56" x14ac:dyDescent="0.2">
      <c r="A25" s="602"/>
      <c r="B25" s="214"/>
      <c r="C25" s="544">
        <v>2</v>
      </c>
      <c r="D25" s="596"/>
      <c r="E25" s="596"/>
      <c r="F25" s="597"/>
      <c r="G25" s="598"/>
      <c r="H25" s="597"/>
      <c r="I25" s="598"/>
      <c r="J25" s="597"/>
      <c r="K25" s="598"/>
      <c r="L25" s="598"/>
      <c r="M25" s="598"/>
      <c r="N25" s="597"/>
      <c r="O25" s="599"/>
      <c r="P25" s="597"/>
      <c r="Q25" s="599"/>
      <c r="R25" s="597"/>
      <c r="S25" s="599"/>
      <c r="T25" s="597"/>
      <c r="U25" s="599"/>
      <c r="V25" s="774"/>
      <c r="W25" s="774"/>
      <c r="X25" s="774"/>
      <c r="Y25" s="774"/>
      <c r="Z25" s="774"/>
      <c r="AA25" s="774"/>
      <c r="AB25" s="774"/>
      <c r="AC25" s="774"/>
      <c r="AD25" s="774"/>
      <c r="AE25" s="774"/>
      <c r="AF25" s="774"/>
      <c r="AG25" s="774"/>
      <c r="AH25" s="774"/>
      <c r="AI25" s="774"/>
      <c r="AJ25" s="774"/>
      <c r="AK25" s="774"/>
      <c r="AL25" s="774"/>
      <c r="AM25" s="774"/>
      <c r="AN25" s="774"/>
      <c r="AO25" s="774"/>
      <c r="AP25" s="774"/>
      <c r="AQ25" s="774"/>
      <c r="AR25" s="774"/>
      <c r="AS25" s="774"/>
      <c r="AT25" s="774"/>
      <c r="AU25" s="600"/>
      <c r="AV25" s="600"/>
      <c r="AW25" s="600"/>
      <c r="AX25" s="597"/>
      <c r="AY25" s="597"/>
      <c r="AZ25" s="214"/>
      <c r="BA25" s="490" t="str">
        <f t="shared" si="0"/>
        <v>SUM_CO2</v>
      </c>
      <c r="BB25" s="581" t="str">
        <f t="shared" si="1"/>
        <v>SUM_EnergyIN</v>
      </c>
      <c r="BC25" s="602"/>
      <c r="BD25" s="23"/>
    </row>
    <row r="26" spans="1:56" x14ac:dyDescent="0.2">
      <c r="A26" s="602"/>
      <c r="B26" s="214"/>
      <c r="C26" s="544">
        <v>3</v>
      </c>
      <c r="D26" s="596"/>
      <c r="E26" s="596"/>
      <c r="F26" s="597"/>
      <c r="G26" s="598"/>
      <c r="H26" s="597"/>
      <c r="I26" s="598"/>
      <c r="J26" s="597"/>
      <c r="K26" s="598"/>
      <c r="L26" s="598"/>
      <c r="M26" s="598"/>
      <c r="N26" s="597"/>
      <c r="O26" s="599"/>
      <c r="P26" s="597"/>
      <c r="Q26" s="599"/>
      <c r="R26" s="597"/>
      <c r="S26" s="599"/>
      <c r="T26" s="597"/>
      <c r="U26" s="599"/>
      <c r="V26" s="774"/>
      <c r="W26" s="774"/>
      <c r="X26" s="774"/>
      <c r="Y26" s="774"/>
      <c r="Z26" s="774"/>
      <c r="AA26" s="774"/>
      <c r="AB26" s="774"/>
      <c r="AC26" s="774"/>
      <c r="AD26" s="774"/>
      <c r="AE26" s="774"/>
      <c r="AF26" s="774"/>
      <c r="AG26" s="774"/>
      <c r="AH26" s="774"/>
      <c r="AI26" s="774"/>
      <c r="AJ26" s="774"/>
      <c r="AK26" s="774"/>
      <c r="AL26" s="774"/>
      <c r="AM26" s="774"/>
      <c r="AN26" s="774"/>
      <c r="AO26" s="774"/>
      <c r="AP26" s="774"/>
      <c r="AQ26" s="774"/>
      <c r="AR26" s="774"/>
      <c r="AS26" s="774"/>
      <c r="AT26" s="774"/>
      <c r="AU26" s="600"/>
      <c r="AV26" s="600"/>
      <c r="AW26" s="600"/>
      <c r="AX26" s="597"/>
      <c r="AY26" s="597"/>
      <c r="AZ26" s="214"/>
      <c r="BA26" s="490" t="str">
        <f t="shared" si="0"/>
        <v>SUM_CO2</v>
      </c>
      <c r="BB26" s="581" t="str">
        <f t="shared" si="1"/>
        <v>SUM_EnergyIN</v>
      </c>
      <c r="BC26" s="602"/>
      <c r="BD26" s="23"/>
    </row>
    <row r="27" spans="1:56" x14ac:dyDescent="0.2">
      <c r="A27" s="602"/>
      <c r="B27" s="214"/>
      <c r="C27" s="544">
        <v>4</v>
      </c>
      <c r="D27" s="596"/>
      <c r="E27" s="596"/>
      <c r="F27" s="597"/>
      <c r="G27" s="598"/>
      <c r="H27" s="597"/>
      <c r="I27" s="598"/>
      <c r="J27" s="597"/>
      <c r="K27" s="598"/>
      <c r="L27" s="598"/>
      <c r="M27" s="598"/>
      <c r="N27" s="597"/>
      <c r="O27" s="599"/>
      <c r="P27" s="597"/>
      <c r="Q27" s="599"/>
      <c r="R27" s="597"/>
      <c r="S27" s="599"/>
      <c r="T27" s="597"/>
      <c r="U27" s="599"/>
      <c r="V27" s="774"/>
      <c r="W27" s="774"/>
      <c r="X27" s="774"/>
      <c r="Y27" s="774"/>
      <c r="Z27" s="774"/>
      <c r="AA27" s="774"/>
      <c r="AB27" s="774"/>
      <c r="AC27" s="774"/>
      <c r="AD27" s="774"/>
      <c r="AE27" s="774"/>
      <c r="AF27" s="774"/>
      <c r="AG27" s="774"/>
      <c r="AH27" s="774"/>
      <c r="AI27" s="774"/>
      <c r="AJ27" s="774"/>
      <c r="AK27" s="774"/>
      <c r="AL27" s="774"/>
      <c r="AM27" s="774"/>
      <c r="AN27" s="774"/>
      <c r="AO27" s="774"/>
      <c r="AP27" s="774"/>
      <c r="AQ27" s="774"/>
      <c r="AR27" s="774"/>
      <c r="AS27" s="774"/>
      <c r="AT27" s="774"/>
      <c r="AU27" s="600"/>
      <c r="AV27" s="600"/>
      <c r="AW27" s="600"/>
      <c r="AX27" s="597"/>
      <c r="AY27" s="597"/>
      <c r="AZ27" s="214"/>
      <c r="BA27" s="490" t="str">
        <f t="shared" si="0"/>
        <v>SUM_CO2</v>
      </c>
      <c r="BB27" s="581" t="str">
        <f t="shared" si="1"/>
        <v>SUM_EnergyIN</v>
      </c>
      <c r="BC27" s="602"/>
      <c r="BD27" s="23"/>
    </row>
    <row r="28" spans="1:56" x14ac:dyDescent="0.2">
      <c r="A28" s="602"/>
      <c r="B28" s="214"/>
      <c r="C28" s="544">
        <v>5</v>
      </c>
      <c r="D28" s="596"/>
      <c r="E28" s="596"/>
      <c r="F28" s="597"/>
      <c r="G28" s="598"/>
      <c r="H28" s="597"/>
      <c r="I28" s="598"/>
      <c r="J28" s="597"/>
      <c r="K28" s="598"/>
      <c r="L28" s="598"/>
      <c r="M28" s="598"/>
      <c r="N28" s="597"/>
      <c r="O28" s="599"/>
      <c r="P28" s="597"/>
      <c r="Q28" s="599"/>
      <c r="R28" s="597"/>
      <c r="S28" s="599"/>
      <c r="T28" s="597"/>
      <c r="U28" s="599"/>
      <c r="V28" s="774"/>
      <c r="W28" s="774"/>
      <c r="X28" s="774"/>
      <c r="Y28" s="774"/>
      <c r="Z28" s="774"/>
      <c r="AA28" s="774"/>
      <c r="AB28" s="774"/>
      <c r="AC28" s="774"/>
      <c r="AD28" s="774"/>
      <c r="AE28" s="774"/>
      <c r="AF28" s="774"/>
      <c r="AG28" s="774"/>
      <c r="AH28" s="774"/>
      <c r="AI28" s="774"/>
      <c r="AJ28" s="774"/>
      <c r="AK28" s="774"/>
      <c r="AL28" s="774"/>
      <c r="AM28" s="774"/>
      <c r="AN28" s="774"/>
      <c r="AO28" s="774"/>
      <c r="AP28" s="774"/>
      <c r="AQ28" s="774"/>
      <c r="AR28" s="774"/>
      <c r="AS28" s="774"/>
      <c r="AT28" s="774"/>
      <c r="AU28" s="600"/>
      <c r="AV28" s="600"/>
      <c r="AW28" s="600"/>
      <c r="AX28" s="597"/>
      <c r="AY28" s="597"/>
      <c r="AZ28" s="214"/>
      <c r="BA28" s="490" t="str">
        <f t="shared" si="0"/>
        <v>SUM_CO2</v>
      </c>
      <c r="BB28" s="581" t="str">
        <f t="shared" si="1"/>
        <v>SUM_EnergyIN</v>
      </c>
      <c r="BC28" s="602"/>
      <c r="BD28" s="23"/>
    </row>
    <row r="29" spans="1:56" x14ac:dyDescent="0.2">
      <c r="A29" s="602"/>
      <c r="B29" s="214"/>
      <c r="C29" s="544">
        <v>6</v>
      </c>
      <c r="D29" s="596"/>
      <c r="E29" s="596"/>
      <c r="F29" s="597"/>
      <c r="G29" s="598"/>
      <c r="H29" s="597"/>
      <c r="I29" s="598"/>
      <c r="J29" s="597"/>
      <c r="K29" s="598"/>
      <c r="L29" s="598"/>
      <c r="M29" s="598"/>
      <c r="N29" s="597"/>
      <c r="O29" s="599"/>
      <c r="P29" s="597"/>
      <c r="Q29" s="599"/>
      <c r="R29" s="597"/>
      <c r="S29" s="599"/>
      <c r="T29" s="597"/>
      <c r="U29" s="599"/>
      <c r="V29" s="774"/>
      <c r="W29" s="774"/>
      <c r="X29" s="774"/>
      <c r="Y29" s="774"/>
      <c r="Z29" s="774"/>
      <c r="AA29" s="774"/>
      <c r="AB29" s="774"/>
      <c r="AC29" s="774"/>
      <c r="AD29" s="774"/>
      <c r="AE29" s="774"/>
      <c r="AF29" s="774"/>
      <c r="AG29" s="774"/>
      <c r="AH29" s="774"/>
      <c r="AI29" s="774"/>
      <c r="AJ29" s="774"/>
      <c r="AK29" s="774"/>
      <c r="AL29" s="774"/>
      <c r="AM29" s="774"/>
      <c r="AN29" s="774"/>
      <c r="AO29" s="774"/>
      <c r="AP29" s="774"/>
      <c r="AQ29" s="774"/>
      <c r="AR29" s="774"/>
      <c r="AS29" s="774"/>
      <c r="AT29" s="774"/>
      <c r="AU29" s="600"/>
      <c r="AV29" s="600"/>
      <c r="AW29" s="600"/>
      <c r="AX29" s="597"/>
      <c r="AY29" s="597"/>
      <c r="AZ29" s="214"/>
      <c r="BA29" s="490" t="str">
        <f t="shared" si="0"/>
        <v>SUM_CO2</v>
      </c>
      <c r="BB29" s="581" t="str">
        <f t="shared" si="1"/>
        <v>SUM_EnergyIN</v>
      </c>
      <c r="BC29" s="602"/>
      <c r="BD29" s="23"/>
    </row>
    <row r="30" spans="1:56" x14ac:dyDescent="0.2">
      <c r="A30" s="602"/>
      <c r="B30" s="214"/>
      <c r="C30" s="544">
        <v>7</v>
      </c>
      <c r="D30" s="596"/>
      <c r="E30" s="596"/>
      <c r="F30" s="597"/>
      <c r="G30" s="598"/>
      <c r="H30" s="597"/>
      <c r="I30" s="598"/>
      <c r="J30" s="597"/>
      <c r="K30" s="598"/>
      <c r="L30" s="598"/>
      <c r="M30" s="598"/>
      <c r="N30" s="597"/>
      <c r="O30" s="599"/>
      <c r="P30" s="597"/>
      <c r="Q30" s="599"/>
      <c r="R30" s="597"/>
      <c r="S30" s="599"/>
      <c r="T30" s="597"/>
      <c r="U30" s="599"/>
      <c r="V30" s="774"/>
      <c r="W30" s="774"/>
      <c r="X30" s="774"/>
      <c r="Y30" s="774"/>
      <c r="Z30" s="774"/>
      <c r="AA30" s="774"/>
      <c r="AB30" s="774"/>
      <c r="AC30" s="774"/>
      <c r="AD30" s="774"/>
      <c r="AE30" s="774"/>
      <c r="AF30" s="774"/>
      <c r="AG30" s="774"/>
      <c r="AH30" s="774"/>
      <c r="AI30" s="774"/>
      <c r="AJ30" s="774"/>
      <c r="AK30" s="774"/>
      <c r="AL30" s="774"/>
      <c r="AM30" s="774"/>
      <c r="AN30" s="774"/>
      <c r="AO30" s="774"/>
      <c r="AP30" s="774"/>
      <c r="AQ30" s="774"/>
      <c r="AR30" s="774"/>
      <c r="AS30" s="774"/>
      <c r="AT30" s="774"/>
      <c r="AU30" s="600"/>
      <c r="AV30" s="600"/>
      <c r="AW30" s="600"/>
      <c r="AX30" s="597"/>
      <c r="AY30" s="597"/>
      <c r="AZ30" s="214"/>
      <c r="BA30" s="490" t="str">
        <f t="shared" si="0"/>
        <v>SUM_CO2</v>
      </c>
      <c r="BB30" s="581" t="str">
        <f t="shared" si="1"/>
        <v>SUM_EnergyIN</v>
      </c>
      <c r="BC30" s="602"/>
      <c r="BD30" s="23"/>
    </row>
    <row r="31" spans="1:56" x14ac:dyDescent="0.2">
      <c r="A31" s="602"/>
      <c r="B31" s="214"/>
      <c r="C31" s="544">
        <v>8</v>
      </c>
      <c r="D31" s="596"/>
      <c r="E31" s="596"/>
      <c r="F31" s="597"/>
      <c r="G31" s="598"/>
      <c r="H31" s="597"/>
      <c r="I31" s="598"/>
      <c r="J31" s="597"/>
      <c r="K31" s="598"/>
      <c r="L31" s="598"/>
      <c r="M31" s="598"/>
      <c r="N31" s="597"/>
      <c r="O31" s="599"/>
      <c r="P31" s="597"/>
      <c r="Q31" s="599"/>
      <c r="R31" s="597"/>
      <c r="S31" s="599"/>
      <c r="T31" s="597"/>
      <c r="U31" s="599"/>
      <c r="V31" s="774"/>
      <c r="W31" s="774"/>
      <c r="X31" s="774"/>
      <c r="Y31" s="774"/>
      <c r="Z31" s="774"/>
      <c r="AA31" s="774"/>
      <c r="AB31" s="774"/>
      <c r="AC31" s="774"/>
      <c r="AD31" s="774"/>
      <c r="AE31" s="774"/>
      <c r="AF31" s="774"/>
      <c r="AG31" s="774"/>
      <c r="AH31" s="774"/>
      <c r="AI31" s="774"/>
      <c r="AJ31" s="774"/>
      <c r="AK31" s="774"/>
      <c r="AL31" s="774"/>
      <c r="AM31" s="774"/>
      <c r="AN31" s="774"/>
      <c r="AO31" s="774"/>
      <c r="AP31" s="774"/>
      <c r="AQ31" s="774"/>
      <c r="AR31" s="774"/>
      <c r="AS31" s="774"/>
      <c r="AT31" s="774"/>
      <c r="AU31" s="600"/>
      <c r="AV31" s="600"/>
      <c r="AW31" s="600"/>
      <c r="AX31" s="597"/>
      <c r="AY31" s="597"/>
      <c r="AZ31" s="214"/>
      <c r="BA31" s="490" t="str">
        <f t="shared" si="0"/>
        <v>SUM_CO2</v>
      </c>
      <c r="BB31" s="581" t="str">
        <f t="shared" si="1"/>
        <v>SUM_EnergyIN</v>
      </c>
      <c r="BC31" s="602"/>
      <c r="BD31" s="23"/>
    </row>
    <row r="32" spans="1:56" x14ac:dyDescent="0.2">
      <c r="A32" s="602"/>
      <c r="B32" s="214"/>
      <c r="C32" s="544">
        <v>9</v>
      </c>
      <c r="D32" s="596"/>
      <c r="E32" s="596"/>
      <c r="F32" s="597"/>
      <c r="G32" s="598"/>
      <c r="H32" s="597"/>
      <c r="I32" s="598"/>
      <c r="J32" s="597"/>
      <c r="K32" s="598"/>
      <c r="L32" s="598"/>
      <c r="M32" s="598"/>
      <c r="N32" s="597"/>
      <c r="O32" s="599"/>
      <c r="P32" s="597"/>
      <c r="Q32" s="599"/>
      <c r="R32" s="597"/>
      <c r="S32" s="599"/>
      <c r="T32" s="597"/>
      <c r="U32" s="599"/>
      <c r="V32" s="774"/>
      <c r="W32" s="774"/>
      <c r="X32" s="774"/>
      <c r="Y32" s="774"/>
      <c r="Z32" s="774"/>
      <c r="AA32" s="774"/>
      <c r="AB32" s="774"/>
      <c r="AC32" s="774"/>
      <c r="AD32" s="774"/>
      <c r="AE32" s="774"/>
      <c r="AF32" s="774"/>
      <c r="AG32" s="774"/>
      <c r="AH32" s="774"/>
      <c r="AI32" s="774"/>
      <c r="AJ32" s="774"/>
      <c r="AK32" s="774"/>
      <c r="AL32" s="774"/>
      <c r="AM32" s="774"/>
      <c r="AN32" s="774"/>
      <c r="AO32" s="774"/>
      <c r="AP32" s="774"/>
      <c r="AQ32" s="774"/>
      <c r="AR32" s="774"/>
      <c r="AS32" s="774"/>
      <c r="AT32" s="774"/>
      <c r="AU32" s="600"/>
      <c r="AV32" s="600"/>
      <c r="AW32" s="600"/>
      <c r="AX32" s="597"/>
      <c r="AY32" s="597"/>
      <c r="AZ32" s="214"/>
      <c r="BA32" s="490" t="str">
        <f t="shared" si="0"/>
        <v>SUM_CO2</v>
      </c>
      <c r="BB32" s="581" t="str">
        <f t="shared" si="1"/>
        <v>SUM_EnergyIN</v>
      </c>
      <c r="BC32" s="602"/>
      <c r="BD32" s="23"/>
    </row>
    <row r="33" spans="1:56" x14ac:dyDescent="0.2">
      <c r="A33" s="602"/>
      <c r="B33" s="214"/>
      <c r="C33" s="544">
        <v>10</v>
      </c>
      <c r="D33" s="596"/>
      <c r="E33" s="596"/>
      <c r="F33" s="597"/>
      <c r="G33" s="598"/>
      <c r="H33" s="597"/>
      <c r="I33" s="598"/>
      <c r="J33" s="597"/>
      <c r="K33" s="598"/>
      <c r="L33" s="598"/>
      <c r="M33" s="598"/>
      <c r="N33" s="597"/>
      <c r="O33" s="599"/>
      <c r="P33" s="597"/>
      <c r="Q33" s="599"/>
      <c r="R33" s="597"/>
      <c r="S33" s="599"/>
      <c r="T33" s="597"/>
      <c r="U33" s="599"/>
      <c r="V33" s="774"/>
      <c r="W33" s="774"/>
      <c r="X33" s="774"/>
      <c r="Y33" s="774"/>
      <c r="Z33" s="774"/>
      <c r="AA33" s="774"/>
      <c r="AB33" s="774"/>
      <c r="AC33" s="774"/>
      <c r="AD33" s="774"/>
      <c r="AE33" s="774"/>
      <c r="AF33" s="774"/>
      <c r="AG33" s="774"/>
      <c r="AH33" s="774"/>
      <c r="AI33" s="774"/>
      <c r="AJ33" s="774"/>
      <c r="AK33" s="774"/>
      <c r="AL33" s="774"/>
      <c r="AM33" s="774"/>
      <c r="AN33" s="774"/>
      <c r="AO33" s="774"/>
      <c r="AP33" s="774"/>
      <c r="AQ33" s="774"/>
      <c r="AR33" s="774"/>
      <c r="AS33" s="774"/>
      <c r="AT33" s="774"/>
      <c r="AU33" s="600"/>
      <c r="AV33" s="600"/>
      <c r="AW33" s="600"/>
      <c r="AX33" s="597"/>
      <c r="AY33" s="597"/>
      <c r="AZ33" s="214"/>
      <c r="BA33" s="490" t="str">
        <f t="shared" si="0"/>
        <v>SUM_CO2</v>
      </c>
      <c r="BB33" s="581" t="str">
        <f t="shared" si="1"/>
        <v>SUM_EnergyIN</v>
      </c>
      <c r="BC33" s="602"/>
      <c r="BD33" s="23"/>
    </row>
    <row r="34" spans="1:56" x14ac:dyDescent="0.2">
      <c r="A34" s="602"/>
      <c r="B34" s="214"/>
      <c r="C34" s="544">
        <v>11</v>
      </c>
      <c r="D34" s="596"/>
      <c r="E34" s="596"/>
      <c r="F34" s="597"/>
      <c r="G34" s="598"/>
      <c r="H34" s="597"/>
      <c r="I34" s="598"/>
      <c r="J34" s="597"/>
      <c r="K34" s="598"/>
      <c r="L34" s="598"/>
      <c r="M34" s="598"/>
      <c r="N34" s="597"/>
      <c r="O34" s="599"/>
      <c r="P34" s="597"/>
      <c r="Q34" s="599"/>
      <c r="R34" s="597"/>
      <c r="S34" s="599"/>
      <c r="T34" s="597"/>
      <c r="U34" s="599"/>
      <c r="V34" s="774"/>
      <c r="W34" s="774"/>
      <c r="X34" s="774"/>
      <c r="Y34" s="774"/>
      <c r="Z34" s="774"/>
      <c r="AA34" s="774"/>
      <c r="AB34" s="774"/>
      <c r="AC34" s="774"/>
      <c r="AD34" s="774"/>
      <c r="AE34" s="774"/>
      <c r="AF34" s="774"/>
      <c r="AG34" s="774"/>
      <c r="AH34" s="774"/>
      <c r="AI34" s="774"/>
      <c r="AJ34" s="774"/>
      <c r="AK34" s="774"/>
      <c r="AL34" s="774"/>
      <c r="AM34" s="774"/>
      <c r="AN34" s="774"/>
      <c r="AO34" s="774"/>
      <c r="AP34" s="774"/>
      <c r="AQ34" s="774"/>
      <c r="AR34" s="774"/>
      <c r="AS34" s="774"/>
      <c r="AT34" s="774"/>
      <c r="AU34" s="600"/>
      <c r="AV34" s="600"/>
      <c r="AW34" s="600"/>
      <c r="AX34" s="597"/>
      <c r="AY34" s="597"/>
      <c r="AZ34" s="214"/>
      <c r="BA34" s="490" t="str">
        <f t="shared" si="0"/>
        <v>SUM_CO2</v>
      </c>
      <c r="BB34" s="581" t="str">
        <f t="shared" si="1"/>
        <v>SUM_EnergyIN</v>
      </c>
      <c r="BC34" s="602"/>
      <c r="BD34" s="23"/>
    </row>
    <row r="35" spans="1:56" x14ac:dyDescent="0.2">
      <c r="A35" s="602"/>
      <c r="B35" s="214"/>
      <c r="C35" s="544">
        <v>12</v>
      </c>
      <c r="D35" s="596"/>
      <c r="E35" s="596"/>
      <c r="F35" s="597"/>
      <c r="G35" s="598"/>
      <c r="H35" s="597"/>
      <c r="I35" s="598"/>
      <c r="J35" s="597"/>
      <c r="K35" s="598"/>
      <c r="L35" s="598"/>
      <c r="M35" s="598"/>
      <c r="N35" s="597"/>
      <c r="O35" s="599"/>
      <c r="P35" s="597"/>
      <c r="Q35" s="599"/>
      <c r="R35" s="597"/>
      <c r="S35" s="599"/>
      <c r="T35" s="597"/>
      <c r="U35" s="599"/>
      <c r="V35" s="774"/>
      <c r="W35" s="774"/>
      <c r="X35" s="774"/>
      <c r="Y35" s="774"/>
      <c r="Z35" s="774"/>
      <c r="AA35" s="774"/>
      <c r="AB35" s="774"/>
      <c r="AC35" s="774"/>
      <c r="AD35" s="774"/>
      <c r="AE35" s="774"/>
      <c r="AF35" s="774"/>
      <c r="AG35" s="774"/>
      <c r="AH35" s="774"/>
      <c r="AI35" s="774"/>
      <c r="AJ35" s="774"/>
      <c r="AK35" s="774"/>
      <c r="AL35" s="774"/>
      <c r="AM35" s="774"/>
      <c r="AN35" s="774"/>
      <c r="AO35" s="774"/>
      <c r="AP35" s="774"/>
      <c r="AQ35" s="774"/>
      <c r="AR35" s="774"/>
      <c r="AS35" s="774"/>
      <c r="AT35" s="774"/>
      <c r="AU35" s="600"/>
      <c r="AV35" s="600"/>
      <c r="AW35" s="600"/>
      <c r="AX35" s="597"/>
      <c r="AY35" s="597"/>
      <c r="AZ35" s="214"/>
      <c r="BA35" s="490" t="str">
        <f t="shared" si="0"/>
        <v>SUM_CO2</v>
      </c>
      <c r="BB35" s="581" t="str">
        <f t="shared" si="1"/>
        <v>SUM_EnergyIN</v>
      </c>
      <c r="BC35" s="602"/>
      <c r="BD35" s="23"/>
    </row>
    <row r="36" spans="1:56" x14ac:dyDescent="0.2">
      <c r="A36" s="602"/>
      <c r="B36" s="214"/>
      <c r="C36" s="544">
        <v>13</v>
      </c>
      <c r="D36" s="596"/>
      <c r="E36" s="596"/>
      <c r="F36" s="597"/>
      <c r="G36" s="598"/>
      <c r="H36" s="597"/>
      <c r="I36" s="598"/>
      <c r="J36" s="597"/>
      <c r="K36" s="598"/>
      <c r="L36" s="598"/>
      <c r="M36" s="598"/>
      <c r="N36" s="597"/>
      <c r="O36" s="599"/>
      <c r="P36" s="597"/>
      <c r="Q36" s="599"/>
      <c r="R36" s="597"/>
      <c r="S36" s="599"/>
      <c r="T36" s="597"/>
      <c r="U36" s="599"/>
      <c r="V36" s="774"/>
      <c r="W36" s="774"/>
      <c r="X36" s="774"/>
      <c r="Y36" s="774"/>
      <c r="Z36" s="774"/>
      <c r="AA36" s="774"/>
      <c r="AB36" s="774"/>
      <c r="AC36" s="774"/>
      <c r="AD36" s="774"/>
      <c r="AE36" s="774"/>
      <c r="AF36" s="774"/>
      <c r="AG36" s="774"/>
      <c r="AH36" s="774"/>
      <c r="AI36" s="774"/>
      <c r="AJ36" s="774"/>
      <c r="AK36" s="774"/>
      <c r="AL36" s="774"/>
      <c r="AM36" s="774"/>
      <c r="AN36" s="774"/>
      <c r="AO36" s="774"/>
      <c r="AP36" s="774"/>
      <c r="AQ36" s="774"/>
      <c r="AR36" s="774"/>
      <c r="AS36" s="774"/>
      <c r="AT36" s="774"/>
      <c r="AU36" s="600"/>
      <c r="AV36" s="600"/>
      <c r="AW36" s="600"/>
      <c r="AX36" s="597"/>
      <c r="AY36" s="597"/>
      <c r="AZ36" s="214"/>
      <c r="BA36" s="490" t="str">
        <f t="shared" si="0"/>
        <v>SUM_CO2</v>
      </c>
      <c r="BB36" s="581" t="str">
        <f t="shared" si="1"/>
        <v>SUM_EnergyIN</v>
      </c>
      <c r="BC36" s="602"/>
      <c r="BD36" s="23"/>
    </row>
    <row r="37" spans="1:56" x14ac:dyDescent="0.2">
      <c r="A37" s="602"/>
      <c r="B37" s="214"/>
      <c r="C37" s="544">
        <v>14</v>
      </c>
      <c r="D37" s="596"/>
      <c r="E37" s="596"/>
      <c r="F37" s="597"/>
      <c r="G37" s="598"/>
      <c r="H37" s="597"/>
      <c r="I37" s="598"/>
      <c r="J37" s="597"/>
      <c r="K37" s="598"/>
      <c r="L37" s="598"/>
      <c r="M37" s="598"/>
      <c r="N37" s="597"/>
      <c r="O37" s="599"/>
      <c r="P37" s="597"/>
      <c r="Q37" s="599"/>
      <c r="R37" s="597"/>
      <c r="S37" s="599"/>
      <c r="T37" s="597"/>
      <c r="U37" s="599"/>
      <c r="V37" s="774"/>
      <c r="W37" s="774"/>
      <c r="X37" s="774"/>
      <c r="Y37" s="774"/>
      <c r="Z37" s="774"/>
      <c r="AA37" s="774"/>
      <c r="AB37" s="774"/>
      <c r="AC37" s="774"/>
      <c r="AD37" s="774"/>
      <c r="AE37" s="774"/>
      <c r="AF37" s="774"/>
      <c r="AG37" s="774"/>
      <c r="AH37" s="774"/>
      <c r="AI37" s="774"/>
      <c r="AJ37" s="774"/>
      <c r="AK37" s="774"/>
      <c r="AL37" s="774"/>
      <c r="AM37" s="774"/>
      <c r="AN37" s="774"/>
      <c r="AO37" s="774"/>
      <c r="AP37" s="774"/>
      <c r="AQ37" s="774"/>
      <c r="AR37" s="774"/>
      <c r="AS37" s="774"/>
      <c r="AT37" s="774"/>
      <c r="AU37" s="600"/>
      <c r="AV37" s="600"/>
      <c r="AW37" s="600"/>
      <c r="AX37" s="597"/>
      <c r="AY37" s="597"/>
      <c r="AZ37" s="214"/>
      <c r="BA37" s="490" t="str">
        <f t="shared" si="0"/>
        <v>SUM_CO2</v>
      </c>
      <c r="BB37" s="581" t="str">
        <f t="shared" si="1"/>
        <v>SUM_EnergyIN</v>
      </c>
      <c r="BC37" s="602"/>
      <c r="BD37" s="23"/>
    </row>
    <row r="38" spans="1:56" x14ac:dyDescent="0.2">
      <c r="A38" s="602"/>
      <c r="B38" s="214"/>
      <c r="C38" s="544">
        <v>15</v>
      </c>
      <c r="D38" s="596"/>
      <c r="E38" s="596"/>
      <c r="F38" s="597"/>
      <c r="G38" s="598"/>
      <c r="H38" s="597"/>
      <c r="I38" s="598"/>
      <c r="J38" s="597"/>
      <c r="K38" s="598"/>
      <c r="L38" s="598"/>
      <c r="M38" s="598"/>
      <c r="N38" s="597"/>
      <c r="O38" s="599"/>
      <c r="P38" s="597"/>
      <c r="Q38" s="599"/>
      <c r="R38" s="597"/>
      <c r="S38" s="599"/>
      <c r="T38" s="597"/>
      <c r="U38" s="599"/>
      <c r="V38" s="774"/>
      <c r="W38" s="774"/>
      <c r="X38" s="774"/>
      <c r="Y38" s="774"/>
      <c r="Z38" s="774"/>
      <c r="AA38" s="774"/>
      <c r="AB38" s="774"/>
      <c r="AC38" s="774"/>
      <c r="AD38" s="774"/>
      <c r="AE38" s="774"/>
      <c r="AF38" s="774"/>
      <c r="AG38" s="774"/>
      <c r="AH38" s="774"/>
      <c r="AI38" s="774"/>
      <c r="AJ38" s="774"/>
      <c r="AK38" s="774"/>
      <c r="AL38" s="774"/>
      <c r="AM38" s="774"/>
      <c r="AN38" s="774"/>
      <c r="AO38" s="774"/>
      <c r="AP38" s="774"/>
      <c r="AQ38" s="774"/>
      <c r="AR38" s="774"/>
      <c r="AS38" s="774"/>
      <c r="AT38" s="774"/>
      <c r="AU38" s="600"/>
      <c r="AV38" s="600"/>
      <c r="AW38" s="600"/>
      <c r="AX38" s="597"/>
      <c r="AY38" s="597"/>
      <c r="AZ38" s="214"/>
      <c r="BA38" s="490" t="str">
        <f t="shared" si="0"/>
        <v>SUM_CO2</v>
      </c>
      <c r="BB38" s="581" t="str">
        <f t="shared" si="1"/>
        <v>SUM_EnergyIN</v>
      </c>
      <c r="BC38" s="602"/>
      <c r="BD38" s="23"/>
    </row>
    <row r="39" spans="1:56" x14ac:dyDescent="0.2">
      <c r="A39" s="602"/>
      <c r="B39" s="214"/>
      <c r="C39" s="544">
        <v>16</v>
      </c>
      <c r="D39" s="596"/>
      <c r="E39" s="596"/>
      <c r="F39" s="597"/>
      <c r="G39" s="598"/>
      <c r="H39" s="597"/>
      <c r="I39" s="598"/>
      <c r="J39" s="597"/>
      <c r="K39" s="598"/>
      <c r="L39" s="598"/>
      <c r="M39" s="598"/>
      <c r="N39" s="597"/>
      <c r="O39" s="599"/>
      <c r="P39" s="597"/>
      <c r="Q39" s="599"/>
      <c r="R39" s="597"/>
      <c r="S39" s="599"/>
      <c r="T39" s="597"/>
      <c r="U39" s="599"/>
      <c r="V39" s="774"/>
      <c r="W39" s="774"/>
      <c r="X39" s="774"/>
      <c r="Y39" s="774"/>
      <c r="Z39" s="774"/>
      <c r="AA39" s="774"/>
      <c r="AB39" s="774"/>
      <c r="AC39" s="774"/>
      <c r="AD39" s="774"/>
      <c r="AE39" s="774"/>
      <c r="AF39" s="774"/>
      <c r="AG39" s="774"/>
      <c r="AH39" s="774"/>
      <c r="AI39" s="774"/>
      <c r="AJ39" s="774"/>
      <c r="AK39" s="774"/>
      <c r="AL39" s="774"/>
      <c r="AM39" s="774"/>
      <c r="AN39" s="774"/>
      <c r="AO39" s="774"/>
      <c r="AP39" s="774"/>
      <c r="AQ39" s="774"/>
      <c r="AR39" s="774"/>
      <c r="AS39" s="774"/>
      <c r="AT39" s="774"/>
      <c r="AU39" s="600"/>
      <c r="AV39" s="600"/>
      <c r="AW39" s="600"/>
      <c r="AX39" s="597"/>
      <c r="AY39" s="597"/>
      <c r="AZ39" s="214"/>
      <c r="BA39" s="490" t="str">
        <f t="shared" si="0"/>
        <v>SUM_CO2</v>
      </c>
      <c r="BB39" s="581" t="str">
        <f t="shared" si="1"/>
        <v>SUM_EnergyIN</v>
      </c>
      <c r="BC39" s="602"/>
      <c r="BD39" s="23"/>
    </row>
    <row r="40" spans="1:56" x14ac:dyDescent="0.2">
      <c r="A40" s="602"/>
      <c r="B40" s="214"/>
      <c r="C40" s="544">
        <v>17</v>
      </c>
      <c r="D40" s="596"/>
      <c r="E40" s="596"/>
      <c r="F40" s="597"/>
      <c r="G40" s="598"/>
      <c r="H40" s="597"/>
      <c r="I40" s="598"/>
      <c r="J40" s="597"/>
      <c r="K40" s="598"/>
      <c r="L40" s="598"/>
      <c r="M40" s="598"/>
      <c r="N40" s="597"/>
      <c r="O40" s="599"/>
      <c r="P40" s="597"/>
      <c r="Q40" s="599"/>
      <c r="R40" s="597"/>
      <c r="S40" s="599"/>
      <c r="T40" s="597"/>
      <c r="U40" s="599"/>
      <c r="V40" s="774"/>
      <c r="W40" s="774"/>
      <c r="X40" s="774"/>
      <c r="Y40" s="774"/>
      <c r="Z40" s="774"/>
      <c r="AA40" s="774"/>
      <c r="AB40" s="774"/>
      <c r="AC40" s="774"/>
      <c r="AD40" s="774"/>
      <c r="AE40" s="774"/>
      <c r="AF40" s="774"/>
      <c r="AG40" s="774"/>
      <c r="AH40" s="774"/>
      <c r="AI40" s="774"/>
      <c r="AJ40" s="774"/>
      <c r="AK40" s="774"/>
      <c r="AL40" s="774"/>
      <c r="AM40" s="774"/>
      <c r="AN40" s="774"/>
      <c r="AO40" s="774"/>
      <c r="AP40" s="774"/>
      <c r="AQ40" s="774"/>
      <c r="AR40" s="774"/>
      <c r="AS40" s="774"/>
      <c r="AT40" s="774"/>
      <c r="AU40" s="600"/>
      <c r="AV40" s="600"/>
      <c r="AW40" s="600"/>
      <c r="AX40" s="597"/>
      <c r="AY40" s="597"/>
      <c r="AZ40" s="214"/>
      <c r="BA40" s="490" t="str">
        <f t="shared" si="0"/>
        <v>SUM_CO2</v>
      </c>
      <c r="BB40" s="581" t="str">
        <f t="shared" si="1"/>
        <v>SUM_EnergyIN</v>
      </c>
      <c r="BC40" s="602"/>
      <c r="BD40" s="23"/>
    </row>
    <row r="41" spans="1:56" x14ac:dyDescent="0.2">
      <c r="A41" s="602"/>
      <c r="B41" s="214"/>
      <c r="C41" s="544">
        <v>18</v>
      </c>
      <c r="D41" s="596"/>
      <c r="E41" s="596"/>
      <c r="F41" s="597"/>
      <c r="G41" s="598"/>
      <c r="H41" s="597"/>
      <c r="I41" s="598"/>
      <c r="J41" s="597"/>
      <c r="K41" s="598"/>
      <c r="L41" s="598"/>
      <c r="M41" s="598"/>
      <c r="N41" s="597"/>
      <c r="O41" s="599"/>
      <c r="P41" s="597"/>
      <c r="Q41" s="599"/>
      <c r="R41" s="597"/>
      <c r="S41" s="599"/>
      <c r="T41" s="597"/>
      <c r="U41" s="599"/>
      <c r="V41" s="774"/>
      <c r="W41" s="774"/>
      <c r="X41" s="774"/>
      <c r="Y41" s="774"/>
      <c r="Z41" s="774"/>
      <c r="AA41" s="774"/>
      <c r="AB41" s="774"/>
      <c r="AC41" s="774"/>
      <c r="AD41" s="774"/>
      <c r="AE41" s="774"/>
      <c r="AF41" s="774"/>
      <c r="AG41" s="774"/>
      <c r="AH41" s="774"/>
      <c r="AI41" s="774"/>
      <c r="AJ41" s="774"/>
      <c r="AK41" s="774"/>
      <c r="AL41" s="774"/>
      <c r="AM41" s="774"/>
      <c r="AN41" s="774"/>
      <c r="AO41" s="774"/>
      <c r="AP41" s="774"/>
      <c r="AQ41" s="774"/>
      <c r="AR41" s="774"/>
      <c r="AS41" s="774"/>
      <c r="AT41" s="774"/>
      <c r="AU41" s="600"/>
      <c r="AV41" s="600"/>
      <c r="AW41" s="600"/>
      <c r="AX41" s="597"/>
      <c r="AY41" s="597"/>
      <c r="AZ41" s="214"/>
      <c r="BA41" s="490" t="str">
        <f t="shared" si="0"/>
        <v>SUM_CO2</v>
      </c>
      <c r="BB41" s="581" t="str">
        <f t="shared" si="1"/>
        <v>SUM_EnergyIN</v>
      </c>
      <c r="BC41" s="602"/>
      <c r="BD41" s="23"/>
    </row>
    <row r="42" spans="1:56" x14ac:dyDescent="0.2">
      <c r="A42" s="602"/>
      <c r="B42" s="214"/>
      <c r="C42" s="544">
        <v>19</v>
      </c>
      <c r="D42" s="596"/>
      <c r="E42" s="596"/>
      <c r="F42" s="597"/>
      <c r="G42" s="598"/>
      <c r="H42" s="597"/>
      <c r="I42" s="598"/>
      <c r="J42" s="597"/>
      <c r="K42" s="598"/>
      <c r="L42" s="598"/>
      <c r="M42" s="598"/>
      <c r="N42" s="597"/>
      <c r="O42" s="599"/>
      <c r="P42" s="597"/>
      <c r="Q42" s="599"/>
      <c r="R42" s="597"/>
      <c r="S42" s="599"/>
      <c r="T42" s="597"/>
      <c r="U42" s="599"/>
      <c r="V42" s="774"/>
      <c r="W42" s="774"/>
      <c r="X42" s="774"/>
      <c r="Y42" s="774"/>
      <c r="Z42" s="774"/>
      <c r="AA42" s="774"/>
      <c r="AB42" s="774"/>
      <c r="AC42" s="774"/>
      <c r="AD42" s="774"/>
      <c r="AE42" s="774"/>
      <c r="AF42" s="774"/>
      <c r="AG42" s="774"/>
      <c r="AH42" s="774"/>
      <c r="AI42" s="774"/>
      <c r="AJ42" s="774"/>
      <c r="AK42" s="774"/>
      <c r="AL42" s="774"/>
      <c r="AM42" s="774"/>
      <c r="AN42" s="774"/>
      <c r="AO42" s="774"/>
      <c r="AP42" s="774"/>
      <c r="AQ42" s="774"/>
      <c r="AR42" s="774"/>
      <c r="AS42" s="774"/>
      <c r="AT42" s="774"/>
      <c r="AU42" s="600"/>
      <c r="AV42" s="600"/>
      <c r="AW42" s="600"/>
      <c r="AX42" s="597"/>
      <c r="AY42" s="597"/>
      <c r="AZ42" s="214"/>
      <c r="BA42" s="490" t="str">
        <f t="shared" si="0"/>
        <v>SUM_CO2</v>
      </c>
      <c r="BB42" s="581" t="str">
        <f t="shared" si="1"/>
        <v>SUM_EnergyIN</v>
      </c>
      <c r="BC42" s="602"/>
      <c r="BD42" s="23"/>
    </row>
    <row r="43" spans="1:56" x14ac:dyDescent="0.2">
      <c r="A43" s="602"/>
      <c r="B43" s="214"/>
      <c r="C43" s="544">
        <v>20</v>
      </c>
      <c r="D43" s="596"/>
      <c r="E43" s="596"/>
      <c r="F43" s="597"/>
      <c r="G43" s="598"/>
      <c r="H43" s="597"/>
      <c r="I43" s="598"/>
      <c r="J43" s="597"/>
      <c r="K43" s="598"/>
      <c r="L43" s="598"/>
      <c r="M43" s="598"/>
      <c r="N43" s="597"/>
      <c r="O43" s="599"/>
      <c r="P43" s="597"/>
      <c r="Q43" s="599"/>
      <c r="R43" s="597"/>
      <c r="S43" s="599"/>
      <c r="T43" s="597"/>
      <c r="U43" s="599"/>
      <c r="V43" s="774"/>
      <c r="W43" s="774"/>
      <c r="X43" s="774"/>
      <c r="Y43" s="774"/>
      <c r="Z43" s="774"/>
      <c r="AA43" s="774"/>
      <c r="AB43" s="774"/>
      <c r="AC43" s="774"/>
      <c r="AD43" s="774"/>
      <c r="AE43" s="774"/>
      <c r="AF43" s="774"/>
      <c r="AG43" s="774"/>
      <c r="AH43" s="774"/>
      <c r="AI43" s="774"/>
      <c r="AJ43" s="774"/>
      <c r="AK43" s="774"/>
      <c r="AL43" s="774"/>
      <c r="AM43" s="774"/>
      <c r="AN43" s="774"/>
      <c r="AO43" s="774"/>
      <c r="AP43" s="774"/>
      <c r="AQ43" s="774"/>
      <c r="AR43" s="774"/>
      <c r="AS43" s="774"/>
      <c r="AT43" s="774"/>
      <c r="AU43" s="600"/>
      <c r="AV43" s="600"/>
      <c r="AW43" s="600"/>
      <c r="AX43" s="597"/>
      <c r="AY43" s="597"/>
      <c r="AZ43" s="214"/>
      <c r="BA43" s="490" t="str">
        <f t="shared" si="0"/>
        <v>SUM_CO2</v>
      </c>
      <c r="BB43" s="581" t="str">
        <f t="shared" si="1"/>
        <v>SUM_EnergyIN</v>
      </c>
      <c r="BC43" s="602"/>
      <c r="BD43" s="23"/>
    </row>
    <row r="44" spans="1:56" x14ac:dyDescent="0.2">
      <c r="A44" s="602"/>
      <c r="B44" s="214"/>
      <c r="C44" s="544">
        <v>21</v>
      </c>
      <c r="D44" s="596"/>
      <c r="E44" s="596"/>
      <c r="F44" s="597"/>
      <c r="G44" s="598"/>
      <c r="H44" s="597"/>
      <c r="I44" s="598"/>
      <c r="J44" s="597"/>
      <c r="K44" s="598"/>
      <c r="L44" s="598"/>
      <c r="M44" s="598"/>
      <c r="N44" s="597"/>
      <c r="O44" s="599"/>
      <c r="P44" s="597"/>
      <c r="Q44" s="599"/>
      <c r="R44" s="597"/>
      <c r="S44" s="599"/>
      <c r="T44" s="597"/>
      <c r="U44" s="599"/>
      <c r="V44" s="774"/>
      <c r="W44" s="774"/>
      <c r="X44" s="774"/>
      <c r="Y44" s="774"/>
      <c r="Z44" s="774"/>
      <c r="AA44" s="774"/>
      <c r="AB44" s="774"/>
      <c r="AC44" s="774"/>
      <c r="AD44" s="774"/>
      <c r="AE44" s="774"/>
      <c r="AF44" s="774"/>
      <c r="AG44" s="774"/>
      <c r="AH44" s="774"/>
      <c r="AI44" s="774"/>
      <c r="AJ44" s="774"/>
      <c r="AK44" s="774"/>
      <c r="AL44" s="774"/>
      <c r="AM44" s="774"/>
      <c r="AN44" s="774"/>
      <c r="AO44" s="774"/>
      <c r="AP44" s="774"/>
      <c r="AQ44" s="774"/>
      <c r="AR44" s="774"/>
      <c r="AS44" s="774"/>
      <c r="AT44" s="774"/>
      <c r="AU44" s="600"/>
      <c r="AV44" s="600"/>
      <c r="AW44" s="600"/>
      <c r="AX44" s="597"/>
      <c r="AY44" s="597"/>
      <c r="AZ44" s="214"/>
      <c r="BA44" s="490" t="str">
        <f t="shared" si="0"/>
        <v>SUM_CO2</v>
      </c>
      <c r="BB44" s="581" t="str">
        <f t="shared" si="1"/>
        <v>SUM_EnergyIN</v>
      </c>
      <c r="BC44" s="602"/>
      <c r="BD44" s="23"/>
    </row>
    <row r="45" spans="1:56" x14ac:dyDescent="0.2">
      <c r="A45" s="602"/>
      <c r="B45" s="214"/>
      <c r="C45" s="544">
        <v>22</v>
      </c>
      <c r="D45" s="596"/>
      <c r="E45" s="596"/>
      <c r="F45" s="597"/>
      <c r="G45" s="598"/>
      <c r="H45" s="597"/>
      <c r="I45" s="598"/>
      <c r="J45" s="597"/>
      <c r="K45" s="598"/>
      <c r="L45" s="598"/>
      <c r="M45" s="598"/>
      <c r="N45" s="597"/>
      <c r="O45" s="599"/>
      <c r="P45" s="597"/>
      <c r="Q45" s="599"/>
      <c r="R45" s="597"/>
      <c r="S45" s="599"/>
      <c r="T45" s="597"/>
      <c r="U45" s="599"/>
      <c r="V45" s="774"/>
      <c r="W45" s="774"/>
      <c r="X45" s="774"/>
      <c r="Y45" s="774"/>
      <c r="Z45" s="774"/>
      <c r="AA45" s="774"/>
      <c r="AB45" s="774"/>
      <c r="AC45" s="774"/>
      <c r="AD45" s="774"/>
      <c r="AE45" s="774"/>
      <c r="AF45" s="774"/>
      <c r="AG45" s="774"/>
      <c r="AH45" s="774"/>
      <c r="AI45" s="774"/>
      <c r="AJ45" s="774"/>
      <c r="AK45" s="774"/>
      <c r="AL45" s="774"/>
      <c r="AM45" s="774"/>
      <c r="AN45" s="774"/>
      <c r="AO45" s="774"/>
      <c r="AP45" s="774"/>
      <c r="AQ45" s="774"/>
      <c r="AR45" s="774"/>
      <c r="AS45" s="774"/>
      <c r="AT45" s="774"/>
      <c r="AU45" s="600"/>
      <c r="AV45" s="600"/>
      <c r="AW45" s="600"/>
      <c r="AX45" s="597"/>
      <c r="AY45" s="597"/>
      <c r="AZ45" s="214"/>
      <c r="BA45" s="490" t="str">
        <f t="shared" si="0"/>
        <v>SUM_CO2</v>
      </c>
      <c r="BB45" s="581" t="str">
        <f t="shared" si="1"/>
        <v>SUM_EnergyIN</v>
      </c>
      <c r="BC45" s="602"/>
      <c r="BD45" s="23"/>
    </row>
    <row r="46" spans="1:56" x14ac:dyDescent="0.2">
      <c r="A46" s="602"/>
      <c r="B46" s="214"/>
      <c r="C46" s="544">
        <v>23</v>
      </c>
      <c r="D46" s="596"/>
      <c r="E46" s="596"/>
      <c r="F46" s="597"/>
      <c r="G46" s="598"/>
      <c r="H46" s="597"/>
      <c r="I46" s="598"/>
      <c r="J46" s="597"/>
      <c r="K46" s="598"/>
      <c r="L46" s="598"/>
      <c r="M46" s="598"/>
      <c r="N46" s="597"/>
      <c r="O46" s="599"/>
      <c r="P46" s="597"/>
      <c r="Q46" s="599"/>
      <c r="R46" s="597"/>
      <c r="S46" s="599"/>
      <c r="T46" s="597"/>
      <c r="U46" s="599"/>
      <c r="V46" s="774"/>
      <c r="W46" s="774"/>
      <c r="X46" s="774"/>
      <c r="Y46" s="774"/>
      <c r="Z46" s="774"/>
      <c r="AA46" s="774"/>
      <c r="AB46" s="774"/>
      <c r="AC46" s="774"/>
      <c r="AD46" s="774"/>
      <c r="AE46" s="774"/>
      <c r="AF46" s="774"/>
      <c r="AG46" s="774"/>
      <c r="AH46" s="774"/>
      <c r="AI46" s="774"/>
      <c r="AJ46" s="774"/>
      <c r="AK46" s="774"/>
      <c r="AL46" s="774"/>
      <c r="AM46" s="774"/>
      <c r="AN46" s="774"/>
      <c r="AO46" s="774"/>
      <c r="AP46" s="774"/>
      <c r="AQ46" s="774"/>
      <c r="AR46" s="774"/>
      <c r="AS46" s="774"/>
      <c r="AT46" s="774"/>
      <c r="AU46" s="600"/>
      <c r="AV46" s="600"/>
      <c r="AW46" s="600"/>
      <c r="AX46" s="597"/>
      <c r="AY46" s="597"/>
      <c r="AZ46" s="214"/>
      <c r="BA46" s="490" t="str">
        <f t="shared" si="0"/>
        <v>SUM_CO2</v>
      </c>
      <c r="BB46" s="581" t="str">
        <f t="shared" si="1"/>
        <v>SUM_EnergyIN</v>
      </c>
      <c r="BC46" s="602"/>
      <c r="BD46" s="23"/>
    </row>
    <row r="47" spans="1:56" x14ac:dyDescent="0.2">
      <c r="A47" s="602"/>
      <c r="B47" s="214"/>
      <c r="C47" s="544">
        <v>24</v>
      </c>
      <c r="D47" s="596"/>
      <c r="E47" s="596"/>
      <c r="F47" s="597"/>
      <c r="G47" s="598"/>
      <c r="H47" s="597"/>
      <c r="I47" s="598"/>
      <c r="J47" s="597"/>
      <c r="K47" s="598"/>
      <c r="L47" s="598"/>
      <c r="M47" s="598"/>
      <c r="N47" s="597"/>
      <c r="O47" s="599"/>
      <c r="P47" s="597"/>
      <c r="Q47" s="599"/>
      <c r="R47" s="597"/>
      <c r="S47" s="599"/>
      <c r="T47" s="597"/>
      <c r="U47" s="599"/>
      <c r="V47" s="774"/>
      <c r="W47" s="774"/>
      <c r="X47" s="774"/>
      <c r="Y47" s="774"/>
      <c r="Z47" s="774"/>
      <c r="AA47" s="774"/>
      <c r="AB47" s="774"/>
      <c r="AC47" s="774"/>
      <c r="AD47" s="774"/>
      <c r="AE47" s="774"/>
      <c r="AF47" s="774"/>
      <c r="AG47" s="774"/>
      <c r="AH47" s="774"/>
      <c r="AI47" s="774"/>
      <c r="AJ47" s="774"/>
      <c r="AK47" s="774"/>
      <c r="AL47" s="774"/>
      <c r="AM47" s="774"/>
      <c r="AN47" s="774"/>
      <c r="AO47" s="774"/>
      <c r="AP47" s="774"/>
      <c r="AQ47" s="774"/>
      <c r="AR47" s="774"/>
      <c r="AS47" s="774"/>
      <c r="AT47" s="774"/>
      <c r="AU47" s="600"/>
      <c r="AV47" s="600"/>
      <c r="AW47" s="600"/>
      <c r="AX47" s="597"/>
      <c r="AY47" s="597"/>
      <c r="AZ47" s="214"/>
      <c r="BA47" s="490" t="str">
        <f t="shared" si="0"/>
        <v>SUM_CO2</v>
      </c>
      <c r="BB47" s="581" t="str">
        <f t="shared" si="1"/>
        <v>SUM_EnergyIN</v>
      </c>
      <c r="BC47" s="602"/>
      <c r="BD47" s="23"/>
    </row>
    <row r="48" spans="1:56" x14ac:dyDescent="0.2">
      <c r="A48" s="602"/>
      <c r="B48" s="214"/>
      <c r="C48" s="544">
        <v>25</v>
      </c>
      <c r="D48" s="596"/>
      <c r="E48" s="596"/>
      <c r="F48" s="597"/>
      <c r="G48" s="598"/>
      <c r="H48" s="597"/>
      <c r="I48" s="598"/>
      <c r="J48" s="597"/>
      <c r="K48" s="598"/>
      <c r="L48" s="598"/>
      <c r="M48" s="598"/>
      <c r="N48" s="597"/>
      <c r="O48" s="599"/>
      <c r="P48" s="597"/>
      <c r="Q48" s="599"/>
      <c r="R48" s="597"/>
      <c r="S48" s="599"/>
      <c r="T48" s="597"/>
      <c r="U48" s="599"/>
      <c r="V48" s="774"/>
      <c r="W48" s="774"/>
      <c r="X48" s="774"/>
      <c r="Y48" s="774"/>
      <c r="Z48" s="774"/>
      <c r="AA48" s="774"/>
      <c r="AB48" s="774"/>
      <c r="AC48" s="774"/>
      <c r="AD48" s="774"/>
      <c r="AE48" s="774"/>
      <c r="AF48" s="774"/>
      <c r="AG48" s="774"/>
      <c r="AH48" s="774"/>
      <c r="AI48" s="774"/>
      <c r="AJ48" s="774"/>
      <c r="AK48" s="774"/>
      <c r="AL48" s="774"/>
      <c r="AM48" s="774"/>
      <c r="AN48" s="774"/>
      <c r="AO48" s="774"/>
      <c r="AP48" s="774"/>
      <c r="AQ48" s="774"/>
      <c r="AR48" s="774"/>
      <c r="AS48" s="774"/>
      <c r="AT48" s="774"/>
      <c r="AU48" s="600"/>
      <c r="AV48" s="600"/>
      <c r="AW48" s="600"/>
      <c r="AX48" s="597"/>
      <c r="AY48" s="597"/>
      <c r="AZ48" s="214"/>
      <c r="BA48" s="490" t="str">
        <f t="shared" si="0"/>
        <v>SUM_CO2</v>
      </c>
      <c r="BB48" s="581" t="str">
        <f t="shared" si="1"/>
        <v>SUM_EnergyIN</v>
      </c>
      <c r="BC48" s="602"/>
      <c r="BD48" s="23"/>
    </row>
    <row r="49" spans="1:56" x14ac:dyDescent="0.2">
      <c r="A49" s="602"/>
      <c r="B49" s="214"/>
      <c r="C49" s="544">
        <v>26</v>
      </c>
      <c r="D49" s="596"/>
      <c r="E49" s="596"/>
      <c r="F49" s="597"/>
      <c r="G49" s="598"/>
      <c r="H49" s="597"/>
      <c r="I49" s="598"/>
      <c r="J49" s="597"/>
      <c r="K49" s="598"/>
      <c r="L49" s="598"/>
      <c r="M49" s="598"/>
      <c r="N49" s="597"/>
      <c r="O49" s="599"/>
      <c r="P49" s="597"/>
      <c r="Q49" s="599"/>
      <c r="R49" s="597"/>
      <c r="S49" s="599"/>
      <c r="T49" s="597"/>
      <c r="U49" s="599"/>
      <c r="V49" s="774"/>
      <c r="W49" s="774"/>
      <c r="X49" s="774"/>
      <c r="Y49" s="774"/>
      <c r="Z49" s="774"/>
      <c r="AA49" s="774"/>
      <c r="AB49" s="774"/>
      <c r="AC49" s="774"/>
      <c r="AD49" s="774"/>
      <c r="AE49" s="774"/>
      <c r="AF49" s="774"/>
      <c r="AG49" s="774"/>
      <c r="AH49" s="774"/>
      <c r="AI49" s="774"/>
      <c r="AJ49" s="774"/>
      <c r="AK49" s="774"/>
      <c r="AL49" s="774"/>
      <c r="AM49" s="774"/>
      <c r="AN49" s="774"/>
      <c r="AO49" s="774"/>
      <c r="AP49" s="774"/>
      <c r="AQ49" s="774"/>
      <c r="AR49" s="774"/>
      <c r="AS49" s="774"/>
      <c r="AT49" s="774"/>
      <c r="AU49" s="600"/>
      <c r="AV49" s="600"/>
      <c r="AW49" s="600"/>
      <c r="AX49" s="597"/>
      <c r="AY49" s="597"/>
      <c r="AZ49" s="214"/>
      <c r="BA49" s="490" t="str">
        <f t="shared" si="0"/>
        <v>SUM_CO2</v>
      </c>
      <c r="BB49" s="581" t="str">
        <f t="shared" si="1"/>
        <v>SUM_EnergyIN</v>
      </c>
      <c r="BC49" s="602"/>
      <c r="BD49" s="23"/>
    </row>
    <row r="50" spans="1:56" x14ac:dyDescent="0.2">
      <c r="A50" s="602"/>
      <c r="B50" s="214"/>
      <c r="C50" s="544">
        <v>27</v>
      </c>
      <c r="D50" s="596"/>
      <c r="E50" s="596"/>
      <c r="F50" s="597"/>
      <c r="G50" s="598"/>
      <c r="H50" s="597"/>
      <c r="I50" s="598"/>
      <c r="J50" s="597"/>
      <c r="K50" s="598"/>
      <c r="L50" s="598"/>
      <c r="M50" s="598"/>
      <c r="N50" s="597"/>
      <c r="O50" s="599"/>
      <c r="P50" s="597"/>
      <c r="Q50" s="599"/>
      <c r="R50" s="597"/>
      <c r="S50" s="599"/>
      <c r="T50" s="597"/>
      <c r="U50" s="599"/>
      <c r="V50" s="774"/>
      <c r="W50" s="774"/>
      <c r="X50" s="774"/>
      <c r="Y50" s="774"/>
      <c r="Z50" s="774"/>
      <c r="AA50" s="774"/>
      <c r="AB50" s="774"/>
      <c r="AC50" s="774"/>
      <c r="AD50" s="774"/>
      <c r="AE50" s="774"/>
      <c r="AF50" s="774"/>
      <c r="AG50" s="774"/>
      <c r="AH50" s="774"/>
      <c r="AI50" s="774"/>
      <c r="AJ50" s="774"/>
      <c r="AK50" s="774"/>
      <c r="AL50" s="774"/>
      <c r="AM50" s="774"/>
      <c r="AN50" s="774"/>
      <c r="AO50" s="774"/>
      <c r="AP50" s="774"/>
      <c r="AQ50" s="774"/>
      <c r="AR50" s="774"/>
      <c r="AS50" s="774"/>
      <c r="AT50" s="774"/>
      <c r="AU50" s="600"/>
      <c r="AV50" s="600"/>
      <c r="AW50" s="600"/>
      <c r="AX50" s="597"/>
      <c r="AY50" s="597"/>
      <c r="AZ50" s="214"/>
      <c r="BA50" s="490" t="str">
        <f t="shared" si="0"/>
        <v>SUM_CO2</v>
      </c>
      <c r="BB50" s="581" t="str">
        <f t="shared" si="1"/>
        <v>SUM_EnergyIN</v>
      </c>
      <c r="BC50" s="602"/>
      <c r="BD50" s="23"/>
    </row>
    <row r="51" spans="1:56" x14ac:dyDescent="0.2">
      <c r="A51" s="602"/>
      <c r="B51" s="214"/>
      <c r="C51" s="544">
        <v>28</v>
      </c>
      <c r="D51" s="596"/>
      <c r="E51" s="596"/>
      <c r="F51" s="597"/>
      <c r="G51" s="598"/>
      <c r="H51" s="597"/>
      <c r="I51" s="598"/>
      <c r="J51" s="597"/>
      <c r="K51" s="598"/>
      <c r="L51" s="598"/>
      <c r="M51" s="598"/>
      <c r="N51" s="597"/>
      <c r="O51" s="599"/>
      <c r="P51" s="597"/>
      <c r="Q51" s="599"/>
      <c r="R51" s="597"/>
      <c r="S51" s="599"/>
      <c r="T51" s="597"/>
      <c r="U51" s="599"/>
      <c r="V51" s="774"/>
      <c r="W51" s="774"/>
      <c r="X51" s="774"/>
      <c r="Y51" s="774"/>
      <c r="Z51" s="774"/>
      <c r="AA51" s="774"/>
      <c r="AB51" s="774"/>
      <c r="AC51" s="774"/>
      <c r="AD51" s="774"/>
      <c r="AE51" s="774"/>
      <c r="AF51" s="774"/>
      <c r="AG51" s="774"/>
      <c r="AH51" s="774"/>
      <c r="AI51" s="774"/>
      <c r="AJ51" s="774"/>
      <c r="AK51" s="774"/>
      <c r="AL51" s="774"/>
      <c r="AM51" s="774"/>
      <c r="AN51" s="774"/>
      <c r="AO51" s="774"/>
      <c r="AP51" s="774"/>
      <c r="AQ51" s="774"/>
      <c r="AR51" s="774"/>
      <c r="AS51" s="774"/>
      <c r="AT51" s="774"/>
      <c r="AU51" s="600"/>
      <c r="AV51" s="600"/>
      <c r="AW51" s="600"/>
      <c r="AX51" s="597"/>
      <c r="AY51" s="597"/>
      <c r="AZ51" s="214"/>
      <c r="BA51" s="490" t="str">
        <f t="shared" si="0"/>
        <v>SUM_CO2</v>
      </c>
      <c r="BB51" s="581" t="str">
        <f t="shared" si="1"/>
        <v>SUM_EnergyIN</v>
      </c>
      <c r="BC51" s="602"/>
      <c r="BD51" s="23"/>
    </row>
    <row r="52" spans="1:56" x14ac:dyDescent="0.2">
      <c r="A52" s="602"/>
      <c r="B52" s="214"/>
      <c r="C52" s="544">
        <v>29</v>
      </c>
      <c r="D52" s="596"/>
      <c r="E52" s="596"/>
      <c r="F52" s="597"/>
      <c r="G52" s="598"/>
      <c r="H52" s="597"/>
      <c r="I52" s="598"/>
      <c r="J52" s="597"/>
      <c r="K52" s="598"/>
      <c r="L52" s="598"/>
      <c r="M52" s="598"/>
      <c r="N52" s="597"/>
      <c r="O52" s="599"/>
      <c r="P52" s="597"/>
      <c r="Q52" s="599"/>
      <c r="R52" s="597"/>
      <c r="S52" s="599"/>
      <c r="T52" s="597"/>
      <c r="U52" s="599"/>
      <c r="V52" s="774"/>
      <c r="W52" s="774"/>
      <c r="X52" s="774"/>
      <c r="Y52" s="774"/>
      <c r="Z52" s="774"/>
      <c r="AA52" s="774"/>
      <c r="AB52" s="774"/>
      <c r="AC52" s="774"/>
      <c r="AD52" s="774"/>
      <c r="AE52" s="774"/>
      <c r="AF52" s="774"/>
      <c r="AG52" s="774"/>
      <c r="AH52" s="774"/>
      <c r="AI52" s="774"/>
      <c r="AJ52" s="774"/>
      <c r="AK52" s="774"/>
      <c r="AL52" s="774"/>
      <c r="AM52" s="774"/>
      <c r="AN52" s="774"/>
      <c r="AO52" s="774"/>
      <c r="AP52" s="774"/>
      <c r="AQ52" s="774"/>
      <c r="AR52" s="774"/>
      <c r="AS52" s="774"/>
      <c r="AT52" s="774"/>
      <c r="AU52" s="600"/>
      <c r="AV52" s="600"/>
      <c r="AW52" s="600"/>
      <c r="AX52" s="597"/>
      <c r="AY52" s="597"/>
      <c r="AZ52" s="214"/>
      <c r="BA52" s="490" t="str">
        <f t="shared" si="0"/>
        <v>SUM_CO2</v>
      </c>
      <c r="BB52" s="581" t="str">
        <f t="shared" si="1"/>
        <v>SUM_EnergyIN</v>
      </c>
      <c r="BC52" s="602"/>
      <c r="BD52" s="23"/>
    </row>
    <row r="53" spans="1:56" x14ac:dyDescent="0.2">
      <c r="A53" s="602"/>
      <c r="B53" s="214"/>
      <c r="C53" s="544">
        <v>30</v>
      </c>
      <c r="D53" s="596"/>
      <c r="E53" s="596"/>
      <c r="F53" s="597"/>
      <c r="G53" s="598"/>
      <c r="H53" s="597"/>
      <c r="I53" s="598"/>
      <c r="J53" s="597"/>
      <c r="K53" s="598"/>
      <c r="L53" s="598"/>
      <c r="M53" s="598"/>
      <c r="N53" s="597"/>
      <c r="O53" s="599"/>
      <c r="P53" s="597"/>
      <c r="Q53" s="599"/>
      <c r="R53" s="597"/>
      <c r="S53" s="599"/>
      <c r="T53" s="597"/>
      <c r="U53" s="599"/>
      <c r="V53" s="774"/>
      <c r="W53" s="774"/>
      <c r="X53" s="774"/>
      <c r="Y53" s="774"/>
      <c r="Z53" s="774"/>
      <c r="AA53" s="774"/>
      <c r="AB53" s="774"/>
      <c r="AC53" s="774"/>
      <c r="AD53" s="774"/>
      <c r="AE53" s="774"/>
      <c r="AF53" s="774"/>
      <c r="AG53" s="774"/>
      <c r="AH53" s="774"/>
      <c r="AI53" s="774"/>
      <c r="AJ53" s="774"/>
      <c r="AK53" s="774"/>
      <c r="AL53" s="774"/>
      <c r="AM53" s="774"/>
      <c r="AN53" s="774"/>
      <c r="AO53" s="774"/>
      <c r="AP53" s="774"/>
      <c r="AQ53" s="774"/>
      <c r="AR53" s="774"/>
      <c r="AS53" s="774"/>
      <c r="AT53" s="774"/>
      <c r="AU53" s="600"/>
      <c r="AV53" s="600"/>
      <c r="AW53" s="600"/>
      <c r="AX53" s="597"/>
      <c r="AY53" s="597"/>
      <c r="AZ53" s="214"/>
      <c r="BA53" s="490" t="str">
        <f t="shared" si="0"/>
        <v>SUM_CO2</v>
      </c>
      <c r="BB53" s="581" t="str">
        <f t="shared" si="1"/>
        <v>SUM_EnergyIN</v>
      </c>
      <c r="BC53" s="602"/>
      <c r="BD53" s="23"/>
    </row>
    <row r="54" spans="1:56" x14ac:dyDescent="0.2">
      <c r="A54" s="602"/>
      <c r="B54" s="214"/>
      <c r="C54" s="544">
        <v>31</v>
      </c>
      <c r="D54" s="596"/>
      <c r="E54" s="596"/>
      <c r="F54" s="597"/>
      <c r="G54" s="598"/>
      <c r="H54" s="597"/>
      <c r="I54" s="598"/>
      <c r="J54" s="597"/>
      <c r="K54" s="598"/>
      <c r="L54" s="598"/>
      <c r="M54" s="598"/>
      <c r="N54" s="597"/>
      <c r="O54" s="599"/>
      <c r="P54" s="597"/>
      <c r="Q54" s="599"/>
      <c r="R54" s="597"/>
      <c r="S54" s="599"/>
      <c r="T54" s="597"/>
      <c r="U54" s="599"/>
      <c r="V54" s="774"/>
      <c r="W54" s="774"/>
      <c r="X54" s="774"/>
      <c r="Y54" s="774"/>
      <c r="Z54" s="774"/>
      <c r="AA54" s="774"/>
      <c r="AB54" s="774"/>
      <c r="AC54" s="774"/>
      <c r="AD54" s="774"/>
      <c r="AE54" s="774"/>
      <c r="AF54" s="774"/>
      <c r="AG54" s="774"/>
      <c r="AH54" s="774"/>
      <c r="AI54" s="774"/>
      <c r="AJ54" s="774"/>
      <c r="AK54" s="774"/>
      <c r="AL54" s="774"/>
      <c r="AM54" s="774"/>
      <c r="AN54" s="774"/>
      <c r="AO54" s="774"/>
      <c r="AP54" s="774"/>
      <c r="AQ54" s="774"/>
      <c r="AR54" s="774"/>
      <c r="AS54" s="774"/>
      <c r="AT54" s="774"/>
      <c r="AU54" s="600"/>
      <c r="AV54" s="600"/>
      <c r="AW54" s="600"/>
      <c r="AX54" s="597"/>
      <c r="AY54" s="597"/>
      <c r="AZ54" s="214"/>
      <c r="BA54" s="490" t="str">
        <f t="shared" si="0"/>
        <v>SUM_CO2</v>
      </c>
      <c r="BB54" s="581" t="str">
        <f t="shared" si="1"/>
        <v>SUM_EnergyIN</v>
      </c>
      <c r="BC54" s="602"/>
      <c r="BD54" s="23"/>
    </row>
    <row r="55" spans="1:56" x14ac:dyDescent="0.2">
      <c r="A55" s="602"/>
      <c r="B55" s="214"/>
      <c r="C55" s="544">
        <v>32</v>
      </c>
      <c r="D55" s="596"/>
      <c r="E55" s="596"/>
      <c r="F55" s="597"/>
      <c r="G55" s="598"/>
      <c r="H55" s="597"/>
      <c r="I55" s="598"/>
      <c r="J55" s="597"/>
      <c r="K55" s="598"/>
      <c r="L55" s="598"/>
      <c r="M55" s="598"/>
      <c r="N55" s="597"/>
      <c r="O55" s="599"/>
      <c r="P55" s="597"/>
      <c r="Q55" s="599"/>
      <c r="R55" s="597"/>
      <c r="S55" s="599"/>
      <c r="T55" s="597"/>
      <c r="U55" s="599"/>
      <c r="V55" s="774"/>
      <c r="W55" s="774"/>
      <c r="X55" s="774"/>
      <c r="Y55" s="774"/>
      <c r="Z55" s="774"/>
      <c r="AA55" s="774"/>
      <c r="AB55" s="774"/>
      <c r="AC55" s="774"/>
      <c r="AD55" s="774"/>
      <c r="AE55" s="774"/>
      <c r="AF55" s="774"/>
      <c r="AG55" s="774"/>
      <c r="AH55" s="774"/>
      <c r="AI55" s="774"/>
      <c r="AJ55" s="774"/>
      <c r="AK55" s="774"/>
      <c r="AL55" s="774"/>
      <c r="AM55" s="774"/>
      <c r="AN55" s="774"/>
      <c r="AO55" s="774"/>
      <c r="AP55" s="774"/>
      <c r="AQ55" s="774"/>
      <c r="AR55" s="774"/>
      <c r="AS55" s="774"/>
      <c r="AT55" s="774"/>
      <c r="AU55" s="600"/>
      <c r="AV55" s="600"/>
      <c r="AW55" s="600"/>
      <c r="AX55" s="597"/>
      <c r="AY55" s="597"/>
      <c r="AZ55" s="214"/>
      <c r="BA55" s="490" t="str">
        <f t="shared" si="0"/>
        <v>SUM_CO2</v>
      </c>
      <c r="BB55" s="581" t="str">
        <f t="shared" si="1"/>
        <v>SUM_EnergyIN</v>
      </c>
      <c r="BC55" s="602"/>
      <c r="BD55" s="23"/>
    </row>
    <row r="56" spans="1:56" x14ac:dyDescent="0.2">
      <c r="A56" s="602"/>
      <c r="B56" s="214"/>
      <c r="C56" s="544">
        <v>33</v>
      </c>
      <c r="D56" s="596"/>
      <c r="E56" s="596"/>
      <c r="F56" s="597"/>
      <c r="G56" s="598"/>
      <c r="H56" s="597"/>
      <c r="I56" s="598"/>
      <c r="J56" s="597"/>
      <c r="K56" s="598"/>
      <c r="L56" s="598"/>
      <c r="M56" s="598"/>
      <c r="N56" s="597"/>
      <c r="O56" s="599"/>
      <c r="P56" s="597"/>
      <c r="Q56" s="599"/>
      <c r="R56" s="597"/>
      <c r="S56" s="599"/>
      <c r="T56" s="597"/>
      <c r="U56" s="599"/>
      <c r="V56" s="774"/>
      <c r="W56" s="774"/>
      <c r="X56" s="774"/>
      <c r="Y56" s="774"/>
      <c r="Z56" s="774"/>
      <c r="AA56" s="774"/>
      <c r="AB56" s="774"/>
      <c r="AC56" s="774"/>
      <c r="AD56" s="774"/>
      <c r="AE56" s="774"/>
      <c r="AF56" s="774"/>
      <c r="AG56" s="774"/>
      <c r="AH56" s="774"/>
      <c r="AI56" s="774"/>
      <c r="AJ56" s="774"/>
      <c r="AK56" s="774"/>
      <c r="AL56" s="774"/>
      <c r="AM56" s="774"/>
      <c r="AN56" s="774"/>
      <c r="AO56" s="774"/>
      <c r="AP56" s="774"/>
      <c r="AQ56" s="774"/>
      <c r="AR56" s="774"/>
      <c r="AS56" s="774"/>
      <c r="AT56" s="774"/>
      <c r="AU56" s="600"/>
      <c r="AV56" s="600"/>
      <c r="AW56" s="600"/>
      <c r="AX56" s="597"/>
      <c r="AY56" s="597"/>
      <c r="AZ56" s="214"/>
      <c r="BA56" s="490" t="str">
        <f t="shared" si="0"/>
        <v>SUM_CO2</v>
      </c>
      <c r="BB56" s="581" t="str">
        <f t="shared" si="1"/>
        <v>SUM_EnergyIN</v>
      </c>
      <c r="BC56" s="602"/>
      <c r="BD56" s="23"/>
    </row>
    <row r="57" spans="1:56" x14ac:dyDescent="0.2">
      <c r="A57" s="602"/>
      <c r="B57" s="214"/>
      <c r="C57" s="544">
        <v>34</v>
      </c>
      <c r="D57" s="596"/>
      <c r="E57" s="596"/>
      <c r="F57" s="597"/>
      <c r="G57" s="598"/>
      <c r="H57" s="597"/>
      <c r="I57" s="598"/>
      <c r="J57" s="597"/>
      <c r="K57" s="598"/>
      <c r="L57" s="598"/>
      <c r="M57" s="598"/>
      <c r="N57" s="597"/>
      <c r="O57" s="599"/>
      <c r="P57" s="597"/>
      <c r="Q57" s="599"/>
      <c r="R57" s="597"/>
      <c r="S57" s="599"/>
      <c r="T57" s="597"/>
      <c r="U57" s="599"/>
      <c r="V57" s="774"/>
      <c r="W57" s="774"/>
      <c r="X57" s="774"/>
      <c r="Y57" s="774"/>
      <c r="Z57" s="774"/>
      <c r="AA57" s="774"/>
      <c r="AB57" s="774"/>
      <c r="AC57" s="774"/>
      <c r="AD57" s="774"/>
      <c r="AE57" s="774"/>
      <c r="AF57" s="774"/>
      <c r="AG57" s="774"/>
      <c r="AH57" s="774"/>
      <c r="AI57" s="774"/>
      <c r="AJ57" s="774"/>
      <c r="AK57" s="774"/>
      <c r="AL57" s="774"/>
      <c r="AM57" s="774"/>
      <c r="AN57" s="774"/>
      <c r="AO57" s="774"/>
      <c r="AP57" s="774"/>
      <c r="AQ57" s="774"/>
      <c r="AR57" s="774"/>
      <c r="AS57" s="774"/>
      <c r="AT57" s="774"/>
      <c r="AU57" s="600"/>
      <c r="AV57" s="600"/>
      <c r="AW57" s="600"/>
      <c r="AX57" s="597"/>
      <c r="AY57" s="597"/>
      <c r="AZ57" s="214"/>
      <c r="BA57" s="490" t="str">
        <f t="shared" si="0"/>
        <v>SUM_CO2</v>
      </c>
      <c r="BB57" s="581" t="str">
        <f t="shared" si="1"/>
        <v>SUM_EnergyIN</v>
      </c>
      <c r="BC57" s="602"/>
      <c r="BD57" s="23"/>
    </row>
    <row r="58" spans="1:56" x14ac:dyDescent="0.2">
      <c r="A58" s="602"/>
      <c r="B58" s="214"/>
      <c r="C58" s="544">
        <v>35</v>
      </c>
      <c r="D58" s="596"/>
      <c r="E58" s="596"/>
      <c r="F58" s="597"/>
      <c r="G58" s="598"/>
      <c r="H58" s="597"/>
      <c r="I58" s="598"/>
      <c r="J58" s="597"/>
      <c r="K58" s="598"/>
      <c r="L58" s="598"/>
      <c r="M58" s="598"/>
      <c r="N58" s="597"/>
      <c r="O58" s="599"/>
      <c r="P58" s="597"/>
      <c r="Q58" s="599"/>
      <c r="R58" s="597"/>
      <c r="S58" s="599"/>
      <c r="T58" s="597"/>
      <c r="U58" s="599"/>
      <c r="V58" s="774"/>
      <c r="W58" s="774"/>
      <c r="X58" s="774"/>
      <c r="Y58" s="774"/>
      <c r="Z58" s="774"/>
      <c r="AA58" s="774"/>
      <c r="AB58" s="774"/>
      <c r="AC58" s="774"/>
      <c r="AD58" s="774"/>
      <c r="AE58" s="774"/>
      <c r="AF58" s="774"/>
      <c r="AG58" s="774"/>
      <c r="AH58" s="774"/>
      <c r="AI58" s="774"/>
      <c r="AJ58" s="774"/>
      <c r="AK58" s="774"/>
      <c r="AL58" s="774"/>
      <c r="AM58" s="774"/>
      <c r="AN58" s="774"/>
      <c r="AO58" s="774"/>
      <c r="AP58" s="774"/>
      <c r="AQ58" s="774"/>
      <c r="AR58" s="774"/>
      <c r="AS58" s="774"/>
      <c r="AT58" s="774"/>
      <c r="AU58" s="600"/>
      <c r="AV58" s="600"/>
      <c r="AW58" s="600"/>
      <c r="AX58" s="597"/>
      <c r="AY58" s="597"/>
      <c r="AZ58" s="214"/>
      <c r="BA58" s="490" t="str">
        <f t="shared" si="0"/>
        <v>SUM_CO2</v>
      </c>
      <c r="BB58" s="581" t="str">
        <f t="shared" si="1"/>
        <v>SUM_EnergyIN</v>
      </c>
      <c r="BC58" s="602"/>
      <c r="BD58" s="23"/>
    </row>
    <row r="59" spans="1:56" x14ac:dyDescent="0.2">
      <c r="A59" s="602"/>
      <c r="B59" s="214"/>
      <c r="C59" s="544">
        <v>36</v>
      </c>
      <c r="D59" s="596"/>
      <c r="E59" s="596"/>
      <c r="F59" s="597"/>
      <c r="G59" s="598"/>
      <c r="H59" s="597"/>
      <c r="I59" s="598"/>
      <c r="J59" s="597"/>
      <c r="K59" s="598"/>
      <c r="L59" s="598"/>
      <c r="M59" s="598"/>
      <c r="N59" s="597"/>
      <c r="O59" s="599"/>
      <c r="P59" s="597"/>
      <c r="Q59" s="599"/>
      <c r="R59" s="597"/>
      <c r="S59" s="599"/>
      <c r="T59" s="597"/>
      <c r="U59" s="599"/>
      <c r="V59" s="774"/>
      <c r="W59" s="774"/>
      <c r="X59" s="774"/>
      <c r="Y59" s="774"/>
      <c r="Z59" s="774"/>
      <c r="AA59" s="774"/>
      <c r="AB59" s="774"/>
      <c r="AC59" s="774"/>
      <c r="AD59" s="774"/>
      <c r="AE59" s="774"/>
      <c r="AF59" s="774"/>
      <c r="AG59" s="774"/>
      <c r="AH59" s="774"/>
      <c r="AI59" s="774"/>
      <c r="AJ59" s="774"/>
      <c r="AK59" s="774"/>
      <c r="AL59" s="774"/>
      <c r="AM59" s="774"/>
      <c r="AN59" s="774"/>
      <c r="AO59" s="774"/>
      <c r="AP59" s="774"/>
      <c r="AQ59" s="774"/>
      <c r="AR59" s="774"/>
      <c r="AS59" s="774"/>
      <c r="AT59" s="774"/>
      <c r="AU59" s="600"/>
      <c r="AV59" s="600"/>
      <c r="AW59" s="600"/>
      <c r="AX59" s="597"/>
      <c r="AY59" s="597"/>
      <c r="AZ59" s="214"/>
      <c r="BA59" s="490" t="str">
        <f t="shared" si="0"/>
        <v>SUM_CO2</v>
      </c>
      <c r="BB59" s="581" t="str">
        <f t="shared" si="1"/>
        <v>SUM_EnergyIN</v>
      </c>
      <c r="BC59" s="602"/>
      <c r="BD59" s="23"/>
    </row>
    <row r="60" spans="1:56" x14ac:dyDescent="0.2">
      <c r="A60" s="602"/>
      <c r="B60" s="214"/>
      <c r="C60" s="544">
        <v>37</v>
      </c>
      <c r="D60" s="596"/>
      <c r="E60" s="596"/>
      <c r="F60" s="597"/>
      <c r="G60" s="598"/>
      <c r="H60" s="597"/>
      <c r="I60" s="598"/>
      <c r="J60" s="597"/>
      <c r="K60" s="598"/>
      <c r="L60" s="598"/>
      <c r="M60" s="598"/>
      <c r="N60" s="597"/>
      <c r="O60" s="599"/>
      <c r="P60" s="597"/>
      <c r="Q60" s="599"/>
      <c r="R60" s="597"/>
      <c r="S60" s="599"/>
      <c r="T60" s="597"/>
      <c r="U60" s="599"/>
      <c r="V60" s="774"/>
      <c r="W60" s="774"/>
      <c r="X60" s="774"/>
      <c r="Y60" s="774"/>
      <c r="Z60" s="774"/>
      <c r="AA60" s="774"/>
      <c r="AB60" s="774"/>
      <c r="AC60" s="774"/>
      <c r="AD60" s="774"/>
      <c r="AE60" s="774"/>
      <c r="AF60" s="774"/>
      <c r="AG60" s="774"/>
      <c r="AH60" s="774"/>
      <c r="AI60" s="774"/>
      <c r="AJ60" s="774"/>
      <c r="AK60" s="774"/>
      <c r="AL60" s="774"/>
      <c r="AM60" s="774"/>
      <c r="AN60" s="774"/>
      <c r="AO60" s="774"/>
      <c r="AP60" s="774"/>
      <c r="AQ60" s="774"/>
      <c r="AR60" s="774"/>
      <c r="AS60" s="774"/>
      <c r="AT60" s="774"/>
      <c r="AU60" s="600"/>
      <c r="AV60" s="600"/>
      <c r="AW60" s="600"/>
      <c r="AX60" s="597"/>
      <c r="AY60" s="597"/>
      <c r="AZ60" s="214"/>
      <c r="BA60" s="490" t="str">
        <f t="shared" si="0"/>
        <v>SUM_CO2</v>
      </c>
      <c r="BB60" s="581" t="str">
        <f t="shared" si="1"/>
        <v>SUM_EnergyIN</v>
      </c>
      <c r="BC60" s="602"/>
      <c r="BD60" s="23"/>
    </row>
    <row r="61" spans="1:56" x14ac:dyDescent="0.2">
      <c r="A61" s="602"/>
      <c r="B61" s="214"/>
      <c r="C61" s="544">
        <v>38</v>
      </c>
      <c r="D61" s="596"/>
      <c r="E61" s="596"/>
      <c r="F61" s="597"/>
      <c r="G61" s="598"/>
      <c r="H61" s="597"/>
      <c r="I61" s="598"/>
      <c r="J61" s="597"/>
      <c r="K61" s="598"/>
      <c r="L61" s="598"/>
      <c r="M61" s="598"/>
      <c r="N61" s="597"/>
      <c r="O61" s="599"/>
      <c r="P61" s="597"/>
      <c r="Q61" s="599"/>
      <c r="R61" s="597"/>
      <c r="S61" s="599"/>
      <c r="T61" s="597"/>
      <c r="U61" s="599"/>
      <c r="V61" s="774"/>
      <c r="W61" s="774"/>
      <c r="X61" s="774"/>
      <c r="Y61" s="774"/>
      <c r="Z61" s="774"/>
      <c r="AA61" s="774"/>
      <c r="AB61" s="774"/>
      <c r="AC61" s="774"/>
      <c r="AD61" s="774"/>
      <c r="AE61" s="774"/>
      <c r="AF61" s="774"/>
      <c r="AG61" s="774"/>
      <c r="AH61" s="774"/>
      <c r="AI61" s="774"/>
      <c r="AJ61" s="774"/>
      <c r="AK61" s="774"/>
      <c r="AL61" s="774"/>
      <c r="AM61" s="774"/>
      <c r="AN61" s="774"/>
      <c r="AO61" s="774"/>
      <c r="AP61" s="774"/>
      <c r="AQ61" s="774"/>
      <c r="AR61" s="774"/>
      <c r="AS61" s="774"/>
      <c r="AT61" s="774"/>
      <c r="AU61" s="600"/>
      <c r="AV61" s="600"/>
      <c r="AW61" s="600"/>
      <c r="AX61" s="597"/>
      <c r="AY61" s="597"/>
      <c r="AZ61" s="214"/>
      <c r="BA61" s="490" t="str">
        <f t="shared" si="0"/>
        <v>SUM_CO2</v>
      </c>
      <c r="BB61" s="581" t="str">
        <f t="shared" si="1"/>
        <v>SUM_EnergyIN</v>
      </c>
      <c r="BC61" s="602"/>
      <c r="BD61" s="23"/>
    </row>
    <row r="62" spans="1:56" x14ac:dyDescent="0.2">
      <c r="A62" s="602"/>
      <c r="B62" s="214"/>
      <c r="C62" s="544">
        <v>39</v>
      </c>
      <c r="D62" s="596"/>
      <c r="E62" s="596"/>
      <c r="F62" s="597"/>
      <c r="G62" s="598"/>
      <c r="H62" s="597"/>
      <c r="I62" s="598"/>
      <c r="J62" s="597"/>
      <c r="K62" s="598"/>
      <c r="L62" s="598"/>
      <c r="M62" s="598"/>
      <c r="N62" s="597"/>
      <c r="O62" s="599"/>
      <c r="P62" s="597"/>
      <c r="Q62" s="599"/>
      <c r="R62" s="597"/>
      <c r="S62" s="599"/>
      <c r="T62" s="597"/>
      <c r="U62" s="599"/>
      <c r="V62" s="774"/>
      <c r="W62" s="774"/>
      <c r="X62" s="774"/>
      <c r="Y62" s="774"/>
      <c r="Z62" s="774"/>
      <c r="AA62" s="774"/>
      <c r="AB62" s="774"/>
      <c r="AC62" s="774"/>
      <c r="AD62" s="774"/>
      <c r="AE62" s="774"/>
      <c r="AF62" s="774"/>
      <c r="AG62" s="774"/>
      <c r="AH62" s="774"/>
      <c r="AI62" s="774"/>
      <c r="AJ62" s="774"/>
      <c r="AK62" s="774"/>
      <c r="AL62" s="774"/>
      <c r="AM62" s="774"/>
      <c r="AN62" s="774"/>
      <c r="AO62" s="774"/>
      <c r="AP62" s="774"/>
      <c r="AQ62" s="774"/>
      <c r="AR62" s="774"/>
      <c r="AS62" s="774"/>
      <c r="AT62" s="774"/>
      <c r="AU62" s="600"/>
      <c r="AV62" s="600"/>
      <c r="AW62" s="600"/>
      <c r="AX62" s="597"/>
      <c r="AY62" s="597"/>
      <c r="AZ62" s="214"/>
      <c r="BA62" s="490" t="str">
        <f t="shared" si="0"/>
        <v>SUM_CO2</v>
      </c>
      <c r="BB62" s="581" t="str">
        <f t="shared" si="1"/>
        <v>SUM_EnergyIN</v>
      </c>
      <c r="BC62" s="602"/>
      <c r="BD62" s="23"/>
    </row>
    <row r="63" spans="1:56" x14ac:dyDescent="0.2">
      <c r="A63" s="602"/>
      <c r="B63" s="214"/>
      <c r="C63" s="544">
        <v>40</v>
      </c>
      <c r="D63" s="596"/>
      <c r="E63" s="596"/>
      <c r="F63" s="597"/>
      <c r="G63" s="598"/>
      <c r="H63" s="597"/>
      <c r="I63" s="598"/>
      <c r="J63" s="597"/>
      <c r="K63" s="598"/>
      <c r="L63" s="598"/>
      <c r="M63" s="598"/>
      <c r="N63" s="597"/>
      <c r="O63" s="599"/>
      <c r="P63" s="597"/>
      <c r="Q63" s="599"/>
      <c r="R63" s="597"/>
      <c r="S63" s="599"/>
      <c r="T63" s="597"/>
      <c r="U63" s="599"/>
      <c r="V63" s="774"/>
      <c r="W63" s="774"/>
      <c r="X63" s="774"/>
      <c r="Y63" s="774"/>
      <c r="Z63" s="774"/>
      <c r="AA63" s="774"/>
      <c r="AB63" s="774"/>
      <c r="AC63" s="774"/>
      <c r="AD63" s="774"/>
      <c r="AE63" s="774"/>
      <c r="AF63" s="774"/>
      <c r="AG63" s="774"/>
      <c r="AH63" s="774"/>
      <c r="AI63" s="774"/>
      <c r="AJ63" s="774"/>
      <c r="AK63" s="774"/>
      <c r="AL63" s="774"/>
      <c r="AM63" s="774"/>
      <c r="AN63" s="774"/>
      <c r="AO63" s="774"/>
      <c r="AP63" s="774"/>
      <c r="AQ63" s="774"/>
      <c r="AR63" s="774"/>
      <c r="AS63" s="774"/>
      <c r="AT63" s="774"/>
      <c r="AU63" s="600"/>
      <c r="AV63" s="600"/>
      <c r="AW63" s="600"/>
      <c r="AX63" s="597"/>
      <c r="AY63" s="597"/>
      <c r="AZ63" s="214"/>
      <c r="BA63" s="490" t="str">
        <f t="shared" si="0"/>
        <v>SUM_CO2</v>
      </c>
      <c r="BB63" s="581" t="str">
        <f t="shared" si="1"/>
        <v>SUM_EnergyIN</v>
      </c>
      <c r="BC63" s="602"/>
      <c r="BD63" s="23"/>
    </row>
    <row r="64" spans="1:56" x14ac:dyDescent="0.2">
      <c r="A64" s="602"/>
      <c r="B64" s="214"/>
      <c r="C64" s="544">
        <v>41</v>
      </c>
      <c r="D64" s="596"/>
      <c r="E64" s="596"/>
      <c r="F64" s="597"/>
      <c r="G64" s="598"/>
      <c r="H64" s="597"/>
      <c r="I64" s="598"/>
      <c r="J64" s="597"/>
      <c r="K64" s="598"/>
      <c r="L64" s="598"/>
      <c r="M64" s="598"/>
      <c r="N64" s="597"/>
      <c r="O64" s="599"/>
      <c r="P64" s="597"/>
      <c r="Q64" s="599"/>
      <c r="R64" s="597"/>
      <c r="S64" s="599"/>
      <c r="T64" s="597"/>
      <c r="U64" s="599"/>
      <c r="V64" s="774"/>
      <c r="W64" s="774"/>
      <c r="X64" s="774"/>
      <c r="Y64" s="774"/>
      <c r="Z64" s="774"/>
      <c r="AA64" s="774"/>
      <c r="AB64" s="774"/>
      <c r="AC64" s="774"/>
      <c r="AD64" s="774"/>
      <c r="AE64" s="774"/>
      <c r="AF64" s="774"/>
      <c r="AG64" s="774"/>
      <c r="AH64" s="774"/>
      <c r="AI64" s="774"/>
      <c r="AJ64" s="774"/>
      <c r="AK64" s="774"/>
      <c r="AL64" s="774"/>
      <c r="AM64" s="774"/>
      <c r="AN64" s="774"/>
      <c r="AO64" s="774"/>
      <c r="AP64" s="774"/>
      <c r="AQ64" s="774"/>
      <c r="AR64" s="774"/>
      <c r="AS64" s="774"/>
      <c r="AT64" s="774"/>
      <c r="AU64" s="600"/>
      <c r="AV64" s="600"/>
      <c r="AW64" s="600"/>
      <c r="AX64" s="597"/>
      <c r="AY64" s="597"/>
      <c r="AZ64" s="214"/>
      <c r="BA64" s="490" t="str">
        <f t="shared" si="0"/>
        <v>SUM_CO2</v>
      </c>
      <c r="BB64" s="581" t="str">
        <f t="shared" si="1"/>
        <v>SUM_EnergyIN</v>
      </c>
      <c r="BC64" s="602"/>
      <c r="BD64" s="23"/>
    </row>
    <row r="65" spans="1:56" x14ac:dyDescent="0.2">
      <c r="A65" s="602"/>
      <c r="B65" s="214"/>
      <c r="C65" s="544">
        <v>42</v>
      </c>
      <c r="D65" s="596"/>
      <c r="E65" s="596"/>
      <c r="F65" s="597"/>
      <c r="G65" s="598"/>
      <c r="H65" s="597"/>
      <c r="I65" s="598"/>
      <c r="J65" s="597"/>
      <c r="K65" s="598"/>
      <c r="L65" s="598"/>
      <c r="M65" s="598"/>
      <c r="N65" s="597"/>
      <c r="O65" s="599"/>
      <c r="P65" s="597"/>
      <c r="Q65" s="599"/>
      <c r="R65" s="597"/>
      <c r="S65" s="599"/>
      <c r="T65" s="597"/>
      <c r="U65" s="599"/>
      <c r="V65" s="774"/>
      <c r="W65" s="774"/>
      <c r="X65" s="774"/>
      <c r="Y65" s="774"/>
      <c r="Z65" s="774"/>
      <c r="AA65" s="774"/>
      <c r="AB65" s="774"/>
      <c r="AC65" s="774"/>
      <c r="AD65" s="774"/>
      <c r="AE65" s="774"/>
      <c r="AF65" s="774"/>
      <c r="AG65" s="774"/>
      <c r="AH65" s="774"/>
      <c r="AI65" s="774"/>
      <c r="AJ65" s="774"/>
      <c r="AK65" s="774"/>
      <c r="AL65" s="774"/>
      <c r="AM65" s="774"/>
      <c r="AN65" s="774"/>
      <c r="AO65" s="774"/>
      <c r="AP65" s="774"/>
      <c r="AQ65" s="774"/>
      <c r="AR65" s="774"/>
      <c r="AS65" s="774"/>
      <c r="AT65" s="774"/>
      <c r="AU65" s="600"/>
      <c r="AV65" s="600"/>
      <c r="AW65" s="600"/>
      <c r="AX65" s="597"/>
      <c r="AY65" s="597"/>
      <c r="AZ65" s="214"/>
      <c r="BA65" s="490" t="str">
        <f t="shared" si="0"/>
        <v>SUM_CO2</v>
      </c>
      <c r="BB65" s="581" t="str">
        <f t="shared" si="1"/>
        <v>SUM_EnergyIN</v>
      </c>
      <c r="BC65" s="602"/>
      <c r="BD65" s="23"/>
    </row>
    <row r="66" spans="1:56" x14ac:dyDescent="0.2">
      <c r="A66" s="602"/>
      <c r="B66" s="214"/>
      <c r="C66" s="544">
        <v>43</v>
      </c>
      <c r="D66" s="596"/>
      <c r="E66" s="596"/>
      <c r="F66" s="597"/>
      <c r="G66" s="598"/>
      <c r="H66" s="597"/>
      <c r="I66" s="598"/>
      <c r="J66" s="597"/>
      <c r="K66" s="598"/>
      <c r="L66" s="598"/>
      <c r="M66" s="598"/>
      <c r="N66" s="597"/>
      <c r="O66" s="599"/>
      <c r="P66" s="597"/>
      <c r="Q66" s="599"/>
      <c r="R66" s="597"/>
      <c r="S66" s="599"/>
      <c r="T66" s="597"/>
      <c r="U66" s="599"/>
      <c r="V66" s="774"/>
      <c r="W66" s="774"/>
      <c r="X66" s="774"/>
      <c r="Y66" s="774"/>
      <c r="Z66" s="774"/>
      <c r="AA66" s="774"/>
      <c r="AB66" s="774"/>
      <c r="AC66" s="774"/>
      <c r="AD66" s="774"/>
      <c r="AE66" s="774"/>
      <c r="AF66" s="774"/>
      <c r="AG66" s="774"/>
      <c r="AH66" s="774"/>
      <c r="AI66" s="774"/>
      <c r="AJ66" s="774"/>
      <c r="AK66" s="774"/>
      <c r="AL66" s="774"/>
      <c r="AM66" s="774"/>
      <c r="AN66" s="774"/>
      <c r="AO66" s="774"/>
      <c r="AP66" s="774"/>
      <c r="AQ66" s="774"/>
      <c r="AR66" s="774"/>
      <c r="AS66" s="774"/>
      <c r="AT66" s="774"/>
      <c r="AU66" s="600"/>
      <c r="AV66" s="600"/>
      <c r="AW66" s="600"/>
      <c r="AX66" s="597"/>
      <c r="AY66" s="597"/>
      <c r="AZ66" s="214"/>
      <c r="BA66" s="490" t="str">
        <f t="shared" si="0"/>
        <v>SUM_CO2</v>
      </c>
      <c r="BB66" s="581" t="str">
        <f t="shared" si="1"/>
        <v>SUM_EnergyIN</v>
      </c>
      <c r="BC66" s="602"/>
      <c r="BD66" s="23"/>
    </row>
    <row r="67" spans="1:56" x14ac:dyDescent="0.2">
      <c r="A67" s="602"/>
      <c r="B67" s="214"/>
      <c r="C67" s="544">
        <v>44</v>
      </c>
      <c r="D67" s="596"/>
      <c r="E67" s="596"/>
      <c r="F67" s="597"/>
      <c r="G67" s="598"/>
      <c r="H67" s="597"/>
      <c r="I67" s="598"/>
      <c r="J67" s="597"/>
      <c r="K67" s="598"/>
      <c r="L67" s="598"/>
      <c r="M67" s="598"/>
      <c r="N67" s="597"/>
      <c r="O67" s="599"/>
      <c r="P67" s="597"/>
      <c r="Q67" s="599"/>
      <c r="R67" s="597"/>
      <c r="S67" s="599"/>
      <c r="T67" s="597"/>
      <c r="U67" s="599"/>
      <c r="V67" s="774"/>
      <c r="W67" s="774"/>
      <c r="X67" s="774"/>
      <c r="Y67" s="774"/>
      <c r="Z67" s="774"/>
      <c r="AA67" s="774"/>
      <c r="AB67" s="774"/>
      <c r="AC67" s="774"/>
      <c r="AD67" s="774"/>
      <c r="AE67" s="774"/>
      <c r="AF67" s="774"/>
      <c r="AG67" s="774"/>
      <c r="AH67" s="774"/>
      <c r="AI67" s="774"/>
      <c r="AJ67" s="774"/>
      <c r="AK67" s="774"/>
      <c r="AL67" s="774"/>
      <c r="AM67" s="774"/>
      <c r="AN67" s="774"/>
      <c r="AO67" s="774"/>
      <c r="AP67" s="774"/>
      <c r="AQ67" s="774"/>
      <c r="AR67" s="774"/>
      <c r="AS67" s="774"/>
      <c r="AT67" s="774"/>
      <c r="AU67" s="600"/>
      <c r="AV67" s="600"/>
      <c r="AW67" s="600"/>
      <c r="AX67" s="597"/>
      <c r="AY67" s="597"/>
      <c r="AZ67" s="214"/>
      <c r="BA67" s="490" t="str">
        <f t="shared" si="0"/>
        <v>SUM_CO2</v>
      </c>
      <c r="BB67" s="581" t="str">
        <f t="shared" si="1"/>
        <v>SUM_EnergyIN</v>
      </c>
      <c r="BC67" s="602"/>
      <c r="BD67" s="23"/>
    </row>
    <row r="68" spans="1:56" x14ac:dyDescent="0.2">
      <c r="A68" s="602"/>
      <c r="B68" s="214"/>
      <c r="C68" s="544">
        <v>45</v>
      </c>
      <c r="D68" s="596"/>
      <c r="E68" s="596"/>
      <c r="F68" s="597"/>
      <c r="G68" s="598"/>
      <c r="H68" s="597"/>
      <c r="I68" s="598"/>
      <c r="J68" s="597"/>
      <c r="K68" s="598"/>
      <c r="L68" s="598"/>
      <c r="M68" s="598"/>
      <c r="N68" s="597"/>
      <c r="O68" s="599"/>
      <c r="P68" s="597"/>
      <c r="Q68" s="599"/>
      <c r="R68" s="597"/>
      <c r="S68" s="599"/>
      <c r="T68" s="597"/>
      <c r="U68" s="599"/>
      <c r="V68" s="774"/>
      <c r="W68" s="774"/>
      <c r="X68" s="774"/>
      <c r="Y68" s="774"/>
      <c r="Z68" s="774"/>
      <c r="AA68" s="774"/>
      <c r="AB68" s="774"/>
      <c r="AC68" s="774"/>
      <c r="AD68" s="774"/>
      <c r="AE68" s="774"/>
      <c r="AF68" s="774"/>
      <c r="AG68" s="774"/>
      <c r="AH68" s="774"/>
      <c r="AI68" s="774"/>
      <c r="AJ68" s="774"/>
      <c r="AK68" s="774"/>
      <c r="AL68" s="774"/>
      <c r="AM68" s="774"/>
      <c r="AN68" s="774"/>
      <c r="AO68" s="774"/>
      <c r="AP68" s="774"/>
      <c r="AQ68" s="774"/>
      <c r="AR68" s="774"/>
      <c r="AS68" s="774"/>
      <c r="AT68" s="774"/>
      <c r="AU68" s="600"/>
      <c r="AV68" s="600"/>
      <c r="AW68" s="600"/>
      <c r="AX68" s="597"/>
      <c r="AY68" s="597"/>
      <c r="AZ68" s="214"/>
      <c r="BA68" s="490" t="str">
        <f t="shared" si="0"/>
        <v>SUM_CO2</v>
      </c>
      <c r="BB68" s="581" t="str">
        <f t="shared" si="1"/>
        <v>SUM_EnergyIN</v>
      </c>
      <c r="BC68" s="602"/>
      <c r="BD68" s="23"/>
    </row>
    <row r="69" spans="1:56" x14ac:dyDescent="0.2">
      <c r="A69" s="602"/>
      <c r="B69" s="214"/>
      <c r="C69" s="544">
        <v>46</v>
      </c>
      <c r="D69" s="596"/>
      <c r="E69" s="596"/>
      <c r="F69" s="597"/>
      <c r="G69" s="598"/>
      <c r="H69" s="597"/>
      <c r="I69" s="598"/>
      <c r="J69" s="597"/>
      <c r="K69" s="598"/>
      <c r="L69" s="598"/>
      <c r="M69" s="598"/>
      <c r="N69" s="597"/>
      <c r="O69" s="599"/>
      <c r="P69" s="597"/>
      <c r="Q69" s="599"/>
      <c r="R69" s="597"/>
      <c r="S69" s="599"/>
      <c r="T69" s="597"/>
      <c r="U69" s="599"/>
      <c r="V69" s="774"/>
      <c r="W69" s="774"/>
      <c r="X69" s="774"/>
      <c r="Y69" s="774"/>
      <c r="Z69" s="774"/>
      <c r="AA69" s="774"/>
      <c r="AB69" s="774"/>
      <c r="AC69" s="774"/>
      <c r="AD69" s="774"/>
      <c r="AE69" s="774"/>
      <c r="AF69" s="774"/>
      <c r="AG69" s="774"/>
      <c r="AH69" s="774"/>
      <c r="AI69" s="774"/>
      <c r="AJ69" s="774"/>
      <c r="AK69" s="774"/>
      <c r="AL69" s="774"/>
      <c r="AM69" s="774"/>
      <c r="AN69" s="774"/>
      <c r="AO69" s="774"/>
      <c r="AP69" s="774"/>
      <c r="AQ69" s="774"/>
      <c r="AR69" s="774"/>
      <c r="AS69" s="774"/>
      <c r="AT69" s="774"/>
      <c r="AU69" s="600"/>
      <c r="AV69" s="600"/>
      <c r="AW69" s="600"/>
      <c r="AX69" s="597"/>
      <c r="AY69" s="597"/>
      <c r="AZ69" s="214"/>
      <c r="BA69" s="490" t="str">
        <f t="shared" si="0"/>
        <v>SUM_CO2</v>
      </c>
      <c r="BB69" s="581" t="str">
        <f t="shared" si="1"/>
        <v>SUM_EnergyIN</v>
      </c>
      <c r="BC69" s="602"/>
      <c r="BD69" s="23"/>
    </row>
    <row r="70" spans="1:56" x14ac:dyDescent="0.2">
      <c r="A70" s="602"/>
      <c r="B70" s="214"/>
      <c r="C70" s="544">
        <v>47</v>
      </c>
      <c r="D70" s="596"/>
      <c r="E70" s="596"/>
      <c r="F70" s="597"/>
      <c r="G70" s="598"/>
      <c r="H70" s="597"/>
      <c r="I70" s="598"/>
      <c r="J70" s="597"/>
      <c r="K70" s="598"/>
      <c r="L70" s="598"/>
      <c r="M70" s="598"/>
      <c r="N70" s="597"/>
      <c r="O70" s="599"/>
      <c r="P70" s="597"/>
      <c r="Q70" s="599"/>
      <c r="R70" s="597"/>
      <c r="S70" s="599"/>
      <c r="T70" s="597"/>
      <c r="U70" s="599"/>
      <c r="V70" s="774"/>
      <c r="W70" s="774"/>
      <c r="X70" s="774"/>
      <c r="Y70" s="774"/>
      <c r="Z70" s="774"/>
      <c r="AA70" s="774"/>
      <c r="AB70" s="774"/>
      <c r="AC70" s="774"/>
      <c r="AD70" s="774"/>
      <c r="AE70" s="774"/>
      <c r="AF70" s="774"/>
      <c r="AG70" s="774"/>
      <c r="AH70" s="774"/>
      <c r="AI70" s="774"/>
      <c r="AJ70" s="774"/>
      <c r="AK70" s="774"/>
      <c r="AL70" s="774"/>
      <c r="AM70" s="774"/>
      <c r="AN70" s="774"/>
      <c r="AO70" s="774"/>
      <c r="AP70" s="774"/>
      <c r="AQ70" s="774"/>
      <c r="AR70" s="774"/>
      <c r="AS70" s="774"/>
      <c r="AT70" s="774"/>
      <c r="AU70" s="600"/>
      <c r="AV70" s="600"/>
      <c r="AW70" s="600"/>
      <c r="AX70" s="597"/>
      <c r="AY70" s="597"/>
      <c r="AZ70" s="214"/>
      <c r="BA70" s="490" t="str">
        <f t="shared" si="0"/>
        <v>SUM_CO2</v>
      </c>
      <c r="BB70" s="581" t="str">
        <f t="shared" si="1"/>
        <v>SUM_EnergyIN</v>
      </c>
      <c r="BC70" s="602"/>
      <c r="BD70" s="23"/>
    </row>
    <row r="71" spans="1:56" x14ac:dyDescent="0.2">
      <c r="A71" s="602"/>
      <c r="B71" s="214"/>
      <c r="C71" s="544">
        <v>48</v>
      </c>
      <c r="D71" s="596"/>
      <c r="E71" s="596"/>
      <c r="F71" s="597"/>
      <c r="G71" s="598"/>
      <c r="H71" s="597"/>
      <c r="I71" s="598"/>
      <c r="J71" s="597"/>
      <c r="K71" s="598"/>
      <c r="L71" s="598"/>
      <c r="M71" s="598"/>
      <c r="N71" s="597"/>
      <c r="O71" s="599"/>
      <c r="P71" s="597"/>
      <c r="Q71" s="599"/>
      <c r="R71" s="597"/>
      <c r="S71" s="599"/>
      <c r="T71" s="597"/>
      <c r="U71" s="599"/>
      <c r="V71" s="774"/>
      <c r="W71" s="774"/>
      <c r="X71" s="774"/>
      <c r="Y71" s="774"/>
      <c r="Z71" s="774"/>
      <c r="AA71" s="774"/>
      <c r="AB71" s="774"/>
      <c r="AC71" s="774"/>
      <c r="AD71" s="774"/>
      <c r="AE71" s="774"/>
      <c r="AF71" s="774"/>
      <c r="AG71" s="774"/>
      <c r="AH71" s="774"/>
      <c r="AI71" s="774"/>
      <c r="AJ71" s="774"/>
      <c r="AK71" s="774"/>
      <c r="AL71" s="774"/>
      <c r="AM71" s="774"/>
      <c r="AN71" s="774"/>
      <c r="AO71" s="774"/>
      <c r="AP71" s="774"/>
      <c r="AQ71" s="774"/>
      <c r="AR71" s="774"/>
      <c r="AS71" s="774"/>
      <c r="AT71" s="774"/>
      <c r="AU71" s="600"/>
      <c r="AV71" s="600"/>
      <c r="AW71" s="600"/>
      <c r="AX71" s="597"/>
      <c r="AY71" s="597"/>
      <c r="AZ71" s="214"/>
      <c r="BA71" s="490" t="str">
        <f t="shared" si="0"/>
        <v>SUM_CO2</v>
      </c>
      <c r="BB71" s="581" t="str">
        <f t="shared" si="1"/>
        <v>SUM_EnergyIN</v>
      </c>
      <c r="BC71" s="602"/>
      <c r="BD71" s="23"/>
    </row>
    <row r="72" spans="1:56" x14ac:dyDescent="0.2">
      <c r="A72" s="602"/>
      <c r="B72" s="214"/>
      <c r="C72" s="544">
        <v>49</v>
      </c>
      <c r="D72" s="596"/>
      <c r="E72" s="596"/>
      <c r="F72" s="597"/>
      <c r="G72" s="598"/>
      <c r="H72" s="597"/>
      <c r="I72" s="598"/>
      <c r="J72" s="597"/>
      <c r="K72" s="598"/>
      <c r="L72" s="598"/>
      <c r="M72" s="598"/>
      <c r="N72" s="597"/>
      <c r="O72" s="599"/>
      <c r="P72" s="597"/>
      <c r="Q72" s="599"/>
      <c r="R72" s="597"/>
      <c r="S72" s="599"/>
      <c r="T72" s="597"/>
      <c r="U72" s="599"/>
      <c r="V72" s="774"/>
      <c r="W72" s="774"/>
      <c r="X72" s="774"/>
      <c r="Y72" s="774"/>
      <c r="Z72" s="774"/>
      <c r="AA72" s="774"/>
      <c r="AB72" s="774"/>
      <c r="AC72" s="774"/>
      <c r="AD72" s="774"/>
      <c r="AE72" s="774"/>
      <c r="AF72" s="774"/>
      <c r="AG72" s="774"/>
      <c r="AH72" s="774"/>
      <c r="AI72" s="774"/>
      <c r="AJ72" s="774"/>
      <c r="AK72" s="774"/>
      <c r="AL72" s="774"/>
      <c r="AM72" s="774"/>
      <c r="AN72" s="774"/>
      <c r="AO72" s="774"/>
      <c r="AP72" s="774"/>
      <c r="AQ72" s="774"/>
      <c r="AR72" s="774"/>
      <c r="AS72" s="774"/>
      <c r="AT72" s="774"/>
      <c r="AU72" s="600"/>
      <c r="AV72" s="600"/>
      <c r="AW72" s="600"/>
      <c r="AX72" s="597"/>
      <c r="AY72" s="597"/>
      <c r="AZ72" s="214"/>
      <c r="BA72" s="490" t="str">
        <f t="shared" si="0"/>
        <v>SUM_CO2</v>
      </c>
      <c r="BB72" s="581" t="str">
        <f t="shared" si="1"/>
        <v>SUM_EnergyIN</v>
      </c>
      <c r="BC72" s="602"/>
      <c r="BD72" s="23"/>
    </row>
    <row r="73" spans="1:56" x14ac:dyDescent="0.2">
      <c r="A73" s="602"/>
      <c r="B73" s="214"/>
      <c r="C73" s="544">
        <v>50</v>
      </c>
      <c r="D73" s="596"/>
      <c r="E73" s="596"/>
      <c r="F73" s="597"/>
      <c r="G73" s="598"/>
      <c r="H73" s="597"/>
      <c r="I73" s="598"/>
      <c r="J73" s="597"/>
      <c r="K73" s="598"/>
      <c r="L73" s="598"/>
      <c r="M73" s="598"/>
      <c r="N73" s="597"/>
      <c r="O73" s="599"/>
      <c r="P73" s="597"/>
      <c r="Q73" s="599"/>
      <c r="R73" s="597"/>
      <c r="S73" s="599"/>
      <c r="T73" s="597"/>
      <c r="U73" s="599"/>
      <c r="V73" s="774"/>
      <c r="W73" s="774"/>
      <c r="X73" s="774"/>
      <c r="Y73" s="774"/>
      <c r="Z73" s="774"/>
      <c r="AA73" s="774"/>
      <c r="AB73" s="774"/>
      <c r="AC73" s="774"/>
      <c r="AD73" s="774"/>
      <c r="AE73" s="774"/>
      <c r="AF73" s="774"/>
      <c r="AG73" s="774"/>
      <c r="AH73" s="774"/>
      <c r="AI73" s="774"/>
      <c r="AJ73" s="774"/>
      <c r="AK73" s="774"/>
      <c r="AL73" s="774"/>
      <c r="AM73" s="774"/>
      <c r="AN73" s="774"/>
      <c r="AO73" s="774"/>
      <c r="AP73" s="774"/>
      <c r="AQ73" s="774"/>
      <c r="AR73" s="774"/>
      <c r="AS73" s="774"/>
      <c r="AT73" s="774"/>
      <c r="AU73" s="600"/>
      <c r="AV73" s="600"/>
      <c r="AW73" s="600"/>
      <c r="AX73" s="597"/>
      <c r="AY73" s="597"/>
      <c r="AZ73" s="214"/>
      <c r="BA73" s="490" t="str">
        <f t="shared" si="0"/>
        <v>SUM_CO2</v>
      </c>
      <c r="BB73" s="581" t="str">
        <f t="shared" si="1"/>
        <v>SUM_EnergyIN</v>
      </c>
      <c r="BC73" s="602"/>
      <c r="BD73" s="23"/>
    </row>
    <row r="74" spans="1:56" x14ac:dyDescent="0.2">
      <c r="A74" s="602"/>
      <c r="B74" s="214"/>
      <c r="C74" s="544">
        <v>51</v>
      </c>
      <c r="D74" s="596"/>
      <c r="E74" s="596"/>
      <c r="F74" s="597"/>
      <c r="G74" s="598"/>
      <c r="H74" s="597"/>
      <c r="I74" s="598"/>
      <c r="J74" s="597"/>
      <c r="K74" s="598"/>
      <c r="L74" s="598"/>
      <c r="M74" s="598"/>
      <c r="N74" s="597"/>
      <c r="O74" s="599"/>
      <c r="P74" s="597"/>
      <c r="Q74" s="599"/>
      <c r="R74" s="597"/>
      <c r="S74" s="599"/>
      <c r="T74" s="597"/>
      <c r="U74" s="599"/>
      <c r="V74" s="774"/>
      <c r="W74" s="774"/>
      <c r="X74" s="774"/>
      <c r="Y74" s="774"/>
      <c r="Z74" s="774"/>
      <c r="AA74" s="774"/>
      <c r="AB74" s="774"/>
      <c r="AC74" s="774"/>
      <c r="AD74" s="774"/>
      <c r="AE74" s="774"/>
      <c r="AF74" s="774"/>
      <c r="AG74" s="774"/>
      <c r="AH74" s="774"/>
      <c r="AI74" s="774"/>
      <c r="AJ74" s="774"/>
      <c r="AK74" s="774"/>
      <c r="AL74" s="774"/>
      <c r="AM74" s="774"/>
      <c r="AN74" s="774"/>
      <c r="AO74" s="774"/>
      <c r="AP74" s="774"/>
      <c r="AQ74" s="774"/>
      <c r="AR74" s="774"/>
      <c r="AS74" s="774"/>
      <c r="AT74" s="774"/>
      <c r="AU74" s="600"/>
      <c r="AV74" s="600"/>
      <c r="AW74" s="600"/>
      <c r="AX74" s="597"/>
      <c r="AY74" s="597"/>
      <c r="AZ74" s="214"/>
      <c r="BA74" s="490" t="str">
        <f t="shared" si="0"/>
        <v>SUM_CO2</v>
      </c>
      <c r="BB74" s="581" t="str">
        <f t="shared" si="1"/>
        <v>SUM_EnergyIN</v>
      </c>
      <c r="BC74" s="602"/>
      <c r="BD74" s="23"/>
    </row>
    <row r="75" spans="1:56" x14ac:dyDescent="0.2">
      <c r="A75" s="602"/>
      <c r="B75" s="214"/>
      <c r="C75" s="544">
        <v>52</v>
      </c>
      <c r="D75" s="596"/>
      <c r="E75" s="596"/>
      <c r="F75" s="597"/>
      <c r="G75" s="598"/>
      <c r="H75" s="597"/>
      <c r="I75" s="598"/>
      <c r="J75" s="597"/>
      <c r="K75" s="598"/>
      <c r="L75" s="598"/>
      <c r="M75" s="598"/>
      <c r="N75" s="597"/>
      <c r="O75" s="599"/>
      <c r="P75" s="597"/>
      <c r="Q75" s="599"/>
      <c r="R75" s="597"/>
      <c r="S75" s="599"/>
      <c r="T75" s="597"/>
      <c r="U75" s="599"/>
      <c r="V75" s="774"/>
      <c r="W75" s="774"/>
      <c r="X75" s="774"/>
      <c r="Y75" s="774"/>
      <c r="Z75" s="774"/>
      <c r="AA75" s="774"/>
      <c r="AB75" s="774"/>
      <c r="AC75" s="774"/>
      <c r="AD75" s="774"/>
      <c r="AE75" s="774"/>
      <c r="AF75" s="774"/>
      <c r="AG75" s="774"/>
      <c r="AH75" s="774"/>
      <c r="AI75" s="774"/>
      <c r="AJ75" s="774"/>
      <c r="AK75" s="774"/>
      <c r="AL75" s="774"/>
      <c r="AM75" s="774"/>
      <c r="AN75" s="774"/>
      <c r="AO75" s="774"/>
      <c r="AP75" s="774"/>
      <c r="AQ75" s="774"/>
      <c r="AR75" s="774"/>
      <c r="AS75" s="774"/>
      <c r="AT75" s="774"/>
      <c r="AU75" s="600"/>
      <c r="AV75" s="600"/>
      <c r="AW75" s="600"/>
      <c r="AX75" s="597"/>
      <c r="AY75" s="597"/>
      <c r="AZ75" s="214"/>
      <c r="BA75" s="490" t="str">
        <f t="shared" si="0"/>
        <v>SUM_CO2</v>
      </c>
      <c r="BB75" s="581" t="str">
        <f t="shared" si="1"/>
        <v>SUM_EnergyIN</v>
      </c>
      <c r="BC75" s="602"/>
      <c r="BD75" s="23"/>
    </row>
    <row r="76" spans="1:56" x14ac:dyDescent="0.2">
      <c r="A76" s="602"/>
      <c r="B76" s="214"/>
      <c r="C76" s="544">
        <v>53</v>
      </c>
      <c r="D76" s="596"/>
      <c r="E76" s="596"/>
      <c r="F76" s="597"/>
      <c r="G76" s="598"/>
      <c r="H76" s="597"/>
      <c r="I76" s="598"/>
      <c r="J76" s="597"/>
      <c r="K76" s="598"/>
      <c r="L76" s="598"/>
      <c r="M76" s="598"/>
      <c r="N76" s="597"/>
      <c r="O76" s="599"/>
      <c r="P76" s="597"/>
      <c r="Q76" s="599"/>
      <c r="R76" s="597"/>
      <c r="S76" s="599"/>
      <c r="T76" s="597"/>
      <c r="U76" s="599"/>
      <c r="V76" s="774"/>
      <c r="W76" s="774"/>
      <c r="X76" s="774"/>
      <c r="Y76" s="774"/>
      <c r="Z76" s="774"/>
      <c r="AA76" s="774"/>
      <c r="AB76" s="774"/>
      <c r="AC76" s="774"/>
      <c r="AD76" s="774"/>
      <c r="AE76" s="774"/>
      <c r="AF76" s="774"/>
      <c r="AG76" s="774"/>
      <c r="AH76" s="774"/>
      <c r="AI76" s="774"/>
      <c r="AJ76" s="774"/>
      <c r="AK76" s="774"/>
      <c r="AL76" s="774"/>
      <c r="AM76" s="774"/>
      <c r="AN76" s="774"/>
      <c r="AO76" s="774"/>
      <c r="AP76" s="774"/>
      <c r="AQ76" s="774"/>
      <c r="AR76" s="774"/>
      <c r="AS76" s="774"/>
      <c r="AT76" s="774"/>
      <c r="AU76" s="600"/>
      <c r="AV76" s="600"/>
      <c r="AW76" s="600"/>
      <c r="AX76" s="597"/>
      <c r="AY76" s="597"/>
      <c r="AZ76" s="214"/>
      <c r="BA76" s="490" t="str">
        <f t="shared" si="0"/>
        <v>SUM_CO2</v>
      </c>
      <c r="BB76" s="581" t="str">
        <f t="shared" si="1"/>
        <v>SUM_EnergyIN</v>
      </c>
      <c r="BC76" s="602"/>
      <c r="BD76" s="23"/>
    </row>
    <row r="77" spans="1:56" x14ac:dyDescent="0.2">
      <c r="A77" s="602"/>
      <c r="B77" s="214"/>
      <c r="C77" s="544">
        <v>54</v>
      </c>
      <c r="D77" s="596"/>
      <c r="E77" s="596"/>
      <c r="F77" s="597"/>
      <c r="G77" s="598"/>
      <c r="H77" s="597"/>
      <c r="I77" s="598"/>
      <c r="J77" s="597"/>
      <c r="K77" s="598"/>
      <c r="L77" s="598"/>
      <c r="M77" s="598"/>
      <c r="N77" s="597"/>
      <c r="O77" s="599"/>
      <c r="P77" s="597"/>
      <c r="Q77" s="599"/>
      <c r="R77" s="597"/>
      <c r="S77" s="599"/>
      <c r="T77" s="597"/>
      <c r="U77" s="599"/>
      <c r="V77" s="774"/>
      <c r="W77" s="774"/>
      <c r="X77" s="774"/>
      <c r="Y77" s="774"/>
      <c r="Z77" s="774"/>
      <c r="AA77" s="774"/>
      <c r="AB77" s="774"/>
      <c r="AC77" s="774"/>
      <c r="AD77" s="774"/>
      <c r="AE77" s="774"/>
      <c r="AF77" s="774"/>
      <c r="AG77" s="774"/>
      <c r="AH77" s="774"/>
      <c r="AI77" s="774"/>
      <c r="AJ77" s="774"/>
      <c r="AK77" s="774"/>
      <c r="AL77" s="774"/>
      <c r="AM77" s="774"/>
      <c r="AN77" s="774"/>
      <c r="AO77" s="774"/>
      <c r="AP77" s="774"/>
      <c r="AQ77" s="774"/>
      <c r="AR77" s="774"/>
      <c r="AS77" s="774"/>
      <c r="AT77" s="774"/>
      <c r="AU77" s="600"/>
      <c r="AV77" s="600"/>
      <c r="AW77" s="600"/>
      <c r="AX77" s="597"/>
      <c r="AY77" s="597"/>
      <c r="AZ77" s="214"/>
      <c r="BA77" s="490" t="str">
        <f t="shared" si="0"/>
        <v>SUM_CO2</v>
      </c>
      <c r="BB77" s="581" t="str">
        <f t="shared" si="1"/>
        <v>SUM_EnergyIN</v>
      </c>
      <c r="BC77" s="602"/>
      <c r="BD77" s="23"/>
    </row>
    <row r="78" spans="1:56" x14ac:dyDescent="0.2">
      <c r="A78" s="602"/>
      <c r="B78" s="214"/>
      <c r="C78" s="544">
        <v>55</v>
      </c>
      <c r="D78" s="596"/>
      <c r="E78" s="596"/>
      <c r="F78" s="597"/>
      <c r="G78" s="598"/>
      <c r="H78" s="597"/>
      <c r="I78" s="598"/>
      <c r="J78" s="597"/>
      <c r="K78" s="598"/>
      <c r="L78" s="598"/>
      <c r="M78" s="598"/>
      <c r="N78" s="597"/>
      <c r="O78" s="599"/>
      <c r="P78" s="597"/>
      <c r="Q78" s="599"/>
      <c r="R78" s="597"/>
      <c r="S78" s="599"/>
      <c r="T78" s="597"/>
      <c r="U78" s="599"/>
      <c r="V78" s="774"/>
      <c r="W78" s="774"/>
      <c r="X78" s="774"/>
      <c r="Y78" s="774"/>
      <c r="Z78" s="774"/>
      <c r="AA78" s="774"/>
      <c r="AB78" s="774"/>
      <c r="AC78" s="774"/>
      <c r="AD78" s="774"/>
      <c r="AE78" s="774"/>
      <c r="AF78" s="774"/>
      <c r="AG78" s="774"/>
      <c r="AH78" s="774"/>
      <c r="AI78" s="774"/>
      <c r="AJ78" s="774"/>
      <c r="AK78" s="774"/>
      <c r="AL78" s="774"/>
      <c r="AM78" s="774"/>
      <c r="AN78" s="774"/>
      <c r="AO78" s="774"/>
      <c r="AP78" s="774"/>
      <c r="AQ78" s="774"/>
      <c r="AR78" s="774"/>
      <c r="AS78" s="774"/>
      <c r="AT78" s="774"/>
      <c r="AU78" s="600"/>
      <c r="AV78" s="600"/>
      <c r="AW78" s="600"/>
      <c r="AX78" s="597"/>
      <c r="AY78" s="597"/>
      <c r="AZ78" s="214"/>
      <c r="BA78" s="490" t="str">
        <f t="shared" si="0"/>
        <v>SUM_CO2</v>
      </c>
      <c r="BB78" s="581" t="str">
        <f t="shared" si="1"/>
        <v>SUM_EnergyIN</v>
      </c>
      <c r="BC78" s="602"/>
      <c r="BD78" s="23"/>
    </row>
    <row r="79" spans="1:56" x14ac:dyDescent="0.2">
      <c r="A79" s="602"/>
      <c r="B79" s="214"/>
      <c r="C79" s="544">
        <v>56</v>
      </c>
      <c r="D79" s="596"/>
      <c r="E79" s="596"/>
      <c r="F79" s="597"/>
      <c r="G79" s="598"/>
      <c r="H79" s="597"/>
      <c r="I79" s="598"/>
      <c r="J79" s="597"/>
      <c r="K79" s="598"/>
      <c r="L79" s="598"/>
      <c r="M79" s="598"/>
      <c r="N79" s="597"/>
      <c r="O79" s="599"/>
      <c r="P79" s="597"/>
      <c r="Q79" s="599"/>
      <c r="R79" s="597"/>
      <c r="S79" s="599"/>
      <c r="T79" s="597"/>
      <c r="U79" s="599"/>
      <c r="V79" s="774"/>
      <c r="W79" s="774"/>
      <c r="X79" s="774"/>
      <c r="Y79" s="774"/>
      <c r="Z79" s="774"/>
      <c r="AA79" s="774"/>
      <c r="AB79" s="774"/>
      <c r="AC79" s="774"/>
      <c r="AD79" s="774"/>
      <c r="AE79" s="774"/>
      <c r="AF79" s="774"/>
      <c r="AG79" s="774"/>
      <c r="AH79" s="774"/>
      <c r="AI79" s="774"/>
      <c r="AJ79" s="774"/>
      <c r="AK79" s="774"/>
      <c r="AL79" s="774"/>
      <c r="AM79" s="774"/>
      <c r="AN79" s="774"/>
      <c r="AO79" s="774"/>
      <c r="AP79" s="774"/>
      <c r="AQ79" s="774"/>
      <c r="AR79" s="774"/>
      <c r="AS79" s="774"/>
      <c r="AT79" s="774"/>
      <c r="AU79" s="600"/>
      <c r="AV79" s="600"/>
      <c r="AW79" s="600"/>
      <c r="AX79" s="597"/>
      <c r="AY79" s="597"/>
      <c r="AZ79" s="214"/>
      <c r="BA79" s="490" t="str">
        <f t="shared" si="0"/>
        <v>SUM_CO2</v>
      </c>
      <c r="BB79" s="581" t="str">
        <f t="shared" si="1"/>
        <v>SUM_EnergyIN</v>
      </c>
      <c r="BC79" s="602"/>
      <c r="BD79" s="23"/>
    </row>
    <row r="80" spans="1:56" x14ac:dyDescent="0.2">
      <c r="A80" s="602"/>
      <c r="B80" s="214"/>
      <c r="C80" s="544">
        <v>57</v>
      </c>
      <c r="D80" s="596"/>
      <c r="E80" s="596"/>
      <c r="F80" s="597"/>
      <c r="G80" s="598"/>
      <c r="H80" s="597"/>
      <c r="I80" s="598"/>
      <c r="J80" s="597"/>
      <c r="K80" s="598"/>
      <c r="L80" s="598"/>
      <c r="M80" s="598"/>
      <c r="N80" s="597"/>
      <c r="O80" s="599"/>
      <c r="P80" s="597"/>
      <c r="Q80" s="599"/>
      <c r="R80" s="597"/>
      <c r="S80" s="599"/>
      <c r="T80" s="597"/>
      <c r="U80" s="599"/>
      <c r="V80" s="774"/>
      <c r="W80" s="774"/>
      <c r="X80" s="774"/>
      <c r="Y80" s="774"/>
      <c r="Z80" s="774"/>
      <c r="AA80" s="774"/>
      <c r="AB80" s="774"/>
      <c r="AC80" s="774"/>
      <c r="AD80" s="774"/>
      <c r="AE80" s="774"/>
      <c r="AF80" s="774"/>
      <c r="AG80" s="774"/>
      <c r="AH80" s="774"/>
      <c r="AI80" s="774"/>
      <c r="AJ80" s="774"/>
      <c r="AK80" s="774"/>
      <c r="AL80" s="774"/>
      <c r="AM80" s="774"/>
      <c r="AN80" s="774"/>
      <c r="AO80" s="774"/>
      <c r="AP80" s="774"/>
      <c r="AQ80" s="774"/>
      <c r="AR80" s="774"/>
      <c r="AS80" s="774"/>
      <c r="AT80" s="774"/>
      <c r="AU80" s="600"/>
      <c r="AV80" s="600"/>
      <c r="AW80" s="600"/>
      <c r="AX80" s="597"/>
      <c r="AY80" s="597"/>
      <c r="AZ80" s="214"/>
      <c r="BA80" s="490" t="str">
        <f t="shared" si="0"/>
        <v>SUM_CO2</v>
      </c>
      <c r="BB80" s="581" t="str">
        <f t="shared" si="1"/>
        <v>SUM_EnergyIN</v>
      </c>
      <c r="BC80" s="602"/>
      <c r="BD80" s="23"/>
    </row>
    <row r="81" spans="1:56" x14ac:dyDescent="0.2">
      <c r="A81" s="602"/>
      <c r="B81" s="214"/>
      <c r="C81" s="544">
        <v>58</v>
      </c>
      <c r="D81" s="596"/>
      <c r="E81" s="596"/>
      <c r="F81" s="597"/>
      <c r="G81" s="598"/>
      <c r="H81" s="597"/>
      <c r="I81" s="598"/>
      <c r="J81" s="597"/>
      <c r="K81" s="598"/>
      <c r="L81" s="598"/>
      <c r="M81" s="598"/>
      <c r="N81" s="597"/>
      <c r="O81" s="599"/>
      <c r="P81" s="597"/>
      <c r="Q81" s="599"/>
      <c r="R81" s="597"/>
      <c r="S81" s="599"/>
      <c r="T81" s="597"/>
      <c r="U81" s="599"/>
      <c r="V81" s="774"/>
      <c r="W81" s="774"/>
      <c r="X81" s="774"/>
      <c r="Y81" s="774"/>
      <c r="Z81" s="774"/>
      <c r="AA81" s="774"/>
      <c r="AB81" s="774"/>
      <c r="AC81" s="774"/>
      <c r="AD81" s="774"/>
      <c r="AE81" s="774"/>
      <c r="AF81" s="774"/>
      <c r="AG81" s="774"/>
      <c r="AH81" s="774"/>
      <c r="AI81" s="774"/>
      <c r="AJ81" s="774"/>
      <c r="AK81" s="774"/>
      <c r="AL81" s="774"/>
      <c r="AM81" s="774"/>
      <c r="AN81" s="774"/>
      <c r="AO81" s="774"/>
      <c r="AP81" s="774"/>
      <c r="AQ81" s="774"/>
      <c r="AR81" s="774"/>
      <c r="AS81" s="774"/>
      <c r="AT81" s="774"/>
      <c r="AU81" s="600"/>
      <c r="AV81" s="600"/>
      <c r="AW81" s="600"/>
      <c r="AX81" s="597"/>
      <c r="AY81" s="597"/>
      <c r="AZ81" s="214"/>
      <c r="BA81" s="490" t="str">
        <f t="shared" si="0"/>
        <v>SUM_CO2</v>
      </c>
      <c r="BB81" s="581" t="str">
        <f t="shared" si="1"/>
        <v>SUM_EnergyIN</v>
      </c>
      <c r="BC81" s="602"/>
      <c r="BD81" s="23"/>
    </row>
    <row r="82" spans="1:56" x14ac:dyDescent="0.2">
      <c r="A82" s="602"/>
      <c r="B82" s="214"/>
      <c r="C82" s="544">
        <v>59</v>
      </c>
      <c r="D82" s="596"/>
      <c r="E82" s="596"/>
      <c r="F82" s="597"/>
      <c r="G82" s="598"/>
      <c r="H82" s="597"/>
      <c r="I82" s="598"/>
      <c r="J82" s="597"/>
      <c r="K82" s="598"/>
      <c r="L82" s="598"/>
      <c r="M82" s="598"/>
      <c r="N82" s="597"/>
      <c r="O82" s="599"/>
      <c r="P82" s="597"/>
      <c r="Q82" s="599"/>
      <c r="R82" s="597"/>
      <c r="S82" s="599"/>
      <c r="T82" s="597"/>
      <c r="U82" s="599"/>
      <c r="V82" s="774"/>
      <c r="W82" s="774"/>
      <c r="X82" s="774"/>
      <c r="Y82" s="774"/>
      <c r="Z82" s="774"/>
      <c r="AA82" s="774"/>
      <c r="AB82" s="774"/>
      <c r="AC82" s="774"/>
      <c r="AD82" s="774"/>
      <c r="AE82" s="774"/>
      <c r="AF82" s="774"/>
      <c r="AG82" s="774"/>
      <c r="AH82" s="774"/>
      <c r="AI82" s="774"/>
      <c r="AJ82" s="774"/>
      <c r="AK82" s="774"/>
      <c r="AL82" s="774"/>
      <c r="AM82" s="774"/>
      <c r="AN82" s="774"/>
      <c r="AO82" s="774"/>
      <c r="AP82" s="774"/>
      <c r="AQ82" s="774"/>
      <c r="AR82" s="774"/>
      <c r="AS82" s="774"/>
      <c r="AT82" s="774"/>
      <c r="AU82" s="600"/>
      <c r="AV82" s="600"/>
      <c r="AW82" s="600"/>
      <c r="AX82" s="597"/>
      <c r="AY82" s="597"/>
      <c r="AZ82" s="214"/>
      <c r="BA82" s="490" t="str">
        <f t="shared" si="0"/>
        <v>SUM_CO2</v>
      </c>
      <c r="BB82" s="581" t="str">
        <f t="shared" si="1"/>
        <v>SUM_EnergyIN</v>
      </c>
      <c r="BC82" s="602"/>
      <c r="BD82" s="23"/>
    </row>
    <row r="83" spans="1:56" x14ac:dyDescent="0.2">
      <c r="A83" s="602"/>
      <c r="B83" s="214"/>
      <c r="C83" s="544">
        <v>60</v>
      </c>
      <c r="D83" s="596"/>
      <c r="E83" s="596"/>
      <c r="F83" s="597"/>
      <c r="G83" s="598"/>
      <c r="H83" s="597"/>
      <c r="I83" s="598"/>
      <c r="J83" s="597"/>
      <c r="K83" s="598"/>
      <c r="L83" s="598"/>
      <c r="M83" s="598"/>
      <c r="N83" s="597"/>
      <c r="O83" s="599"/>
      <c r="P83" s="597"/>
      <c r="Q83" s="599"/>
      <c r="R83" s="597"/>
      <c r="S83" s="599"/>
      <c r="T83" s="597"/>
      <c r="U83" s="599"/>
      <c r="V83" s="774"/>
      <c r="W83" s="774"/>
      <c r="X83" s="774"/>
      <c r="Y83" s="774"/>
      <c r="Z83" s="774"/>
      <c r="AA83" s="774"/>
      <c r="AB83" s="774"/>
      <c r="AC83" s="774"/>
      <c r="AD83" s="774"/>
      <c r="AE83" s="774"/>
      <c r="AF83" s="774"/>
      <c r="AG83" s="774"/>
      <c r="AH83" s="774"/>
      <c r="AI83" s="774"/>
      <c r="AJ83" s="774"/>
      <c r="AK83" s="774"/>
      <c r="AL83" s="774"/>
      <c r="AM83" s="774"/>
      <c r="AN83" s="774"/>
      <c r="AO83" s="774"/>
      <c r="AP83" s="774"/>
      <c r="AQ83" s="774"/>
      <c r="AR83" s="774"/>
      <c r="AS83" s="774"/>
      <c r="AT83" s="774"/>
      <c r="AU83" s="600"/>
      <c r="AV83" s="600"/>
      <c r="AW83" s="600"/>
      <c r="AX83" s="597"/>
      <c r="AY83" s="597"/>
      <c r="AZ83" s="214"/>
      <c r="BA83" s="490" t="str">
        <f t="shared" si="0"/>
        <v>SUM_CO2</v>
      </c>
      <c r="BB83" s="581" t="str">
        <f t="shared" si="1"/>
        <v>SUM_EnergyIN</v>
      </c>
      <c r="BC83" s="602"/>
      <c r="BD83" s="23"/>
    </row>
    <row r="84" spans="1:56" x14ac:dyDescent="0.2">
      <c r="A84" s="602"/>
      <c r="B84" s="214"/>
      <c r="C84" s="544">
        <v>61</v>
      </c>
      <c r="D84" s="596"/>
      <c r="E84" s="596"/>
      <c r="F84" s="597"/>
      <c r="G84" s="598"/>
      <c r="H84" s="597"/>
      <c r="I84" s="598"/>
      <c r="J84" s="597"/>
      <c r="K84" s="598"/>
      <c r="L84" s="598"/>
      <c r="M84" s="598"/>
      <c r="N84" s="597"/>
      <c r="O84" s="599"/>
      <c r="P84" s="597"/>
      <c r="Q84" s="599"/>
      <c r="R84" s="597"/>
      <c r="S84" s="599"/>
      <c r="T84" s="597"/>
      <c r="U84" s="599"/>
      <c r="V84" s="774"/>
      <c r="W84" s="774"/>
      <c r="X84" s="774"/>
      <c r="Y84" s="774"/>
      <c r="Z84" s="774"/>
      <c r="AA84" s="774"/>
      <c r="AB84" s="774"/>
      <c r="AC84" s="774"/>
      <c r="AD84" s="774"/>
      <c r="AE84" s="774"/>
      <c r="AF84" s="774"/>
      <c r="AG84" s="774"/>
      <c r="AH84" s="774"/>
      <c r="AI84" s="774"/>
      <c r="AJ84" s="774"/>
      <c r="AK84" s="774"/>
      <c r="AL84" s="774"/>
      <c r="AM84" s="774"/>
      <c r="AN84" s="774"/>
      <c r="AO84" s="774"/>
      <c r="AP84" s="774"/>
      <c r="AQ84" s="774"/>
      <c r="AR84" s="774"/>
      <c r="AS84" s="774"/>
      <c r="AT84" s="774"/>
      <c r="AU84" s="600"/>
      <c r="AV84" s="600"/>
      <c r="AW84" s="600"/>
      <c r="AX84" s="597"/>
      <c r="AY84" s="597"/>
      <c r="AZ84" s="214"/>
      <c r="BA84" s="490" t="str">
        <f t="shared" si="0"/>
        <v>SUM_CO2</v>
      </c>
      <c r="BB84" s="581" t="str">
        <f t="shared" si="1"/>
        <v>SUM_EnergyIN</v>
      </c>
      <c r="BC84" s="602"/>
      <c r="BD84" s="23"/>
    </row>
    <row r="85" spans="1:56" x14ac:dyDescent="0.2">
      <c r="A85" s="602"/>
      <c r="B85" s="214"/>
      <c r="C85" s="544">
        <v>62</v>
      </c>
      <c r="D85" s="596"/>
      <c r="E85" s="596"/>
      <c r="F85" s="597"/>
      <c r="G85" s="598"/>
      <c r="H85" s="597"/>
      <c r="I85" s="598"/>
      <c r="J85" s="597"/>
      <c r="K85" s="598"/>
      <c r="L85" s="598"/>
      <c r="M85" s="598"/>
      <c r="N85" s="597"/>
      <c r="O85" s="599"/>
      <c r="P85" s="597"/>
      <c r="Q85" s="599"/>
      <c r="R85" s="597"/>
      <c r="S85" s="599"/>
      <c r="T85" s="597"/>
      <c r="U85" s="599"/>
      <c r="V85" s="774"/>
      <c r="W85" s="774"/>
      <c r="X85" s="774"/>
      <c r="Y85" s="774"/>
      <c r="Z85" s="774"/>
      <c r="AA85" s="774"/>
      <c r="AB85" s="774"/>
      <c r="AC85" s="774"/>
      <c r="AD85" s="774"/>
      <c r="AE85" s="774"/>
      <c r="AF85" s="774"/>
      <c r="AG85" s="774"/>
      <c r="AH85" s="774"/>
      <c r="AI85" s="774"/>
      <c r="AJ85" s="774"/>
      <c r="AK85" s="774"/>
      <c r="AL85" s="774"/>
      <c r="AM85" s="774"/>
      <c r="AN85" s="774"/>
      <c r="AO85" s="774"/>
      <c r="AP85" s="774"/>
      <c r="AQ85" s="774"/>
      <c r="AR85" s="774"/>
      <c r="AS85" s="774"/>
      <c r="AT85" s="774"/>
      <c r="AU85" s="600"/>
      <c r="AV85" s="600"/>
      <c r="AW85" s="600"/>
      <c r="AX85" s="597"/>
      <c r="AY85" s="597"/>
      <c r="AZ85" s="214"/>
      <c r="BA85" s="490" t="str">
        <f t="shared" si="0"/>
        <v>SUM_CO2</v>
      </c>
      <c r="BB85" s="581" t="str">
        <f t="shared" si="1"/>
        <v>SUM_EnergyIN</v>
      </c>
      <c r="BC85" s="602"/>
      <c r="BD85" s="23"/>
    </row>
    <row r="86" spans="1:56" x14ac:dyDescent="0.2">
      <c r="A86" s="602"/>
      <c r="B86" s="214"/>
      <c r="C86" s="544">
        <v>63</v>
      </c>
      <c r="D86" s="596"/>
      <c r="E86" s="596"/>
      <c r="F86" s="597"/>
      <c r="G86" s="598"/>
      <c r="H86" s="597"/>
      <c r="I86" s="598"/>
      <c r="J86" s="597"/>
      <c r="K86" s="598"/>
      <c r="L86" s="598"/>
      <c r="M86" s="598"/>
      <c r="N86" s="597"/>
      <c r="O86" s="599"/>
      <c r="P86" s="597"/>
      <c r="Q86" s="599"/>
      <c r="R86" s="597"/>
      <c r="S86" s="599"/>
      <c r="T86" s="597"/>
      <c r="U86" s="599"/>
      <c r="V86" s="774"/>
      <c r="W86" s="774"/>
      <c r="X86" s="774"/>
      <c r="Y86" s="774"/>
      <c r="Z86" s="774"/>
      <c r="AA86" s="774"/>
      <c r="AB86" s="774"/>
      <c r="AC86" s="774"/>
      <c r="AD86" s="774"/>
      <c r="AE86" s="774"/>
      <c r="AF86" s="774"/>
      <c r="AG86" s="774"/>
      <c r="AH86" s="774"/>
      <c r="AI86" s="774"/>
      <c r="AJ86" s="774"/>
      <c r="AK86" s="774"/>
      <c r="AL86" s="774"/>
      <c r="AM86" s="774"/>
      <c r="AN86" s="774"/>
      <c r="AO86" s="774"/>
      <c r="AP86" s="774"/>
      <c r="AQ86" s="774"/>
      <c r="AR86" s="774"/>
      <c r="AS86" s="774"/>
      <c r="AT86" s="774"/>
      <c r="AU86" s="600"/>
      <c r="AV86" s="600"/>
      <c r="AW86" s="600"/>
      <c r="AX86" s="597"/>
      <c r="AY86" s="597"/>
      <c r="AZ86" s="214"/>
      <c r="BA86" s="490" t="str">
        <f t="shared" si="0"/>
        <v>SUM_CO2</v>
      </c>
      <c r="BB86" s="581" t="str">
        <f t="shared" si="1"/>
        <v>SUM_EnergyIN</v>
      </c>
      <c r="BC86" s="602"/>
      <c r="BD86" s="23"/>
    </row>
    <row r="87" spans="1:56" x14ac:dyDescent="0.2">
      <c r="A87" s="602"/>
      <c r="B87" s="214"/>
      <c r="C87" s="544">
        <v>64</v>
      </c>
      <c r="D87" s="596"/>
      <c r="E87" s="596"/>
      <c r="F87" s="597"/>
      <c r="G87" s="598"/>
      <c r="H87" s="597"/>
      <c r="I87" s="598"/>
      <c r="J87" s="597"/>
      <c r="K87" s="598"/>
      <c r="L87" s="598"/>
      <c r="M87" s="598"/>
      <c r="N87" s="597"/>
      <c r="O87" s="599"/>
      <c r="P87" s="597"/>
      <c r="Q87" s="599"/>
      <c r="R87" s="597"/>
      <c r="S87" s="599"/>
      <c r="T87" s="597"/>
      <c r="U87" s="599"/>
      <c r="V87" s="774"/>
      <c r="W87" s="774"/>
      <c r="X87" s="774"/>
      <c r="Y87" s="774"/>
      <c r="Z87" s="774"/>
      <c r="AA87" s="774"/>
      <c r="AB87" s="774"/>
      <c r="AC87" s="774"/>
      <c r="AD87" s="774"/>
      <c r="AE87" s="774"/>
      <c r="AF87" s="774"/>
      <c r="AG87" s="774"/>
      <c r="AH87" s="774"/>
      <c r="AI87" s="774"/>
      <c r="AJ87" s="774"/>
      <c r="AK87" s="774"/>
      <c r="AL87" s="774"/>
      <c r="AM87" s="774"/>
      <c r="AN87" s="774"/>
      <c r="AO87" s="774"/>
      <c r="AP87" s="774"/>
      <c r="AQ87" s="774"/>
      <c r="AR87" s="774"/>
      <c r="AS87" s="774"/>
      <c r="AT87" s="774"/>
      <c r="AU87" s="600"/>
      <c r="AV87" s="600"/>
      <c r="AW87" s="600"/>
      <c r="AX87" s="597"/>
      <c r="AY87" s="597"/>
      <c r="AZ87" s="214"/>
      <c r="BA87" s="490" t="str">
        <f t="shared" si="0"/>
        <v>SUM_CO2</v>
      </c>
      <c r="BB87" s="581" t="str">
        <f t="shared" si="1"/>
        <v>SUM_EnergyIN</v>
      </c>
      <c r="BC87" s="602"/>
      <c r="BD87" s="23"/>
    </row>
    <row r="88" spans="1:56" x14ac:dyDescent="0.2">
      <c r="A88" s="602"/>
      <c r="B88" s="214"/>
      <c r="C88" s="544">
        <v>65</v>
      </c>
      <c r="D88" s="596"/>
      <c r="E88" s="596"/>
      <c r="F88" s="597"/>
      <c r="G88" s="598"/>
      <c r="H88" s="597"/>
      <c r="I88" s="598"/>
      <c r="J88" s="597"/>
      <c r="K88" s="598"/>
      <c r="L88" s="598"/>
      <c r="M88" s="598"/>
      <c r="N88" s="597"/>
      <c r="O88" s="599"/>
      <c r="P88" s="597"/>
      <c r="Q88" s="599"/>
      <c r="R88" s="597"/>
      <c r="S88" s="599"/>
      <c r="T88" s="597"/>
      <c r="U88" s="599"/>
      <c r="V88" s="774"/>
      <c r="W88" s="774"/>
      <c r="X88" s="774"/>
      <c r="Y88" s="774"/>
      <c r="Z88" s="774"/>
      <c r="AA88" s="774"/>
      <c r="AB88" s="774"/>
      <c r="AC88" s="774"/>
      <c r="AD88" s="774"/>
      <c r="AE88" s="774"/>
      <c r="AF88" s="774"/>
      <c r="AG88" s="774"/>
      <c r="AH88" s="774"/>
      <c r="AI88" s="774"/>
      <c r="AJ88" s="774"/>
      <c r="AK88" s="774"/>
      <c r="AL88" s="774"/>
      <c r="AM88" s="774"/>
      <c r="AN88" s="774"/>
      <c r="AO88" s="774"/>
      <c r="AP88" s="774"/>
      <c r="AQ88" s="774"/>
      <c r="AR88" s="774"/>
      <c r="AS88" s="774"/>
      <c r="AT88" s="774"/>
      <c r="AU88" s="600"/>
      <c r="AV88" s="600"/>
      <c r="AW88" s="600"/>
      <c r="AX88" s="597"/>
      <c r="AY88" s="597"/>
      <c r="AZ88" s="214"/>
      <c r="BA88" s="490" t="str">
        <f t="shared" ref="BA88:BA98" si="2">EUconst_SumCO2</f>
        <v>SUM_CO2</v>
      </c>
      <c r="BB88" s="581" t="str">
        <f t="shared" ref="BB88:BB98" si="3">EUconst_SumEnergyIN</f>
        <v>SUM_EnergyIN</v>
      </c>
      <c r="BC88" s="602"/>
      <c r="BD88" s="23"/>
    </row>
    <row r="89" spans="1:56" x14ac:dyDescent="0.2">
      <c r="A89" s="602"/>
      <c r="B89" s="214"/>
      <c r="C89" s="544">
        <v>66</v>
      </c>
      <c r="D89" s="596"/>
      <c r="E89" s="596"/>
      <c r="F89" s="597"/>
      <c r="G89" s="598"/>
      <c r="H89" s="597"/>
      <c r="I89" s="598"/>
      <c r="J89" s="597"/>
      <c r="K89" s="598"/>
      <c r="L89" s="598"/>
      <c r="M89" s="598"/>
      <c r="N89" s="597"/>
      <c r="O89" s="599"/>
      <c r="P89" s="597"/>
      <c r="Q89" s="599"/>
      <c r="R89" s="597"/>
      <c r="S89" s="599"/>
      <c r="T89" s="597"/>
      <c r="U89" s="599"/>
      <c r="V89" s="774"/>
      <c r="W89" s="774"/>
      <c r="X89" s="774"/>
      <c r="Y89" s="774"/>
      <c r="Z89" s="774"/>
      <c r="AA89" s="774"/>
      <c r="AB89" s="774"/>
      <c r="AC89" s="774"/>
      <c r="AD89" s="774"/>
      <c r="AE89" s="774"/>
      <c r="AF89" s="774"/>
      <c r="AG89" s="774"/>
      <c r="AH89" s="774"/>
      <c r="AI89" s="774"/>
      <c r="AJ89" s="774"/>
      <c r="AK89" s="774"/>
      <c r="AL89" s="774"/>
      <c r="AM89" s="774"/>
      <c r="AN89" s="774"/>
      <c r="AO89" s="774"/>
      <c r="AP89" s="774"/>
      <c r="AQ89" s="774"/>
      <c r="AR89" s="774"/>
      <c r="AS89" s="774"/>
      <c r="AT89" s="774"/>
      <c r="AU89" s="600"/>
      <c r="AV89" s="600"/>
      <c r="AW89" s="600"/>
      <c r="AX89" s="597"/>
      <c r="AY89" s="597"/>
      <c r="AZ89" s="214"/>
      <c r="BA89" s="490" t="str">
        <f t="shared" si="2"/>
        <v>SUM_CO2</v>
      </c>
      <c r="BB89" s="581" t="str">
        <f t="shared" si="3"/>
        <v>SUM_EnergyIN</v>
      </c>
      <c r="BC89" s="602"/>
      <c r="BD89" s="23"/>
    </row>
    <row r="90" spans="1:56" x14ac:dyDescent="0.2">
      <c r="A90" s="602"/>
      <c r="B90" s="214"/>
      <c r="C90" s="544">
        <v>67</v>
      </c>
      <c r="D90" s="596"/>
      <c r="E90" s="596"/>
      <c r="F90" s="597"/>
      <c r="G90" s="598"/>
      <c r="H90" s="597"/>
      <c r="I90" s="598"/>
      <c r="J90" s="597"/>
      <c r="K90" s="598"/>
      <c r="L90" s="598"/>
      <c r="M90" s="598"/>
      <c r="N90" s="597"/>
      <c r="O90" s="599"/>
      <c r="P90" s="597"/>
      <c r="Q90" s="599"/>
      <c r="R90" s="597"/>
      <c r="S90" s="599"/>
      <c r="T90" s="597"/>
      <c r="U90" s="599"/>
      <c r="V90" s="774"/>
      <c r="W90" s="774"/>
      <c r="X90" s="774"/>
      <c r="Y90" s="774"/>
      <c r="Z90" s="774"/>
      <c r="AA90" s="774"/>
      <c r="AB90" s="774"/>
      <c r="AC90" s="774"/>
      <c r="AD90" s="774"/>
      <c r="AE90" s="774"/>
      <c r="AF90" s="774"/>
      <c r="AG90" s="774"/>
      <c r="AH90" s="774"/>
      <c r="AI90" s="774"/>
      <c r="AJ90" s="774"/>
      <c r="AK90" s="774"/>
      <c r="AL90" s="774"/>
      <c r="AM90" s="774"/>
      <c r="AN90" s="774"/>
      <c r="AO90" s="774"/>
      <c r="AP90" s="774"/>
      <c r="AQ90" s="774"/>
      <c r="AR90" s="774"/>
      <c r="AS90" s="774"/>
      <c r="AT90" s="774"/>
      <c r="AU90" s="600"/>
      <c r="AV90" s="600"/>
      <c r="AW90" s="600"/>
      <c r="AX90" s="597"/>
      <c r="AY90" s="597"/>
      <c r="AZ90" s="214"/>
      <c r="BA90" s="490" t="str">
        <f t="shared" si="2"/>
        <v>SUM_CO2</v>
      </c>
      <c r="BB90" s="581" t="str">
        <f t="shared" si="3"/>
        <v>SUM_EnergyIN</v>
      </c>
      <c r="BC90" s="602"/>
      <c r="BD90" s="23"/>
    </row>
    <row r="91" spans="1:56" x14ac:dyDescent="0.2">
      <c r="A91" s="602"/>
      <c r="B91" s="214"/>
      <c r="C91" s="544">
        <v>68</v>
      </c>
      <c r="D91" s="596"/>
      <c r="E91" s="596"/>
      <c r="F91" s="597"/>
      <c r="G91" s="598"/>
      <c r="H91" s="597"/>
      <c r="I91" s="598"/>
      <c r="J91" s="597"/>
      <c r="K91" s="598"/>
      <c r="L91" s="598"/>
      <c r="M91" s="598"/>
      <c r="N91" s="597"/>
      <c r="O91" s="599"/>
      <c r="P91" s="597"/>
      <c r="Q91" s="599"/>
      <c r="R91" s="597"/>
      <c r="S91" s="599"/>
      <c r="T91" s="597"/>
      <c r="U91" s="599"/>
      <c r="V91" s="774"/>
      <c r="W91" s="774"/>
      <c r="X91" s="774"/>
      <c r="Y91" s="774"/>
      <c r="Z91" s="774"/>
      <c r="AA91" s="774"/>
      <c r="AB91" s="774"/>
      <c r="AC91" s="774"/>
      <c r="AD91" s="774"/>
      <c r="AE91" s="774"/>
      <c r="AF91" s="774"/>
      <c r="AG91" s="774"/>
      <c r="AH91" s="774"/>
      <c r="AI91" s="774"/>
      <c r="AJ91" s="774"/>
      <c r="AK91" s="774"/>
      <c r="AL91" s="774"/>
      <c r="AM91" s="774"/>
      <c r="AN91" s="774"/>
      <c r="AO91" s="774"/>
      <c r="AP91" s="774"/>
      <c r="AQ91" s="774"/>
      <c r="AR91" s="774"/>
      <c r="AS91" s="774"/>
      <c r="AT91" s="774"/>
      <c r="AU91" s="600"/>
      <c r="AV91" s="600"/>
      <c r="AW91" s="600"/>
      <c r="AX91" s="597"/>
      <c r="AY91" s="597"/>
      <c r="AZ91" s="214"/>
      <c r="BA91" s="490" t="str">
        <f t="shared" si="2"/>
        <v>SUM_CO2</v>
      </c>
      <c r="BB91" s="581" t="str">
        <f t="shared" si="3"/>
        <v>SUM_EnergyIN</v>
      </c>
      <c r="BC91" s="602"/>
      <c r="BD91" s="23"/>
    </row>
    <row r="92" spans="1:56" x14ac:dyDescent="0.2">
      <c r="A92" s="602"/>
      <c r="B92" s="214"/>
      <c r="C92" s="544">
        <v>69</v>
      </c>
      <c r="D92" s="596"/>
      <c r="E92" s="596"/>
      <c r="F92" s="597"/>
      <c r="G92" s="598"/>
      <c r="H92" s="597"/>
      <c r="I92" s="598"/>
      <c r="J92" s="597"/>
      <c r="K92" s="598"/>
      <c r="L92" s="598"/>
      <c r="M92" s="598"/>
      <c r="N92" s="597"/>
      <c r="O92" s="599"/>
      <c r="P92" s="597"/>
      <c r="Q92" s="599"/>
      <c r="R92" s="597"/>
      <c r="S92" s="599"/>
      <c r="T92" s="597"/>
      <c r="U92" s="599"/>
      <c r="V92" s="774"/>
      <c r="W92" s="774"/>
      <c r="X92" s="774"/>
      <c r="Y92" s="774"/>
      <c r="Z92" s="774"/>
      <c r="AA92" s="774"/>
      <c r="AB92" s="774"/>
      <c r="AC92" s="774"/>
      <c r="AD92" s="774"/>
      <c r="AE92" s="774"/>
      <c r="AF92" s="774"/>
      <c r="AG92" s="774"/>
      <c r="AH92" s="774"/>
      <c r="AI92" s="774"/>
      <c r="AJ92" s="774"/>
      <c r="AK92" s="774"/>
      <c r="AL92" s="774"/>
      <c r="AM92" s="774"/>
      <c r="AN92" s="774"/>
      <c r="AO92" s="774"/>
      <c r="AP92" s="774"/>
      <c r="AQ92" s="774"/>
      <c r="AR92" s="774"/>
      <c r="AS92" s="774"/>
      <c r="AT92" s="774"/>
      <c r="AU92" s="600"/>
      <c r="AV92" s="600"/>
      <c r="AW92" s="600"/>
      <c r="AX92" s="597"/>
      <c r="AY92" s="597"/>
      <c r="AZ92" s="214"/>
      <c r="BA92" s="490" t="str">
        <f t="shared" si="2"/>
        <v>SUM_CO2</v>
      </c>
      <c r="BB92" s="581" t="str">
        <f t="shared" si="3"/>
        <v>SUM_EnergyIN</v>
      </c>
      <c r="BC92" s="602"/>
      <c r="BD92" s="23"/>
    </row>
    <row r="93" spans="1:56" x14ac:dyDescent="0.2">
      <c r="A93" s="602"/>
      <c r="B93" s="214"/>
      <c r="C93" s="544">
        <v>70</v>
      </c>
      <c r="D93" s="596"/>
      <c r="E93" s="596"/>
      <c r="F93" s="597"/>
      <c r="G93" s="598"/>
      <c r="H93" s="597"/>
      <c r="I93" s="598"/>
      <c r="J93" s="597"/>
      <c r="K93" s="598"/>
      <c r="L93" s="598"/>
      <c r="M93" s="598"/>
      <c r="N93" s="597"/>
      <c r="O93" s="599"/>
      <c r="P93" s="597"/>
      <c r="Q93" s="599"/>
      <c r="R93" s="597"/>
      <c r="S93" s="599"/>
      <c r="T93" s="597"/>
      <c r="U93" s="599"/>
      <c r="V93" s="774"/>
      <c r="W93" s="774"/>
      <c r="X93" s="774"/>
      <c r="Y93" s="774"/>
      <c r="Z93" s="774"/>
      <c r="AA93" s="774"/>
      <c r="AB93" s="774"/>
      <c r="AC93" s="774"/>
      <c r="AD93" s="774"/>
      <c r="AE93" s="774"/>
      <c r="AF93" s="774"/>
      <c r="AG93" s="774"/>
      <c r="AH93" s="774"/>
      <c r="AI93" s="774"/>
      <c r="AJ93" s="774"/>
      <c r="AK93" s="774"/>
      <c r="AL93" s="774"/>
      <c r="AM93" s="774"/>
      <c r="AN93" s="774"/>
      <c r="AO93" s="774"/>
      <c r="AP93" s="774"/>
      <c r="AQ93" s="774"/>
      <c r="AR93" s="774"/>
      <c r="AS93" s="774"/>
      <c r="AT93" s="774"/>
      <c r="AU93" s="600"/>
      <c r="AV93" s="600"/>
      <c r="AW93" s="600"/>
      <c r="AX93" s="597"/>
      <c r="AY93" s="597"/>
      <c r="AZ93" s="214"/>
      <c r="BA93" s="490" t="str">
        <f t="shared" si="2"/>
        <v>SUM_CO2</v>
      </c>
      <c r="BB93" s="581" t="str">
        <f t="shared" si="3"/>
        <v>SUM_EnergyIN</v>
      </c>
      <c r="BC93" s="602"/>
      <c r="BD93" s="23"/>
    </row>
    <row r="94" spans="1:56" x14ac:dyDescent="0.2">
      <c r="A94" s="602"/>
      <c r="B94" s="214"/>
      <c r="C94" s="544">
        <v>71</v>
      </c>
      <c r="D94" s="596"/>
      <c r="E94" s="596"/>
      <c r="F94" s="597"/>
      <c r="G94" s="598"/>
      <c r="H94" s="597"/>
      <c r="I94" s="598"/>
      <c r="J94" s="597"/>
      <c r="K94" s="598"/>
      <c r="L94" s="598"/>
      <c r="M94" s="598"/>
      <c r="N94" s="597"/>
      <c r="O94" s="599"/>
      <c r="P94" s="597"/>
      <c r="Q94" s="599"/>
      <c r="R94" s="597"/>
      <c r="S94" s="599"/>
      <c r="T94" s="597"/>
      <c r="U94" s="599"/>
      <c r="V94" s="774"/>
      <c r="W94" s="774"/>
      <c r="X94" s="774"/>
      <c r="Y94" s="774"/>
      <c r="Z94" s="774"/>
      <c r="AA94" s="774"/>
      <c r="AB94" s="774"/>
      <c r="AC94" s="774"/>
      <c r="AD94" s="774"/>
      <c r="AE94" s="774"/>
      <c r="AF94" s="774"/>
      <c r="AG94" s="774"/>
      <c r="AH94" s="774"/>
      <c r="AI94" s="774"/>
      <c r="AJ94" s="774"/>
      <c r="AK94" s="774"/>
      <c r="AL94" s="774"/>
      <c r="AM94" s="774"/>
      <c r="AN94" s="774"/>
      <c r="AO94" s="774"/>
      <c r="AP94" s="774"/>
      <c r="AQ94" s="774"/>
      <c r="AR94" s="774"/>
      <c r="AS94" s="774"/>
      <c r="AT94" s="774"/>
      <c r="AU94" s="600"/>
      <c r="AV94" s="600"/>
      <c r="AW94" s="600"/>
      <c r="AX94" s="597"/>
      <c r="AY94" s="597"/>
      <c r="AZ94" s="214"/>
      <c r="BA94" s="490" t="str">
        <f t="shared" si="2"/>
        <v>SUM_CO2</v>
      </c>
      <c r="BB94" s="581" t="str">
        <f t="shared" si="3"/>
        <v>SUM_EnergyIN</v>
      </c>
      <c r="BC94" s="602"/>
      <c r="BD94" s="23"/>
    </row>
    <row r="95" spans="1:56" x14ac:dyDescent="0.2">
      <c r="A95" s="602"/>
      <c r="B95" s="214"/>
      <c r="C95" s="544">
        <v>72</v>
      </c>
      <c r="D95" s="596"/>
      <c r="E95" s="596"/>
      <c r="F95" s="597"/>
      <c r="G95" s="598"/>
      <c r="H95" s="597"/>
      <c r="I95" s="598"/>
      <c r="J95" s="597"/>
      <c r="K95" s="598"/>
      <c r="L95" s="598"/>
      <c r="M95" s="598"/>
      <c r="N95" s="597"/>
      <c r="O95" s="599"/>
      <c r="P95" s="597"/>
      <c r="Q95" s="599"/>
      <c r="R95" s="597"/>
      <c r="S95" s="599"/>
      <c r="T95" s="597"/>
      <c r="U95" s="599"/>
      <c r="V95" s="774"/>
      <c r="W95" s="774"/>
      <c r="X95" s="774"/>
      <c r="Y95" s="774"/>
      <c r="Z95" s="774"/>
      <c r="AA95" s="774"/>
      <c r="AB95" s="774"/>
      <c r="AC95" s="774"/>
      <c r="AD95" s="774"/>
      <c r="AE95" s="774"/>
      <c r="AF95" s="774"/>
      <c r="AG95" s="774"/>
      <c r="AH95" s="774"/>
      <c r="AI95" s="774"/>
      <c r="AJ95" s="774"/>
      <c r="AK95" s="774"/>
      <c r="AL95" s="774"/>
      <c r="AM95" s="774"/>
      <c r="AN95" s="774"/>
      <c r="AO95" s="774"/>
      <c r="AP95" s="774"/>
      <c r="AQ95" s="774"/>
      <c r="AR95" s="774"/>
      <c r="AS95" s="774"/>
      <c r="AT95" s="774"/>
      <c r="AU95" s="600"/>
      <c r="AV95" s="600"/>
      <c r="AW95" s="600"/>
      <c r="AX95" s="597"/>
      <c r="AY95" s="597"/>
      <c r="AZ95" s="214"/>
      <c r="BA95" s="490" t="str">
        <f t="shared" si="2"/>
        <v>SUM_CO2</v>
      </c>
      <c r="BB95" s="581" t="str">
        <f t="shared" si="3"/>
        <v>SUM_EnergyIN</v>
      </c>
      <c r="BC95" s="602"/>
      <c r="BD95" s="23"/>
    </row>
    <row r="96" spans="1:56" x14ac:dyDescent="0.2">
      <c r="A96" s="602"/>
      <c r="B96" s="214"/>
      <c r="C96" s="544">
        <v>73</v>
      </c>
      <c r="D96" s="596"/>
      <c r="E96" s="596"/>
      <c r="F96" s="597"/>
      <c r="G96" s="598"/>
      <c r="H96" s="597"/>
      <c r="I96" s="598"/>
      <c r="J96" s="597"/>
      <c r="K96" s="598"/>
      <c r="L96" s="598"/>
      <c r="M96" s="598"/>
      <c r="N96" s="597"/>
      <c r="O96" s="599"/>
      <c r="P96" s="597"/>
      <c r="Q96" s="599"/>
      <c r="R96" s="597"/>
      <c r="S96" s="599"/>
      <c r="T96" s="597"/>
      <c r="U96" s="599"/>
      <c r="V96" s="774"/>
      <c r="W96" s="774"/>
      <c r="X96" s="774"/>
      <c r="Y96" s="774"/>
      <c r="Z96" s="774"/>
      <c r="AA96" s="774"/>
      <c r="AB96" s="774"/>
      <c r="AC96" s="774"/>
      <c r="AD96" s="774"/>
      <c r="AE96" s="774"/>
      <c r="AF96" s="774"/>
      <c r="AG96" s="774"/>
      <c r="AH96" s="774"/>
      <c r="AI96" s="774"/>
      <c r="AJ96" s="774"/>
      <c r="AK96" s="774"/>
      <c r="AL96" s="774"/>
      <c r="AM96" s="774"/>
      <c r="AN96" s="774"/>
      <c r="AO96" s="774"/>
      <c r="AP96" s="774"/>
      <c r="AQ96" s="774"/>
      <c r="AR96" s="774"/>
      <c r="AS96" s="774"/>
      <c r="AT96" s="774"/>
      <c r="AU96" s="600"/>
      <c r="AV96" s="600"/>
      <c r="AW96" s="600"/>
      <c r="AX96" s="597"/>
      <c r="AY96" s="597"/>
      <c r="AZ96" s="214"/>
      <c r="BA96" s="490" t="str">
        <f t="shared" si="2"/>
        <v>SUM_CO2</v>
      </c>
      <c r="BB96" s="581" t="str">
        <f t="shared" si="3"/>
        <v>SUM_EnergyIN</v>
      </c>
      <c r="BC96" s="602"/>
      <c r="BD96" s="23"/>
    </row>
    <row r="97" spans="1:56" x14ac:dyDescent="0.2">
      <c r="A97" s="602"/>
      <c r="B97" s="214"/>
      <c r="C97" s="544">
        <v>74</v>
      </c>
      <c r="D97" s="596"/>
      <c r="E97" s="596"/>
      <c r="F97" s="597"/>
      <c r="G97" s="598"/>
      <c r="H97" s="597"/>
      <c r="I97" s="598"/>
      <c r="J97" s="597"/>
      <c r="K97" s="598"/>
      <c r="L97" s="598"/>
      <c r="M97" s="598"/>
      <c r="N97" s="597"/>
      <c r="O97" s="599"/>
      <c r="P97" s="597"/>
      <c r="Q97" s="599"/>
      <c r="R97" s="597"/>
      <c r="S97" s="599"/>
      <c r="T97" s="597"/>
      <c r="U97" s="599"/>
      <c r="V97" s="774"/>
      <c r="W97" s="774"/>
      <c r="X97" s="774"/>
      <c r="Y97" s="774"/>
      <c r="Z97" s="774"/>
      <c r="AA97" s="774"/>
      <c r="AB97" s="774"/>
      <c r="AC97" s="774"/>
      <c r="AD97" s="774"/>
      <c r="AE97" s="774"/>
      <c r="AF97" s="774"/>
      <c r="AG97" s="774"/>
      <c r="AH97" s="774"/>
      <c r="AI97" s="774"/>
      <c r="AJ97" s="774"/>
      <c r="AK97" s="774"/>
      <c r="AL97" s="774"/>
      <c r="AM97" s="774"/>
      <c r="AN97" s="774"/>
      <c r="AO97" s="774"/>
      <c r="AP97" s="774"/>
      <c r="AQ97" s="774"/>
      <c r="AR97" s="774"/>
      <c r="AS97" s="774"/>
      <c r="AT97" s="774"/>
      <c r="AU97" s="600"/>
      <c r="AV97" s="600"/>
      <c r="AW97" s="600"/>
      <c r="AX97" s="597"/>
      <c r="AY97" s="597"/>
      <c r="AZ97" s="214"/>
      <c r="BA97" s="490" t="str">
        <f t="shared" si="2"/>
        <v>SUM_CO2</v>
      </c>
      <c r="BB97" s="581" t="str">
        <f t="shared" si="3"/>
        <v>SUM_EnergyIN</v>
      </c>
      <c r="BC97" s="602"/>
      <c r="BD97" s="23"/>
    </row>
    <row r="98" spans="1:56" x14ac:dyDescent="0.2">
      <c r="A98" s="602"/>
      <c r="B98" s="214"/>
      <c r="C98" s="544">
        <v>75</v>
      </c>
      <c r="D98" s="596"/>
      <c r="E98" s="596"/>
      <c r="F98" s="597"/>
      <c r="G98" s="598"/>
      <c r="H98" s="597"/>
      <c r="I98" s="598"/>
      <c r="J98" s="597"/>
      <c r="K98" s="598"/>
      <c r="L98" s="598"/>
      <c r="M98" s="598"/>
      <c r="N98" s="597"/>
      <c r="O98" s="599"/>
      <c r="P98" s="597"/>
      <c r="Q98" s="599"/>
      <c r="R98" s="597"/>
      <c r="S98" s="599"/>
      <c r="T98" s="597"/>
      <c r="U98" s="599"/>
      <c r="V98" s="774"/>
      <c r="W98" s="774"/>
      <c r="X98" s="774"/>
      <c r="Y98" s="774"/>
      <c r="Z98" s="774"/>
      <c r="AA98" s="774"/>
      <c r="AB98" s="774"/>
      <c r="AC98" s="774"/>
      <c r="AD98" s="774"/>
      <c r="AE98" s="774"/>
      <c r="AF98" s="774"/>
      <c r="AG98" s="774"/>
      <c r="AH98" s="774"/>
      <c r="AI98" s="774"/>
      <c r="AJ98" s="774"/>
      <c r="AK98" s="774"/>
      <c r="AL98" s="774"/>
      <c r="AM98" s="774"/>
      <c r="AN98" s="774"/>
      <c r="AO98" s="774"/>
      <c r="AP98" s="774"/>
      <c r="AQ98" s="774"/>
      <c r="AR98" s="774"/>
      <c r="AS98" s="774"/>
      <c r="AT98" s="774"/>
      <c r="AU98" s="600"/>
      <c r="AV98" s="600"/>
      <c r="AW98" s="600"/>
      <c r="AX98" s="597"/>
      <c r="AY98" s="597"/>
      <c r="AZ98" s="214"/>
      <c r="BA98" s="490" t="str">
        <f t="shared" si="2"/>
        <v>SUM_CO2</v>
      </c>
      <c r="BB98" s="581" t="str">
        <f t="shared" si="3"/>
        <v>SUM_EnergyIN</v>
      </c>
      <c r="BC98" s="602"/>
      <c r="BD98" s="23"/>
    </row>
    <row r="99" spans="1:56" x14ac:dyDescent="0.2">
      <c r="A99" s="602"/>
      <c r="B99" s="214"/>
      <c r="C99" s="95"/>
      <c r="D99" s="214"/>
      <c r="E99" s="214"/>
      <c r="F99" s="214"/>
      <c r="G99" s="214"/>
      <c r="H99" s="214"/>
      <c r="I99" s="214"/>
      <c r="J99" s="214"/>
      <c r="K99" s="214"/>
      <c r="L99" s="214"/>
      <c r="N99" s="214"/>
      <c r="O99" s="214"/>
      <c r="P99" s="214"/>
      <c r="Q99" s="214"/>
      <c r="R99" s="214"/>
      <c r="S99" s="214"/>
      <c r="T99" s="214"/>
      <c r="U99" s="214"/>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602"/>
      <c r="BB99" s="602"/>
      <c r="BC99" s="602"/>
      <c r="BD99" s="23"/>
    </row>
    <row r="100" spans="1:56" ht="50.1" customHeight="1" thickBot="1" x14ac:dyDescent="0.45">
      <c r="A100" s="602"/>
      <c r="B100" s="214"/>
      <c r="C100" s="95"/>
      <c r="D100" s="532" t="str">
        <f>Translations!$B$339</f>
        <v>PFC avota plūsmas</v>
      </c>
      <c r="E100" s="214"/>
      <c r="F100" s="214"/>
      <c r="G100" s="214"/>
      <c r="H100" s="214"/>
      <c r="I100" s="214"/>
      <c r="J100" s="214"/>
      <c r="K100" s="214"/>
      <c r="L100" s="214"/>
      <c r="N100" s="214"/>
      <c r="O100" s="214"/>
      <c r="P100" s="214"/>
      <c r="Q100" s="214"/>
      <c r="R100" s="214"/>
      <c r="S100" s="214"/>
      <c r="T100" s="214"/>
      <c r="U100" s="214"/>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602"/>
      <c r="BB100" s="602"/>
      <c r="BC100" s="602"/>
      <c r="BD100" s="23"/>
    </row>
    <row r="101" spans="1:56" ht="50.1" customHeight="1" thickBot="1" x14ac:dyDescent="0.25">
      <c r="A101" s="602"/>
      <c r="B101" s="214"/>
      <c r="C101" s="533" t="s">
        <v>466</v>
      </c>
      <c r="D101" s="534" t="str">
        <f>Translations!$B$282</f>
        <v>Metode</v>
      </c>
      <c r="E101" s="534" t="str">
        <f>Translations!$B$340</f>
        <v>Nosaukums</v>
      </c>
      <c r="F101" s="535" t="str">
        <f>Translations!$B$284</f>
        <v>Darbības dati</v>
      </c>
      <c r="G101" s="535" t="str">
        <f>Translations!$B$285</f>
        <v>DD vienība</v>
      </c>
      <c r="H101" s="535" t="str">
        <f>Translations!$B$286</f>
        <v>NCV</v>
      </c>
      <c r="I101" s="535" t="str">
        <f>Translations!$B$287</f>
        <v>NCV vienība</v>
      </c>
      <c r="J101" s="535" t="str">
        <f>Translations!$B$288</f>
        <v>EF</v>
      </c>
      <c r="K101" s="535" t="str">
        <f>Translations!$B$289</f>
        <v>EF vienība</v>
      </c>
      <c r="L101" s="535" t="str">
        <f>Translations!$B$290</f>
        <v>C saturs</v>
      </c>
      <c r="M101" s="535" t="str">
        <f>Translations!$B$291</f>
        <v>C satura vienība</v>
      </c>
      <c r="N101" s="535" t="str">
        <f>Translations!$B$292</f>
        <v>Oksid. koef.</v>
      </c>
      <c r="O101" s="535" t="str">
        <f>Translations!$B$293</f>
        <v>OK vienība</v>
      </c>
      <c r="P101" s="535" t="str">
        <f>Translations!$B$294</f>
        <v>Pārrēķina koef.</v>
      </c>
      <c r="Q101" s="535" t="str">
        <f>Translations!$B$295</f>
        <v>PK vienība</v>
      </c>
      <c r="R101" s="535" t="str">
        <f>Translations!$B$296</f>
        <v>Biomasas saturs</v>
      </c>
      <c r="S101" s="535" t="str">
        <f>Translations!$B$297</f>
        <v>BS vienība</v>
      </c>
      <c r="T101" s="535" t="str">
        <f>Translations!$B$298</f>
        <v>ilgtnesp. BS</v>
      </c>
      <c r="U101" s="535" t="str">
        <f>Translations!$B$299</f>
        <v>ilgtnesp. BS vienība</v>
      </c>
      <c r="V101" s="535" t="str">
        <f>Translations!$B$300</f>
        <v>SEG konc. vidējā vērtība h</v>
      </c>
      <c r="W101" s="535" t="str">
        <f>Translations!$B$301</f>
        <v>SEG konc. h vienība</v>
      </c>
      <c r="X101" s="535" t="str">
        <f>Translations!$B$302</f>
        <v>ekspluatācijas stundas</v>
      </c>
      <c r="Y101" s="535" t="str">
        <f>Translations!$B$303</f>
        <v>ekspluatācijas stundu vienība</v>
      </c>
      <c r="Z101" s="535" t="str">
        <f>Translations!$B$304</f>
        <v>Dūmgāzes (vidēji)</v>
      </c>
      <c r="AA101" s="535" t="str">
        <f>Translations!$B$305</f>
        <v>Dūmgāzes (vidēji), vienība</v>
      </c>
      <c r="AB101" s="535" t="str">
        <f>Translations!$B$306</f>
        <v>Dūmgāzes (kopā)</v>
      </c>
      <c r="AC101" s="535" t="str">
        <f>Translations!$B$307</f>
        <v>Dūmgāzes (kopā), vienība</v>
      </c>
      <c r="AD101" s="535" t="str">
        <f>Translations!$B$308</f>
        <v>SEG daudzums gadā</v>
      </c>
      <c r="AE101" s="535" t="str">
        <f>Translations!$B$309</f>
        <v>SEG daudzums gadā, vienība</v>
      </c>
      <c r="AF101" s="535" t="str">
        <f>Translations!$B$310</f>
        <v>GWP (t CO2 e/t)</v>
      </c>
      <c r="AG101" s="535" t="str">
        <f>Translations!$B$311</f>
        <v>A: biežums</v>
      </c>
      <c r="AH101" s="535" t="str">
        <f>Translations!$B$312</f>
        <v>A: ilgums</v>
      </c>
      <c r="AI101" s="535" t="str">
        <f>Translations!$B$313</f>
        <v>A: SEF (CF4)</v>
      </c>
      <c r="AJ101" s="535" t="str">
        <f>Translations!$B$314</f>
        <v>B: AEO</v>
      </c>
      <c r="AK101" s="535" t="str">
        <f>Translations!$B$315</f>
        <v>B: CE</v>
      </c>
      <c r="AL101" s="535" t="str">
        <f>Translations!$B$316</f>
        <v>B: OVC</v>
      </c>
      <c r="AM101" s="535" t="str">
        <f>Translations!$B$317</f>
        <v>F (C2F6)</v>
      </c>
      <c r="AN101" s="535" t="str">
        <f>Translations!$B$318</f>
        <v>CF4 emisijas (t CF4)</v>
      </c>
      <c r="AO101" s="535" t="str">
        <f>Translations!$B$319</f>
        <v>C2F6 emisijas (t C2F6)</v>
      </c>
      <c r="AP101" s="535" t="str">
        <f>Translations!$B$320</f>
        <v>GWP (CF4) (t CO2 e/t)</v>
      </c>
      <c r="AQ101" s="535" t="str">
        <f>Translations!$B$321</f>
        <v>GWP (C2F6) (t CO2 e/t)</v>
      </c>
      <c r="AR101" s="535" t="str">
        <f>Translations!$B$322</f>
        <v>CF4 emisijas (t CO2e)</v>
      </c>
      <c r="AS101" s="535" t="str">
        <f>Translations!$B$323</f>
        <v>C2F6 emisijas (t CO2 e)</v>
      </c>
      <c r="AT101" s="535" t="str">
        <f>Translations!$B$324</f>
        <v>Uztveršanas efektivitāte, %</v>
      </c>
      <c r="AU101" s="535" t="str">
        <f>Translations!$B$325</f>
        <v>CO2 e, fosilie avoti (t)</v>
      </c>
      <c r="AV101" s="535" t="str">
        <f>Translations!$B$326</f>
        <v>CO2 e bio (t)</v>
      </c>
      <c r="AW101" s="535" t="str">
        <f>Translations!$B$327</f>
        <v>CO2 e, ilgtnesp. biomasa (t)</v>
      </c>
      <c r="AX101" s="536" t="str">
        <f>Translations!$B$328</f>
        <v>Enerģētiskais saturs (fosilie avoti), TJ</v>
      </c>
      <c r="AY101" s="537" t="str">
        <f>Translations!$B$329</f>
        <v>Enerģētiskais saturs (biomasa), TJ</v>
      </c>
      <c r="AZ101" s="214"/>
      <c r="BA101" s="602"/>
      <c r="BB101" s="602"/>
      <c r="BC101" s="602"/>
      <c r="BD101" s="23"/>
    </row>
    <row r="102" spans="1:56" ht="12.75" customHeight="1" x14ac:dyDescent="0.2">
      <c r="A102" s="602"/>
      <c r="B102" s="214"/>
      <c r="C102" s="543" t="str">
        <f>Translations!$B$341</f>
        <v>Piem.</v>
      </c>
      <c r="D102" s="686" t="str">
        <f>Translations!$B$342</f>
        <v>PFC emisijas</v>
      </c>
      <c r="E102" s="686" t="str">
        <f>Translations!$B$343</f>
        <v>Centriska priekšdedzināšana (CWPB); A tipa anodi</v>
      </c>
      <c r="F102" s="687">
        <v>5000</v>
      </c>
      <c r="G102" s="538" t="s">
        <v>205</v>
      </c>
      <c r="H102" s="775"/>
      <c r="I102" s="776"/>
      <c r="J102" s="775"/>
      <c r="K102" s="776"/>
      <c r="L102" s="776"/>
      <c r="M102" s="776"/>
      <c r="N102" s="775"/>
      <c r="O102" s="774"/>
      <c r="P102" s="775"/>
      <c r="Q102" s="774"/>
      <c r="R102" s="775"/>
      <c r="S102" s="774"/>
      <c r="T102" s="775"/>
      <c r="U102" s="774"/>
      <c r="V102" s="774"/>
      <c r="W102" s="774"/>
      <c r="X102" s="774"/>
      <c r="Y102" s="774"/>
      <c r="Z102" s="774"/>
      <c r="AA102" s="774"/>
      <c r="AB102" s="774"/>
      <c r="AC102" s="774"/>
      <c r="AD102" s="774"/>
      <c r="AE102" s="774"/>
      <c r="AF102" s="774"/>
      <c r="AG102" s="687">
        <v>300</v>
      </c>
      <c r="AH102" s="687">
        <v>2</v>
      </c>
      <c r="AI102" s="687">
        <v>0.14599999999999999</v>
      </c>
      <c r="AJ102" s="687">
        <v>0</v>
      </c>
      <c r="AK102" s="687">
        <v>0</v>
      </c>
      <c r="AL102" s="687">
        <v>0</v>
      </c>
      <c r="AM102" s="687">
        <v>0.122</v>
      </c>
      <c r="AN102" s="687">
        <v>4.38</v>
      </c>
      <c r="AO102" s="687">
        <v>0.53435999999999995</v>
      </c>
      <c r="AP102" s="691">
        <v>7390</v>
      </c>
      <c r="AQ102" s="691">
        <v>12200</v>
      </c>
      <c r="AR102" s="691">
        <v>32368.2</v>
      </c>
      <c r="AS102" s="691">
        <v>6519.1919999999991</v>
      </c>
      <c r="AT102" s="687">
        <v>98</v>
      </c>
      <c r="AU102" s="689">
        <v>39681.01224489796</v>
      </c>
      <c r="AV102" s="689"/>
      <c r="AW102" s="689"/>
      <c r="AX102" s="687"/>
      <c r="AY102" s="687"/>
      <c r="AZ102" s="214"/>
      <c r="BA102" s="602"/>
      <c r="BB102" s="602"/>
      <c r="BC102" s="602"/>
      <c r="BD102" s="23"/>
    </row>
    <row r="103" spans="1:56" x14ac:dyDescent="0.2">
      <c r="A103" s="602"/>
      <c r="B103" s="214"/>
      <c r="C103" s="538">
        <v>1</v>
      </c>
      <c r="D103" s="671"/>
      <c r="E103" s="596"/>
      <c r="F103" s="597"/>
      <c r="G103" s="598"/>
      <c r="H103" s="775"/>
      <c r="I103" s="776"/>
      <c r="J103" s="775"/>
      <c r="K103" s="776"/>
      <c r="L103" s="776"/>
      <c r="M103" s="776"/>
      <c r="N103" s="775"/>
      <c r="O103" s="774"/>
      <c r="P103" s="775"/>
      <c r="Q103" s="774"/>
      <c r="R103" s="775"/>
      <c r="S103" s="774"/>
      <c r="T103" s="775"/>
      <c r="U103" s="774"/>
      <c r="V103" s="774"/>
      <c r="W103" s="774"/>
      <c r="X103" s="774"/>
      <c r="Y103" s="774"/>
      <c r="Z103" s="774"/>
      <c r="AA103" s="774"/>
      <c r="AB103" s="774"/>
      <c r="AC103" s="774"/>
      <c r="AD103" s="774"/>
      <c r="AE103" s="774"/>
      <c r="AF103" s="774"/>
      <c r="AG103" s="597"/>
      <c r="AH103" s="597"/>
      <c r="AI103" s="597"/>
      <c r="AJ103" s="597"/>
      <c r="AK103" s="597"/>
      <c r="AL103" s="597"/>
      <c r="AM103" s="597"/>
      <c r="AN103" s="597"/>
      <c r="AO103" s="597"/>
      <c r="AP103" s="601"/>
      <c r="AQ103" s="601"/>
      <c r="AR103" s="601"/>
      <c r="AS103" s="601"/>
      <c r="AT103" s="597"/>
      <c r="AU103" s="600"/>
      <c r="AV103" s="600"/>
      <c r="AW103" s="600"/>
      <c r="AX103" s="597"/>
      <c r="AY103" s="597"/>
      <c r="AZ103" s="214"/>
      <c r="BA103" s="490" t="str">
        <f t="shared" ref="BA103:BA112" si="4">EUconst_SumPFC</f>
        <v>SUM_PFC</v>
      </c>
      <c r="BB103" s="581" t="str">
        <f t="shared" ref="BB103:BB112" si="5">EUconst_SumEnergyIN</f>
        <v>SUM_EnergyIN</v>
      </c>
      <c r="BC103" s="602"/>
      <c r="BD103" s="23"/>
    </row>
    <row r="104" spans="1:56" x14ac:dyDescent="0.2">
      <c r="A104" s="602"/>
      <c r="B104" s="214"/>
      <c r="C104" s="539">
        <v>2</v>
      </c>
      <c r="D104" s="671"/>
      <c r="E104" s="596"/>
      <c r="F104" s="597"/>
      <c r="G104" s="598"/>
      <c r="H104" s="775"/>
      <c r="I104" s="776"/>
      <c r="J104" s="775"/>
      <c r="K104" s="776"/>
      <c r="L104" s="776"/>
      <c r="M104" s="776"/>
      <c r="N104" s="775"/>
      <c r="O104" s="774"/>
      <c r="P104" s="775"/>
      <c r="Q104" s="774"/>
      <c r="R104" s="775"/>
      <c r="S104" s="774"/>
      <c r="T104" s="775"/>
      <c r="U104" s="774"/>
      <c r="V104" s="774"/>
      <c r="W104" s="774"/>
      <c r="X104" s="774"/>
      <c r="Y104" s="774"/>
      <c r="Z104" s="774"/>
      <c r="AA104" s="774"/>
      <c r="AB104" s="774"/>
      <c r="AC104" s="774"/>
      <c r="AD104" s="774"/>
      <c r="AE104" s="774"/>
      <c r="AF104" s="774"/>
      <c r="AG104" s="597"/>
      <c r="AH104" s="597"/>
      <c r="AI104" s="597"/>
      <c r="AJ104" s="597"/>
      <c r="AK104" s="597"/>
      <c r="AL104" s="597"/>
      <c r="AM104" s="597"/>
      <c r="AN104" s="597"/>
      <c r="AO104" s="597"/>
      <c r="AP104" s="601"/>
      <c r="AQ104" s="601"/>
      <c r="AR104" s="601"/>
      <c r="AS104" s="601"/>
      <c r="AT104" s="597"/>
      <c r="AU104" s="600"/>
      <c r="AV104" s="600"/>
      <c r="AW104" s="600"/>
      <c r="AX104" s="597"/>
      <c r="AY104" s="597"/>
      <c r="AZ104" s="214"/>
      <c r="BA104" s="490" t="str">
        <f t="shared" si="4"/>
        <v>SUM_PFC</v>
      </c>
      <c r="BB104" s="581" t="str">
        <f t="shared" si="5"/>
        <v>SUM_EnergyIN</v>
      </c>
      <c r="BC104" s="602"/>
      <c r="BD104" s="23"/>
    </row>
    <row r="105" spans="1:56" x14ac:dyDescent="0.2">
      <c r="A105" s="602"/>
      <c r="B105" s="214"/>
      <c r="C105" s="539">
        <v>3</v>
      </c>
      <c r="D105" s="671"/>
      <c r="E105" s="596"/>
      <c r="F105" s="597"/>
      <c r="G105" s="598"/>
      <c r="H105" s="775"/>
      <c r="I105" s="776"/>
      <c r="J105" s="775"/>
      <c r="K105" s="776"/>
      <c r="L105" s="776"/>
      <c r="M105" s="776"/>
      <c r="N105" s="775"/>
      <c r="O105" s="774"/>
      <c r="P105" s="775"/>
      <c r="Q105" s="774"/>
      <c r="R105" s="775"/>
      <c r="S105" s="774"/>
      <c r="T105" s="775"/>
      <c r="U105" s="774"/>
      <c r="V105" s="774"/>
      <c r="W105" s="774"/>
      <c r="X105" s="774"/>
      <c r="Y105" s="774"/>
      <c r="Z105" s="774"/>
      <c r="AA105" s="774"/>
      <c r="AB105" s="774"/>
      <c r="AC105" s="774"/>
      <c r="AD105" s="774"/>
      <c r="AE105" s="774"/>
      <c r="AF105" s="774"/>
      <c r="AG105" s="597"/>
      <c r="AH105" s="597"/>
      <c r="AI105" s="597"/>
      <c r="AJ105" s="597"/>
      <c r="AK105" s="597"/>
      <c r="AL105" s="597"/>
      <c r="AM105" s="597"/>
      <c r="AN105" s="597"/>
      <c r="AO105" s="597"/>
      <c r="AP105" s="601"/>
      <c r="AQ105" s="601"/>
      <c r="AR105" s="601"/>
      <c r="AS105" s="601"/>
      <c r="AT105" s="597"/>
      <c r="AU105" s="600"/>
      <c r="AV105" s="600"/>
      <c r="AW105" s="600"/>
      <c r="AX105" s="597"/>
      <c r="AY105" s="597"/>
      <c r="AZ105" s="214"/>
      <c r="BA105" s="490" t="str">
        <f t="shared" si="4"/>
        <v>SUM_PFC</v>
      </c>
      <c r="BB105" s="581" t="str">
        <f t="shared" si="5"/>
        <v>SUM_EnergyIN</v>
      </c>
      <c r="BC105" s="602"/>
      <c r="BD105" s="23"/>
    </row>
    <row r="106" spans="1:56" x14ac:dyDescent="0.2">
      <c r="A106" s="602"/>
      <c r="B106" s="214"/>
      <c r="C106" s="539">
        <v>4</v>
      </c>
      <c r="D106" s="671"/>
      <c r="E106" s="596"/>
      <c r="F106" s="597"/>
      <c r="G106" s="598"/>
      <c r="H106" s="775"/>
      <c r="I106" s="776"/>
      <c r="J106" s="775"/>
      <c r="K106" s="776"/>
      <c r="L106" s="776"/>
      <c r="M106" s="776"/>
      <c r="N106" s="775"/>
      <c r="O106" s="774"/>
      <c r="P106" s="775"/>
      <c r="Q106" s="774"/>
      <c r="R106" s="775"/>
      <c r="S106" s="774"/>
      <c r="T106" s="775"/>
      <c r="U106" s="774"/>
      <c r="V106" s="774"/>
      <c r="W106" s="774"/>
      <c r="X106" s="774"/>
      <c r="Y106" s="774"/>
      <c r="Z106" s="774"/>
      <c r="AA106" s="774"/>
      <c r="AB106" s="774"/>
      <c r="AC106" s="774"/>
      <c r="AD106" s="774"/>
      <c r="AE106" s="774"/>
      <c r="AF106" s="774"/>
      <c r="AG106" s="597"/>
      <c r="AH106" s="597"/>
      <c r="AI106" s="597"/>
      <c r="AJ106" s="597"/>
      <c r="AK106" s="597"/>
      <c r="AL106" s="597"/>
      <c r="AM106" s="597"/>
      <c r="AN106" s="597"/>
      <c r="AO106" s="597"/>
      <c r="AP106" s="601"/>
      <c r="AQ106" s="601"/>
      <c r="AR106" s="601"/>
      <c r="AS106" s="601"/>
      <c r="AT106" s="597"/>
      <c r="AU106" s="600"/>
      <c r="AV106" s="600"/>
      <c r="AW106" s="600"/>
      <c r="AX106" s="597"/>
      <c r="AY106" s="597"/>
      <c r="AZ106" s="214"/>
      <c r="BA106" s="490" t="str">
        <f t="shared" si="4"/>
        <v>SUM_PFC</v>
      </c>
      <c r="BB106" s="581" t="str">
        <f t="shared" si="5"/>
        <v>SUM_EnergyIN</v>
      </c>
      <c r="BC106" s="602"/>
      <c r="BD106" s="23"/>
    </row>
    <row r="107" spans="1:56" x14ac:dyDescent="0.2">
      <c r="A107" s="602"/>
      <c r="B107" s="214"/>
      <c r="C107" s="539">
        <v>5</v>
      </c>
      <c r="D107" s="671"/>
      <c r="E107" s="596"/>
      <c r="F107" s="597"/>
      <c r="G107" s="598"/>
      <c r="H107" s="775"/>
      <c r="I107" s="776"/>
      <c r="J107" s="775"/>
      <c r="K107" s="776"/>
      <c r="L107" s="776"/>
      <c r="M107" s="776"/>
      <c r="N107" s="775"/>
      <c r="O107" s="774"/>
      <c r="P107" s="775"/>
      <c r="Q107" s="774"/>
      <c r="R107" s="775"/>
      <c r="S107" s="774"/>
      <c r="T107" s="775"/>
      <c r="U107" s="774"/>
      <c r="V107" s="774"/>
      <c r="W107" s="774"/>
      <c r="X107" s="774"/>
      <c r="Y107" s="774"/>
      <c r="Z107" s="774"/>
      <c r="AA107" s="774"/>
      <c r="AB107" s="774"/>
      <c r="AC107" s="774"/>
      <c r="AD107" s="774"/>
      <c r="AE107" s="774"/>
      <c r="AF107" s="774"/>
      <c r="AG107" s="597"/>
      <c r="AH107" s="597"/>
      <c r="AI107" s="597"/>
      <c r="AJ107" s="597"/>
      <c r="AK107" s="597"/>
      <c r="AL107" s="597"/>
      <c r="AM107" s="597"/>
      <c r="AN107" s="597"/>
      <c r="AO107" s="597"/>
      <c r="AP107" s="601"/>
      <c r="AQ107" s="601"/>
      <c r="AR107" s="601"/>
      <c r="AS107" s="601"/>
      <c r="AT107" s="597"/>
      <c r="AU107" s="600"/>
      <c r="AV107" s="600"/>
      <c r="AW107" s="600"/>
      <c r="AX107" s="597"/>
      <c r="AY107" s="597"/>
      <c r="AZ107" s="214"/>
      <c r="BA107" s="490" t="str">
        <f t="shared" si="4"/>
        <v>SUM_PFC</v>
      </c>
      <c r="BB107" s="581" t="str">
        <f t="shared" si="5"/>
        <v>SUM_EnergyIN</v>
      </c>
      <c r="BC107" s="602"/>
      <c r="BD107" s="23"/>
    </row>
    <row r="108" spans="1:56" x14ac:dyDescent="0.2">
      <c r="A108" s="602"/>
      <c r="B108" s="214"/>
      <c r="C108" s="539">
        <v>6</v>
      </c>
      <c r="D108" s="671"/>
      <c r="E108" s="596"/>
      <c r="F108" s="597"/>
      <c r="G108" s="598"/>
      <c r="H108" s="775"/>
      <c r="I108" s="776"/>
      <c r="J108" s="775"/>
      <c r="K108" s="776"/>
      <c r="L108" s="776"/>
      <c r="M108" s="776"/>
      <c r="N108" s="775"/>
      <c r="O108" s="774"/>
      <c r="P108" s="775"/>
      <c r="Q108" s="774"/>
      <c r="R108" s="775"/>
      <c r="S108" s="774"/>
      <c r="T108" s="775"/>
      <c r="U108" s="774"/>
      <c r="V108" s="774"/>
      <c r="W108" s="774"/>
      <c r="X108" s="774"/>
      <c r="Y108" s="774"/>
      <c r="Z108" s="774"/>
      <c r="AA108" s="774"/>
      <c r="AB108" s="774"/>
      <c r="AC108" s="774"/>
      <c r="AD108" s="774"/>
      <c r="AE108" s="774"/>
      <c r="AF108" s="774"/>
      <c r="AG108" s="597"/>
      <c r="AH108" s="597"/>
      <c r="AI108" s="597"/>
      <c r="AJ108" s="597"/>
      <c r="AK108" s="597"/>
      <c r="AL108" s="597"/>
      <c r="AM108" s="597"/>
      <c r="AN108" s="597"/>
      <c r="AO108" s="597"/>
      <c r="AP108" s="601"/>
      <c r="AQ108" s="601"/>
      <c r="AR108" s="601"/>
      <c r="AS108" s="601"/>
      <c r="AT108" s="597"/>
      <c r="AU108" s="600"/>
      <c r="AV108" s="600"/>
      <c r="AW108" s="600"/>
      <c r="AX108" s="597"/>
      <c r="AY108" s="597"/>
      <c r="AZ108" s="214"/>
      <c r="BA108" s="490" t="str">
        <f t="shared" si="4"/>
        <v>SUM_PFC</v>
      </c>
      <c r="BB108" s="581" t="str">
        <f t="shared" si="5"/>
        <v>SUM_EnergyIN</v>
      </c>
      <c r="BC108" s="602"/>
      <c r="BD108" s="23"/>
    </row>
    <row r="109" spans="1:56" x14ac:dyDescent="0.2">
      <c r="A109" s="602"/>
      <c r="B109" s="214"/>
      <c r="C109" s="539">
        <v>7</v>
      </c>
      <c r="D109" s="671"/>
      <c r="E109" s="596"/>
      <c r="F109" s="597"/>
      <c r="G109" s="598"/>
      <c r="H109" s="775"/>
      <c r="I109" s="776"/>
      <c r="J109" s="775"/>
      <c r="K109" s="776"/>
      <c r="L109" s="776"/>
      <c r="M109" s="776"/>
      <c r="N109" s="775"/>
      <c r="O109" s="774"/>
      <c r="P109" s="775"/>
      <c r="Q109" s="774"/>
      <c r="R109" s="775"/>
      <c r="S109" s="774"/>
      <c r="T109" s="775"/>
      <c r="U109" s="774"/>
      <c r="V109" s="774"/>
      <c r="W109" s="774"/>
      <c r="X109" s="774"/>
      <c r="Y109" s="774"/>
      <c r="Z109" s="774"/>
      <c r="AA109" s="774"/>
      <c r="AB109" s="774"/>
      <c r="AC109" s="774"/>
      <c r="AD109" s="774"/>
      <c r="AE109" s="774"/>
      <c r="AF109" s="774"/>
      <c r="AG109" s="597"/>
      <c r="AH109" s="597"/>
      <c r="AI109" s="597"/>
      <c r="AJ109" s="597"/>
      <c r="AK109" s="597"/>
      <c r="AL109" s="597"/>
      <c r="AM109" s="597"/>
      <c r="AN109" s="597"/>
      <c r="AO109" s="597"/>
      <c r="AP109" s="601"/>
      <c r="AQ109" s="601"/>
      <c r="AR109" s="601"/>
      <c r="AS109" s="601"/>
      <c r="AT109" s="597"/>
      <c r="AU109" s="600"/>
      <c r="AV109" s="600"/>
      <c r="AW109" s="600"/>
      <c r="AX109" s="597"/>
      <c r="AY109" s="597"/>
      <c r="AZ109" s="214"/>
      <c r="BA109" s="490" t="str">
        <f t="shared" si="4"/>
        <v>SUM_PFC</v>
      </c>
      <c r="BB109" s="581" t="str">
        <f t="shared" si="5"/>
        <v>SUM_EnergyIN</v>
      </c>
      <c r="BC109" s="602"/>
      <c r="BD109" s="23"/>
    </row>
    <row r="110" spans="1:56" x14ac:dyDescent="0.2">
      <c r="A110" s="602"/>
      <c r="B110" s="214"/>
      <c r="C110" s="539">
        <v>8</v>
      </c>
      <c r="D110" s="671"/>
      <c r="E110" s="596"/>
      <c r="F110" s="597"/>
      <c r="G110" s="598"/>
      <c r="H110" s="775"/>
      <c r="I110" s="776"/>
      <c r="J110" s="775"/>
      <c r="K110" s="776"/>
      <c r="L110" s="776"/>
      <c r="M110" s="776"/>
      <c r="N110" s="775"/>
      <c r="O110" s="774"/>
      <c r="P110" s="775"/>
      <c r="Q110" s="774"/>
      <c r="R110" s="775"/>
      <c r="S110" s="774"/>
      <c r="T110" s="775"/>
      <c r="U110" s="774"/>
      <c r="V110" s="774"/>
      <c r="W110" s="774"/>
      <c r="X110" s="774"/>
      <c r="Y110" s="774"/>
      <c r="Z110" s="774"/>
      <c r="AA110" s="774"/>
      <c r="AB110" s="774"/>
      <c r="AC110" s="774"/>
      <c r="AD110" s="774"/>
      <c r="AE110" s="774"/>
      <c r="AF110" s="774"/>
      <c r="AG110" s="597"/>
      <c r="AH110" s="597"/>
      <c r="AI110" s="597"/>
      <c r="AJ110" s="597"/>
      <c r="AK110" s="597"/>
      <c r="AL110" s="597"/>
      <c r="AM110" s="597"/>
      <c r="AN110" s="597"/>
      <c r="AO110" s="597"/>
      <c r="AP110" s="601"/>
      <c r="AQ110" s="601"/>
      <c r="AR110" s="601"/>
      <c r="AS110" s="601"/>
      <c r="AT110" s="597"/>
      <c r="AU110" s="600"/>
      <c r="AV110" s="600"/>
      <c r="AW110" s="600"/>
      <c r="AX110" s="597"/>
      <c r="AY110" s="597"/>
      <c r="AZ110" s="214"/>
      <c r="BA110" s="490" t="str">
        <f t="shared" si="4"/>
        <v>SUM_PFC</v>
      </c>
      <c r="BB110" s="581" t="str">
        <f t="shared" si="5"/>
        <v>SUM_EnergyIN</v>
      </c>
      <c r="BC110" s="602"/>
      <c r="BD110" s="23"/>
    </row>
    <row r="111" spans="1:56" x14ac:dyDescent="0.2">
      <c r="A111" s="602"/>
      <c r="B111" s="214"/>
      <c r="C111" s="539">
        <v>9</v>
      </c>
      <c r="D111" s="671"/>
      <c r="E111" s="596"/>
      <c r="F111" s="597"/>
      <c r="G111" s="598"/>
      <c r="H111" s="775"/>
      <c r="I111" s="776"/>
      <c r="J111" s="775"/>
      <c r="K111" s="776"/>
      <c r="L111" s="776"/>
      <c r="M111" s="776"/>
      <c r="N111" s="775"/>
      <c r="O111" s="774"/>
      <c r="P111" s="775"/>
      <c r="Q111" s="774"/>
      <c r="R111" s="775"/>
      <c r="S111" s="774"/>
      <c r="T111" s="775"/>
      <c r="U111" s="774"/>
      <c r="V111" s="774"/>
      <c r="W111" s="774"/>
      <c r="X111" s="774"/>
      <c r="Y111" s="774"/>
      <c r="Z111" s="774"/>
      <c r="AA111" s="774"/>
      <c r="AB111" s="774"/>
      <c r="AC111" s="774"/>
      <c r="AD111" s="774"/>
      <c r="AE111" s="774"/>
      <c r="AF111" s="774"/>
      <c r="AG111" s="597"/>
      <c r="AH111" s="597"/>
      <c r="AI111" s="597"/>
      <c r="AJ111" s="597"/>
      <c r="AK111" s="597"/>
      <c r="AL111" s="597"/>
      <c r="AM111" s="597"/>
      <c r="AN111" s="597"/>
      <c r="AO111" s="597"/>
      <c r="AP111" s="601"/>
      <c r="AQ111" s="601"/>
      <c r="AR111" s="601"/>
      <c r="AS111" s="601"/>
      <c r="AT111" s="597"/>
      <c r="AU111" s="600"/>
      <c r="AV111" s="600"/>
      <c r="AW111" s="600"/>
      <c r="AX111" s="597"/>
      <c r="AY111" s="597"/>
      <c r="AZ111" s="214"/>
      <c r="BA111" s="490" t="str">
        <f t="shared" si="4"/>
        <v>SUM_PFC</v>
      </c>
      <c r="BB111" s="581" t="str">
        <f t="shared" si="5"/>
        <v>SUM_EnergyIN</v>
      </c>
      <c r="BC111" s="602"/>
      <c r="BD111" s="23"/>
    </row>
    <row r="112" spans="1:56" x14ac:dyDescent="0.2">
      <c r="A112" s="602"/>
      <c r="B112" s="214"/>
      <c r="C112" s="539">
        <v>10</v>
      </c>
      <c r="D112" s="671"/>
      <c r="E112" s="596"/>
      <c r="F112" s="597"/>
      <c r="G112" s="598"/>
      <c r="H112" s="775"/>
      <c r="I112" s="776"/>
      <c r="J112" s="775"/>
      <c r="K112" s="776"/>
      <c r="L112" s="776"/>
      <c r="M112" s="776"/>
      <c r="N112" s="775"/>
      <c r="O112" s="774"/>
      <c r="P112" s="775"/>
      <c r="Q112" s="774"/>
      <c r="R112" s="775"/>
      <c r="S112" s="774"/>
      <c r="T112" s="775"/>
      <c r="U112" s="774"/>
      <c r="V112" s="774"/>
      <c r="W112" s="774"/>
      <c r="X112" s="774"/>
      <c r="Y112" s="774"/>
      <c r="Z112" s="774"/>
      <c r="AA112" s="774"/>
      <c r="AB112" s="774"/>
      <c r="AC112" s="774"/>
      <c r="AD112" s="774"/>
      <c r="AE112" s="774"/>
      <c r="AF112" s="774"/>
      <c r="AG112" s="597"/>
      <c r="AH112" s="597"/>
      <c r="AI112" s="597"/>
      <c r="AJ112" s="597"/>
      <c r="AK112" s="597"/>
      <c r="AL112" s="597"/>
      <c r="AM112" s="597"/>
      <c r="AN112" s="597"/>
      <c r="AO112" s="597"/>
      <c r="AP112" s="601"/>
      <c r="AQ112" s="601"/>
      <c r="AR112" s="601"/>
      <c r="AS112" s="601"/>
      <c r="AT112" s="597"/>
      <c r="AU112" s="600"/>
      <c r="AV112" s="600"/>
      <c r="AW112" s="600"/>
      <c r="AX112" s="597"/>
      <c r="AY112" s="597"/>
      <c r="AZ112" s="214"/>
      <c r="BA112" s="490" t="str">
        <f t="shared" si="4"/>
        <v>SUM_PFC</v>
      </c>
      <c r="BB112" s="581" t="str">
        <f t="shared" si="5"/>
        <v>SUM_EnergyIN</v>
      </c>
      <c r="BC112" s="602"/>
      <c r="BD112" s="23"/>
    </row>
    <row r="113" spans="1:56" x14ac:dyDescent="0.2">
      <c r="A113" s="602"/>
      <c r="B113" s="214"/>
      <c r="F113" s="540"/>
      <c r="G113" s="24"/>
      <c r="H113" s="540"/>
      <c r="I113" s="24"/>
      <c r="J113" s="540"/>
      <c r="K113" s="24"/>
      <c r="L113" s="24"/>
      <c r="M113" s="24"/>
      <c r="N113" s="540"/>
      <c r="O113" s="541"/>
      <c r="P113" s="540"/>
      <c r="Q113" s="541"/>
      <c r="R113" s="540"/>
      <c r="S113" s="541"/>
      <c r="T113" s="540"/>
      <c r="U113" s="541"/>
      <c r="V113" s="541"/>
      <c r="W113" s="541"/>
      <c r="X113" s="541"/>
      <c r="Y113" s="541"/>
      <c r="Z113" s="541"/>
      <c r="AA113" s="541"/>
      <c r="AB113" s="541"/>
      <c r="AC113" s="541"/>
      <c r="AD113" s="541"/>
      <c r="AE113" s="541"/>
      <c r="AF113" s="541"/>
      <c r="AG113" s="541"/>
      <c r="AH113" s="541"/>
      <c r="AI113" s="541"/>
      <c r="AJ113" s="541"/>
      <c r="AK113" s="541"/>
      <c r="AL113" s="541"/>
      <c r="AM113" s="541"/>
      <c r="AN113" s="541"/>
      <c r="AO113" s="541"/>
      <c r="AP113" s="541"/>
      <c r="AQ113" s="541"/>
      <c r="AR113" s="541"/>
      <c r="AS113" s="541"/>
      <c r="AT113" s="541"/>
      <c r="AU113" s="542"/>
      <c r="AV113" s="542"/>
      <c r="AW113" s="542"/>
      <c r="AX113" s="540"/>
      <c r="AY113" s="540"/>
      <c r="AZ113" s="214"/>
      <c r="BA113" s="602"/>
      <c r="BB113" s="602"/>
      <c r="BC113" s="602"/>
      <c r="BD113" s="23"/>
    </row>
    <row r="114" spans="1:56" ht="50.1" customHeight="1" thickBot="1" x14ac:dyDescent="0.45">
      <c r="A114" s="602"/>
      <c r="B114" s="214"/>
      <c r="C114" s="95"/>
      <c r="D114" s="532" t="str">
        <f>Translations!$B$344</f>
        <v>Emisiju avoti (mērījumos balstītas pieejas)</v>
      </c>
      <c r="E114" s="214"/>
      <c r="F114" s="214"/>
      <c r="G114" s="214"/>
      <c r="H114" s="214"/>
      <c r="I114" s="214"/>
      <c r="J114" s="214"/>
      <c r="K114" s="214"/>
      <c r="L114" s="214"/>
      <c r="N114" s="214"/>
      <c r="O114" s="214"/>
      <c r="P114" s="214"/>
      <c r="Q114" s="214"/>
      <c r="R114" s="214"/>
      <c r="S114" s="214"/>
      <c r="T114" s="214"/>
      <c r="U114" s="214"/>
      <c r="V114" s="214"/>
      <c r="W114" s="214"/>
      <c r="X114" s="214"/>
      <c r="Y114" s="214"/>
      <c r="Z114" s="214"/>
      <c r="AA114" s="214"/>
      <c r="AB114" s="214"/>
      <c r="AC114" s="214"/>
      <c r="AD114" s="214"/>
      <c r="AE114" s="214"/>
      <c r="AF114" s="673"/>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602"/>
      <c r="BB114" s="602"/>
      <c r="BC114" s="602"/>
      <c r="BD114" s="23"/>
    </row>
    <row r="115" spans="1:56" ht="50.1" customHeight="1" thickBot="1" x14ac:dyDescent="0.25">
      <c r="A115" s="602"/>
      <c r="B115" s="214"/>
      <c r="C115" s="533" t="s">
        <v>466</v>
      </c>
      <c r="D115" s="534" t="str">
        <f>Translations!$B$282</f>
        <v>Metode</v>
      </c>
      <c r="E115" s="534" t="str">
        <f>Translations!$B$340</f>
        <v>Nosaukums</v>
      </c>
      <c r="F115" s="535" t="str">
        <f>Translations!$B$284</f>
        <v>Darbības dati</v>
      </c>
      <c r="G115" s="535" t="str">
        <f>Translations!$B$285</f>
        <v>DD vienība</v>
      </c>
      <c r="H115" s="535" t="str">
        <f>Translations!$B$286</f>
        <v>NCV</v>
      </c>
      <c r="I115" s="535" t="str">
        <f>Translations!$B$287</f>
        <v>NCV vienība</v>
      </c>
      <c r="J115" s="535" t="str">
        <f>Translations!$B$288</f>
        <v>EF</v>
      </c>
      <c r="K115" s="535" t="str">
        <f>Translations!$B$289</f>
        <v>EF vienība</v>
      </c>
      <c r="L115" s="535" t="str">
        <f>Translations!$B$290</f>
        <v>C saturs</v>
      </c>
      <c r="M115" s="535" t="str">
        <f>Translations!$B$291</f>
        <v>C satura vienība</v>
      </c>
      <c r="N115" s="535" t="str">
        <f>Translations!$B$292</f>
        <v>Oksid. koef.</v>
      </c>
      <c r="O115" s="535" t="str">
        <f>Translations!$B$293</f>
        <v>OK vienība</v>
      </c>
      <c r="P115" s="535" t="str">
        <f>Translations!$B$294</f>
        <v>Pārrēķina koef.</v>
      </c>
      <c r="Q115" s="535" t="str">
        <f>Translations!$B$295</f>
        <v>PK vienība</v>
      </c>
      <c r="R115" s="535" t="str">
        <f>Translations!$B$296</f>
        <v>Biomasas saturs</v>
      </c>
      <c r="S115" s="535" t="str">
        <f>Translations!$B$297</f>
        <v>BS vienība</v>
      </c>
      <c r="T115" s="535" t="str">
        <f>Translations!$B$298</f>
        <v>ilgtnesp. BS</v>
      </c>
      <c r="U115" s="535" t="str">
        <f>Translations!$B$299</f>
        <v>ilgtnesp. BS vienība</v>
      </c>
      <c r="V115" s="535" t="str">
        <f>Translations!$B$300</f>
        <v>SEG konc. vidējā vērtība h</v>
      </c>
      <c r="W115" s="535" t="str">
        <f>Translations!$B$301</f>
        <v>SEG konc. h vienība</v>
      </c>
      <c r="X115" s="535" t="str">
        <f>Translations!$B$302</f>
        <v>ekspluatācijas stundas</v>
      </c>
      <c r="Y115" s="535" t="str">
        <f>Translations!$B$303</f>
        <v>ekspluatācijas stundu vienība</v>
      </c>
      <c r="Z115" s="535" t="str">
        <f>Translations!$B$304</f>
        <v>Dūmgāzes (vidēji)</v>
      </c>
      <c r="AA115" s="535" t="str">
        <f>Translations!$B$305</f>
        <v>Dūmgāzes (vidēji), vienība</v>
      </c>
      <c r="AB115" s="535" t="str">
        <f>Translations!$B$306</f>
        <v>Dūmgāzes (kopā)</v>
      </c>
      <c r="AC115" s="535" t="str">
        <f>Translations!$B$307</f>
        <v>Dūmgāzes (kopā), vienība</v>
      </c>
      <c r="AD115" s="535" t="str">
        <f>Translations!$B$308</f>
        <v>SEG daudzums gadā</v>
      </c>
      <c r="AE115" s="535" t="str">
        <f>Translations!$B$309</f>
        <v>SEG daudzums gadā, vienība</v>
      </c>
      <c r="AF115" s="535" t="str">
        <f>Translations!$B$310</f>
        <v>GWP (t CO2 e/t)</v>
      </c>
      <c r="AG115" s="535" t="str">
        <f>Translations!$B$311</f>
        <v>A: biežums</v>
      </c>
      <c r="AH115" s="535" t="str">
        <f>Translations!$B$312</f>
        <v>A: ilgums</v>
      </c>
      <c r="AI115" s="535" t="str">
        <f>Translations!$B$313</f>
        <v>A: SEF (CF4)</v>
      </c>
      <c r="AJ115" s="535" t="str">
        <f>Translations!$B$314</f>
        <v>B: AEO</v>
      </c>
      <c r="AK115" s="535" t="str">
        <f>Translations!$B$315</f>
        <v>B: CE</v>
      </c>
      <c r="AL115" s="535" t="str">
        <f>Translations!$B$316</f>
        <v>B: OVC</v>
      </c>
      <c r="AM115" s="535" t="str">
        <f>Translations!$B$317</f>
        <v>F (C2F6)</v>
      </c>
      <c r="AN115" s="535" t="str">
        <f>Translations!$B$318</f>
        <v>CF4 emisijas (t CF4)</v>
      </c>
      <c r="AO115" s="535" t="str">
        <f>Translations!$B$319</f>
        <v>C2F6 emisijas (t C2F6)</v>
      </c>
      <c r="AP115" s="535" t="str">
        <f>Translations!$B$320</f>
        <v>GWP (CF4) (t CO2 e/t)</v>
      </c>
      <c r="AQ115" s="535" t="str">
        <f>Translations!$B$321</f>
        <v>GWP (C2F6) (t CO2 e/t)</v>
      </c>
      <c r="AR115" s="535" t="str">
        <f>Translations!$B$322</f>
        <v>CF4 emisijas (t CO2e)</v>
      </c>
      <c r="AS115" s="535" t="str">
        <f>Translations!$B$323</f>
        <v>C2F6 emisijas (t CO2 e)</v>
      </c>
      <c r="AT115" s="535" t="str">
        <f>Translations!$B$324</f>
        <v>Uztveršanas efektivitāte, %</v>
      </c>
      <c r="AU115" s="535" t="str">
        <f>Translations!$B$325</f>
        <v>CO2 e, fosilie avoti (t)</v>
      </c>
      <c r="AV115" s="535" t="str">
        <f>Translations!$B$326</f>
        <v>CO2 e bio (t)</v>
      </c>
      <c r="AW115" s="535" t="str">
        <f>Translations!$B$327</f>
        <v>CO2 e, ilgtnesp. biomasa (t)</v>
      </c>
      <c r="AX115" s="536" t="str">
        <f>Translations!$B$328</f>
        <v>Enerģētiskais saturs (fosilie avoti), TJ</v>
      </c>
      <c r="AY115" s="537" t="str">
        <f>Translations!$B$329</f>
        <v>Enerģētiskais saturs (biomasa), TJ</v>
      </c>
      <c r="AZ115" s="214"/>
      <c r="BA115" s="602"/>
      <c r="BB115" s="602"/>
      <c r="BC115" s="602"/>
      <c r="BD115" s="23"/>
    </row>
    <row r="116" spans="1:56" ht="12.75" customHeight="1" x14ac:dyDescent="0.2">
      <c r="A116" s="602"/>
      <c r="B116" s="214"/>
      <c r="C116" s="543" t="str">
        <f>Translations!$B$330</f>
        <v>1. piem.</v>
      </c>
      <c r="D116" s="686" t="s">
        <v>372</v>
      </c>
      <c r="E116" s="686" t="str">
        <f>Translations!$B$345</f>
        <v>Slāpekļskābe, 1. līnija</v>
      </c>
      <c r="F116" s="775"/>
      <c r="G116" s="776"/>
      <c r="H116" s="775"/>
      <c r="I116" s="776"/>
      <c r="J116" s="775"/>
      <c r="K116" s="776"/>
      <c r="L116" s="776"/>
      <c r="M116" s="776"/>
      <c r="N116" s="775"/>
      <c r="O116" s="774"/>
      <c r="P116" s="775"/>
      <c r="Q116" s="774"/>
      <c r="R116" s="691">
        <v>0</v>
      </c>
      <c r="S116" s="688" t="s">
        <v>393</v>
      </c>
      <c r="T116" s="691">
        <v>0</v>
      </c>
      <c r="U116" s="688" t="s">
        <v>393</v>
      </c>
      <c r="V116" s="691">
        <v>64.292500000000004</v>
      </c>
      <c r="W116" s="688" t="s">
        <v>513</v>
      </c>
      <c r="X116" s="691">
        <v>4</v>
      </c>
      <c r="Y116" s="688" t="str">
        <f>Translations!$B$346</f>
        <v>h gadā</v>
      </c>
      <c r="Z116" s="691">
        <v>265</v>
      </c>
      <c r="AA116" s="688" t="str">
        <f>Translations!$B$347</f>
        <v>1000 Nm3/h</v>
      </c>
      <c r="AB116" s="691">
        <v>1060</v>
      </c>
      <c r="AC116" s="688" t="str">
        <f>Translations!$B$348</f>
        <v>1000 Nm3 gadā</v>
      </c>
      <c r="AD116" s="691">
        <v>68</v>
      </c>
      <c r="AE116" s="688" t="s">
        <v>205</v>
      </c>
      <c r="AF116" s="691">
        <v>298</v>
      </c>
      <c r="AG116" s="777"/>
      <c r="AH116" s="777"/>
      <c r="AI116" s="777"/>
      <c r="AJ116" s="777"/>
      <c r="AK116" s="777"/>
      <c r="AL116" s="777"/>
      <c r="AM116" s="777"/>
      <c r="AN116" s="777"/>
      <c r="AO116" s="777"/>
      <c r="AP116" s="777"/>
      <c r="AQ116" s="777"/>
      <c r="AR116" s="777"/>
      <c r="AS116" s="777"/>
      <c r="AT116" s="777"/>
      <c r="AU116" s="689">
        <v>20308.714900000003</v>
      </c>
      <c r="AV116" s="689">
        <v>0</v>
      </c>
      <c r="AW116" s="689">
        <v>0</v>
      </c>
      <c r="AX116" s="691">
        <v>0</v>
      </c>
      <c r="AY116" s="691">
        <v>0</v>
      </c>
      <c r="AZ116" s="214"/>
      <c r="BA116" s="602"/>
      <c r="BB116" s="602"/>
      <c r="BC116" s="602"/>
      <c r="BD116" s="23"/>
    </row>
    <row r="117" spans="1:56" ht="12.75" customHeight="1" x14ac:dyDescent="0.2">
      <c r="A117" s="602"/>
      <c r="B117" s="214"/>
      <c r="C117" s="543" t="str">
        <f>Translations!$B$333</f>
        <v>2. piem.</v>
      </c>
      <c r="D117" s="686" t="str">
        <f>Translations!$B$349</f>
        <v>CO2 pārvade</v>
      </c>
      <c r="E117" s="686" t="str">
        <f>Translations!$B$350</f>
        <v>Pārvade uz ES ETS iekārtu X</v>
      </c>
      <c r="F117" s="775"/>
      <c r="G117" s="776"/>
      <c r="H117" s="775"/>
      <c r="I117" s="776"/>
      <c r="J117" s="775"/>
      <c r="K117" s="776"/>
      <c r="L117" s="776"/>
      <c r="M117" s="776"/>
      <c r="N117" s="775"/>
      <c r="O117" s="774"/>
      <c r="P117" s="775"/>
      <c r="Q117" s="774"/>
      <c r="R117" s="691">
        <v>0</v>
      </c>
      <c r="S117" s="688" t="s">
        <v>393</v>
      </c>
      <c r="T117" s="691">
        <v>0</v>
      </c>
      <c r="U117" s="688" t="s">
        <v>393</v>
      </c>
      <c r="V117" s="691">
        <v>1820</v>
      </c>
      <c r="W117" s="688" t="s">
        <v>513</v>
      </c>
      <c r="X117" s="691">
        <v>5000</v>
      </c>
      <c r="Y117" s="688" t="str">
        <f>Translations!$B$346</f>
        <v>h gadā</v>
      </c>
      <c r="Z117" s="691">
        <v>50</v>
      </c>
      <c r="AA117" s="688" t="str">
        <f>Translations!$B$347</f>
        <v>1000 Nm3/h</v>
      </c>
      <c r="AB117" s="691">
        <v>250000</v>
      </c>
      <c r="AC117" s="688" t="str">
        <f>Translations!$B$348</f>
        <v>1000 Nm3 gadā</v>
      </c>
      <c r="AD117" s="691">
        <v>455000</v>
      </c>
      <c r="AE117" s="688" t="s">
        <v>205</v>
      </c>
      <c r="AF117" s="691">
        <v>1</v>
      </c>
      <c r="AG117" s="777"/>
      <c r="AH117" s="777"/>
      <c r="AI117" s="777"/>
      <c r="AJ117" s="777"/>
      <c r="AK117" s="777"/>
      <c r="AL117" s="777"/>
      <c r="AM117" s="777"/>
      <c r="AN117" s="777"/>
      <c r="AO117" s="777"/>
      <c r="AP117" s="777"/>
      <c r="AQ117" s="777"/>
      <c r="AR117" s="777"/>
      <c r="AS117" s="777"/>
      <c r="AT117" s="777"/>
      <c r="AU117" s="689">
        <v>-455000</v>
      </c>
      <c r="AV117" s="689">
        <v>0</v>
      </c>
      <c r="AW117" s="689">
        <v>0</v>
      </c>
      <c r="AX117" s="691">
        <v>0</v>
      </c>
      <c r="AY117" s="691">
        <v>0</v>
      </c>
      <c r="AZ117" s="214"/>
      <c r="BA117" s="602"/>
      <c r="BB117" s="602"/>
      <c r="BC117" s="602"/>
      <c r="BD117" s="23"/>
    </row>
    <row r="118" spans="1:56" x14ac:dyDescent="0.2">
      <c r="A118" s="602"/>
      <c r="B118" s="214"/>
      <c r="C118" s="539">
        <v>1</v>
      </c>
      <c r="D118" s="671"/>
      <c r="E118" s="596"/>
      <c r="F118" s="775"/>
      <c r="G118" s="776"/>
      <c r="H118" s="775"/>
      <c r="I118" s="776"/>
      <c r="J118" s="775"/>
      <c r="K118" s="776"/>
      <c r="L118" s="776"/>
      <c r="M118" s="776"/>
      <c r="N118" s="775"/>
      <c r="O118" s="774"/>
      <c r="P118" s="775"/>
      <c r="Q118" s="774"/>
      <c r="R118" s="601"/>
      <c r="S118" s="599"/>
      <c r="T118" s="601"/>
      <c r="U118" s="599"/>
      <c r="V118" s="601"/>
      <c r="W118" s="599"/>
      <c r="X118" s="601"/>
      <c r="Y118" s="599"/>
      <c r="Z118" s="601"/>
      <c r="AA118" s="599"/>
      <c r="AB118" s="601"/>
      <c r="AC118" s="599"/>
      <c r="AD118" s="601"/>
      <c r="AE118" s="599"/>
      <c r="AF118" s="601"/>
      <c r="AG118" s="777"/>
      <c r="AH118" s="777"/>
      <c r="AI118" s="777"/>
      <c r="AJ118" s="777"/>
      <c r="AK118" s="777"/>
      <c r="AL118" s="777"/>
      <c r="AM118" s="777"/>
      <c r="AN118" s="777"/>
      <c r="AO118" s="777"/>
      <c r="AP118" s="777"/>
      <c r="AQ118" s="777"/>
      <c r="AR118" s="777"/>
      <c r="AS118" s="777"/>
      <c r="AT118" s="777"/>
      <c r="AU118" s="600"/>
      <c r="AV118" s="600"/>
      <c r="AW118" s="600"/>
      <c r="AX118" s="601"/>
      <c r="AY118" s="601"/>
      <c r="AZ118" s="214"/>
      <c r="BA118" s="490" t="str">
        <f t="shared" ref="BA118:BA127" si="6">IF(SUM(AF118)&gt;1,EUconst_SumN2O,IF(SUM(AU118:AV118)&lt;0,EUconst_SumTransferCO2,EUconst_SumCO2))</f>
        <v>SUM_CO2</v>
      </c>
      <c r="BB118" s="581" t="str">
        <f t="shared" ref="BB118:BB127" si="7">EUconst_SumEnergyIN</f>
        <v>SUM_EnergyIN</v>
      </c>
      <c r="BC118" s="602"/>
      <c r="BD118" s="23"/>
    </row>
    <row r="119" spans="1:56" x14ac:dyDescent="0.2">
      <c r="A119" s="602"/>
      <c r="B119" s="214"/>
      <c r="C119" s="539">
        <v>2</v>
      </c>
      <c r="D119" s="671"/>
      <c r="E119" s="596"/>
      <c r="F119" s="775"/>
      <c r="G119" s="776"/>
      <c r="H119" s="775"/>
      <c r="I119" s="776"/>
      <c r="J119" s="775"/>
      <c r="K119" s="776"/>
      <c r="L119" s="776"/>
      <c r="M119" s="776"/>
      <c r="N119" s="775"/>
      <c r="O119" s="774"/>
      <c r="P119" s="775"/>
      <c r="Q119" s="774"/>
      <c r="R119" s="601"/>
      <c r="S119" s="599"/>
      <c r="T119" s="601"/>
      <c r="U119" s="599"/>
      <c r="V119" s="601"/>
      <c r="W119" s="599"/>
      <c r="X119" s="601"/>
      <c r="Y119" s="599"/>
      <c r="Z119" s="601"/>
      <c r="AA119" s="599"/>
      <c r="AB119" s="601"/>
      <c r="AC119" s="599"/>
      <c r="AD119" s="601"/>
      <c r="AE119" s="599"/>
      <c r="AF119" s="601"/>
      <c r="AG119" s="777"/>
      <c r="AH119" s="777"/>
      <c r="AI119" s="777"/>
      <c r="AJ119" s="777"/>
      <c r="AK119" s="777"/>
      <c r="AL119" s="777"/>
      <c r="AM119" s="777"/>
      <c r="AN119" s="777"/>
      <c r="AO119" s="777"/>
      <c r="AP119" s="777"/>
      <c r="AQ119" s="777"/>
      <c r="AR119" s="777"/>
      <c r="AS119" s="777"/>
      <c r="AT119" s="777"/>
      <c r="AU119" s="600"/>
      <c r="AV119" s="600"/>
      <c r="AW119" s="600"/>
      <c r="AX119" s="601"/>
      <c r="AY119" s="601"/>
      <c r="AZ119" s="214"/>
      <c r="BA119" s="490" t="str">
        <f t="shared" si="6"/>
        <v>SUM_CO2</v>
      </c>
      <c r="BB119" s="581" t="str">
        <f t="shared" si="7"/>
        <v>SUM_EnergyIN</v>
      </c>
      <c r="BC119" s="602"/>
      <c r="BD119" s="23"/>
    </row>
    <row r="120" spans="1:56" x14ac:dyDescent="0.2">
      <c r="A120" s="602"/>
      <c r="B120" s="214"/>
      <c r="C120" s="539">
        <v>3</v>
      </c>
      <c r="D120" s="671"/>
      <c r="E120" s="596"/>
      <c r="F120" s="775"/>
      <c r="G120" s="776"/>
      <c r="H120" s="775"/>
      <c r="I120" s="776"/>
      <c r="J120" s="775"/>
      <c r="K120" s="776"/>
      <c r="L120" s="776"/>
      <c r="M120" s="776"/>
      <c r="N120" s="775"/>
      <c r="O120" s="774"/>
      <c r="P120" s="775"/>
      <c r="Q120" s="774"/>
      <c r="R120" s="601"/>
      <c r="S120" s="599"/>
      <c r="T120" s="601"/>
      <c r="U120" s="599"/>
      <c r="V120" s="601"/>
      <c r="W120" s="599"/>
      <c r="X120" s="601"/>
      <c r="Y120" s="599"/>
      <c r="Z120" s="601"/>
      <c r="AA120" s="599"/>
      <c r="AB120" s="601"/>
      <c r="AC120" s="599"/>
      <c r="AD120" s="601"/>
      <c r="AE120" s="599"/>
      <c r="AF120" s="601"/>
      <c r="AG120" s="777"/>
      <c r="AH120" s="777"/>
      <c r="AI120" s="777"/>
      <c r="AJ120" s="777"/>
      <c r="AK120" s="777"/>
      <c r="AL120" s="777"/>
      <c r="AM120" s="777"/>
      <c r="AN120" s="777"/>
      <c r="AO120" s="777"/>
      <c r="AP120" s="777"/>
      <c r="AQ120" s="777"/>
      <c r="AR120" s="777"/>
      <c r="AS120" s="777"/>
      <c r="AT120" s="777"/>
      <c r="AU120" s="600"/>
      <c r="AV120" s="600"/>
      <c r="AW120" s="600"/>
      <c r="AX120" s="601"/>
      <c r="AY120" s="601"/>
      <c r="AZ120" s="214"/>
      <c r="BA120" s="490" t="str">
        <f t="shared" si="6"/>
        <v>SUM_CO2</v>
      </c>
      <c r="BB120" s="581" t="str">
        <f t="shared" si="7"/>
        <v>SUM_EnergyIN</v>
      </c>
      <c r="BC120" s="602"/>
      <c r="BD120" s="23"/>
    </row>
    <row r="121" spans="1:56" x14ac:dyDescent="0.2">
      <c r="A121" s="602"/>
      <c r="B121" s="214"/>
      <c r="C121" s="539">
        <v>4</v>
      </c>
      <c r="D121" s="671"/>
      <c r="E121" s="596"/>
      <c r="F121" s="775"/>
      <c r="G121" s="776"/>
      <c r="H121" s="775"/>
      <c r="I121" s="776"/>
      <c r="J121" s="775"/>
      <c r="K121" s="776"/>
      <c r="L121" s="776"/>
      <c r="M121" s="776"/>
      <c r="N121" s="775"/>
      <c r="O121" s="774"/>
      <c r="P121" s="775"/>
      <c r="Q121" s="774"/>
      <c r="R121" s="601"/>
      <c r="S121" s="599"/>
      <c r="T121" s="601"/>
      <c r="U121" s="599"/>
      <c r="V121" s="601"/>
      <c r="W121" s="599"/>
      <c r="X121" s="601"/>
      <c r="Y121" s="599"/>
      <c r="Z121" s="601"/>
      <c r="AA121" s="599"/>
      <c r="AB121" s="601"/>
      <c r="AC121" s="599"/>
      <c r="AD121" s="601"/>
      <c r="AE121" s="599"/>
      <c r="AF121" s="601"/>
      <c r="AG121" s="777"/>
      <c r="AH121" s="777"/>
      <c r="AI121" s="777"/>
      <c r="AJ121" s="777"/>
      <c r="AK121" s="777"/>
      <c r="AL121" s="777"/>
      <c r="AM121" s="777"/>
      <c r="AN121" s="777"/>
      <c r="AO121" s="777"/>
      <c r="AP121" s="777"/>
      <c r="AQ121" s="777"/>
      <c r="AR121" s="777"/>
      <c r="AS121" s="777"/>
      <c r="AT121" s="777"/>
      <c r="AU121" s="600"/>
      <c r="AV121" s="600"/>
      <c r="AW121" s="600"/>
      <c r="AX121" s="601"/>
      <c r="AY121" s="601"/>
      <c r="AZ121" s="214"/>
      <c r="BA121" s="490" t="str">
        <f t="shared" si="6"/>
        <v>SUM_CO2</v>
      </c>
      <c r="BB121" s="581" t="str">
        <f t="shared" si="7"/>
        <v>SUM_EnergyIN</v>
      </c>
      <c r="BC121" s="602"/>
      <c r="BD121" s="23"/>
    </row>
    <row r="122" spans="1:56" x14ac:dyDescent="0.2">
      <c r="A122" s="602"/>
      <c r="B122" s="214"/>
      <c r="C122" s="539">
        <v>5</v>
      </c>
      <c r="D122" s="671"/>
      <c r="E122" s="596"/>
      <c r="F122" s="775"/>
      <c r="G122" s="776"/>
      <c r="H122" s="775"/>
      <c r="I122" s="776"/>
      <c r="J122" s="775"/>
      <c r="K122" s="776"/>
      <c r="L122" s="776"/>
      <c r="M122" s="776"/>
      <c r="N122" s="775"/>
      <c r="O122" s="774"/>
      <c r="P122" s="775"/>
      <c r="Q122" s="774"/>
      <c r="R122" s="601"/>
      <c r="S122" s="599"/>
      <c r="T122" s="601"/>
      <c r="U122" s="599"/>
      <c r="V122" s="601"/>
      <c r="W122" s="599"/>
      <c r="X122" s="601"/>
      <c r="Y122" s="599"/>
      <c r="Z122" s="601"/>
      <c r="AA122" s="599"/>
      <c r="AB122" s="601"/>
      <c r="AC122" s="599"/>
      <c r="AD122" s="601"/>
      <c r="AE122" s="599"/>
      <c r="AF122" s="601"/>
      <c r="AG122" s="777"/>
      <c r="AH122" s="777"/>
      <c r="AI122" s="777"/>
      <c r="AJ122" s="777"/>
      <c r="AK122" s="777"/>
      <c r="AL122" s="777"/>
      <c r="AM122" s="777"/>
      <c r="AN122" s="777"/>
      <c r="AO122" s="777"/>
      <c r="AP122" s="777"/>
      <c r="AQ122" s="777"/>
      <c r="AR122" s="777"/>
      <c r="AS122" s="777"/>
      <c r="AT122" s="777"/>
      <c r="AU122" s="600"/>
      <c r="AV122" s="600"/>
      <c r="AW122" s="600"/>
      <c r="AX122" s="601"/>
      <c r="AY122" s="601"/>
      <c r="AZ122" s="214"/>
      <c r="BA122" s="490" t="str">
        <f t="shared" si="6"/>
        <v>SUM_CO2</v>
      </c>
      <c r="BB122" s="581" t="str">
        <f t="shared" si="7"/>
        <v>SUM_EnergyIN</v>
      </c>
      <c r="BC122" s="602"/>
      <c r="BD122" s="23"/>
    </row>
    <row r="123" spans="1:56" x14ac:dyDescent="0.2">
      <c r="A123" s="602"/>
      <c r="B123" s="214"/>
      <c r="C123" s="539">
        <v>6</v>
      </c>
      <c r="D123" s="671"/>
      <c r="E123" s="596"/>
      <c r="F123" s="775"/>
      <c r="G123" s="776"/>
      <c r="H123" s="775"/>
      <c r="I123" s="776"/>
      <c r="J123" s="775"/>
      <c r="K123" s="776"/>
      <c r="L123" s="776"/>
      <c r="M123" s="776"/>
      <c r="N123" s="775"/>
      <c r="O123" s="774"/>
      <c r="P123" s="775"/>
      <c r="Q123" s="774"/>
      <c r="R123" s="601"/>
      <c r="S123" s="599"/>
      <c r="T123" s="601"/>
      <c r="U123" s="599"/>
      <c r="V123" s="601"/>
      <c r="W123" s="599"/>
      <c r="X123" s="601"/>
      <c r="Y123" s="599"/>
      <c r="Z123" s="601"/>
      <c r="AA123" s="599"/>
      <c r="AB123" s="601"/>
      <c r="AC123" s="599"/>
      <c r="AD123" s="601"/>
      <c r="AE123" s="599"/>
      <c r="AF123" s="601"/>
      <c r="AG123" s="777"/>
      <c r="AH123" s="777"/>
      <c r="AI123" s="777"/>
      <c r="AJ123" s="777"/>
      <c r="AK123" s="777"/>
      <c r="AL123" s="777"/>
      <c r="AM123" s="777"/>
      <c r="AN123" s="777"/>
      <c r="AO123" s="777"/>
      <c r="AP123" s="777"/>
      <c r="AQ123" s="777"/>
      <c r="AR123" s="777"/>
      <c r="AS123" s="777"/>
      <c r="AT123" s="777"/>
      <c r="AU123" s="600"/>
      <c r="AV123" s="600"/>
      <c r="AW123" s="600"/>
      <c r="AX123" s="601"/>
      <c r="AY123" s="601"/>
      <c r="AZ123" s="214"/>
      <c r="BA123" s="490" t="str">
        <f t="shared" si="6"/>
        <v>SUM_CO2</v>
      </c>
      <c r="BB123" s="581" t="str">
        <f t="shared" si="7"/>
        <v>SUM_EnergyIN</v>
      </c>
      <c r="BC123" s="602"/>
      <c r="BD123" s="23"/>
    </row>
    <row r="124" spans="1:56" x14ac:dyDescent="0.2">
      <c r="A124" s="602"/>
      <c r="B124" s="214"/>
      <c r="C124" s="539">
        <v>7</v>
      </c>
      <c r="D124" s="671"/>
      <c r="E124" s="596"/>
      <c r="F124" s="775"/>
      <c r="G124" s="776"/>
      <c r="H124" s="775"/>
      <c r="I124" s="776"/>
      <c r="J124" s="775"/>
      <c r="K124" s="776"/>
      <c r="L124" s="776"/>
      <c r="M124" s="776"/>
      <c r="N124" s="775"/>
      <c r="O124" s="774"/>
      <c r="P124" s="775"/>
      <c r="Q124" s="774"/>
      <c r="R124" s="601"/>
      <c r="S124" s="599"/>
      <c r="T124" s="601"/>
      <c r="U124" s="599"/>
      <c r="V124" s="601"/>
      <c r="W124" s="599"/>
      <c r="X124" s="601"/>
      <c r="Y124" s="599"/>
      <c r="Z124" s="601"/>
      <c r="AA124" s="599"/>
      <c r="AB124" s="601"/>
      <c r="AC124" s="599"/>
      <c r="AD124" s="601"/>
      <c r="AE124" s="599"/>
      <c r="AF124" s="601"/>
      <c r="AG124" s="777"/>
      <c r="AH124" s="777"/>
      <c r="AI124" s="777"/>
      <c r="AJ124" s="777"/>
      <c r="AK124" s="777"/>
      <c r="AL124" s="777"/>
      <c r="AM124" s="777"/>
      <c r="AN124" s="777"/>
      <c r="AO124" s="777"/>
      <c r="AP124" s="777"/>
      <c r="AQ124" s="777"/>
      <c r="AR124" s="777"/>
      <c r="AS124" s="777"/>
      <c r="AT124" s="777"/>
      <c r="AU124" s="600"/>
      <c r="AV124" s="600"/>
      <c r="AW124" s="600"/>
      <c r="AX124" s="601"/>
      <c r="AY124" s="601"/>
      <c r="AZ124" s="214"/>
      <c r="BA124" s="490" t="str">
        <f t="shared" si="6"/>
        <v>SUM_CO2</v>
      </c>
      <c r="BB124" s="581" t="str">
        <f t="shared" si="7"/>
        <v>SUM_EnergyIN</v>
      </c>
      <c r="BC124" s="602"/>
      <c r="BD124" s="23"/>
    </row>
    <row r="125" spans="1:56" x14ac:dyDescent="0.2">
      <c r="A125" s="602"/>
      <c r="B125" s="214"/>
      <c r="C125" s="539">
        <v>8</v>
      </c>
      <c r="D125" s="671"/>
      <c r="E125" s="596"/>
      <c r="F125" s="775"/>
      <c r="G125" s="776"/>
      <c r="H125" s="775"/>
      <c r="I125" s="776"/>
      <c r="J125" s="775"/>
      <c r="K125" s="776"/>
      <c r="L125" s="776"/>
      <c r="M125" s="776"/>
      <c r="N125" s="775"/>
      <c r="O125" s="774"/>
      <c r="P125" s="775"/>
      <c r="Q125" s="774"/>
      <c r="R125" s="601"/>
      <c r="S125" s="599"/>
      <c r="T125" s="601"/>
      <c r="U125" s="599"/>
      <c r="V125" s="601"/>
      <c r="W125" s="599"/>
      <c r="X125" s="601"/>
      <c r="Y125" s="599"/>
      <c r="Z125" s="601"/>
      <c r="AA125" s="599"/>
      <c r="AB125" s="601"/>
      <c r="AC125" s="599"/>
      <c r="AD125" s="601"/>
      <c r="AE125" s="599"/>
      <c r="AF125" s="601"/>
      <c r="AG125" s="777"/>
      <c r="AH125" s="777"/>
      <c r="AI125" s="777"/>
      <c r="AJ125" s="777"/>
      <c r="AK125" s="777"/>
      <c r="AL125" s="777"/>
      <c r="AM125" s="777"/>
      <c r="AN125" s="777"/>
      <c r="AO125" s="777"/>
      <c r="AP125" s="777"/>
      <c r="AQ125" s="777"/>
      <c r="AR125" s="777"/>
      <c r="AS125" s="777"/>
      <c r="AT125" s="777"/>
      <c r="AU125" s="600"/>
      <c r="AV125" s="600"/>
      <c r="AW125" s="600"/>
      <c r="AX125" s="601"/>
      <c r="AY125" s="601"/>
      <c r="AZ125" s="214"/>
      <c r="BA125" s="490" t="str">
        <f t="shared" si="6"/>
        <v>SUM_CO2</v>
      </c>
      <c r="BB125" s="581" t="str">
        <f t="shared" si="7"/>
        <v>SUM_EnergyIN</v>
      </c>
      <c r="BC125" s="602"/>
      <c r="BD125" s="23"/>
    </row>
    <row r="126" spans="1:56" x14ac:dyDescent="0.2">
      <c r="A126" s="602"/>
      <c r="B126" s="214"/>
      <c r="C126" s="539">
        <v>9</v>
      </c>
      <c r="D126" s="671"/>
      <c r="E126" s="596"/>
      <c r="F126" s="775"/>
      <c r="G126" s="776"/>
      <c r="H126" s="775"/>
      <c r="I126" s="776"/>
      <c r="J126" s="775"/>
      <c r="K126" s="776"/>
      <c r="L126" s="776"/>
      <c r="M126" s="776"/>
      <c r="N126" s="775"/>
      <c r="O126" s="774"/>
      <c r="P126" s="775"/>
      <c r="Q126" s="774"/>
      <c r="R126" s="601"/>
      <c r="S126" s="599"/>
      <c r="T126" s="601"/>
      <c r="U126" s="599"/>
      <c r="V126" s="601"/>
      <c r="W126" s="599"/>
      <c r="X126" s="601"/>
      <c r="Y126" s="599"/>
      <c r="Z126" s="601"/>
      <c r="AA126" s="599"/>
      <c r="AB126" s="601"/>
      <c r="AC126" s="599"/>
      <c r="AD126" s="601"/>
      <c r="AE126" s="599"/>
      <c r="AF126" s="601"/>
      <c r="AG126" s="777"/>
      <c r="AH126" s="777"/>
      <c r="AI126" s="777"/>
      <c r="AJ126" s="777"/>
      <c r="AK126" s="777"/>
      <c r="AL126" s="777"/>
      <c r="AM126" s="777"/>
      <c r="AN126" s="777"/>
      <c r="AO126" s="777"/>
      <c r="AP126" s="777"/>
      <c r="AQ126" s="777"/>
      <c r="AR126" s="777"/>
      <c r="AS126" s="777"/>
      <c r="AT126" s="777"/>
      <c r="AU126" s="600"/>
      <c r="AV126" s="600"/>
      <c r="AW126" s="600"/>
      <c r="AX126" s="601"/>
      <c r="AY126" s="601"/>
      <c r="AZ126" s="214"/>
      <c r="BA126" s="490" t="str">
        <f t="shared" si="6"/>
        <v>SUM_CO2</v>
      </c>
      <c r="BB126" s="581" t="str">
        <f t="shared" si="7"/>
        <v>SUM_EnergyIN</v>
      </c>
      <c r="BC126" s="602"/>
      <c r="BD126" s="23"/>
    </row>
    <row r="127" spans="1:56" x14ac:dyDescent="0.2">
      <c r="A127" s="602"/>
      <c r="B127" s="214"/>
      <c r="C127" s="539">
        <v>10</v>
      </c>
      <c r="D127" s="671"/>
      <c r="E127" s="596"/>
      <c r="F127" s="775"/>
      <c r="G127" s="776"/>
      <c r="H127" s="775"/>
      <c r="I127" s="776"/>
      <c r="J127" s="775"/>
      <c r="K127" s="776"/>
      <c r="L127" s="776"/>
      <c r="M127" s="776"/>
      <c r="N127" s="775"/>
      <c r="O127" s="774"/>
      <c r="P127" s="775"/>
      <c r="Q127" s="774"/>
      <c r="R127" s="601"/>
      <c r="S127" s="599"/>
      <c r="T127" s="601"/>
      <c r="U127" s="599"/>
      <c r="V127" s="601"/>
      <c r="W127" s="599"/>
      <c r="X127" s="601"/>
      <c r="Y127" s="599"/>
      <c r="Z127" s="601"/>
      <c r="AA127" s="599"/>
      <c r="AB127" s="601"/>
      <c r="AC127" s="599"/>
      <c r="AD127" s="601"/>
      <c r="AE127" s="599"/>
      <c r="AF127" s="601"/>
      <c r="AG127" s="777"/>
      <c r="AH127" s="777"/>
      <c r="AI127" s="777"/>
      <c r="AJ127" s="777"/>
      <c r="AK127" s="777"/>
      <c r="AL127" s="777"/>
      <c r="AM127" s="777"/>
      <c r="AN127" s="777"/>
      <c r="AO127" s="777"/>
      <c r="AP127" s="777"/>
      <c r="AQ127" s="777"/>
      <c r="AR127" s="777"/>
      <c r="AS127" s="777"/>
      <c r="AT127" s="777"/>
      <c r="AU127" s="600"/>
      <c r="AV127" s="600"/>
      <c r="AW127" s="600"/>
      <c r="AX127" s="601"/>
      <c r="AY127" s="601"/>
      <c r="AZ127" s="214"/>
      <c r="BA127" s="490" t="str">
        <f t="shared" si="6"/>
        <v>SUM_CO2</v>
      </c>
      <c r="BB127" s="581" t="str">
        <f t="shared" si="7"/>
        <v>SUM_EnergyIN</v>
      </c>
      <c r="BC127" s="602"/>
      <c r="BD127" s="23"/>
    </row>
    <row r="128" spans="1:56" x14ac:dyDescent="0.2">
      <c r="A128" s="602"/>
      <c r="B128" s="214"/>
      <c r="C128" s="95"/>
      <c r="D128" s="214"/>
      <c r="E128" s="214"/>
      <c r="F128" s="214"/>
      <c r="G128" s="214"/>
      <c r="H128" s="214"/>
      <c r="I128" s="214"/>
      <c r="J128" s="214"/>
      <c r="K128" s="214"/>
      <c r="L128" s="214"/>
      <c r="N128" s="214"/>
      <c r="O128" s="214"/>
      <c r="P128" s="214"/>
      <c r="Q128" s="214"/>
      <c r="R128" s="214"/>
      <c r="S128" s="214"/>
      <c r="T128" s="214"/>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4"/>
      <c r="AP128" s="214"/>
      <c r="AQ128" s="214"/>
      <c r="AR128" s="214"/>
      <c r="AS128" s="214"/>
      <c r="AT128" s="214"/>
      <c r="AU128" s="214"/>
      <c r="AV128" s="214"/>
      <c r="AW128" s="214"/>
      <c r="AX128" s="214"/>
      <c r="AY128" s="214"/>
      <c r="AZ128" s="214"/>
      <c r="BA128" s="602"/>
      <c r="BB128" s="602"/>
      <c r="BC128" s="602"/>
      <c r="BD128" s="23"/>
    </row>
    <row r="129" spans="1:56" ht="50.1" customHeight="1" thickBot="1" x14ac:dyDescent="0.45">
      <c r="A129" s="602"/>
      <c r="B129" s="214"/>
      <c r="C129" s="95"/>
      <c r="D129" s="532" t="str">
        <f>Translations!$B$271</f>
        <v>Alternatīvās pieejas</v>
      </c>
      <c r="E129" s="214"/>
      <c r="F129" s="214"/>
      <c r="G129" s="214"/>
      <c r="H129" s="214"/>
      <c r="I129" s="214"/>
      <c r="J129" s="214"/>
      <c r="K129" s="214"/>
      <c r="L129" s="214"/>
      <c r="N129" s="214"/>
      <c r="O129" s="214"/>
      <c r="P129" s="214"/>
      <c r="Q129" s="214"/>
      <c r="R129" s="214"/>
      <c r="S129" s="214"/>
      <c r="T129" s="214"/>
      <c r="U129" s="214"/>
      <c r="V129" s="214"/>
      <c r="W129" s="214"/>
      <c r="X129" s="214"/>
      <c r="Y129" s="214"/>
      <c r="Z129" s="214"/>
      <c r="AA129" s="214"/>
      <c r="AB129" s="214"/>
      <c r="AC129" s="214"/>
      <c r="AD129" s="214"/>
      <c r="AE129" s="214"/>
      <c r="AF129" s="214"/>
      <c r="AG129" s="214"/>
      <c r="AH129" s="214"/>
      <c r="AI129" s="214"/>
      <c r="AJ129" s="214"/>
      <c r="AK129" s="214"/>
      <c r="AL129" s="214"/>
      <c r="AM129" s="214"/>
      <c r="AN129" s="214"/>
      <c r="AO129" s="214"/>
      <c r="AP129" s="214"/>
      <c r="AQ129" s="214"/>
      <c r="AR129" s="214"/>
      <c r="AS129" s="214"/>
      <c r="AT129" s="214"/>
      <c r="AU129" s="214"/>
      <c r="AV129" s="214"/>
      <c r="AW129" s="214"/>
      <c r="AX129" s="214"/>
      <c r="AY129" s="214"/>
      <c r="AZ129" s="214"/>
      <c r="BA129" s="602"/>
      <c r="BB129" s="602"/>
      <c r="BC129" s="602"/>
      <c r="BD129" s="23"/>
    </row>
    <row r="130" spans="1:56" ht="50.1" customHeight="1" thickBot="1" x14ac:dyDescent="0.25">
      <c r="A130" s="602"/>
      <c r="B130" s="214"/>
      <c r="C130" s="533" t="s">
        <v>466</v>
      </c>
      <c r="D130" s="534" t="str">
        <f>Translations!$B$282</f>
        <v>Metode</v>
      </c>
      <c r="E130" s="534" t="str">
        <f>Translations!$B$340</f>
        <v>Nosaukums</v>
      </c>
      <c r="F130" s="535" t="str">
        <f>Translations!$B$284</f>
        <v>Darbības dati</v>
      </c>
      <c r="G130" s="535" t="str">
        <f>Translations!$B$285</f>
        <v>DD vienība</v>
      </c>
      <c r="H130" s="535" t="str">
        <f>Translations!$B$286</f>
        <v>NCV</v>
      </c>
      <c r="I130" s="535" t="str">
        <f>Translations!$B$287</f>
        <v>NCV vienība</v>
      </c>
      <c r="J130" s="535" t="str">
        <f>Translations!$B$288</f>
        <v>EF</v>
      </c>
      <c r="K130" s="535" t="str">
        <f>Translations!$B$289</f>
        <v>EF vienība</v>
      </c>
      <c r="L130" s="535" t="str">
        <f>Translations!$B$290</f>
        <v>C saturs</v>
      </c>
      <c r="M130" s="535" t="str">
        <f>Translations!$B$291</f>
        <v>C satura vienība</v>
      </c>
      <c r="N130" s="535" t="str">
        <f>Translations!$B$292</f>
        <v>Oksid. koef.</v>
      </c>
      <c r="O130" s="535" t="str">
        <f>Translations!$B$293</f>
        <v>OK vienība</v>
      </c>
      <c r="P130" s="535" t="str">
        <f>Translations!$B$294</f>
        <v>Pārrēķina koef.</v>
      </c>
      <c r="Q130" s="535" t="str">
        <f>Translations!$B$295</f>
        <v>PK vienība</v>
      </c>
      <c r="R130" s="535" t="str">
        <f>Translations!$B$296</f>
        <v>Biomasas saturs</v>
      </c>
      <c r="S130" s="535" t="str">
        <f>Translations!$B$297</f>
        <v>BS vienība</v>
      </c>
      <c r="T130" s="535" t="str">
        <f>Translations!$B$298</f>
        <v>ilgtnesp. BS</v>
      </c>
      <c r="U130" s="535" t="str">
        <f>Translations!$B$299</f>
        <v>ilgtnesp. BS vienība</v>
      </c>
      <c r="V130" s="535" t="str">
        <f>Translations!$B$300</f>
        <v>SEG konc. vidējā vērtība h</v>
      </c>
      <c r="W130" s="535" t="str">
        <f>Translations!$B$301</f>
        <v>SEG konc. h vienība</v>
      </c>
      <c r="X130" s="535" t="str">
        <f>Translations!$B$302</f>
        <v>ekspluatācijas stundas</v>
      </c>
      <c r="Y130" s="535" t="str">
        <f>Translations!$B$303</f>
        <v>ekspluatācijas stundu vienība</v>
      </c>
      <c r="Z130" s="535" t="str">
        <f>Translations!$B$304</f>
        <v>Dūmgāzes (vidēji)</v>
      </c>
      <c r="AA130" s="535" t="str">
        <f>Translations!$B$305</f>
        <v>Dūmgāzes (vidēji), vienība</v>
      </c>
      <c r="AB130" s="535" t="str">
        <f>Translations!$B$306</f>
        <v>Dūmgāzes (kopā)</v>
      </c>
      <c r="AC130" s="535" t="str">
        <f>Translations!$B$307</f>
        <v>Dūmgāzes (kopā), vienība</v>
      </c>
      <c r="AD130" s="535" t="str">
        <f>Translations!$B$308</f>
        <v>SEG daudzums gadā</v>
      </c>
      <c r="AE130" s="535" t="str">
        <f>Translations!$B$309</f>
        <v>SEG daudzums gadā, vienība</v>
      </c>
      <c r="AF130" s="535" t="str">
        <f>Translations!$B$310</f>
        <v>GWP (t CO2 e/t)</v>
      </c>
      <c r="AG130" s="535" t="str">
        <f>Translations!$B$311</f>
        <v>A: biežums</v>
      </c>
      <c r="AH130" s="535" t="str">
        <f>Translations!$B$312</f>
        <v>A: ilgums</v>
      </c>
      <c r="AI130" s="535" t="str">
        <f>Translations!$B$313</f>
        <v>A: SEF (CF4)</v>
      </c>
      <c r="AJ130" s="535" t="str">
        <f>Translations!$B$314</f>
        <v>B: AEO</v>
      </c>
      <c r="AK130" s="535" t="str">
        <f>Translations!$B$315</f>
        <v>B: CE</v>
      </c>
      <c r="AL130" s="535" t="str">
        <f>Translations!$B$316</f>
        <v>B: OVC</v>
      </c>
      <c r="AM130" s="535" t="str">
        <f>Translations!$B$317</f>
        <v>F (C2F6)</v>
      </c>
      <c r="AN130" s="535" t="str">
        <f>Translations!$B$318</f>
        <v>CF4 emisijas (t CF4)</v>
      </c>
      <c r="AO130" s="535" t="str">
        <f>Translations!$B$319</f>
        <v>C2F6 emisijas (t C2F6)</v>
      </c>
      <c r="AP130" s="535" t="str">
        <f>Translations!$B$320</f>
        <v>GWP (CF4) (t CO2 e/t)</v>
      </c>
      <c r="AQ130" s="535" t="str">
        <f>Translations!$B$321</f>
        <v>GWP (C2F6) (t CO2 e/t)</v>
      </c>
      <c r="AR130" s="535" t="str">
        <f>Translations!$B$322</f>
        <v>CF4 emisijas (t CO2e)</v>
      </c>
      <c r="AS130" s="535" t="str">
        <f>Translations!$B$323</f>
        <v>C2F6 emisijas (t CO2 e)</v>
      </c>
      <c r="AT130" s="535" t="str">
        <f>Translations!$B$324</f>
        <v>Uztveršanas efektivitāte, %</v>
      </c>
      <c r="AU130" s="535" t="str">
        <f>Translations!$B$325</f>
        <v>CO2 e, fosilie avoti (t)</v>
      </c>
      <c r="AV130" s="535" t="str">
        <f>Translations!$B$326</f>
        <v>CO2 e bio (t)</v>
      </c>
      <c r="AW130" s="535" t="str">
        <f>Translations!$B$327</f>
        <v>CO2 e, ilgtnesp. biomasa (t)</v>
      </c>
      <c r="AX130" s="536" t="str">
        <f>Translations!$B$328</f>
        <v>Enerģētiskais saturs (fosilie avoti), TJ</v>
      </c>
      <c r="AY130" s="537" t="str">
        <f>Translations!$B$329</f>
        <v>Enerģētiskais saturs (biomasa), TJ</v>
      </c>
      <c r="AZ130" s="214"/>
      <c r="BA130" s="602"/>
      <c r="BB130" s="602"/>
      <c r="BC130" s="602"/>
      <c r="BD130" s="23"/>
    </row>
    <row r="131" spans="1:56" ht="12.75" customHeight="1" x14ac:dyDescent="0.2">
      <c r="A131" s="602"/>
      <c r="B131" s="214"/>
      <c r="C131" s="692" t="str">
        <f>Translations!$B$341</f>
        <v>Piem.</v>
      </c>
      <c r="D131" s="669" t="str">
        <f>Translations!$B$271</f>
        <v>Alternatīvās pieejas</v>
      </c>
      <c r="E131" s="778"/>
      <c r="F131" s="779"/>
      <c r="G131" s="780"/>
      <c r="H131" s="779"/>
      <c r="I131" s="780"/>
      <c r="J131" s="779"/>
      <c r="K131" s="780"/>
      <c r="L131" s="780"/>
      <c r="M131" s="780"/>
      <c r="N131" s="779"/>
      <c r="O131" s="781"/>
      <c r="P131" s="779"/>
      <c r="Q131" s="781"/>
      <c r="R131" s="779"/>
      <c r="S131" s="781"/>
      <c r="T131" s="779"/>
      <c r="U131" s="781"/>
      <c r="V131" s="781"/>
      <c r="W131" s="781"/>
      <c r="X131" s="781"/>
      <c r="Y131" s="781"/>
      <c r="Z131" s="781"/>
      <c r="AA131" s="781"/>
      <c r="AB131" s="781"/>
      <c r="AC131" s="781"/>
      <c r="AD131" s="781"/>
      <c r="AE131" s="781"/>
      <c r="AF131" s="781"/>
      <c r="AG131" s="781"/>
      <c r="AH131" s="781"/>
      <c r="AI131" s="781"/>
      <c r="AJ131" s="781"/>
      <c r="AK131" s="781"/>
      <c r="AL131" s="781"/>
      <c r="AM131" s="781"/>
      <c r="AN131" s="781"/>
      <c r="AO131" s="781"/>
      <c r="AP131" s="781"/>
      <c r="AQ131" s="781"/>
      <c r="AR131" s="781"/>
      <c r="AS131" s="781"/>
      <c r="AT131" s="781"/>
      <c r="AU131" s="693">
        <v>2850</v>
      </c>
      <c r="AV131" s="693">
        <v>340</v>
      </c>
      <c r="AW131" s="693">
        <v>0</v>
      </c>
      <c r="AX131" s="694">
        <v>45</v>
      </c>
      <c r="AY131" s="694">
        <v>5</v>
      </c>
      <c r="AZ131" s="214"/>
      <c r="BA131" s="602"/>
      <c r="BB131" s="602"/>
      <c r="BC131" s="602"/>
      <c r="BD131" s="23"/>
    </row>
    <row r="132" spans="1:56" x14ac:dyDescent="0.2">
      <c r="A132" s="602"/>
      <c r="B132" s="214"/>
      <c r="C132" s="538">
        <v>1</v>
      </c>
      <c r="D132" s="686" t="str">
        <f>Translations!$B$271</f>
        <v>Alternatīvās pieejas</v>
      </c>
      <c r="E132" s="782"/>
      <c r="F132" s="775"/>
      <c r="G132" s="776"/>
      <c r="H132" s="775"/>
      <c r="I132" s="776"/>
      <c r="J132" s="775"/>
      <c r="K132" s="776"/>
      <c r="L132" s="776"/>
      <c r="M132" s="776"/>
      <c r="N132" s="775"/>
      <c r="O132" s="774"/>
      <c r="P132" s="775"/>
      <c r="Q132" s="774"/>
      <c r="R132" s="775"/>
      <c r="S132" s="774"/>
      <c r="T132" s="775"/>
      <c r="U132" s="774"/>
      <c r="V132" s="774"/>
      <c r="W132" s="774"/>
      <c r="X132" s="774"/>
      <c r="Y132" s="774"/>
      <c r="Z132" s="774"/>
      <c r="AA132" s="774"/>
      <c r="AB132" s="774"/>
      <c r="AC132" s="774"/>
      <c r="AD132" s="774"/>
      <c r="AE132" s="774"/>
      <c r="AF132" s="774"/>
      <c r="AG132" s="774"/>
      <c r="AH132" s="774"/>
      <c r="AI132" s="774"/>
      <c r="AJ132" s="774"/>
      <c r="AK132" s="774"/>
      <c r="AL132" s="774"/>
      <c r="AM132" s="774"/>
      <c r="AN132" s="774"/>
      <c r="AO132" s="774"/>
      <c r="AP132" s="774"/>
      <c r="AQ132" s="774"/>
      <c r="AR132" s="774"/>
      <c r="AS132" s="774"/>
      <c r="AT132" s="774"/>
      <c r="AU132" s="600"/>
      <c r="AV132" s="600"/>
      <c r="AW132" s="600"/>
      <c r="AX132" s="601"/>
      <c r="AY132" s="601"/>
      <c r="AZ132" s="214"/>
      <c r="BA132" s="490" t="str">
        <f>EUconst_SumCO2</f>
        <v>SUM_CO2</v>
      </c>
      <c r="BB132" s="581" t="str">
        <f>EUconst_SumEnergyIN</f>
        <v>SUM_EnergyIN</v>
      </c>
      <c r="BC132" s="602"/>
      <c r="BD132" s="23"/>
    </row>
    <row r="133" spans="1:56" x14ac:dyDescent="0.2">
      <c r="AZ133" s="668"/>
      <c r="BC133" s="670"/>
      <c r="BD133" s="23"/>
    </row>
    <row r="134" spans="1:56" s="20" customFormat="1" hidden="1" x14ac:dyDescent="0.2">
      <c r="A134" s="20" t="s">
        <v>93</v>
      </c>
      <c r="B134" s="20" t="s">
        <v>336</v>
      </c>
      <c r="C134" s="20" t="s">
        <v>336</v>
      </c>
      <c r="D134" s="20" t="s">
        <v>336</v>
      </c>
      <c r="E134" s="20" t="s">
        <v>336</v>
      </c>
      <c r="F134" s="20" t="s">
        <v>336</v>
      </c>
      <c r="G134" s="20" t="s">
        <v>336</v>
      </c>
      <c r="H134" s="20" t="s">
        <v>336</v>
      </c>
      <c r="I134" s="20" t="s">
        <v>336</v>
      </c>
      <c r="J134" s="20" t="s">
        <v>336</v>
      </c>
      <c r="K134" s="20" t="s">
        <v>336</v>
      </c>
      <c r="L134" s="20" t="s">
        <v>336</v>
      </c>
      <c r="M134" s="20" t="s">
        <v>336</v>
      </c>
      <c r="N134" s="20" t="s">
        <v>336</v>
      </c>
      <c r="O134" s="20" t="s">
        <v>336</v>
      </c>
      <c r="P134" s="20" t="s">
        <v>336</v>
      </c>
      <c r="Q134" s="20" t="s">
        <v>336</v>
      </c>
      <c r="R134" s="20" t="s">
        <v>336</v>
      </c>
      <c r="S134" s="20" t="s">
        <v>336</v>
      </c>
      <c r="T134" s="20" t="s">
        <v>336</v>
      </c>
      <c r="U134" s="20" t="s">
        <v>336</v>
      </c>
      <c r="V134" s="20" t="s">
        <v>336</v>
      </c>
      <c r="W134" s="20" t="s">
        <v>336</v>
      </c>
      <c r="X134" s="20" t="s">
        <v>336</v>
      </c>
      <c r="Y134" s="20" t="s">
        <v>336</v>
      </c>
      <c r="Z134" s="20" t="s">
        <v>336</v>
      </c>
      <c r="AA134" s="20" t="s">
        <v>336</v>
      </c>
      <c r="AB134" s="20" t="s">
        <v>336</v>
      </c>
      <c r="AC134" s="20" t="s">
        <v>336</v>
      </c>
      <c r="AD134" s="20" t="s">
        <v>336</v>
      </c>
      <c r="AE134" s="20" t="s">
        <v>336</v>
      </c>
      <c r="AF134" s="20" t="s">
        <v>336</v>
      </c>
      <c r="AG134" s="20" t="s">
        <v>336</v>
      </c>
      <c r="AH134" s="20" t="s">
        <v>336</v>
      </c>
      <c r="AI134" s="20" t="s">
        <v>336</v>
      </c>
      <c r="AJ134" s="20" t="s">
        <v>336</v>
      </c>
      <c r="AK134" s="20" t="s">
        <v>336</v>
      </c>
      <c r="AL134" s="20" t="s">
        <v>336</v>
      </c>
      <c r="AM134" s="20" t="s">
        <v>336</v>
      </c>
      <c r="AN134" s="20" t="s">
        <v>336</v>
      </c>
      <c r="AO134" s="20" t="s">
        <v>336</v>
      </c>
      <c r="AP134" s="20" t="s">
        <v>336</v>
      </c>
      <c r="AQ134" s="20" t="s">
        <v>336</v>
      </c>
      <c r="AR134" s="20" t="s">
        <v>336</v>
      </c>
      <c r="AS134" s="20" t="s">
        <v>336</v>
      </c>
      <c r="AT134" s="20" t="s">
        <v>336</v>
      </c>
      <c r="AU134" s="20" t="s">
        <v>336</v>
      </c>
      <c r="AV134" s="20" t="s">
        <v>336</v>
      </c>
      <c r="AW134" s="20" t="s">
        <v>336</v>
      </c>
      <c r="AX134" s="20" t="s">
        <v>336</v>
      </c>
      <c r="AY134" s="20" t="s">
        <v>336</v>
      </c>
      <c r="AZ134" s="20" t="s">
        <v>336</v>
      </c>
      <c r="BA134" s="20" t="s">
        <v>336</v>
      </c>
      <c r="BB134" s="20" t="s">
        <v>336</v>
      </c>
      <c r="BC134" s="445"/>
    </row>
    <row r="135" spans="1:56" x14ac:dyDescent="0.2">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670"/>
      <c r="BB135" s="670"/>
      <c r="BC135" s="670"/>
      <c r="BD135" s="23"/>
    </row>
    <row r="136" spans="1:56" x14ac:dyDescent="0.2">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670"/>
      <c r="BB136" s="670"/>
      <c r="BC136" s="670"/>
      <c r="BD136" s="23"/>
    </row>
  </sheetData>
  <sheetProtection sheet="1" objects="1" scenarios="1" formatCells="0" formatColumns="0" formatRows="0"/>
  <mergeCells count="26">
    <mergeCell ref="D15:K15"/>
    <mergeCell ref="D16:K16"/>
    <mergeCell ref="D17:K17"/>
    <mergeCell ref="D18:K18"/>
    <mergeCell ref="D8:N8"/>
    <mergeCell ref="D10:I10"/>
    <mergeCell ref="J10:K10"/>
    <mergeCell ref="D11:K11"/>
    <mergeCell ref="D12:K12"/>
    <mergeCell ref="D14:N14"/>
    <mergeCell ref="B4:D4"/>
    <mergeCell ref="F4:G4"/>
    <mergeCell ref="H4:I4"/>
    <mergeCell ref="J4:K4"/>
    <mergeCell ref="L4:M4"/>
    <mergeCell ref="D6:I6"/>
    <mergeCell ref="J6:K6"/>
    <mergeCell ref="B2:D3"/>
    <mergeCell ref="F2:G2"/>
    <mergeCell ref="H2:I2"/>
    <mergeCell ref="J2:K2"/>
    <mergeCell ref="L2:M2"/>
    <mergeCell ref="F3:G3"/>
    <mergeCell ref="H3:I3"/>
    <mergeCell ref="J3:K3"/>
    <mergeCell ref="L3:M3"/>
  </mergeCells>
  <conditionalFormatting sqref="D24:U98 AU24:AY98 AG103:AY112 D103:G112 D118:E127 R118:AF127 AU118:AY127 AU132:AY132">
    <cfRule type="expression" dxfId="326" priority="1" stopIfTrue="1">
      <formula>MSconst_AllowInstEmmisionTotals</formula>
    </cfRule>
  </conditionalFormatting>
  <hyperlinks>
    <hyperlink ref="F2:G2" location="JUMP_TOC_Home" display="Table of contents"/>
    <hyperlink ref="L2:M2" location="JUMP_K_I" display="Summary"/>
    <hyperlink ref="J2:K2" location="JUMP_BY3_Top" display="JUMP_BY3_Top"/>
    <hyperlink ref="H2:I2" location="JUMP_BY1_Top" display="JUMP_BY1_Top"/>
    <hyperlink ref="E3" location="JUMP_BY2_Top" display="JUMP_BY2_Top"/>
    <hyperlink ref="F3:G3" location="JUMP_BY2_Source" display="Source streams (excl. PFC)"/>
    <hyperlink ref="H3:I3" location="JUMP_BY2_PFC" display="PFC source streams"/>
    <hyperlink ref="J3:K3" location="JUMP_BY2_Emissions" display="Emission Sources (CEMS)"/>
    <hyperlink ref="L3:M3" location="JUMP_BY2_Fallback" display="Fall-back"/>
  </hyperlinks>
  <pageMargins left="0.70866141732283472" right="0.70866141732283472" top="0.78740157480314965" bottom="0.78740157480314965" header="0.31496062992125984" footer="0.31496062992125984"/>
  <pageSetup paperSize="9" scale="37" fitToWidth="10" orientation="portrait" r:id="rId1"/>
  <headerFooter>
    <oddFooter>&amp;L&amp;F; &amp;A&amp;C&amp;P / &amp;N&amp;R&amp;F; &amp;A</oddFooter>
  </headerFooter>
  <colBreaks count="1" manualBreakCount="1">
    <brk id="5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rgb="FFCCFFCC"/>
    <pageSetUpPr fitToPage="1"/>
  </sheetPr>
  <dimension ref="A1:BD135"/>
  <sheetViews>
    <sheetView zoomScaleNormal="100" workbookViewId="0">
      <pane ySplit="4" topLeftCell="A5" activePane="bottomLeft" state="frozen"/>
      <selection sqref="B2:D4"/>
      <selection pane="bottomLeft" sqref="B2:D4"/>
    </sheetView>
  </sheetViews>
  <sheetFormatPr defaultColWidth="11.42578125" defaultRowHeight="12.75" x14ac:dyDescent="0.2"/>
  <cols>
    <col min="1" max="1" width="3.42578125" style="667" hidden="1" customWidth="1"/>
    <col min="2" max="2" width="3.42578125" style="216" customWidth="1"/>
    <col min="3" max="3" width="6.140625" style="24" customWidth="1"/>
    <col min="4" max="4" width="21.5703125" style="216" bestFit="1" customWidth="1"/>
    <col min="5" max="5" width="35.7109375" style="216" customWidth="1"/>
    <col min="6" max="6" width="15.7109375" style="216" customWidth="1"/>
    <col min="7" max="51" width="12.7109375" style="216" customWidth="1"/>
    <col min="52" max="52" width="9.140625" style="216" customWidth="1"/>
    <col min="53" max="55" width="11.42578125" style="667" hidden="1" customWidth="1"/>
    <col min="56" max="16384" width="11.42578125" style="668"/>
  </cols>
  <sheetData>
    <row r="1" spans="1:56" ht="13.5" hidden="1" thickBot="1" x14ac:dyDescent="0.25">
      <c r="A1" s="519" t="s">
        <v>93</v>
      </c>
      <c r="B1" s="529"/>
      <c r="C1" s="530"/>
      <c r="D1" s="529"/>
      <c r="E1" s="529"/>
      <c r="F1" s="529"/>
      <c r="G1" s="529"/>
      <c r="H1" s="529"/>
      <c r="I1" s="529"/>
      <c r="J1" s="529"/>
      <c r="K1" s="529"/>
      <c r="L1" s="531"/>
      <c r="M1" s="529"/>
      <c r="N1" s="529"/>
      <c r="O1" s="529"/>
      <c r="P1" s="529"/>
      <c r="Q1" s="529"/>
      <c r="R1" s="529"/>
      <c r="S1" s="529"/>
      <c r="T1" s="529"/>
      <c r="U1" s="5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602" t="s">
        <v>93</v>
      </c>
      <c r="BB1" s="602" t="s">
        <v>93</v>
      </c>
      <c r="BC1" s="602" t="s">
        <v>93</v>
      </c>
      <c r="BD1" s="23"/>
    </row>
    <row r="2" spans="1:56" ht="13.5" customHeight="1" thickBot="1" x14ac:dyDescent="0.25">
      <c r="A2" s="602"/>
      <c r="B2" s="1405" t="str">
        <f>Translations!$B$267</f>
        <v>B+C ikgadējie emisiju dati</v>
      </c>
      <c r="C2" s="1497"/>
      <c r="D2" s="1498"/>
      <c r="E2" s="789" t="str">
        <f>Translations!$B$2</f>
        <v>Navigācijas josla:</v>
      </c>
      <c r="F2" s="1388" t="str">
        <f>Translations!$B$18</f>
        <v>Saturs</v>
      </c>
      <c r="G2" s="7"/>
      <c r="H2" s="7" t="str">
        <f>Translations!$B$19</f>
        <v>Iepriekšējā lapa</v>
      </c>
      <c r="I2" s="1509"/>
      <c r="J2" s="7" t="str">
        <f>Translations!$B$3</f>
        <v>Nākamā lapa</v>
      </c>
      <c r="K2" s="1509"/>
      <c r="L2" s="7" t="str">
        <f>Translations!$B$4</f>
        <v>Kopsavilkums</v>
      </c>
      <c r="M2" s="1509"/>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604" t="s">
        <v>494</v>
      </c>
      <c r="BB2" s="603">
        <v>3</v>
      </c>
      <c r="BC2" s="685"/>
      <c r="BD2" s="23"/>
    </row>
    <row r="3" spans="1:56" ht="13.5" thickBot="1" x14ac:dyDescent="0.25">
      <c r="A3" s="602"/>
      <c r="B3" s="1499"/>
      <c r="C3" s="1500"/>
      <c r="D3" s="1501"/>
      <c r="E3" s="1005" t="str">
        <f>Translations!$B$5</f>
        <v>Lapas sākums</v>
      </c>
      <c r="F3" s="1491" t="str">
        <f>Translations!$B$268</f>
        <v>Avota plūsmas (izņemot PFC)</v>
      </c>
      <c r="G3" s="1393"/>
      <c r="H3" s="1393" t="str">
        <f>Translations!$B$269</f>
        <v>PFC avota plūsmas</v>
      </c>
      <c r="I3" s="1393"/>
      <c r="J3" s="1393" t="str">
        <f>Translations!$B$270</f>
        <v>Emisiju avoti (CEMS)</v>
      </c>
      <c r="K3" s="1393"/>
      <c r="L3" s="1393" t="str">
        <f>Translations!$B$271</f>
        <v>Alternatīvās pieejas</v>
      </c>
      <c r="M3" s="1492"/>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604" t="s">
        <v>493</v>
      </c>
      <c r="BB3" s="606">
        <f>INDEX(EUconst_ReportingYears,BB2)+(IF(CNTR_BaselinePeriod=EUconst_NA,0,CNTR_BaselinePeriod-1)*5)</f>
        <v>2021</v>
      </c>
      <c r="BC3" s="685"/>
      <c r="BD3" s="23"/>
    </row>
    <row r="4" spans="1:56" ht="13.5" thickBot="1" x14ac:dyDescent="0.25">
      <c r="A4" s="602"/>
      <c r="B4" s="1502">
        <f>BB3</f>
        <v>2021</v>
      </c>
      <c r="C4" s="1503"/>
      <c r="D4" s="1504"/>
      <c r="E4" s="790"/>
      <c r="F4" s="1506"/>
      <c r="G4" s="1510"/>
      <c r="H4" s="1495"/>
      <c r="I4" s="1495"/>
      <c r="J4" s="1495"/>
      <c r="K4" s="1495"/>
      <c r="L4" s="1495"/>
      <c r="M4" s="1496"/>
      <c r="N4" s="95">
        <f>$B$4</f>
        <v>2021</v>
      </c>
      <c r="O4" s="214"/>
      <c r="P4" s="95">
        <f>$B$4</f>
        <v>2021</v>
      </c>
      <c r="Q4" s="214"/>
      <c r="R4" s="95">
        <f>$B$4</f>
        <v>2021</v>
      </c>
      <c r="S4" s="214"/>
      <c r="T4" s="95">
        <f>$B$4</f>
        <v>2021</v>
      </c>
      <c r="U4" s="214"/>
      <c r="V4" s="95">
        <f>$B$4</f>
        <v>2021</v>
      </c>
      <c r="W4" s="214"/>
      <c r="X4" s="95">
        <f>$B$4</f>
        <v>2021</v>
      </c>
      <c r="Y4" s="214"/>
      <c r="Z4" s="95">
        <f>$B$4</f>
        <v>2021</v>
      </c>
      <c r="AA4" s="214"/>
      <c r="AB4" s="95">
        <f>$B$4</f>
        <v>2021</v>
      </c>
      <c r="AC4" s="214"/>
      <c r="AD4" s="95">
        <f>$B$4</f>
        <v>2021</v>
      </c>
      <c r="AE4" s="214"/>
      <c r="AF4" s="95">
        <f>$B$4</f>
        <v>2021</v>
      </c>
      <c r="AG4" s="214"/>
      <c r="AH4" s="95">
        <f>$B$4</f>
        <v>2021</v>
      </c>
      <c r="AI4" s="214"/>
      <c r="AJ4" s="95">
        <f>$B$4</f>
        <v>2021</v>
      </c>
      <c r="AK4" s="214"/>
      <c r="AL4" s="95">
        <f>$B$4</f>
        <v>2021</v>
      </c>
      <c r="AM4" s="214"/>
      <c r="AN4" s="95">
        <f>$B$4</f>
        <v>2021</v>
      </c>
      <c r="AO4" s="214"/>
      <c r="AP4" s="95">
        <f>$B$4</f>
        <v>2021</v>
      </c>
      <c r="AQ4" s="214"/>
      <c r="AR4" s="95">
        <f>$B$4</f>
        <v>2021</v>
      </c>
      <c r="AS4" s="214"/>
      <c r="AT4" s="95">
        <f>$B$4</f>
        <v>2021</v>
      </c>
      <c r="AU4" s="214"/>
      <c r="AV4" s="95">
        <f>$B$4</f>
        <v>2021</v>
      </c>
      <c r="AW4" s="214"/>
      <c r="AX4" s="95">
        <f>$B$4</f>
        <v>2021</v>
      </c>
      <c r="AY4" s="214"/>
      <c r="AZ4" s="214"/>
      <c r="BA4" s="602"/>
      <c r="BB4" s="605"/>
      <c r="BC4" s="685"/>
      <c r="BD4" s="23"/>
    </row>
    <row r="5" spans="1:56" x14ac:dyDescent="0.2">
      <c r="A5" s="602"/>
      <c r="B5" s="21"/>
      <c r="C5" s="22"/>
      <c r="D5" s="23"/>
      <c r="E5" s="23"/>
      <c r="F5" s="24"/>
      <c r="G5" s="24"/>
      <c r="H5" s="24"/>
      <c r="I5" s="21"/>
      <c r="J5" s="21"/>
      <c r="K5" s="21"/>
      <c r="L5" s="21"/>
      <c r="M5" s="25"/>
      <c r="N5" s="25"/>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602"/>
      <c r="BB5" s="605"/>
      <c r="BC5" s="685"/>
      <c r="BD5" s="23"/>
    </row>
    <row r="6" spans="1:56" ht="18" customHeight="1" x14ac:dyDescent="0.2">
      <c r="A6" s="602"/>
      <c r="B6" s="21"/>
      <c r="C6" s="27" t="s">
        <v>611</v>
      </c>
      <c r="D6" s="1493" t="str">
        <f>Translations!$B$272</f>
        <v>Lapa “Ikgadējie emisiju dati” par šo gadu:</v>
      </c>
      <c r="E6" s="1493"/>
      <c r="F6" s="1493"/>
      <c r="G6" s="1493"/>
      <c r="H6" s="1493"/>
      <c r="I6" s="1494"/>
      <c r="J6" s="1505">
        <f>B4</f>
        <v>2021</v>
      </c>
      <c r="K6" s="1505"/>
      <c r="L6" s="214"/>
      <c r="N6" s="457"/>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8" t="s">
        <v>73</v>
      </c>
      <c r="BB6" s="28" t="s">
        <v>73</v>
      </c>
      <c r="BC6" s="685"/>
      <c r="BD6" s="23"/>
    </row>
    <row r="7" spans="1:56" x14ac:dyDescent="0.2">
      <c r="A7" s="602"/>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9" t="s">
        <v>265</v>
      </c>
      <c r="BB7" s="29" t="s">
        <v>265</v>
      </c>
      <c r="BC7" s="685"/>
      <c r="BD7" s="23"/>
    </row>
    <row r="8" spans="1:56" s="666" customFormat="1" ht="15.75" x14ac:dyDescent="0.25">
      <c r="A8" s="663"/>
      <c r="B8" s="21"/>
      <c r="C8" s="30" t="s">
        <v>391</v>
      </c>
      <c r="D8" s="1508" t="str">
        <f>Translations!$B$273</f>
        <v>Vispārīgi norādījumi par avota plūsmu datiem</v>
      </c>
      <c r="E8" s="1508"/>
      <c r="F8" s="1508"/>
      <c r="G8" s="1508"/>
      <c r="H8" s="1508"/>
      <c r="I8" s="1508"/>
      <c r="J8" s="1508"/>
      <c r="K8" s="1508"/>
      <c r="L8" s="1508"/>
      <c r="M8" s="1508"/>
      <c r="N8" s="1508"/>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602"/>
      <c r="BB8" s="602"/>
      <c r="BC8" s="685"/>
      <c r="BD8" s="23"/>
    </row>
    <row r="9" spans="1:56" s="666" customFormat="1" x14ac:dyDescent="0.2">
      <c r="A9" s="663"/>
      <c r="B9" s="664"/>
      <c r="C9" s="142"/>
      <c r="D9" s="142"/>
      <c r="E9" s="142"/>
      <c r="F9" s="142"/>
      <c r="G9" s="142"/>
      <c r="H9" s="142"/>
      <c r="I9" s="142"/>
      <c r="J9" s="142"/>
      <c r="K9" s="142"/>
      <c r="L9" s="142"/>
      <c r="M9" s="142"/>
      <c r="N9" s="142"/>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602"/>
      <c r="BB9" s="602"/>
      <c r="BC9" s="685"/>
      <c r="BD9" s="23"/>
    </row>
    <row r="10" spans="1:56" s="666" customFormat="1" ht="12.75" customHeight="1" x14ac:dyDescent="0.2">
      <c r="A10" s="663"/>
      <c r="B10" s="21"/>
      <c r="C10" s="32"/>
      <c r="D10" s="1325" t="str">
        <f>Translations!$B$274</f>
        <v>Dalībvalsts pieprasa detalizētus avota plūsmu datus, kuri parasti ziņojami obligāti:</v>
      </c>
      <c r="E10" s="1325"/>
      <c r="F10" s="1325"/>
      <c r="G10" s="1325"/>
      <c r="H10" s="1325"/>
      <c r="I10" s="1489"/>
      <c r="J10" s="1490" t="b">
        <f>NOT(MSconst_AllowInstEmmisionTotals)</f>
        <v>1</v>
      </c>
      <c r="K10" s="1490"/>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602"/>
      <c r="BB10" s="602"/>
      <c r="BC10" s="685"/>
      <c r="BD10" s="23"/>
    </row>
    <row r="11" spans="1:56" s="666" customFormat="1" ht="12.75" customHeight="1" x14ac:dyDescent="0.2">
      <c r="A11" s="663"/>
      <c r="B11" s="664"/>
      <c r="C11" s="664"/>
      <c r="D11" s="1301" t="str">
        <f>Translations!$B$275</f>
        <v>Ja atbilde ir “APLAMS” (“FALSE”), datus šeit var neievadīt un tikai jānorāda kopējās ikgadējās emisijas sadaļā D.I.</v>
      </c>
      <c r="E11" s="1301"/>
      <c r="F11" s="1301"/>
      <c r="G11" s="1301"/>
      <c r="H11" s="1301"/>
      <c r="I11" s="1301"/>
      <c r="J11" s="1301"/>
      <c r="K11" s="1301"/>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602"/>
      <c r="BB11" s="602"/>
      <c r="BC11" s="685"/>
      <c r="BD11" s="23"/>
    </row>
    <row r="12" spans="1:56" s="666" customFormat="1" ht="12.75" customHeight="1" x14ac:dyDescent="0.2">
      <c r="A12" s="663"/>
      <c r="B12" s="664"/>
      <c r="C12" s="664"/>
      <c r="D12" s="1514" t="str">
        <f>IF(MSconst_AllowInstEmmisionTotals,HYPERLINK(BB12,EUconst_ERR_Goto_DI2),"")</f>
        <v/>
      </c>
      <c r="E12" s="1514"/>
      <c r="F12" s="1514"/>
      <c r="G12" s="1514"/>
      <c r="H12" s="1514"/>
      <c r="I12" s="1514"/>
      <c r="J12" s="1514"/>
      <c r="K12" s="1514"/>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0" t="s">
        <v>192</v>
      </c>
      <c r="BB12" s="362" t="str">
        <f>"#JUMP_D_I"</f>
        <v>#JUMP_D_I</v>
      </c>
      <c r="BC12" s="685"/>
      <c r="BD12" s="23"/>
    </row>
    <row r="13" spans="1:56" s="666" customFormat="1" x14ac:dyDescent="0.2">
      <c r="A13" s="663"/>
      <c r="B13" s="21"/>
      <c r="C13" s="21"/>
      <c r="D13" s="21"/>
      <c r="E13" s="665"/>
      <c r="F13" s="21"/>
      <c r="G13" s="21"/>
      <c r="H13" s="21"/>
      <c r="I13" s="21"/>
      <c r="J13" s="21"/>
      <c r="K13" s="21"/>
      <c r="L13" s="21"/>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602"/>
      <c r="BB13" s="602"/>
      <c r="BC13" s="602"/>
      <c r="BD13" s="23"/>
    </row>
    <row r="14" spans="1:56" s="666" customFormat="1" ht="15.75" x14ac:dyDescent="0.25">
      <c r="A14" s="663"/>
      <c r="B14" s="21"/>
      <c r="C14" s="30" t="s">
        <v>338</v>
      </c>
      <c r="D14" s="1249" t="str">
        <f>Translations!$B$276</f>
        <v>Avota plūsmas un emisiju avoti</v>
      </c>
      <c r="E14" s="1249"/>
      <c r="F14" s="1249"/>
      <c r="G14" s="1249"/>
      <c r="H14" s="1249"/>
      <c r="I14" s="1249"/>
      <c r="J14" s="1249"/>
      <c r="K14" s="1249"/>
      <c r="L14" s="1249"/>
      <c r="M14" s="1249"/>
      <c r="N14" s="1249"/>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602"/>
      <c r="BB14" s="602"/>
      <c r="BC14" s="602"/>
      <c r="BD14" s="23"/>
    </row>
    <row r="15" spans="1:56" s="666" customFormat="1" ht="12.75" customHeight="1" x14ac:dyDescent="0.2">
      <c r="A15" s="663"/>
      <c r="B15" s="664"/>
      <c r="C15" s="690"/>
      <c r="D15" s="1301" t="str">
        <f>Translations!$B$277</f>
        <v>Nākamās tabulas ir identiskas tām, kas atrodamas lapā “Accounting” Komisijas nodrošinātajā Ikgadējo emisiju datu veidnē.</v>
      </c>
      <c r="E15" s="1301"/>
      <c r="F15" s="1301"/>
      <c r="G15" s="1301"/>
      <c r="H15" s="1301"/>
      <c r="I15" s="1301"/>
      <c r="J15" s="1301"/>
      <c r="K15" s="1301"/>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602"/>
      <c r="BB15" s="602"/>
      <c r="BC15" s="685"/>
      <c r="BD15" s="23"/>
    </row>
    <row r="16" spans="1:56" s="666" customFormat="1" ht="12.75" customHeight="1" x14ac:dyDescent="0.2">
      <c r="A16" s="663"/>
      <c r="B16" s="664"/>
      <c r="C16" s="690"/>
      <c r="D16" s="1301" t="str">
        <f>Translations!$B$278</f>
        <v>Tāpēc varat katras tabulas datus iekopēt no Ikgadējo emisiju ziņojuma veidnes, jaunus datus neievadot; sīkāki norādījumi atrodami tur.</v>
      </c>
      <c r="E16" s="1301"/>
      <c r="F16" s="1301"/>
      <c r="G16" s="1301"/>
      <c r="H16" s="1301"/>
      <c r="I16" s="1301"/>
      <c r="J16" s="1301"/>
      <c r="K16" s="1301"/>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602"/>
      <c r="BB16" s="602"/>
      <c r="BC16" s="685"/>
      <c r="BD16" s="23"/>
    </row>
    <row r="17" spans="1:56" s="666" customFormat="1" ht="12.75" customHeight="1" x14ac:dyDescent="0.2">
      <c r="A17" s="663"/>
      <c r="B17" s="664"/>
      <c r="C17" s="690"/>
      <c r="D17" s="1301" t="str">
        <f>Translations!$B$279</f>
        <v>Ja jūsu dalībvalsts Komisijas veidni neizmanto vai dodat priekšroku datu manuālai ievadei, katras tabulas augšā ir sniegti datu paraugi (baltajos laukos).</v>
      </c>
      <c r="E17" s="1301"/>
      <c r="F17" s="1301"/>
      <c r="G17" s="1301"/>
      <c r="H17" s="1301"/>
      <c r="I17" s="1301"/>
      <c r="J17" s="1301"/>
      <c r="K17" s="1301"/>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602"/>
      <c r="BB17" s="602"/>
      <c r="BC17" s="685"/>
      <c r="BD17" s="23"/>
    </row>
    <row r="18" spans="1:56" s="666" customFormat="1" ht="12.75" customHeight="1" x14ac:dyDescent="0.2">
      <c r="A18" s="663"/>
      <c r="B18" s="664"/>
      <c r="C18" s="690"/>
      <c r="D18" s="1471" t="str">
        <f>Translations!$B$280</f>
        <v>Šajā lapā netiek veikti nekādi aprēķini. Tāpēc kopsummas slejās no AU līdz AY jāievada pareizi, jo šie dati tiks izmantoti tālāk šajā veidnē.</v>
      </c>
      <c r="E18" s="1471"/>
      <c r="F18" s="1471"/>
      <c r="G18" s="1471"/>
      <c r="H18" s="1471"/>
      <c r="I18" s="1471"/>
      <c r="J18" s="1471"/>
      <c r="K18" s="1471"/>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602"/>
      <c r="BB18" s="602"/>
      <c r="BC18" s="685"/>
      <c r="BD18" s="23"/>
    </row>
    <row r="19" spans="1:56" ht="50.1" customHeight="1" thickBot="1" x14ac:dyDescent="0.45">
      <c r="A19" s="602"/>
      <c r="B19" s="214"/>
      <c r="C19" s="95"/>
      <c r="D19" s="532" t="str">
        <f>Translations!$B$281</f>
        <v>Avota plūsmas (izņemot PFC emisijas)</v>
      </c>
      <c r="E19" s="214"/>
      <c r="F19" s="214"/>
      <c r="G19" s="214"/>
      <c r="H19" s="214"/>
      <c r="I19" s="214"/>
      <c r="J19" s="214"/>
      <c r="K19" s="214"/>
      <c r="L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602"/>
      <c r="BB19" s="602"/>
      <c r="BC19" s="685"/>
      <c r="BD19" s="23"/>
    </row>
    <row r="20" spans="1:56" ht="50.1" customHeight="1" thickBot="1" x14ac:dyDescent="0.25">
      <c r="A20" s="602"/>
      <c r="B20" s="214"/>
      <c r="C20" s="533" t="s">
        <v>466</v>
      </c>
      <c r="D20" s="534" t="str">
        <f>Translations!$B$282</f>
        <v>Metode</v>
      </c>
      <c r="E20" s="534" t="str">
        <f>Translations!$B$283</f>
        <v>Avota plūsmas nosaukums</v>
      </c>
      <c r="F20" s="535" t="str">
        <f>Translations!$B$284</f>
        <v>Darbības dati</v>
      </c>
      <c r="G20" s="535" t="str">
        <f>Translations!$B$285</f>
        <v>DD vienība</v>
      </c>
      <c r="H20" s="535" t="str">
        <f>Translations!$B$286</f>
        <v>NCV</v>
      </c>
      <c r="I20" s="535" t="str">
        <f>Translations!$B$287</f>
        <v>NCV vienība</v>
      </c>
      <c r="J20" s="535" t="str">
        <f>Translations!$B$288</f>
        <v>EF</v>
      </c>
      <c r="K20" s="535" t="str">
        <f>Translations!$B$289</f>
        <v>EF vienība</v>
      </c>
      <c r="L20" s="535" t="str">
        <f>Translations!$B$290</f>
        <v>C saturs</v>
      </c>
      <c r="M20" s="535" t="str">
        <f>Translations!$B$291</f>
        <v>C satura vienība</v>
      </c>
      <c r="N20" s="535" t="str">
        <f>Translations!$B$292</f>
        <v>Oksid. koef.</v>
      </c>
      <c r="O20" s="535" t="str">
        <f>Translations!$B$293</f>
        <v>OK vienība</v>
      </c>
      <c r="P20" s="535" t="str">
        <f>Translations!$B$294</f>
        <v>Pārrēķina koef.</v>
      </c>
      <c r="Q20" s="535" t="str">
        <f>Translations!$B$295</f>
        <v>PK vienība</v>
      </c>
      <c r="R20" s="535" t="str">
        <f>Translations!$B$296</f>
        <v>Biomasas saturs</v>
      </c>
      <c r="S20" s="535" t="str">
        <f>Translations!$B$297</f>
        <v>BS vienība</v>
      </c>
      <c r="T20" s="535" t="str">
        <f>Translations!$B$298</f>
        <v>ilgtnesp. BS</v>
      </c>
      <c r="U20" s="535" t="str">
        <f>Translations!$B$299</f>
        <v>ilgtnesp. BS vienība</v>
      </c>
      <c r="V20" s="535" t="str">
        <f>Translations!$B$300</f>
        <v>SEG konc. vidējā vērtība h</v>
      </c>
      <c r="W20" s="535" t="str">
        <f>Translations!$B$301</f>
        <v>SEG konc. h vienība</v>
      </c>
      <c r="X20" s="535" t="str">
        <f>Translations!$B$302</f>
        <v>ekspluatācijas stundas</v>
      </c>
      <c r="Y20" s="535" t="str">
        <f>Translations!$B$303</f>
        <v>ekspluatācijas stundu vienība</v>
      </c>
      <c r="Z20" s="535" t="str">
        <f>Translations!$B$304</f>
        <v>Dūmgāzes (vidēji)</v>
      </c>
      <c r="AA20" s="535" t="str">
        <f>Translations!$B$305</f>
        <v>Dūmgāzes (vidēji), vienība</v>
      </c>
      <c r="AB20" s="535" t="str">
        <f>Translations!$B$306</f>
        <v>Dūmgāzes (kopā)</v>
      </c>
      <c r="AC20" s="535" t="str">
        <f>Translations!$B$307</f>
        <v>Dūmgāzes (kopā), vienība</v>
      </c>
      <c r="AD20" s="535" t="str">
        <f>Translations!$B$308</f>
        <v>SEG daudzums gadā</v>
      </c>
      <c r="AE20" s="535" t="str">
        <f>Translations!$B$309</f>
        <v>SEG daudzums gadā, vienība</v>
      </c>
      <c r="AF20" s="535" t="str">
        <f>Translations!$B$310</f>
        <v>GWP (t CO2 e/t)</v>
      </c>
      <c r="AG20" s="535" t="str">
        <f>Translations!$B$311</f>
        <v>A: biežums</v>
      </c>
      <c r="AH20" s="535" t="str">
        <f>Translations!$B$312</f>
        <v>A: ilgums</v>
      </c>
      <c r="AI20" s="535" t="str">
        <f>Translations!$B$313</f>
        <v>A: SEF (CF4)</v>
      </c>
      <c r="AJ20" s="535" t="str">
        <f>Translations!$B$314</f>
        <v>B: AEO</v>
      </c>
      <c r="AK20" s="535" t="str">
        <f>Translations!$B$315</f>
        <v>B: CE</v>
      </c>
      <c r="AL20" s="535" t="str">
        <f>Translations!$B$316</f>
        <v>B: OVC</v>
      </c>
      <c r="AM20" s="535" t="str">
        <f>Translations!$B$317</f>
        <v>F (C2F6)</v>
      </c>
      <c r="AN20" s="535" t="str">
        <f>Translations!$B$318</f>
        <v>CF4 emisijas (t CF4)</v>
      </c>
      <c r="AO20" s="535" t="str">
        <f>Translations!$B$319</f>
        <v>C2F6 emisijas (t C2F6)</v>
      </c>
      <c r="AP20" s="535" t="str">
        <f>Translations!$B$320</f>
        <v>GWP (CF4) (t CO2 e/t)</v>
      </c>
      <c r="AQ20" s="535" t="str">
        <f>Translations!$B$321</f>
        <v>GWP (C2F6) (t CO2 e/t)</v>
      </c>
      <c r="AR20" s="535" t="str">
        <f>Translations!$B$322</f>
        <v>CF4 emisijas (t CO2e)</v>
      </c>
      <c r="AS20" s="535" t="str">
        <f>Translations!$B$323</f>
        <v>C2F6 emisijas (t CO2 e)</v>
      </c>
      <c r="AT20" s="535" t="str">
        <f>Translations!$B$324</f>
        <v>Uztveršanas efektivitāte, %</v>
      </c>
      <c r="AU20" s="535" t="str">
        <f>Translations!$B$325</f>
        <v>CO2 e, fosilie avoti (t)</v>
      </c>
      <c r="AV20" s="535" t="str">
        <f>Translations!$B$326</f>
        <v>CO2 e bio (t)</v>
      </c>
      <c r="AW20" s="535" t="str">
        <f>Translations!$B$327</f>
        <v>CO2 e, ilgtnesp. biomasa (t)</v>
      </c>
      <c r="AX20" s="536" t="str">
        <f>Translations!$B$328</f>
        <v>Enerģētiskais saturs (fosilie avoti), TJ</v>
      </c>
      <c r="AY20" s="537" t="str">
        <f>Translations!$B$329</f>
        <v>Enerģētiskais saturs (biomasa), TJ</v>
      </c>
      <c r="AZ20" s="214"/>
      <c r="BA20" s="602"/>
      <c r="BB20" s="602"/>
      <c r="BC20" s="685"/>
      <c r="BD20" s="23"/>
    </row>
    <row r="21" spans="1:56" ht="12.75" customHeight="1" x14ac:dyDescent="0.2">
      <c r="A21" s="602"/>
      <c r="B21" s="214"/>
      <c r="C21" s="543" t="str">
        <f>Translations!$B$330</f>
        <v>1. piem.</v>
      </c>
      <c r="D21" s="686" t="str">
        <f>Translations!$B$331</f>
        <v>Sadedzināšana</v>
      </c>
      <c r="E21" s="686" t="str">
        <f>Translations!$B$332</f>
        <v>Smagā degvieleļļa</v>
      </c>
      <c r="F21" s="687">
        <v>252000</v>
      </c>
      <c r="G21" s="538" t="s">
        <v>205</v>
      </c>
      <c r="H21" s="687">
        <v>45</v>
      </c>
      <c r="I21" s="538" t="s">
        <v>509</v>
      </c>
      <c r="J21" s="687">
        <v>73</v>
      </c>
      <c r="K21" s="538" t="s">
        <v>510</v>
      </c>
      <c r="L21" s="538"/>
      <c r="M21" s="538" t="s">
        <v>472</v>
      </c>
      <c r="N21" s="687">
        <v>100</v>
      </c>
      <c r="O21" s="688" t="s">
        <v>393</v>
      </c>
      <c r="P21" s="687"/>
      <c r="Q21" s="688" t="s">
        <v>393</v>
      </c>
      <c r="R21" s="687">
        <v>0</v>
      </c>
      <c r="S21" s="688" t="s">
        <v>393</v>
      </c>
      <c r="T21" s="687">
        <v>0</v>
      </c>
      <c r="U21" s="688" t="s">
        <v>393</v>
      </c>
      <c r="V21" s="774"/>
      <c r="W21" s="774"/>
      <c r="X21" s="774"/>
      <c r="Y21" s="774"/>
      <c r="Z21" s="774"/>
      <c r="AA21" s="774"/>
      <c r="AB21" s="774"/>
      <c r="AC21" s="774"/>
      <c r="AD21" s="774"/>
      <c r="AE21" s="774"/>
      <c r="AF21" s="774"/>
      <c r="AG21" s="774"/>
      <c r="AH21" s="774"/>
      <c r="AI21" s="774"/>
      <c r="AJ21" s="774"/>
      <c r="AK21" s="774"/>
      <c r="AL21" s="774"/>
      <c r="AM21" s="774"/>
      <c r="AN21" s="774"/>
      <c r="AO21" s="774"/>
      <c r="AP21" s="774"/>
      <c r="AQ21" s="774"/>
      <c r="AR21" s="774"/>
      <c r="AS21" s="774"/>
      <c r="AT21" s="774"/>
      <c r="AU21" s="689">
        <v>827820</v>
      </c>
      <c r="AV21" s="689">
        <v>0</v>
      </c>
      <c r="AW21" s="689">
        <v>0</v>
      </c>
      <c r="AX21" s="687">
        <v>11340</v>
      </c>
      <c r="AY21" s="687">
        <v>0</v>
      </c>
      <c r="AZ21" s="214"/>
      <c r="BA21" s="602"/>
      <c r="BB21" s="602"/>
      <c r="BC21" s="685"/>
      <c r="BD21" s="23"/>
    </row>
    <row r="22" spans="1:56" ht="12.75" customHeight="1" x14ac:dyDescent="0.2">
      <c r="A22" s="602"/>
      <c r="B22" s="214"/>
      <c r="C22" s="543" t="str">
        <f>Translations!$B$333</f>
        <v>2. piem.</v>
      </c>
      <c r="D22" s="686" t="str">
        <f>Translations!$B$334</f>
        <v>Procesa emisijas</v>
      </c>
      <c r="E22" s="686" t="str">
        <f>Translations!$B$335</f>
        <v>Māls</v>
      </c>
      <c r="F22" s="687">
        <v>121000</v>
      </c>
      <c r="G22" s="538" t="s">
        <v>205</v>
      </c>
      <c r="H22" s="687"/>
      <c r="I22" s="538" t="s">
        <v>472</v>
      </c>
      <c r="J22" s="687">
        <v>8.7940000000000004E-2</v>
      </c>
      <c r="K22" s="538" t="s">
        <v>511</v>
      </c>
      <c r="L22" s="538"/>
      <c r="M22" s="538" t="s">
        <v>472</v>
      </c>
      <c r="N22" s="687"/>
      <c r="O22" s="688" t="s">
        <v>393</v>
      </c>
      <c r="P22" s="687"/>
      <c r="Q22" s="688" t="s">
        <v>393</v>
      </c>
      <c r="R22" s="687">
        <v>0</v>
      </c>
      <c r="S22" s="688" t="s">
        <v>393</v>
      </c>
      <c r="T22" s="687">
        <v>0</v>
      </c>
      <c r="U22" s="688" t="s">
        <v>393</v>
      </c>
      <c r="V22" s="774"/>
      <c r="W22" s="774"/>
      <c r="X22" s="774"/>
      <c r="Y22" s="774"/>
      <c r="Z22" s="774"/>
      <c r="AA22" s="774"/>
      <c r="AB22" s="774"/>
      <c r="AC22" s="774"/>
      <c r="AD22" s="774"/>
      <c r="AE22" s="774"/>
      <c r="AF22" s="774"/>
      <c r="AG22" s="774"/>
      <c r="AH22" s="774"/>
      <c r="AI22" s="774"/>
      <c r="AJ22" s="774"/>
      <c r="AK22" s="774"/>
      <c r="AL22" s="774"/>
      <c r="AM22" s="774"/>
      <c r="AN22" s="774"/>
      <c r="AO22" s="774"/>
      <c r="AP22" s="774"/>
      <c r="AQ22" s="774"/>
      <c r="AR22" s="774"/>
      <c r="AS22" s="774"/>
      <c r="AT22" s="774"/>
      <c r="AU22" s="689">
        <v>10640.74</v>
      </c>
      <c r="AV22" s="689">
        <v>0</v>
      </c>
      <c r="AW22" s="689">
        <v>0</v>
      </c>
      <c r="AX22" s="687">
        <v>0</v>
      </c>
      <c r="AY22" s="687">
        <v>0</v>
      </c>
      <c r="AZ22" s="214"/>
      <c r="BA22" s="602"/>
      <c r="BB22" s="602"/>
      <c r="BC22" s="685"/>
      <c r="BD22" s="23"/>
    </row>
    <row r="23" spans="1:56" ht="12.75" customHeight="1" x14ac:dyDescent="0.2">
      <c r="A23" s="602"/>
      <c r="B23" s="214"/>
      <c r="C23" s="543" t="str">
        <f>Translations!$B$336</f>
        <v>3. piem.</v>
      </c>
      <c r="D23" s="686" t="str">
        <f>Translations!$B$337</f>
        <v>Masas bilance</v>
      </c>
      <c r="E23" s="686" t="str">
        <f>Translations!$B$338</f>
        <v>Tērauds</v>
      </c>
      <c r="F23" s="687">
        <v>-1808226</v>
      </c>
      <c r="G23" s="538" t="s">
        <v>205</v>
      </c>
      <c r="H23" s="687"/>
      <c r="I23" s="538" t="s">
        <v>472</v>
      </c>
      <c r="J23" s="687">
        <v>0</v>
      </c>
      <c r="K23" s="538" t="s">
        <v>472</v>
      </c>
      <c r="L23" s="538">
        <v>0.38779999999999998</v>
      </c>
      <c r="M23" s="538" t="s">
        <v>512</v>
      </c>
      <c r="N23" s="687"/>
      <c r="O23" s="688" t="s">
        <v>393</v>
      </c>
      <c r="P23" s="687">
        <v>100</v>
      </c>
      <c r="Q23" s="688" t="s">
        <v>393</v>
      </c>
      <c r="R23" s="687">
        <v>0</v>
      </c>
      <c r="S23" s="688" t="s">
        <v>393</v>
      </c>
      <c r="T23" s="687">
        <v>0</v>
      </c>
      <c r="U23" s="688" t="s">
        <v>393</v>
      </c>
      <c r="V23" s="774"/>
      <c r="W23" s="774"/>
      <c r="X23" s="774"/>
      <c r="Y23" s="774"/>
      <c r="Z23" s="774"/>
      <c r="AA23" s="774"/>
      <c r="AB23" s="774"/>
      <c r="AC23" s="774"/>
      <c r="AD23" s="774"/>
      <c r="AE23" s="774"/>
      <c r="AF23" s="774"/>
      <c r="AG23" s="774"/>
      <c r="AH23" s="774"/>
      <c r="AI23" s="774"/>
      <c r="AJ23" s="774"/>
      <c r="AK23" s="774"/>
      <c r="AL23" s="774"/>
      <c r="AM23" s="774"/>
      <c r="AN23" s="774"/>
      <c r="AO23" s="774"/>
      <c r="AP23" s="774"/>
      <c r="AQ23" s="774"/>
      <c r="AR23" s="774"/>
      <c r="AS23" s="774"/>
      <c r="AT23" s="774"/>
      <c r="AU23" s="689">
        <v>-2569306.8768191999</v>
      </c>
      <c r="AV23" s="689">
        <v>0</v>
      </c>
      <c r="AW23" s="689">
        <v>0</v>
      </c>
      <c r="AX23" s="687">
        <v>0</v>
      </c>
      <c r="AY23" s="687">
        <v>0</v>
      </c>
      <c r="AZ23" s="214"/>
      <c r="BA23" s="602"/>
      <c r="BB23" s="602"/>
      <c r="BC23" s="685"/>
      <c r="BD23" s="23"/>
    </row>
    <row r="24" spans="1:56" x14ac:dyDescent="0.2">
      <c r="A24" s="602"/>
      <c r="B24" s="214"/>
      <c r="C24" s="543">
        <v>1</v>
      </c>
      <c r="D24" s="596"/>
      <c r="E24" s="596"/>
      <c r="F24" s="597"/>
      <c r="G24" s="598"/>
      <c r="H24" s="597"/>
      <c r="I24" s="598"/>
      <c r="J24" s="597"/>
      <c r="K24" s="598"/>
      <c r="L24" s="598"/>
      <c r="M24" s="598"/>
      <c r="N24" s="597"/>
      <c r="O24" s="599"/>
      <c r="P24" s="597"/>
      <c r="Q24" s="599"/>
      <c r="R24" s="597"/>
      <c r="S24" s="599"/>
      <c r="T24" s="597"/>
      <c r="U24" s="599"/>
      <c r="V24" s="774"/>
      <c r="W24" s="774"/>
      <c r="X24" s="774"/>
      <c r="Y24" s="774"/>
      <c r="Z24" s="774"/>
      <c r="AA24" s="774"/>
      <c r="AB24" s="774"/>
      <c r="AC24" s="774"/>
      <c r="AD24" s="774"/>
      <c r="AE24" s="774"/>
      <c r="AF24" s="774"/>
      <c r="AG24" s="774"/>
      <c r="AH24" s="774"/>
      <c r="AI24" s="774"/>
      <c r="AJ24" s="774"/>
      <c r="AK24" s="774"/>
      <c r="AL24" s="774"/>
      <c r="AM24" s="774"/>
      <c r="AN24" s="774"/>
      <c r="AO24" s="774"/>
      <c r="AP24" s="774"/>
      <c r="AQ24" s="774"/>
      <c r="AR24" s="774"/>
      <c r="AS24" s="774"/>
      <c r="AT24" s="774"/>
      <c r="AU24" s="600"/>
      <c r="AV24" s="600"/>
      <c r="AW24" s="600"/>
      <c r="AX24" s="597"/>
      <c r="AY24" s="597"/>
      <c r="AZ24" s="214"/>
      <c r="BA24" s="490" t="str">
        <f t="shared" ref="BA24:BA87" si="0">EUconst_SumCO2</f>
        <v>SUM_CO2</v>
      </c>
      <c r="BB24" s="581" t="str">
        <f t="shared" ref="BB24:BB87" si="1">EUconst_SumEnergyIN</f>
        <v>SUM_EnergyIN</v>
      </c>
      <c r="BC24" s="602"/>
      <c r="BD24" s="23"/>
    </row>
    <row r="25" spans="1:56" x14ac:dyDescent="0.2">
      <c r="A25" s="602"/>
      <c r="B25" s="214"/>
      <c r="C25" s="544">
        <v>2</v>
      </c>
      <c r="D25" s="596"/>
      <c r="E25" s="596"/>
      <c r="F25" s="597"/>
      <c r="G25" s="598"/>
      <c r="H25" s="597"/>
      <c r="I25" s="598"/>
      <c r="J25" s="597"/>
      <c r="K25" s="598"/>
      <c r="L25" s="598"/>
      <c r="M25" s="598"/>
      <c r="N25" s="597"/>
      <c r="O25" s="599"/>
      <c r="P25" s="597"/>
      <c r="Q25" s="599"/>
      <c r="R25" s="597"/>
      <c r="S25" s="599"/>
      <c r="T25" s="597"/>
      <c r="U25" s="599"/>
      <c r="V25" s="774"/>
      <c r="W25" s="774"/>
      <c r="X25" s="774"/>
      <c r="Y25" s="774"/>
      <c r="Z25" s="774"/>
      <c r="AA25" s="774"/>
      <c r="AB25" s="774"/>
      <c r="AC25" s="774"/>
      <c r="AD25" s="774"/>
      <c r="AE25" s="774"/>
      <c r="AF25" s="774"/>
      <c r="AG25" s="774"/>
      <c r="AH25" s="774"/>
      <c r="AI25" s="774"/>
      <c r="AJ25" s="774"/>
      <c r="AK25" s="774"/>
      <c r="AL25" s="774"/>
      <c r="AM25" s="774"/>
      <c r="AN25" s="774"/>
      <c r="AO25" s="774"/>
      <c r="AP25" s="774"/>
      <c r="AQ25" s="774"/>
      <c r="AR25" s="774"/>
      <c r="AS25" s="774"/>
      <c r="AT25" s="774"/>
      <c r="AU25" s="600"/>
      <c r="AV25" s="600"/>
      <c r="AW25" s="600"/>
      <c r="AX25" s="597"/>
      <c r="AY25" s="597"/>
      <c r="AZ25" s="214"/>
      <c r="BA25" s="490" t="str">
        <f t="shared" si="0"/>
        <v>SUM_CO2</v>
      </c>
      <c r="BB25" s="581" t="str">
        <f t="shared" si="1"/>
        <v>SUM_EnergyIN</v>
      </c>
      <c r="BC25" s="602"/>
      <c r="BD25" s="23"/>
    </row>
    <row r="26" spans="1:56" x14ac:dyDescent="0.2">
      <c r="A26" s="602"/>
      <c r="B26" s="214"/>
      <c r="C26" s="544">
        <v>3</v>
      </c>
      <c r="D26" s="596"/>
      <c r="E26" s="596"/>
      <c r="F26" s="597"/>
      <c r="G26" s="598"/>
      <c r="H26" s="597"/>
      <c r="I26" s="598"/>
      <c r="J26" s="597"/>
      <c r="K26" s="598"/>
      <c r="L26" s="598"/>
      <c r="M26" s="598"/>
      <c r="N26" s="597"/>
      <c r="O26" s="599"/>
      <c r="P26" s="597"/>
      <c r="Q26" s="599"/>
      <c r="R26" s="597"/>
      <c r="S26" s="599"/>
      <c r="T26" s="597"/>
      <c r="U26" s="599"/>
      <c r="V26" s="774"/>
      <c r="W26" s="774"/>
      <c r="X26" s="774"/>
      <c r="Y26" s="774"/>
      <c r="Z26" s="774"/>
      <c r="AA26" s="774"/>
      <c r="AB26" s="774"/>
      <c r="AC26" s="774"/>
      <c r="AD26" s="774"/>
      <c r="AE26" s="774"/>
      <c r="AF26" s="774"/>
      <c r="AG26" s="774"/>
      <c r="AH26" s="774"/>
      <c r="AI26" s="774"/>
      <c r="AJ26" s="774"/>
      <c r="AK26" s="774"/>
      <c r="AL26" s="774"/>
      <c r="AM26" s="774"/>
      <c r="AN26" s="774"/>
      <c r="AO26" s="774"/>
      <c r="AP26" s="774"/>
      <c r="AQ26" s="774"/>
      <c r="AR26" s="774"/>
      <c r="AS26" s="774"/>
      <c r="AT26" s="774"/>
      <c r="AU26" s="600"/>
      <c r="AV26" s="600"/>
      <c r="AW26" s="600"/>
      <c r="AX26" s="597"/>
      <c r="AY26" s="597"/>
      <c r="AZ26" s="214"/>
      <c r="BA26" s="490" t="str">
        <f t="shared" si="0"/>
        <v>SUM_CO2</v>
      </c>
      <c r="BB26" s="581" t="str">
        <f t="shared" si="1"/>
        <v>SUM_EnergyIN</v>
      </c>
      <c r="BC26" s="602"/>
      <c r="BD26" s="23"/>
    </row>
    <row r="27" spans="1:56" x14ac:dyDescent="0.2">
      <c r="A27" s="602"/>
      <c r="B27" s="214"/>
      <c r="C27" s="544">
        <v>4</v>
      </c>
      <c r="D27" s="596"/>
      <c r="E27" s="596"/>
      <c r="F27" s="597"/>
      <c r="G27" s="598"/>
      <c r="H27" s="597"/>
      <c r="I27" s="598"/>
      <c r="J27" s="597"/>
      <c r="K27" s="598"/>
      <c r="L27" s="598"/>
      <c r="M27" s="598"/>
      <c r="N27" s="597"/>
      <c r="O27" s="599"/>
      <c r="P27" s="597"/>
      <c r="Q27" s="599"/>
      <c r="R27" s="597"/>
      <c r="S27" s="599"/>
      <c r="T27" s="597"/>
      <c r="U27" s="599"/>
      <c r="V27" s="774"/>
      <c r="W27" s="774"/>
      <c r="X27" s="774"/>
      <c r="Y27" s="774"/>
      <c r="Z27" s="774"/>
      <c r="AA27" s="774"/>
      <c r="AB27" s="774"/>
      <c r="AC27" s="774"/>
      <c r="AD27" s="774"/>
      <c r="AE27" s="774"/>
      <c r="AF27" s="774"/>
      <c r="AG27" s="774"/>
      <c r="AH27" s="774"/>
      <c r="AI27" s="774"/>
      <c r="AJ27" s="774"/>
      <c r="AK27" s="774"/>
      <c r="AL27" s="774"/>
      <c r="AM27" s="774"/>
      <c r="AN27" s="774"/>
      <c r="AO27" s="774"/>
      <c r="AP27" s="774"/>
      <c r="AQ27" s="774"/>
      <c r="AR27" s="774"/>
      <c r="AS27" s="774"/>
      <c r="AT27" s="774"/>
      <c r="AU27" s="600"/>
      <c r="AV27" s="600"/>
      <c r="AW27" s="600"/>
      <c r="AX27" s="597"/>
      <c r="AY27" s="597"/>
      <c r="AZ27" s="214"/>
      <c r="BA27" s="490" t="str">
        <f t="shared" si="0"/>
        <v>SUM_CO2</v>
      </c>
      <c r="BB27" s="581" t="str">
        <f t="shared" si="1"/>
        <v>SUM_EnergyIN</v>
      </c>
      <c r="BC27" s="602"/>
      <c r="BD27" s="23"/>
    </row>
    <row r="28" spans="1:56" x14ac:dyDescent="0.2">
      <c r="A28" s="602"/>
      <c r="B28" s="214"/>
      <c r="C28" s="544">
        <v>5</v>
      </c>
      <c r="D28" s="596"/>
      <c r="E28" s="596"/>
      <c r="F28" s="597"/>
      <c r="G28" s="598"/>
      <c r="H28" s="597"/>
      <c r="I28" s="598"/>
      <c r="J28" s="597"/>
      <c r="K28" s="598"/>
      <c r="L28" s="598"/>
      <c r="M28" s="598"/>
      <c r="N28" s="597"/>
      <c r="O28" s="599"/>
      <c r="P28" s="597"/>
      <c r="Q28" s="599"/>
      <c r="R28" s="597"/>
      <c r="S28" s="599"/>
      <c r="T28" s="597"/>
      <c r="U28" s="599"/>
      <c r="V28" s="774"/>
      <c r="W28" s="774"/>
      <c r="X28" s="774"/>
      <c r="Y28" s="774"/>
      <c r="Z28" s="774"/>
      <c r="AA28" s="774"/>
      <c r="AB28" s="774"/>
      <c r="AC28" s="774"/>
      <c r="AD28" s="774"/>
      <c r="AE28" s="774"/>
      <c r="AF28" s="774"/>
      <c r="AG28" s="774"/>
      <c r="AH28" s="774"/>
      <c r="AI28" s="774"/>
      <c r="AJ28" s="774"/>
      <c r="AK28" s="774"/>
      <c r="AL28" s="774"/>
      <c r="AM28" s="774"/>
      <c r="AN28" s="774"/>
      <c r="AO28" s="774"/>
      <c r="AP28" s="774"/>
      <c r="AQ28" s="774"/>
      <c r="AR28" s="774"/>
      <c r="AS28" s="774"/>
      <c r="AT28" s="774"/>
      <c r="AU28" s="600"/>
      <c r="AV28" s="600"/>
      <c r="AW28" s="600"/>
      <c r="AX28" s="597"/>
      <c r="AY28" s="597"/>
      <c r="AZ28" s="214"/>
      <c r="BA28" s="490" t="str">
        <f t="shared" si="0"/>
        <v>SUM_CO2</v>
      </c>
      <c r="BB28" s="581" t="str">
        <f t="shared" si="1"/>
        <v>SUM_EnergyIN</v>
      </c>
      <c r="BC28" s="602"/>
      <c r="BD28" s="23"/>
    </row>
    <row r="29" spans="1:56" x14ac:dyDescent="0.2">
      <c r="A29" s="602"/>
      <c r="B29" s="214"/>
      <c r="C29" s="544">
        <v>6</v>
      </c>
      <c r="D29" s="596"/>
      <c r="E29" s="596"/>
      <c r="F29" s="597"/>
      <c r="G29" s="598"/>
      <c r="H29" s="597"/>
      <c r="I29" s="598"/>
      <c r="J29" s="597"/>
      <c r="K29" s="598"/>
      <c r="L29" s="598"/>
      <c r="M29" s="598"/>
      <c r="N29" s="597"/>
      <c r="O29" s="599"/>
      <c r="P29" s="597"/>
      <c r="Q29" s="599"/>
      <c r="R29" s="597"/>
      <c r="S29" s="599"/>
      <c r="T29" s="597"/>
      <c r="U29" s="599"/>
      <c r="V29" s="774"/>
      <c r="W29" s="774"/>
      <c r="X29" s="774"/>
      <c r="Y29" s="774"/>
      <c r="Z29" s="774"/>
      <c r="AA29" s="774"/>
      <c r="AB29" s="774"/>
      <c r="AC29" s="774"/>
      <c r="AD29" s="774"/>
      <c r="AE29" s="774"/>
      <c r="AF29" s="774"/>
      <c r="AG29" s="774"/>
      <c r="AH29" s="774"/>
      <c r="AI29" s="774"/>
      <c r="AJ29" s="774"/>
      <c r="AK29" s="774"/>
      <c r="AL29" s="774"/>
      <c r="AM29" s="774"/>
      <c r="AN29" s="774"/>
      <c r="AO29" s="774"/>
      <c r="AP29" s="774"/>
      <c r="AQ29" s="774"/>
      <c r="AR29" s="774"/>
      <c r="AS29" s="774"/>
      <c r="AT29" s="774"/>
      <c r="AU29" s="600"/>
      <c r="AV29" s="600"/>
      <c r="AW29" s="600"/>
      <c r="AX29" s="597"/>
      <c r="AY29" s="597"/>
      <c r="AZ29" s="214"/>
      <c r="BA29" s="490" t="str">
        <f t="shared" si="0"/>
        <v>SUM_CO2</v>
      </c>
      <c r="BB29" s="581" t="str">
        <f t="shared" si="1"/>
        <v>SUM_EnergyIN</v>
      </c>
      <c r="BC29" s="602"/>
      <c r="BD29" s="23"/>
    </row>
    <row r="30" spans="1:56" x14ac:dyDescent="0.2">
      <c r="A30" s="602"/>
      <c r="B30" s="214"/>
      <c r="C30" s="544">
        <v>7</v>
      </c>
      <c r="D30" s="596"/>
      <c r="E30" s="596"/>
      <c r="F30" s="597"/>
      <c r="G30" s="598"/>
      <c r="H30" s="597"/>
      <c r="I30" s="598"/>
      <c r="J30" s="597"/>
      <c r="K30" s="598"/>
      <c r="L30" s="598"/>
      <c r="M30" s="598"/>
      <c r="N30" s="597"/>
      <c r="O30" s="599"/>
      <c r="P30" s="597"/>
      <c r="Q30" s="599"/>
      <c r="R30" s="597"/>
      <c r="S30" s="599"/>
      <c r="T30" s="597"/>
      <c r="U30" s="599"/>
      <c r="V30" s="774"/>
      <c r="W30" s="774"/>
      <c r="X30" s="774"/>
      <c r="Y30" s="774"/>
      <c r="Z30" s="774"/>
      <c r="AA30" s="774"/>
      <c r="AB30" s="774"/>
      <c r="AC30" s="774"/>
      <c r="AD30" s="774"/>
      <c r="AE30" s="774"/>
      <c r="AF30" s="774"/>
      <c r="AG30" s="774"/>
      <c r="AH30" s="774"/>
      <c r="AI30" s="774"/>
      <c r="AJ30" s="774"/>
      <c r="AK30" s="774"/>
      <c r="AL30" s="774"/>
      <c r="AM30" s="774"/>
      <c r="AN30" s="774"/>
      <c r="AO30" s="774"/>
      <c r="AP30" s="774"/>
      <c r="AQ30" s="774"/>
      <c r="AR30" s="774"/>
      <c r="AS30" s="774"/>
      <c r="AT30" s="774"/>
      <c r="AU30" s="600"/>
      <c r="AV30" s="600"/>
      <c r="AW30" s="600"/>
      <c r="AX30" s="597"/>
      <c r="AY30" s="597"/>
      <c r="AZ30" s="214"/>
      <c r="BA30" s="490" t="str">
        <f t="shared" si="0"/>
        <v>SUM_CO2</v>
      </c>
      <c r="BB30" s="581" t="str">
        <f t="shared" si="1"/>
        <v>SUM_EnergyIN</v>
      </c>
      <c r="BC30" s="602"/>
      <c r="BD30" s="23"/>
    </row>
    <row r="31" spans="1:56" x14ac:dyDescent="0.2">
      <c r="A31" s="602"/>
      <c r="B31" s="214"/>
      <c r="C31" s="544">
        <v>8</v>
      </c>
      <c r="D31" s="596"/>
      <c r="E31" s="596"/>
      <c r="F31" s="597"/>
      <c r="G31" s="598"/>
      <c r="H31" s="597"/>
      <c r="I31" s="598"/>
      <c r="J31" s="597"/>
      <c r="K31" s="598"/>
      <c r="L31" s="598"/>
      <c r="M31" s="598"/>
      <c r="N31" s="597"/>
      <c r="O31" s="599"/>
      <c r="P31" s="597"/>
      <c r="Q31" s="599"/>
      <c r="R31" s="597"/>
      <c r="S31" s="599"/>
      <c r="T31" s="597"/>
      <c r="U31" s="599"/>
      <c r="V31" s="774"/>
      <c r="W31" s="774"/>
      <c r="X31" s="774"/>
      <c r="Y31" s="774"/>
      <c r="Z31" s="774"/>
      <c r="AA31" s="774"/>
      <c r="AB31" s="774"/>
      <c r="AC31" s="774"/>
      <c r="AD31" s="774"/>
      <c r="AE31" s="774"/>
      <c r="AF31" s="774"/>
      <c r="AG31" s="774"/>
      <c r="AH31" s="774"/>
      <c r="AI31" s="774"/>
      <c r="AJ31" s="774"/>
      <c r="AK31" s="774"/>
      <c r="AL31" s="774"/>
      <c r="AM31" s="774"/>
      <c r="AN31" s="774"/>
      <c r="AO31" s="774"/>
      <c r="AP31" s="774"/>
      <c r="AQ31" s="774"/>
      <c r="AR31" s="774"/>
      <c r="AS31" s="774"/>
      <c r="AT31" s="774"/>
      <c r="AU31" s="600"/>
      <c r="AV31" s="600"/>
      <c r="AW31" s="600"/>
      <c r="AX31" s="597"/>
      <c r="AY31" s="597"/>
      <c r="AZ31" s="214"/>
      <c r="BA31" s="490" t="str">
        <f t="shared" si="0"/>
        <v>SUM_CO2</v>
      </c>
      <c r="BB31" s="581" t="str">
        <f t="shared" si="1"/>
        <v>SUM_EnergyIN</v>
      </c>
      <c r="BC31" s="602"/>
      <c r="BD31" s="23"/>
    </row>
    <row r="32" spans="1:56" x14ac:dyDescent="0.2">
      <c r="A32" s="602"/>
      <c r="B32" s="214"/>
      <c r="C32" s="544">
        <v>9</v>
      </c>
      <c r="D32" s="596"/>
      <c r="E32" s="596"/>
      <c r="F32" s="597"/>
      <c r="G32" s="598"/>
      <c r="H32" s="597"/>
      <c r="I32" s="598"/>
      <c r="J32" s="597"/>
      <c r="K32" s="598"/>
      <c r="L32" s="598"/>
      <c r="M32" s="598"/>
      <c r="N32" s="597"/>
      <c r="O32" s="599"/>
      <c r="P32" s="597"/>
      <c r="Q32" s="599"/>
      <c r="R32" s="597"/>
      <c r="S32" s="599"/>
      <c r="T32" s="597"/>
      <c r="U32" s="599"/>
      <c r="V32" s="774"/>
      <c r="W32" s="774"/>
      <c r="X32" s="774"/>
      <c r="Y32" s="774"/>
      <c r="Z32" s="774"/>
      <c r="AA32" s="774"/>
      <c r="AB32" s="774"/>
      <c r="AC32" s="774"/>
      <c r="AD32" s="774"/>
      <c r="AE32" s="774"/>
      <c r="AF32" s="774"/>
      <c r="AG32" s="774"/>
      <c r="AH32" s="774"/>
      <c r="AI32" s="774"/>
      <c r="AJ32" s="774"/>
      <c r="AK32" s="774"/>
      <c r="AL32" s="774"/>
      <c r="AM32" s="774"/>
      <c r="AN32" s="774"/>
      <c r="AO32" s="774"/>
      <c r="AP32" s="774"/>
      <c r="AQ32" s="774"/>
      <c r="AR32" s="774"/>
      <c r="AS32" s="774"/>
      <c r="AT32" s="774"/>
      <c r="AU32" s="600"/>
      <c r="AV32" s="600"/>
      <c r="AW32" s="600"/>
      <c r="AX32" s="597"/>
      <c r="AY32" s="597"/>
      <c r="AZ32" s="214"/>
      <c r="BA32" s="490" t="str">
        <f t="shared" si="0"/>
        <v>SUM_CO2</v>
      </c>
      <c r="BB32" s="581" t="str">
        <f t="shared" si="1"/>
        <v>SUM_EnergyIN</v>
      </c>
      <c r="BC32" s="602"/>
      <c r="BD32" s="23"/>
    </row>
    <row r="33" spans="1:56" x14ac:dyDescent="0.2">
      <c r="A33" s="602"/>
      <c r="B33" s="214"/>
      <c r="C33" s="544">
        <v>10</v>
      </c>
      <c r="D33" s="596"/>
      <c r="E33" s="596"/>
      <c r="F33" s="597"/>
      <c r="G33" s="598"/>
      <c r="H33" s="597"/>
      <c r="I33" s="598"/>
      <c r="J33" s="597"/>
      <c r="K33" s="598"/>
      <c r="L33" s="598"/>
      <c r="M33" s="598"/>
      <c r="N33" s="597"/>
      <c r="O33" s="599"/>
      <c r="P33" s="597"/>
      <c r="Q33" s="599"/>
      <c r="R33" s="597"/>
      <c r="S33" s="599"/>
      <c r="T33" s="597"/>
      <c r="U33" s="599"/>
      <c r="V33" s="774"/>
      <c r="W33" s="774"/>
      <c r="X33" s="774"/>
      <c r="Y33" s="774"/>
      <c r="Z33" s="774"/>
      <c r="AA33" s="774"/>
      <c r="AB33" s="774"/>
      <c r="AC33" s="774"/>
      <c r="AD33" s="774"/>
      <c r="AE33" s="774"/>
      <c r="AF33" s="774"/>
      <c r="AG33" s="774"/>
      <c r="AH33" s="774"/>
      <c r="AI33" s="774"/>
      <c r="AJ33" s="774"/>
      <c r="AK33" s="774"/>
      <c r="AL33" s="774"/>
      <c r="AM33" s="774"/>
      <c r="AN33" s="774"/>
      <c r="AO33" s="774"/>
      <c r="AP33" s="774"/>
      <c r="AQ33" s="774"/>
      <c r="AR33" s="774"/>
      <c r="AS33" s="774"/>
      <c r="AT33" s="774"/>
      <c r="AU33" s="600"/>
      <c r="AV33" s="600"/>
      <c r="AW33" s="600"/>
      <c r="AX33" s="597"/>
      <c r="AY33" s="597"/>
      <c r="AZ33" s="214"/>
      <c r="BA33" s="490" t="str">
        <f t="shared" si="0"/>
        <v>SUM_CO2</v>
      </c>
      <c r="BB33" s="581" t="str">
        <f t="shared" si="1"/>
        <v>SUM_EnergyIN</v>
      </c>
      <c r="BC33" s="602"/>
      <c r="BD33" s="23"/>
    </row>
    <row r="34" spans="1:56" x14ac:dyDescent="0.2">
      <c r="A34" s="602"/>
      <c r="B34" s="214"/>
      <c r="C34" s="544">
        <v>11</v>
      </c>
      <c r="D34" s="596"/>
      <c r="E34" s="596"/>
      <c r="F34" s="597"/>
      <c r="G34" s="598"/>
      <c r="H34" s="597"/>
      <c r="I34" s="598"/>
      <c r="J34" s="597"/>
      <c r="K34" s="598"/>
      <c r="L34" s="598"/>
      <c r="M34" s="598"/>
      <c r="N34" s="597"/>
      <c r="O34" s="599"/>
      <c r="P34" s="597"/>
      <c r="Q34" s="599"/>
      <c r="R34" s="597"/>
      <c r="S34" s="599"/>
      <c r="T34" s="597"/>
      <c r="U34" s="599"/>
      <c r="V34" s="774"/>
      <c r="W34" s="774"/>
      <c r="X34" s="774"/>
      <c r="Y34" s="774"/>
      <c r="Z34" s="774"/>
      <c r="AA34" s="774"/>
      <c r="AB34" s="774"/>
      <c r="AC34" s="774"/>
      <c r="AD34" s="774"/>
      <c r="AE34" s="774"/>
      <c r="AF34" s="774"/>
      <c r="AG34" s="774"/>
      <c r="AH34" s="774"/>
      <c r="AI34" s="774"/>
      <c r="AJ34" s="774"/>
      <c r="AK34" s="774"/>
      <c r="AL34" s="774"/>
      <c r="AM34" s="774"/>
      <c r="AN34" s="774"/>
      <c r="AO34" s="774"/>
      <c r="AP34" s="774"/>
      <c r="AQ34" s="774"/>
      <c r="AR34" s="774"/>
      <c r="AS34" s="774"/>
      <c r="AT34" s="774"/>
      <c r="AU34" s="600"/>
      <c r="AV34" s="600"/>
      <c r="AW34" s="600"/>
      <c r="AX34" s="597"/>
      <c r="AY34" s="597"/>
      <c r="AZ34" s="214"/>
      <c r="BA34" s="490" t="str">
        <f t="shared" si="0"/>
        <v>SUM_CO2</v>
      </c>
      <c r="BB34" s="581" t="str">
        <f t="shared" si="1"/>
        <v>SUM_EnergyIN</v>
      </c>
      <c r="BC34" s="602"/>
      <c r="BD34" s="23"/>
    </row>
    <row r="35" spans="1:56" x14ac:dyDescent="0.2">
      <c r="A35" s="602"/>
      <c r="B35" s="214"/>
      <c r="C35" s="544">
        <v>12</v>
      </c>
      <c r="D35" s="596"/>
      <c r="E35" s="596"/>
      <c r="F35" s="597"/>
      <c r="G35" s="598"/>
      <c r="H35" s="597"/>
      <c r="I35" s="598"/>
      <c r="J35" s="597"/>
      <c r="K35" s="598"/>
      <c r="L35" s="598"/>
      <c r="M35" s="598"/>
      <c r="N35" s="597"/>
      <c r="O35" s="599"/>
      <c r="P35" s="597"/>
      <c r="Q35" s="599"/>
      <c r="R35" s="597"/>
      <c r="S35" s="599"/>
      <c r="T35" s="597"/>
      <c r="U35" s="599"/>
      <c r="V35" s="774"/>
      <c r="W35" s="774"/>
      <c r="X35" s="774"/>
      <c r="Y35" s="774"/>
      <c r="Z35" s="774"/>
      <c r="AA35" s="774"/>
      <c r="AB35" s="774"/>
      <c r="AC35" s="774"/>
      <c r="AD35" s="774"/>
      <c r="AE35" s="774"/>
      <c r="AF35" s="774"/>
      <c r="AG35" s="774"/>
      <c r="AH35" s="774"/>
      <c r="AI35" s="774"/>
      <c r="AJ35" s="774"/>
      <c r="AK35" s="774"/>
      <c r="AL35" s="774"/>
      <c r="AM35" s="774"/>
      <c r="AN35" s="774"/>
      <c r="AO35" s="774"/>
      <c r="AP35" s="774"/>
      <c r="AQ35" s="774"/>
      <c r="AR35" s="774"/>
      <c r="AS35" s="774"/>
      <c r="AT35" s="774"/>
      <c r="AU35" s="600"/>
      <c r="AV35" s="600"/>
      <c r="AW35" s="600"/>
      <c r="AX35" s="597"/>
      <c r="AY35" s="597"/>
      <c r="AZ35" s="214"/>
      <c r="BA35" s="490" t="str">
        <f t="shared" si="0"/>
        <v>SUM_CO2</v>
      </c>
      <c r="BB35" s="581" t="str">
        <f t="shared" si="1"/>
        <v>SUM_EnergyIN</v>
      </c>
      <c r="BC35" s="602"/>
      <c r="BD35" s="23"/>
    </row>
    <row r="36" spans="1:56" x14ac:dyDescent="0.2">
      <c r="A36" s="602"/>
      <c r="B36" s="214"/>
      <c r="C36" s="544">
        <v>13</v>
      </c>
      <c r="D36" s="596"/>
      <c r="E36" s="596"/>
      <c r="F36" s="597"/>
      <c r="G36" s="598"/>
      <c r="H36" s="597"/>
      <c r="I36" s="598"/>
      <c r="J36" s="597"/>
      <c r="K36" s="598"/>
      <c r="L36" s="598"/>
      <c r="M36" s="598"/>
      <c r="N36" s="597"/>
      <c r="O36" s="599"/>
      <c r="P36" s="597"/>
      <c r="Q36" s="599"/>
      <c r="R36" s="597"/>
      <c r="S36" s="599"/>
      <c r="T36" s="597"/>
      <c r="U36" s="599"/>
      <c r="V36" s="774"/>
      <c r="W36" s="774"/>
      <c r="X36" s="774"/>
      <c r="Y36" s="774"/>
      <c r="Z36" s="774"/>
      <c r="AA36" s="774"/>
      <c r="AB36" s="774"/>
      <c r="AC36" s="774"/>
      <c r="AD36" s="774"/>
      <c r="AE36" s="774"/>
      <c r="AF36" s="774"/>
      <c r="AG36" s="774"/>
      <c r="AH36" s="774"/>
      <c r="AI36" s="774"/>
      <c r="AJ36" s="774"/>
      <c r="AK36" s="774"/>
      <c r="AL36" s="774"/>
      <c r="AM36" s="774"/>
      <c r="AN36" s="774"/>
      <c r="AO36" s="774"/>
      <c r="AP36" s="774"/>
      <c r="AQ36" s="774"/>
      <c r="AR36" s="774"/>
      <c r="AS36" s="774"/>
      <c r="AT36" s="774"/>
      <c r="AU36" s="600"/>
      <c r="AV36" s="600"/>
      <c r="AW36" s="600"/>
      <c r="AX36" s="597"/>
      <c r="AY36" s="597"/>
      <c r="AZ36" s="214"/>
      <c r="BA36" s="490" t="str">
        <f t="shared" si="0"/>
        <v>SUM_CO2</v>
      </c>
      <c r="BB36" s="581" t="str">
        <f t="shared" si="1"/>
        <v>SUM_EnergyIN</v>
      </c>
      <c r="BC36" s="602"/>
      <c r="BD36" s="23"/>
    </row>
    <row r="37" spans="1:56" x14ac:dyDescent="0.2">
      <c r="A37" s="602"/>
      <c r="B37" s="214"/>
      <c r="C37" s="544">
        <v>14</v>
      </c>
      <c r="D37" s="596"/>
      <c r="E37" s="596"/>
      <c r="F37" s="597"/>
      <c r="G37" s="598"/>
      <c r="H37" s="597"/>
      <c r="I37" s="598"/>
      <c r="J37" s="597"/>
      <c r="K37" s="598"/>
      <c r="L37" s="598"/>
      <c r="M37" s="598"/>
      <c r="N37" s="597"/>
      <c r="O37" s="599"/>
      <c r="P37" s="597"/>
      <c r="Q37" s="599"/>
      <c r="R37" s="597"/>
      <c r="S37" s="599"/>
      <c r="T37" s="597"/>
      <c r="U37" s="599"/>
      <c r="V37" s="774"/>
      <c r="W37" s="774"/>
      <c r="X37" s="774"/>
      <c r="Y37" s="774"/>
      <c r="Z37" s="774"/>
      <c r="AA37" s="774"/>
      <c r="AB37" s="774"/>
      <c r="AC37" s="774"/>
      <c r="AD37" s="774"/>
      <c r="AE37" s="774"/>
      <c r="AF37" s="774"/>
      <c r="AG37" s="774"/>
      <c r="AH37" s="774"/>
      <c r="AI37" s="774"/>
      <c r="AJ37" s="774"/>
      <c r="AK37" s="774"/>
      <c r="AL37" s="774"/>
      <c r="AM37" s="774"/>
      <c r="AN37" s="774"/>
      <c r="AO37" s="774"/>
      <c r="AP37" s="774"/>
      <c r="AQ37" s="774"/>
      <c r="AR37" s="774"/>
      <c r="AS37" s="774"/>
      <c r="AT37" s="774"/>
      <c r="AU37" s="600"/>
      <c r="AV37" s="600"/>
      <c r="AW37" s="600"/>
      <c r="AX37" s="597"/>
      <c r="AY37" s="597"/>
      <c r="AZ37" s="214"/>
      <c r="BA37" s="490" t="str">
        <f t="shared" si="0"/>
        <v>SUM_CO2</v>
      </c>
      <c r="BB37" s="581" t="str">
        <f t="shared" si="1"/>
        <v>SUM_EnergyIN</v>
      </c>
      <c r="BC37" s="602"/>
      <c r="BD37" s="23"/>
    </row>
    <row r="38" spans="1:56" x14ac:dyDescent="0.2">
      <c r="A38" s="602"/>
      <c r="B38" s="214"/>
      <c r="C38" s="544">
        <v>15</v>
      </c>
      <c r="D38" s="596"/>
      <c r="E38" s="596"/>
      <c r="F38" s="597"/>
      <c r="G38" s="598"/>
      <c r="H38" s="597"/>
      <c r="I38" s="598"/>
      <c r="J38" s="597"/>
      <c r="K38" s="598"/>
      <c r="L38" s="598"/>
      <c r="M38" s="598"/>
      <c r="N38" s="597"/>
      <c r="O38" s="599"/>
      <c r="P38" s="597"/>
      <c r="Q38" s="599"/>
      <c r="R38" s="597"/>
      <c r="S38" s="599"/>
      <c r="T38" s="597"/>
      <c r="U38" s="599"/>
      <c r="V38" s="774"/>
      <c r="W38" s="774"/>
      <c r="X38" s="774"/>
      <c r="Y38" s="774"/>
      <c r="Z38" s="774"/>
      <c r="AA38" s="774"/>
      <c r="AB38" s="774"/>
      <c r="AC38" s="774"/>
      <c r="AD38" s="774"/>
      <c r="AE38" s="774"/>
      <c r="AF38" s="774"/>
      <c r="AG38" s="774"/>
      <c r="AH38" s="774"/>
      <c r="AI38" s="774"/>
      <c r="AJ38" s="774"/>
      <c r="AK38" s="774"/>
      <c r="AL38" s="774"/>
      <c r="AM38" s="774"/>
      <c r="AN38" s="774"/>
      <c r="AO38" s="774"/>
      <c r="AP38" s="774"/>
      <c r="AQ38" s="774"/>
      <c r="AR38" s="774"/>
      <c r="AS38" s="774"/>
      <c r="AT38" s="774"/>
      <c r="AU38" s="600"/>
      <c r="AV38" s="600"/>
      <c r="AW38" s="600"/>
      <c r="AX38" s="597"/>
      <c r="AY38" s="597"/>
      <c r="AZ38" s="214"/>
      <c r="BA38" s="490" t="str">
        <f t="shared" si="0"/>
        <v>SUM_CO2</v>
      </c>
      <c r="BB38" s="581" t="str">
        <f t="shared" si="1"/>
        <v>SUM_EnergyIN</v>
      </c>
      <c r="BC38" s="602"/>
      <c r="BD38" s="23"/>
    </row>
    <row r="39" spans="1:56" x14ac:dyDescent="0.2">
      <c r="A39" s="602"/>
      <c r="B39" s="214"/>
      <c r="C39" s="544">
        <v>16</v>
      </c>
      <c r="D39" s="596"/>
      <c r="E39" s="596"/>
      <c r="F39" s="597"/>
      <c r="G39" s="598"/>
      <c r="H39" s="597"/>
      <c r="I39" s="598"/>
      <c r="J39" s="597"/>
      <c r="K39" s="598"/>
      <c r="L39" s="598"/>
      <c r="M39" s="598"/>
      <c r="N39" s="597"/>
      <c r="O39" s="599"/>
      <c r="P39" s="597"/>
      <c r="Q39" s="599"/>
      <c r="R39" s="597"/>
      <c r="S39" s="599"/>
      <c r="T39" s="597"/>
      <c r="U39" s="599"/>
      <c r="V39" s="774"/>
      <c r="W39" s="774"/>
      <c r="X39" s="774"/>
      <c r="Y39" s="774"/>
      <c r="Z39" s="774"/>
      <c r="AA39" s="774"/>
      <c r="AB39" s="774"/>
      <c r="AC39" s="774"/>
      <c r="AD39" s="774"/>
      <c r="AE39" s="774"/>
      <c r="AF39" s="774"/>
      <c r="AG39" s="774"/>
      <c r="AH39" s="774"/>
      <c r="AI39" s="774"/>
      <c r="AJ39" s="774"/>
      <c r="AK39" s="774"/>
      <c r="AL39" s="774"/>
      <c r="AM39" s="774"/>
      <c r="AN39" s="774"/>
      <c r="AO39" s="774"/>
      <c r="AP39" s="774"/>
      <c r="AQ39" s="774"/>
      <c r="AR39" s="774"/>
      <c r="AS39" s="774"/>
      <c r="AT39" s="774"/>
      <c r="AU39" s="600"/>
      <c r="AV39" s="600"/>
      <c r="AW39" s="600"/>
      <c r="AX39" s="597"/>
      <c r="AY39" s="597"/>
      <c r="AZ39" s="214"/>
      <c r="BA39" s="490" t="str">
        <f t="shared" si="0"/>
        <v>SUM_CO2</v>
      </c>
      <c r="BB39" s="581" t="str">
        <f t="shared" si="1"/>
        <v>SUM_EnergyIN</v>
      </c>
      <c r="BC39" s="602"/>
      <c r="BD39" s="23"/>
    </row>
    <row r="40" spans="1:56" x14ac:dyDescent="0.2">
      <c r="A40" s="602"/>
      <c r="B40" s="214"/>
      <c r="C40" s="544">
        <v>17</v>
      </c>
      <c r="D40" s="596"/>
      <c r="E40" s="596"/>
      <c r="F40" s="597"/>
      <c r="G40" s="598"/>
      <c r="H40" s="597"/>
      <c r="I40" s="598"/>
      <c r="J40" s="597"/>
      <c r="K40" s="598"/>
      <c r="L40" s="598"/>
      <c r="M40" s="598"/>
      <c r="N40" s="597"/>
      <c r="O40" s="599"/>
      <c r="P40" s="597"/>
      <c r="Q40" s="599"/>
      <c r="R40" s="597"/>
      <c r="S40" s="599"/>
      <c r="T40" s="597"/>
      <c r="U40" s="599"/>
      <c r="V40" s="774"/>
      <c r="W40" s="774"/>
      <c r="X40" s="774"/>
      <c r="Y40" s="774"/>
      <c r="Z40" s="774"/>
      <c r="AA40" s="774"/>
      <c r="AB40" s="774"/>
      <c r="AC40" s="774"/>
      <c r="AD40" s="774"/>
      <c r="AE40" s="774"/>
      <c r="AF40" s="774"/>
      <c r="AG40" s="774"/>
      <c r="AH40" s="774"/>
      <c r="AI40" s="774"/>
      <c r="AJ40" s="774"/>
      <c r="AK40" s="774"/>
      <c r="AL40" s="774"/>
      <c r="AM40" s="774"/>
      <c r="AN40" s="774"/>
      <c r="AO40" s="774"/>
      <c r="AP40" s="774"/>
      <c r="AQ40" s="774"/>
      <c r="AR40" s="774"/>
      <c r="AS40" s="774"/>
      <c r="AT40" s="774"/>
      <c r="AU40" s="600"/>
      <c r="AV40" s="600"/>
      <c r="AW40" s="600"/>
      <c r="AX40" s="597"/>
      <c r="AY40" s="597"/>
      <c r="AZ40" s="214"/>
      <c r="BA40" s="490" t="str">
        <f t="shared" si="0"/>
        <v>SUM_CO2</v>
      </c>
      <c r="BB40" s="581" t="str">
        <f t="shared" si="1"/>
        <v>SUM_EnergyIN</v>
      </c>
      <c r="BC40" s="602"/>
      <c r="BD40" s="23"/>
    </row>
    <row r="41" spans="1:56" x14ac:dyDescent="0.2">
      <c r="A41" s="602"/>
      <c r="B41" s="214"/>
      <c r="C41" s="544">
        <v>18</v>
      </c>
      <c r="D41" s="596"/>
      <c r="E41" s="596"/>
      <c r="F41" s="597"/>
      <c r="G41" s="598"/>
      <c r="H41" s="597"/>
      <c r="I41" s="598"/>
      <c r="J41" s="597"/>
      <c r="K41" s="598"/>
      <c r="L41" s="598"/>
      <c r="M41" s="598"/>
      <c r="N41" s="597"/>
      <c r="O41" s="599"/>
      <c r="P41" s="597"/>
      <c r="Q41" s="599"/>
      <c r="R41" s="597"/>
      <c r="S41" s="599"/>
      <c r="T41" s="597"/>
      <c r="U41" s="599"/>
      <c r="V41" s="774"/>
      <c r="W41" s="774"/>
      <c r="X41" s="774"/>
      <c r="Y41" s="774"/>
      <c r="Z41" s="774"/>
      <c r="AA41" s="774"/>
      <c r="AB41" s="774"/>
      <c r="AC41" s="774"/>
      <c r="AD41" s="774"/>
      <c r="AE41" s="774"/>
      <c r="AF41" s="774"/>
      <c r="AG41" s="774"/>
      <c r="AH41" s="774"/>
      <c r="AI41" s="774"/>
      <c r="AJ41" s="774"/>
      <c r="AK41" s="774"/>
      <c r="AL41" s="774"/>
      <c r="AM41" s="774"/>
      <c r="AN41" s="774"/>
      <c r="AO41" s="774"/>
      <c r="AP41" s="774"/>
      <c r="AQ41" s="774"/>
      <c r="AR41" s="774"/>
      <c r="AS41" s="774"/>
      <c r="AT41" s="774"/>
      <c r="AU41" s="600"/>
      <c r="AV41" s="600"/>
      <c r="AW41" s="600"/>
      <c r="AX41" s="597"/>
      <c r="AY41" s="597"/>
      <c r="AZ41" s="214"/>
      <c r="BA41" s="490" t="str">
        <f t="shared" si="0"/>
        <v>SUM_CO2</v>
      </c>
      <c r="BB41" s="581" t="str">
        <f t="shared" si="1"/>
        <v>SUM_EnergyIN</v>
      </c>
      <c r="BC41" s="602"/>
      <c r="BD41" s="23"/>
    </row>
    <row r="42" spans="1:56" x14ac:dyDescent="0.2">
      <c r="A42" s="602"/>
      <c r="B42" s="214"/>
      <c r="C42" s="544">
        <v>19</v>
      </c>
      <c r="D42" s="596"/>
      <c r="E42" s="596"/>
      <c r="F42" s="597"/>
      <c r="G42" s="598"/>
      <c r="H42" s="597"/>
      <c r="I42" s="598"/>
      <c r="J42" s="597"/>
      <c r="K42" s="598"/>
      <c r="L42" s="598"/>
      <c r="M42" s="598"/>
      <c r="N42" s="597"/>
      <c r="O42" s="599"/>
      <c r="P42" s="597"/>
      <c r="Q42" s="599"/>
      <c r="R42" s="597"/>
      <c r="S42" s="599"/>
      <c r="T42" s="597"/>
      <c r="U42" s="599"/>
      <c r="V42" s="774"/>
      <c r="W42" s="774"/>
      <c r="X42" s="774"/>
      <c r="Y42" s="774"/>
      <c r="Z42" s="774"/>
      <c r="AA42" s="774"/>
      <c r="AB42" s="774"/>
      <c r="AC42" s="774"/>
      <c r="AD42" s="774"/>
      <c r="AE42" s="774"/>
      <c r="AF42" s="774"/>
      <c r="AG42" s="774"/>
      <c r="AH42" s="774"/>
      <c r="AI42" s="774"/>
      <c r="AJ42" s="774"/>
      <c r="AK42" s="774"/>
      <c r="AL42" s="774"/>
      <c r="AM42" s="774"/>
      <c r="AN42" s="774"/>
      <c r="AO42" s="774"/>
      <c r="AP42" s="774"/>
      <c r="AQ42" s="774"/>
      <c r="AR42" s="774"/>
      <c r="AS42" s="774"/>
      <c r="AT42" s="774"/>
      <c r="AU42" s="600"/>
      <c r="AV42" s="600"/>
      <c r="AW42" s="600"/>
      <c r="AX42" s="597"/>
      <c r="AY42" s="597"/>
      <c r="AZ42" s="214"/>
      <c r="BA42" s="490" t="str">
        <f t="shared" si="0"/>
        <v>SUM_CO2</v>
      </c>
      <c r="BB42" s="581" t="str">
        <f t="shared" si="1"/>
        <v>SUM_EnergyIN</v>
      </c>
      <c r="BC42" s="602"/>
      <c r="BD42" s="23"/>
    </row>
    <row r="43" spans="1:56" x14ac:dyDescent="0.2">
      <c r="A43" s="602"/>
      <c r="B43" s="214"/>
      <c r="C43" s="544">
        <v>20</v>
      </c>
      <c r="D43" s="596"/>
      <c r="E43" s="596"/>
      <c r="F43" s="597"/>
      <c r="G43" s="598"/>
      <c r="H43" s="597"/>
      <c r="I43" s="598"/>
      <c r="J43" s="597"/>
      <c r="K43" s="598"/>
      <c r="L43" s="598"/>
      <c r="M43" s="598"/>
      <c r="N43" s="597"/>
      <c r="O43" s="599"/>
      <c r="P43" s="597"/>
      <c r="Q43" s="599"/>
      <c r="R43" s="597"/>
      <c r="S43" s="599"/>
      <c r="T43" s="597"/>
      <c r="U43" s="599"/>
      <c r="V43" s="774"/>
      <c r="W43" s="774"/>
      <c r="X43" s="774"/>
      <c r="Y43" s="774"/>
      <c r="Z43" s="774"/>
      <c r="AA43" s="774"/>
      <c r="AB43" s="774"/>
      <c r="AC43" s="774"/>
      <c r="AD43" s="774"/>
      <c r="AE43" s="774"/>
      <c r="AF43" s="774"/>
      <c r="AG43" s="774"/>
      <c r="AH43" s="774"/>
      <c r="AI43" s="774"/>
      <c r="AJ43" s="774"/>
      <c r="AK43" s="774"/>
      <c r="AL43" s="774"/>
      <c r="AM43" s="774"/>
      <c r="AN43" s="774"/>
      <c r="AO43" s="774"/>
      <c r="AP43" s="774"/>
      <c r="AQ43" s="774"/>
      <c r="AR43" s="774"/>
      <c r="AS43" s="774"/>
      <c r="AT43" s="774"/>
      <c r="AU43" s="600"/>
      <c r="AV43" s="600"/>
      <c r="AW43" s="600"/>
      <c r="AX43" s="597"/>
      <c r="AY43" s="597"/>
      <c r="AZ43" s="214"/>
      <c r="BA43" s="490" t="str">
        <f t="shared" si="0"/>
        <v>SUM_CO2</v>
      </c>
      <c r="BB43" s="581" t="str">
        <f t="shared" si="1"/>
        <v>SUM_EnergyIN</v>
      </c>
      <c r="BC43" s="602"/>
      <c r="BD43" s="23"/>
    </row>
    <row r="44" spans="1:56" x14ac:dyDescent="0.2">
      <c r="A44" s="602"/>
      <c r="B44" s="214"/>
      <c r="C44" s="544">
        <v>21</v>
      </c>
      <c r="D44" s="596"/>
      <c r="E44" s="596"/>
      <c r="F44" s="597"/>
      <c r="G44" s="598"/>
      <c r="H44" s="597"/>
      <c r="I44" s="598"/>
      <c r="J44" s="597"/>
      <c r="K44" s="598"/>
      <c r="L44" s="598"/>
      <c r="M44" s="598"/>
      <c r="N44" s="597"/>
      <c r="O44" s="599"/>
      <c r="P44" s="597"/>
      <c r="Q44" s="599"/>
      <c r="R44" s="597"/>
      <c r="S44" s="599"/>
      <c r="T44" s="597"/>
      <c r="U44" s="599"/>
      <c r="V44" s="774"/>
      <c r="W44" s="774"/>
      <c r="X44" s="774"/>
      <c r="Y44" s="774"/>
      <c r="Z44" s="774"/>
      <c r="AA44" s="774"/>
      <c r="AB44" s="774"/>
      <c r="AC44" s="774"/>
      <c r="AD44" s="774"/>
      <c r="AE44" s="774"/>
      <c r="AF44" s="774"/>
      <c r="AG44" s="774"/>
      <c r="AH44" s="774"/>
      <c r="AI44" s="774"/>
      <c r="AJ44" s="774"/>
      <c r="AK44" s="774"/>
      <c r="AL44" s="774"/>
      <c r="AM44" s="774"/>
      <c r="AN44" s="774"/>
      <c r="AO44" s="774"/>
      <c r="AP44" s="774"/>
      <c r="AQ44" s="774"/>
      <c r="AR44" s="774"/>
      <c r="AS44" s="774"/>
      <c r="AT44" s="774"/>
      <c r="AU44" s="600"/>
      <c r="AV44" s="600"/>
      <c r="AW44" s="600"/>
      <c r="AX44" s="597"/>
      <c r="AY44" s="597"/>
      <c r="AZ44" s="214"/>
      <c r="BA44" s="490" t="str">
        <f t="shared" si="0"/>
        <v>SUM_CO2</v>
      </c>
      <c r="BB44" s="581" t="str">
        <f t="shared" si="1"/>
        <v>SUM_EnergyIN</v>
      </c>
      <c r="BC44" s="602"/>
      <c r="BD44" s="23"/>
    </row>
    <row r="45" spans="1:56" x14ac:dyDescent="0.2">
      <c r="A45" s="602"/>
      <c r="B45" s="214"/>
      <c r="C45" s="544">
        <v>22</v>
      </c>
      <c r="D45" s="596"/>
      <c r="E45" s="596"/>
      <c r="F45" s="597"/>
      <c r="G45" s="598"/>
      <c r="H45" s="597"/>
      <c r="I45" s="598"/>
      <c r="J45" s="597"/>
      <c r="K45" s="598"/>
      <c r="L45" s="598"/>
      <c r="M45" s="598"/>
      <c r="N45" s="597"/>
      <c r="O45" s="599"/>
      <c r="P45" s="597"/>
      <c r="Q45" s="599"/>
      <c r="R45" s="597"/>
      <c r="S45" s="599"/>
      <c r="T45" s="597"/>
      <c r="U45" s="599"/>
      <c r="V45" s="774"/>
      <c r="W45" s="774"/>
      <c r="X45" s="774"/>
      <c r="Y45" s="774"/>
      <c r="Z45" s="774"/>
      <c r="AA45" s="774"/>
      <c r="AB45" s="774"/>
      <c r="AC45" s="774"/>
      <c r="AD45" s="774"/>
      <c r="AE45" s="774"/>
      <c r="AF45" s="774"/>
      <c r="AG45" s="774"/>
      <c r="AH45" s="774"/>
      <c r="AI45" s="774"/>
      <c r="AJ45" s="774"/>
      <c r="AK45" s="774"/>
      <c r="AL45" s="774"/>
      <c r="AM45" s="774"/>
      <c r="AN45" s="774"/>
      <c r="AO45" s="774"/>
      <c r="AP45" s="774"/>
      <c r="AQ45" s="774"/>
      <c r="AR45" s="774"/>
      <c r="AS45" s="774"/>
      <c r="AT45" s="774"/>
      <c r="AU45" s="600"/>
      <c r="AV45" s="600"/>
      <c r="AW45" s="600"/>
      <c r="AX45" s="597"/>
      <c r="AY45" s="597"/>
      <c r="AZ45" s="214"/>
      <c r="BA45" s="490" t="str">
        <f t="shared" si="0"/>
        <v>SUM_CO2</v>
      </c>
      <c r="BB45" s="581" t="str">
        <f t="shared" si="1"/>
        <v>SUM_EnergyIN</v>
      </c>
      <c r="BC45" s="602"/>
      <c r="BD45" s="23"/>
    </row>
    <row r="46" spans="1:56" x14ac:dyDescent="0.2">
      <c r="A46" s="602"/>
      <c r="B46" s="214"/>
      <c r="C46" s="544">
        <v>23</v>
      </c>
      <c r="D46" s="596"/>
      <c r="E46" s="596"/>
      <c r="F46" s="597"/>
      <c r="G46" s="598"/>
      <c r="H46" s="597"/>
      <c r="I46" s="598"/>
      <c r="J46" s="597"/>
      <c r="K46" s="598"/>
      <c r="L46" s="598"/>
      <c r="M46" s="598"/>
      <c r="N46" s="597"/>
      <c r="O46" s="599"/>
      <c r="P46" s="597"/>
      <c r="Q46" s="599"/>
      <c r="R46" s="597"/>
      <c r="S46" s="599"/>
      <c r="T46" s="597"/>
      <c r="U46" s="599"/>
      <c r="V46" s="774"/>
      <c r="W46" s="774"/>
      <c r="X46" s="774"/>
      <c r="Y46" s="774"/>
      <c r="Z46" s="774"/>
      <c r="AA46" s="774"/>
      <c r="AB46" s="774"/>
      <c r="AC46" s="774"/>
      <c r="AD46" s="774"/>
      <c r="AE46" s="774"/>
      <c r="AF46" s="774"/>
      <c r="AG46" s="774"/>
      <c r="AH46" s="774"/>
      <c r="AI46" s="774"/>
      <c r="AJ46" s="774"/>
      <c r="AK46" s="774"/>
      <c r="AL46" s="774"/>
      <c r="AM46" s="774"/>
      <c r="AN46" s="774"/>
      <c r="AO46" s="774"/>
      <c r="AP46" s="774"/>
      <c r="AQ46" s="774"/>
      <c r="AR46" s="774"/>
      <c r="AS46" s="774"/>
      <c r="AT46" s="774"/>
      <c r="AU46" s="600"/>
      <c r="AV46" s="600"/>
      <c r="AW46" s="600"/>
      <c r="AX46" s="597"/>
      <c r="AY46" s="597"/>
      <c r="AZ46" s="214"/>
      <c r="BA46" s="490" t="str">
        <f t="shared" si="0"/>
        <v>SUM_CO2</v>
      </c>
      <c r="BB46" s="581" t="str">
        <f t="shared" si="1"/>
        <v>SUM_EnergyIN</v>
      </c>
      <c r="BC46" s="602"/>
      <c r="BD46" s="23"/>
    </row>
    <row r="47" spans="1:56" x14ac:dyDescent="0.2">
      <c r="A47" s="602"/>
      <c r="B47" s="214"/>
      <c r="C47" s="544">
        <v>24</v>
      </c>
      <c r="D47" s="596"/>
      <c r="E47" s="596"/>
      <c r="F47" s="597"/>
      <c r="G47" s="598"/>
      <c r="H47" s="597"/>
      <c r="I47" s="598"/>
      <c r="J47" s="597"/>
      <c r="K47" s="598"/>
      <c r="L47" s="598"/>
      <c r="M47" s="598"/>
      <c r="N47" s="597"/>
      <c r="O47" s="599"/>
      <c r="P47" s="597"/>
      <c r="Q47" s="599"/>
      <c r="R47" s="597"/>
      <c r="S47" s="599"/>
      <c r="T47" s="597"/>
      <c r="U47" s="599"/>
      <c r="V47" s="774"/>
      <c r="W47" s="774"/>
      <c r="X47" s="774"/>
      <c r="Y47" s="774"/>
      <c r="Z47" s="774"/>
      <c r="AA47" s="774"/>
      <c r="AB47" s="774"/>
      <c r="AC47" s="774"/>
      <c r="AD47" s="774"/>
      <c r="AE47" s="774"/>
      <c r="AF47" s="774"/>
      <c r="AG47" s="774"/>
      <c r="AH47" s="774"/>
      <c r="AI47" s="774"/>
      <c r="AJ47" s="774"/>
      <c r="AK47" s="774"/>
      <c r="AL47" s="774"/>
      <c r="AM47" s="774"/>
      <c r="AN47" s="774"/>
      <c r="AO47" s="774"/>
      <c r="AP47" s="774"/>
      <c r="AQ47" s="774"/>
      <c r="AR47" s="774"/>
      <c r="AS47" s="774"/>
      <c r="AT47" s="774"/>
      <c r="AU47" s="600"/>
      <c r="AV47" s="600"/>
      <c r="AW47" s="600"/>
      <c r="AX47" s="597"/>
      <c r="AY47" s="597"/>
      <c r="AZ47" s="214"/>
      <c r="BA47" s="490" t="str">
        <f t="shared" si="0"/>
        <v>SUM_CO2</v>
      </c>
      <c r="BB47" s="581" t="str">
        <f t="shared" si="1"/>
        <v>SUM_EnergyIN</v>
      </c>
      <c r="BC47" s="602"/>
      <c r="BD47" s="23"/>
    </row>
    <row r="48" spans="1:56" x14ac:dyDescent="0.2">
      <c r="A48" s="602"/>
      <c r="B48" s="214"/>
      <c r="C48" s="544">
        <v>25</v>
      </c>
      <c r="D48" s="596"/>
      <c r="E48" s="596"/>
      <c r="F48" s="597"/>
      <c r="G48" s="598"/>
      <c r="H48" s="597"/>
      <c r="I48" s="598"/>
      <c r="J48" s="597"/>
      <c r="K48" s="598"/>
      <c r="L48" s="598"/>
      <c r="M48" s="598"/>
      <c r="N48" s="597"/>
      <c r="O48" s="599"/>
      <c r="P48" s="597"/>
      <c r="Q48" s="599"/>
      <c r="R48" s="597"/>
      <c r="S48" s="599"/>
      <c r="T48" s="597"/>
      <c r="U48" s="599"/>
      <c r="V48" s="774"/>
      <c r="W48" s="774"/>
      <c r="X48" s="774"/>
      <c r="Y48" s="774"/>
      <c r="Z48" s="774"/>
      <c r="AA48" s="774"/>
      <c r="AB48" s="774"/>
      <c r="AC48" s="774"/>
      <c r="AD48" s="774"/>
      <c r="AE48" s="774"/>
      <c r="AF48" s="774"/>
      <c r="AG48" s="774"/>
      <c r="AH48" s="774"/>
      <c r="AI48" s="774"/>
      <c r="AJ48" s="774"/>
      <c r="AK48" s="774"/>
      <c r="AL48" s="774"/>
      <c r="AM48" s="774"/>
      <c r="AN48" s="774"/>
      <c r="AO48" s="774"/>
      <c r="AP48" s="774"/>
      <c r="AQ48" s="774"/>
      <c r="AR48" s="774"/>
      <c r="AS48" s="774"/>
      <c r="AT48" s="774"/>
      <c r="AU48" s="600"/>
      <c r="AV48" s="600"/>
      <c r="AW48" s="600"/>
      <c r="AX48" s="597"/>
      <c r="AY48" s="597"/>
      <c r="AZ48" s="214"/>
      <c r="BA48" s="490" t="str">
        <f t="shared" si="0"/>
        <v>SUM_CO2</v>
      </c>
      <c r="BB48" s="581" t="str">
        <f t="shared" si="1"/>
        <v>SUM_EnergyIN</v>
      </c>
      <c r="BC48" s="602"/>
      <c r="BD48" s="23"/>
    </row>
    <row r="49" spans="1:56" x14ac:dyDescent="0.2">
      <c r="A49" s="602"/>
      <c r="B49" s="214"/>
      <c r="C49" s="544">
        <v>26</v>
      </c>
      <c r="D49" s="596"/>
      <c r="E49" s="596"/>
      <c r="F49" s="597"/>
      <c r="G49" s="598"/>
      <c r="H49" s="597"/>
      <c r="I49" s="598"/>
      <c r="J49" s="597"/>
      <c r="K49" s="598"/>
      <c r="L49" s="598"/>
      <c r="M49" s="598"/>
      <c r="N49" s="597"/>
      <c r="O49" s="599"/>
      <c r="P49" s="597"/>
      <c r="Q49" s="599"/>
      <c r="R49" s="597"/>
      <c r="S49" s="599"/>
      <c r="T49" s="597"/>
      <c r="U49" s="599"/>
      <c r="V49" s="774"/>
      <c r="W49" s="774"/>
      <c r="X49" s="774"/>
      <c r="Y49" s="774"/>
      <c r="Z49" s="774"/>
      <c r="AA49" s="774"/>
      <c r="AB49" s="774"/>
      <c r="AC49" s="774"/>
      <c r="AD49" s="774"/>
      <c r="AE49" s="774"/>
      <c r="AF49" s="774"/>
      <c r="AG49" s="774"/>
      <c r="AH49" s="774"/>
      <c r="AI49" s="774"/>
      <c r="AJ49" s="774"/>
      <c r="AK49" s="774"/>
      <c r="AL49" s="774"/>
      <c r="AM49" s="774"/>
      <c r="AN49" s="774"/>
      <c r="AO49" s="774"/>
      <c r="AP49" s="774"/>
      <c r="AQ49" s="774"/>
      <c r="AR49" s="774"/>
      <c r="AS49" s="774"/>
      <c r="AT49" s="774"/>
      <c r="AU49" s="600"/>
      <c r="AV49" s="600"/>
      <c r="AW49" s="600"/>
      <c r="AX49" s="597"/>
      <c r="AY49" s="597"/>
      <c r="AZ49" s="214"/>
      <c r="BA49" s="490" t="str">
        <f t="shared" si="0"/>
        <v>SUM_CO2</v>
      </c>
      <c r="BB49" s="581" t="str">
        <f t="shared" si="1"/>
        <v>SUM_EnergyIN</v>
      </c>
      <c r="BC49" s="602"/>
      <c r="BD49" s="23"/>
    </row>
    <row r="50" spans="1:56" x14ac:dyDescent="0.2">
      <c r="A50" s="602"/>
      <c r="B50" s="214"/>
      <c r="C50" s="544">
        <v>27</v>
      </c>
      <c r="D50" s="596"/>
      <c r="E50" s="596"/>
      <c r="F50" s="597"/>
      <c r="G50" s="598"/>
      <c r="H50" s="597"/>
      <c r="I50" s="598"/>
      <c r="J50" s="597"/>
      <c r="K50" s="598"/>
      <c r="L50" s="598"/>
      <c r="M50" s="598"/>
      <c r="N50" s="597"/>
      <c r="O50" s="599"/>
      <c r="P50" s="597"/>
      <c r="Q50" s="599"/>
      <c r="R50" s="597"/>
      <c r="S50" s="599"/>
      <c r="T50" s="597"/>
      <c r="U50" s="599"/>
      <c r="V50" s="774"/>
      <c r="W50" s="774"/>
      <c r="X50" s="774"/>
      <c r="Y50" s="774"/>
      <c r="Z50" s="774"/>
      <c r="AA50" s="774"/>
      <c r="AB50" s="774"/>
      <c r="AC50" s="774"/>
      <c r="AD50" s="774"/>
      <c r="AE50" s="774"/>
      <c r="AF50" s="774"/>
      <c r="AG50" s="774"/>
      <c r="AH50" s="774"/>
      <c r="AI50" s="774"/>
      <c r="AJ50" s="774"/>
      <c r="AK50" s="774"/>
      <c r="AL50" s="774"/>
      <c r="AM50" s="774"/>
      <c r="AN50" s="774"/>
      <c r="AO50" s="774"/>
      <c r="AP50" s="774"/>
      <c r="AQ50" s="774"/>
      <c r="AR50" s="774"/>
      <c r="AS50" s="774"/>
      <c r="AT50" s="774"/>
      <c r="AU50" s="600"/>
      <c r="AV50" s="600"/>
      <c r="AW50" s="600"/>
      <c r="AX50" s="597"/>
      <c r="AY50" s="597"/>
      <c r="AZ50" s="214"/>
      <c r="BA50" s="490" t="str">
        <f t="shared" si="0"/>
        <v>SUM_CO2</v>
      </c>
      <c r="BB50" s="581" t="str">
        <f t="shared" si="1"/>
        <v>SUM_EnergyIN</v>
      </c>
      <c r="BC50" s="602"/>
      <c r="BD50" s="23"/>
    </row>
    <row r="51" spans="1:56" x14ac:dyDescent="0.2">
      <c r="A51" s="602"/>
      <c r="B51" s="214"/>
      <c r="C51" s="544">
        <v>28</v>
      </c>
      <c r="D51" s="596"/>
      <c r="E51" s="596"/>
      <c r="F51" s="597"/>
      <c r="G51" s="598"/>
      <c r="H51" s="597"/>
      <c r="I51" s="598"/>
      <c r="J51" s="597"/>
      <c r="K51" s="598"/>
      <c r="L51" s="598"/>
      <c r="M51" s="598"/>
      <c r="N51" s="597"/>
      <c r="O51" s="599"/>
      <c r="P51" s="597"/>
      <c r="Q51" s="599"/>
      <c r="R51" s="597"/>
      <c r="S51" s="599"/>
      <c r="T51" s="597"/>
      <c r="U51" s="599"/>
      <c r="V51" s="774"/>
      <c r="W51" s="774"/>
      <c r="X51" s="774"/>
      <c r="Y51" s="774"/>
      <c r="Z51" s="774"/>
      <c r="AA51" s="774"/>
      <c r="AB51" s="774"/>
      <c r="AC51" s="774"/>
      <c r="AD51" s="774"/>
      <c r="AE51" s="774"/>
      <c r="AF51" s="774"/>
      <c r="AG51" s="774"/>
      <c r="AH51" s="774"/>
      <c r="AI51" s="774"/>
      <c r="AJ51" s="774"/>
      <c r="AK51" s="774"/>
      <c r="AL51" s="774"/>
      <c r="AM51" s="774"/>
      <c r="AN51" s="774"/>
      <c r="AO51" s="774"/>
      <c r="AP51" s="774"/>
      <c r="AQ51" s="774"/>
      <c r="AR51" s="774"/>
      <c r="AS51" s="774"/>
      <c r="AT51" s="774"/>
      <c r="AU51" s="600"/>
      <c r="AV51" s="600"/>
      <c r="AW51" s="600"/>
      <c r="AX51" s="597"/>
      <c r="AY51" s="597"/>
      <c r="AZ51" s="214"/>
      <c r="BA51" s="490" t="str">
        <f t="shared" si="0"/>
        <v>SUM_CO2</v>
      </c>
      <c r="BB51" s="581" t="str">
        <f t="shared" si="1"/>
        <v>SUM_EnergyIN</v>
      </c>
      <c r="BC51" s="602"/>
      <c r="BD51" s="23"/>
    </row>
    <row r="52" spans="1:56" x14ac:dyDescent="0.2">
      <c r="A52" s="602"/>
      <c r="B52" s="214"/>
      <c r="C52" s="544">
        <v>29</v>
      </c>
      <c r="D52" s="596"/>
      <c r="E52" s="596"/>
      <c r="F52" s="597"/>
      <c r="G52" s="598"/>
      <c r="H52" s="597"/>
      <c r="I52" s="598"/>
      <c r="J52" s="597"/>
      <c r="K52" s="598"/>
      <c r="L52" s="598"/>
      <c r="M52" s="598"/>
      <c r="N52" s="597"/>
      <c r="O52" s="599"/>
      <c r="P52" s="597"/>
      <c r="Q52" s="599"/>
      <c r="R52" s="597"/>
      <c r="S52" s="599"/>
      <c r="T52" s="597"/>
      <c r="U52" s="599"/>
      <c r="V52" s="774"/>
      <c r="W52" s="774"/>
      <c r="X52" s="774"/>
      <c r="Y52" s="774"/>
      <c r="Z52" s="774"/>
      <c r="AA52" s="774"/>
      <c r="AB52" s="774"/>
      <c r="AC52" s="774"/>
      <c r="AD52" s="774"/>
      <c r="AE52" s="774"/>
      <c r="AF52" s="774"/>
      <c r="AG52" s="774"/>
      <c r="AH52" s="774"/>
      <c r="AI52" s="774"/>
      <c r="AJ52" s="774"/>
      <c r="AK52" s="774"/>
      <c r="AL52" s="774"/>
      <c r="AM52" s="774"/>
      <c r="AN52" s="774"/>
      <c r="AO52" s="774"/>
      <c r="AP52" s="774"/>
      <c r="AQ52" s="774"/>
      <c r="AR52" s="774"/>
      <c r="AS52" s="774"/>
      <c r="AT52" s="774"/>
      <c r="AU52" s="600"/>
      <c r="AV52" s="600"/>
      <c r="AW52" s="600"/>
      <c r="AX52" s="597"/>
      <c r="AY52" s="597"/>
      <c r="AZ52" s="214"/>
      <c r="BA52" s="490" t="str">
        <f t="shared" si="0"/>
        <v>SUM_CO2</v>
      </c>
      <c r="BB52" s="581" t="str">
        <f t="shared" si="1"/>
        <v>SUM_EnergyIN</v>
      </c>
      <c r="BC52" s="602"/>
      <c r="BD52" s="23"/>
    </row>
    <row r="53" spans="1:56" x14ac:dyDescent="0.2">
      <c r="A53" s="602"/>
      <c r="B53" s="214"/>
      <c r="C53" s="544">
        <v>30</v>
      </c>
      <c r="D53" s="596"/>
      <c r="E53" s="596"/>
      <c r="F53" s="597"/>
      <c r="G53" s="598"/>
      <c r="H53" s="597"/>
      <c r="I53" s="598"/>
      <c r="J53" s="597"/>
      <c r="K53" s="598"/>
      <c r="L53" s="598"/>
      <c r="M53" s="598"/>
      <c r="N53" s="597"/>
      <c r="O53" s="599"/>
      <c r="P53" s="597"/>
      <c r="Q53" s="599"/>
      <c r="R53" s="597"/>
      <c r="S53" s="599"/>
      <c r="T53" s="597"/>
      <c r="U53" s="599"/>
      <c r="V53" s="774"/>
      <c r="W53" s="774"/>
      <c r="X53" s="774"/>
      <c r="Y53" s="774"/>
      <c r="Z53" s="774"/>
      <c r="AA53" s="774"/>
      <c r="AB53" s="774"/>
      <c r="AC53" s="774"/>
      <c r="AD53" s="774"/>
      <c r="AE53" s="774"/>
      <c r="AF53" s="774"/>
      <c r="AG53" s="774"/>
      <c r="AH53" s="774"/>
      <c r="AI53" s="774"/>
      <c r="AJ53" s="774"/>
      <c r="AK53" s="774"/>
      <c r="AL53" s="774"/>
      <c r="AM53" s="774"/>
      <c r="AN53" s="774"/>
      <c r="AO53" s="774"/>
      <c r="AP53" s="774"/>
      <c r="AQ53" s="774"/>
      <c r="AR53" s="774"/>
      <c r="AS53" s="774"/>
      <c r="AT53" s="774"/>
      <c r="AU53" s="600"/>
      <c r="AV53" s="600"/>
      <c r="AW53" s="600"/>
      <c r="AX53" s="597"/>
      <c r="AY53" s="597"/>
      <c r="AZ53" s="214"/>
      <c r="BA53" s="490" t="str">
        <f t="shared" si="0"/>
        <v>SUM_CO2</v>
      </c>
      <c r="BB53" s="581" t="str">
        <f t="shared" si="1"/>
        <v>SUM_EnergyIN</v>
      </c>
      <c r="BC53" s="602"/>
      <c r="BD53" s="23"/>
    </row>
    <row r="54" spans="1:56" x14ac:dyDescent="0.2">
      <c r="A54" s="602"/>
      <c r="B54" s="214"/>
      <c r="C54" s="544">
        <v>31</v>
      </c>
      <c r="D54" s="596"/>
      <c r="E54" s="596"/>
      <c r="F54" s="597"/>
      <c r="G54" s="598"/>
      <c r="H54" s="597"/>
      <c r="I54" s="598"/>
      <c r="J54" s="597"/>
      <c r="K54" s="598"/>
      <c r="L54" s="598"/>
      <c r="M54" s="598"/>
      <c r="N54" s="597"/>
      <c r="O54" s="599"/>
      <c r="P54" s="597"/>
      <c r="Q54" s="599"/>
      <c r="R54" s="597"/>
      <c r="S54" s="599"/>
      <c r="T54" s="597"/>
      <c r="U54" s="599"/>
      <c r="V54" s="774"/>
      <c r="W54" s="774"/>
      <c r="X54" s="774"/>
      <c r="Y54" s="774"/>
      <c r="Z54" s="774"/>
      <c r="AA54" s="774"/>
      <c r="AB54" s="774"/>
      <c r="AC54" s="774"/>
      <c r="AD54" s="774"/>
      <c r="AE54" s="774"/>
      <c r="AF54" s="774"/>
      <c r="AG54" s="774"/>
      <c r="AH54" s="774"/>
      <c r="AI54" s="774"/>
      <c r="AJ54" s="774"/>
      <c r="AK54" s="774"/>
      <c r="AL54" s="774"/>
      <c r="AM54" s="774"/>
      <c r="AN54" s="774"/>
      <c r="AO54" s="774"/>
      <c r="AP54" s="774"/>
      <c r="AQ54" s="774"/>
      <c r="AR54" s="774"/>
      <c r="AS54" s="774"/>
      <c r="AT54" s="774"/>
      <c r="AU54" s="600"/>
      <c r="AV54" s="600"/>
      <c r="AW54" s="600"/>
      <c r="AX54" s="597"/>
      <c r="AY54" s="597"/>
      <c r="AZ54" s="214"/>
      <c r="BA54" s="490" t="str">
        <f t="shared" si="0"/>
        <v>SUM_CO2</v>
      </c>
      <c r="BB54" s="581" t="str">
        <f t="shared" si="1"/>
        <v>SUM_EnergyIN</v>
      </c>
      <c r="BC54" s="602"/>
      <c r="BD54" s="23"/>
    </row>
    <row r="55" spans="1:56" x14ac:dyDescent="0.2">
      <c r="A55" s="602"/>
      <c r="B55" s="214"/>
      <c r="C55" s="544">
        <v>32</v>
      </c>
      <c r="D55" s="596"/>
      <c r="E55" s="596"/>
      <c r="F55" s="597"/>
      <c r="G55" s="598"/>
      <c r="H55" s="597"/>
      <c r="I55" s="598"/>
      <c r="J55" s="597"/>
      <c r="K55" s="598"/>
      <c r="L55" s="598"/>
      <c r="M55" s="598"/>
      <c r="N55" s="597"/>
      <c r="O55" s="599"/>
      <c r="P55" s="597"/>
      <c r="Q55" s="599"/>
      <c r="R55" s="597"/>
      <c r="S55" s="599"/>
      <c r="T55" s="597"/>
      <c r="U55" s="599"/>
      <c r="V55" s="774"/>
      <c r="W55" s="774"/>
      <c r="X55" s="774"/>
      <c r="Y55" s="774"/>
      <c r="Z55" s="774"/>
      <c r="AA55" s="774"/>
      <c r="AB55" s="774"/>
      <c r="AC55" s="774"/>
      <c r="AD55" s="774"/>
      <c r="AE55" s="774"/>
      <c r="AF55" s="774"/>
      <c r="AG55" s="774"/>
      <c r="AH55" s="774"/>
      <c r="AI55" s="774"/>
      <c r="AJ55" s="774"/>
      <c r="AK55" s="774"/>
      <c r="AL55" s="774"/>
      <c r="AM55" s="774"/>
      <c r="AN55" s="774"/>
      <c r="AO55" s="774"/>
      <c r="AP55" s="774"/>
      <c r="AQ55" s="774"/>
      <c r="AR55" s="774"/>
      <c r="AS55" s="774"/>
      <c r="AT55" s="774"/>
      <c r="AU55" s="600"/>
      <c r="AV55" s="600"/>
      <c r="AW55" s="600"/>
      <c r="AX55" s="597"/>
      <c r="AY55" s="597"/>
      <c r="AZ55" s="214"/>
      <c r="BA55" s="490" t="str">
        <f t="shared" si="0"/>
        <v>SUM_CO2</v>
      </c>
      <c r="BB55" s="581" t="str">
        <f t="shared" si="1"/>
        <v>SUM_EnergyIN</v>
      </c>
      <c r="BC55" s="602"/>
      <c r="BD55" s="23"/>
    </row>
    <row r="56" spans="1:56" x14ac:dyDescent="0.2">
      <c r="A56" s="602"/>
      <c r="B56" s="214"/>
      <c r="C56" s="544">
        <v>33</v>
      </c>
      <c r="D56" s="596"/>
      <c r="E56" s="596"/>
      <c r="F56" s="597"/>
      <c r="G56" s="598"/>
      <c r="H56" s="597"/>
      <c r="I56" s="598"/>
      <c r="J56" s="597"/>
      <c r="K56" s="598"/>
      <c r="L56" s="598"/>
      <c r="M56" s="598"/>
      <c r="N56" s="597"/>
      <c r="O56" s="599"/>
      <c r="P56" s="597"/>
      <c r="Q56" s="599"/>
      <c r="R56" s="597"/>
      <c r="S56" s="599"/>
      <c r="T56" s="597"/>
      <c r="U56" s="599"/>
      <c r="V56" s="774"/>
      <c r="W56" s="774"/>
      <c r="X56" s="774"/>
      <c r="Y56" s="774"/>
      <c r="Z56" s="774"/>
      <c r="AA56" s="774"/>
      <c r="AB56" s="774"/>
      <c r="AC56" s="774"/>
      <c r="AD56" s="774"/>
      <c r="AE56" s="774"/>
      <c r="AF56" s="774"/>
      <c r="AG56" s="774"/>
      <c r="AH56" s="774"/>
      <c r="AI56" s="774"/>
      <c r="AJ56" s="774"/>
      <c r="AK56" s="774"/>
      <c r="AL56" s="774"/>
      <c r="AM56" s="774"/>
      <c r="AN56" s="774"/>
      <c r="AO56" s="774"/>
      <c r="AP56" s="774"/>
      <c r="AQ56" s="774"/>
      <c r="AR56" s="774"/>
      <c r="AS56" s="774"/>
      <c r="AT56" s="774"/>
      <c r="AU56" s="600"/>
      <c r="AV56" s="600"/>
      <c r="AW56" s="600"/>
      <c r="AX56" s="597"/>
      <c r="AY56" s="597"/>
      <c r="AZ56" s="214"/>
      <c r="BA56" s="490" t="str">
        <f t="shared" si="0"/>
        <v>SUM_CO2</v>
      </c>
      <c r="BB56" s="581" t="str">
        <f t="shared" si="1"/>
        <v>SUM_EnergyIN</v>
      </c>
      <c r="BC56" s="602"/>
      <c r="BD56" s="23"/>
    </row>
    <row r="57" spans="1:56" x14ac:dyDescent="0.2">
      <c r="A57" s="602"/>
      <c r="B57" s="214"/>
      <c r="C57" s="544">
        <v>34</v>
      </c>
      <c r="D57" s="596"/>
      <c r="E57" s="596"/>
      <c r="F57" s="597"/>
      <c r="G57" s="598"/>
      <c r="H57" s="597"/>
      <c r="I57" s="598"/>
      <c r="J57" s="597"/>
      <c r="K57" s="598"/>
      <c r="L57" s="598"/>
      <c r="M57" s="598"/>
      <c r="N57" s="597"/>
      <c r="O57" s="599"/>
      <c r="P57" s="597"/>
      <c r="Q57" s="599"/>
      <c r="R57" s="597"/>
      <c r="S57" s="599"/>
      <c r="T57" s="597"/>
      <c r="U57" s="599"/>
      <c r="V57" s="774"/>
      <c r="W57" s="774"/>
      <c r="X57" s="774"/>
      <c r="Y57" s="774"/>
      <c r="Z57" s="774"/>
      <c r="AA57" s="774"/>
      <c r="AB57" s="774"/>
      <c r="AC57" s="774"/>
      <c r="AD57" s="774"/>
      <c r="AE57" s="774"/>
      <c r="AF57" s="774"/>
      <c r="AG57" s="774"/>
      <c r="AH57" s="774"/>
      <c r="AI57" s="774"/>
      <c r="AJ57" s="774"/>
      <c r="AK57" s="774"/>
      <c r="AL57" s="774"/>
      <c r="AM57" s="774"/>
      <c r="AN57" s="774"/>
      <c r="AO57" s="774"/>
      <c r="AP57" s="774"/>
      <c r="AQ57" s="774"/>
      <c r="AR57" s="774"/>
      <c r="AS57" s="774"/>
      <c r="AT57" s="774"/>
      <c r="AU57" s="600"/>
      <c r="AV57" s="600"/>
      <c r="AW57" s="600"/>
      <c r="AX57" s="597"/>
      <c r="AY57" s="597"/>
      <c r="AZ57" s="214"/>
      <c r="BA57" s="490" t="str">
        <f t="shared" si="0"/>
        <v>SUM_CO2</v>
      </c>
      <c r="BB57" s="581" t="str">
        <f t="shared" si="1"/>
        <v>SUM_EnergyIN</v>
      </c>
      <c r="BC57" s="602"/>
      <c r="BD57" s="23"/>
    </row>
    <row r="58" spans="1:56" x14ac:dyDescent="0.2">
      <c r="A58" s="602"/>
      <c r="B58" s="214"/>
      <c r="C58" s="544">
        <v>35</v>
      </c>
      <c r="D58" s="596"/>
      <c r="E58" s="596"/>
      <c r="F58" s="597"/>
      <c r="G58" s="598"/>
      <c r="H58" s="597"/>
      <c r="I58" s="598"/>
      <c r="J58" s="597"/>
      <c r="K58" s="598"/>
      <c r="L58" s="598"/>
      <c r="M58" s="598"/>
      <c r="N58" s="597"/>
      <c r="O58" s="599"/>
      <c r="P58" s="597"/>
      <c r="Q58" s="599"/>
      <c r="R58" s="597"/>
      <c r="S58" s="599"/>
      <c r="T58" s="597"/>
      <c r="U58" s="599"/>
      <c r="V58" s="774"/>
      <c r="W58" s="774"/>
      <c r="X58" s="774"/>
      <c r="Y58" s="774"/>
      <c r="Z58" s="774"/>
      <c r="AA58" s="774"/>
      <c r="AB58" s="774"/>
      <c r="AC58" s="774"/>
      <c r="AD58" s="774"/>
      <c r="AE58" s="774"/>
      <c r="AF58" s="774"/>
      <c r="AG58" s="774"/>
      <c r="AH58" s="774"/>
      <c r="AI58" s="774"/>
      <c r="AJ58" s="774"/>
      <c r="AK58" s="774"/>
      <c r="AL58" s="774"/>
      <c r="AM58" s="774"/>
      <c r="AN58" s="774"/>
      <c r="AO58" s="774"/>
      <c r="AP58" s="774"/>
      <c r="AQ58" s="774"/>
      <c r="AR58" s="774"/>
      <c r="AS58" s="774"/>
      <c r="AT58" s="774"/>
      <c r="AU58" s="600"/>
      <c r="AV58" s="600"/>
      <c r="AW58" s="600"/>
      <c r="AX58" s="597"/>
      <c r="AY58" s="597"/>
      <c r="AZ58" s="214"/>
      <c r="BA58" s="490" t="str">
        <f t="shared" si="0"/>
        <v>SUM_CO2</v>
      </c>
      <c r="BB58" s="581" t="str">
        <f t="shared" si="1"/>
        <v>SUM_EnergyIN</v>
      </c>
      <c r="BC58" s="602"/>
      <c r="BD58" s="23"/>
    </row>
    <row r="59" spans="1:56" x14ac:dyDescent="0.2">
      <c r="A59" s="602"/>
      <c r="B59" s="214"/>
      <c r="C59" s="544">
        <v>36</v>
      </c>
      <c r="D59" s="596"/>
      <c r="E59" s="596"/>
      <c r="F59" s="597"/>
      <c r="G59" s="598"/>
      <c r="H59" s="597"/>
      <c r="I59" s="598"/>
      <c r="J59" s="597"/>
      <c r="K59" s="598"/>
      <c r="L59" s="598"/>
      <c r="M59" s="598"/>
      <c r="N59" s="597"/>
      <c r="O59" s="599"/>
      <c r="P59" s="597"/>
      <c r="Q59" s="599"/>
      <c r="R59" s="597"/>
      <c r="S59" s="599"/>
      <c r="T59" s="597"/>
      <c r="U59" s="599"/>
      <c r="V59" s="774"/>
      <c r="W59" s="774"/>
      <c r="X59" s="774"/>
      <c r="Y59" s="774"/>
      <c r="Z59" s="774"/>
      <c r="AA59" s="774"/>
      <c r="AB59" s="774"/>
      <c r="AC59" s="774"/>
      <c r="AD59" s="774"/>
      <c r="AE59" s="774"/>
      <c r="AF59" s="774"/>
      <c r="AG59" s="774"/>
      <c r="AH59" s="774"/>
      <c r="AI59" s="774"/>
      <c r="AJ59" s="774"/>
      <c r="AK59" s="774"/>
      <c r="AL59" s="774"/>
      <c r="AM59" s="774"/>
      <c r="AN59" s="774"/>
      <c r="AO59" s="774"/>
      <c r="AP59" s="774"/>
      <c r="AQ59" s="774"/>
      <c r="AR59" s="774"/>
      <c r="AS59" s="774"/>
      <c r="AT59" s="774"/>
      <c r="AU59" s="600"/>
      <c r="AV59" s="600"/>
      <c r="AW59" s="600"/>
      <c r="AX59" s="597"/>
      <c r="AY59" s="597"/>
      <c r="AZ59" s="214"/>
      <c r="BA59" s="490" t="str">
        <f t="shared" si="0"/>
        <v>SUM_CO2</v>
      </c>
      <c r="BB59" s="581" t="str">
        <f t="shared" si="1"/>
        <v>SUM_EnergyIN</v>
      </c>
      <c r="BC59" s="602"/>
      <c r="BD59" s="23"/>
    </row>
    <row r="60" spans="1:56" x14ac:dyDescent="0.2">
      <c r="A60" s="602"/>
      <c r="B60" s="214"/>
      <c r="C60" s="544">
        <v>37</v>
      </c>
      <c r="D60" s="596"/>
      <c r="E60" s="596"/>
      <c r="F60" s="597"/>
      <c r="G60" s="598"/>
      <c r="H60" s="597"/>
      <c r="I60" s="598"/>
      <c r="J60" s="597"/>
      <c r="K60" s="598"/>
      <c r="L60" s="598"/>
      <c r="M60" s="598"/>
      <c r="N60" s="597"/>
      <c r="O60" s="599"/>
      <c r="P60" s="597"/>
      <c r="Q60" s="599"/>
      <c r="R60" s="597"/>
      <c r="S60" s="599"/>
      <c r="T60" s="597"/>
      <c r="U60" s="599"/>
      <c r="V60" s="774"/>
      <c r="W60" s="774"/>
      <c r="X60" s="774"/>
      <c r="Y60" s="774"/>
      <c r="Z60" s="774"/>
      <c r="AA60" s="774"/>
      <c r="AB60" s="774"/>
      <c r="AC60" s="774"/>
      <c r="AD60" s="774"/>
      <c r="AE60" s="774"/>
      <c r="AF60" s="774"/>
      <c r="AG60" s="774"/>
      <c r="AH60" s="774"/>
      <c r="AI60" s="774"/>
      <c r="AJ60" s="774"/>
      <c r="AK60" s="774"/>
      <c r="AL60" s="774"/>
      <c r="AM60" s="774"/>
      <c r="AN60" s="774"/>
      <c r="AO60" s="774"/>
      <c r="AP60" s="774"/>
      <c r="AQ60" s="774"/>
      <c r="AR60" s="774"/>
      <c r="AS60" s="774"/>
      <c r="AT60" s="774"/>
      <c r="AU60" s="600"/>
      <c r="AV60" s="600"/>
      <c r="AW60" s="600"/>
      <c r="AX60" s="597"/>
      <c r="AY60" s="597"/>
      <c r="AZ60" s="214"/>
      <c r="BA60" s="490" t="str">
        <f t="shared" si="0"/>
        <v>SUM_CO2</v>
      </c>
      <c r="BB60" s="581" t="str">
        <f t="shared" si="1"/>
        <v>SUM_EnergyIN</v>
      </c>
      <c r="BC60" s="602"/>
      <c r="BD60" s="23"/>
    </row>
    <row r="61" spans="1:56" x14ac:dyDescent="0.2">
      <c r="A61" s="602"/>
      <c r="B61" s="214"/>
      <c r="C61" s="544">
        <v>38</v>
      </c>
      <c r="D61" s="596"/>
      <c r="E61" s="596"/>
      <c r="F61" s="597"/>
      <c r="G61" s="598"/>
      <c r="H61" s="597"/>
      <c r="I61" s="598"/>
      <c r="J61" s="597"/>
      <c r="K61" s="598"/>
      <c r="L61" s="598"/>
      <c r="M61" s="598"/>
      <c r="N61" s="597"/>
      <c r="O61" s="599"/>
      <c r="P61" s="597"/>
      <c r="Q61" s="599"/>
      <c r="R61" s="597"/>
      <c r="S61" s="599"/>
      <c r="T61" s="597"/>
      <c r="U61" s="599"/>
      <c r="V61" s="774"/>
      <c r="W61" s="774"/>
      <c r="X61" s="774"/>
      <c r="Y61" s="774"/>
      <c r="Z61" s="774"/>
      <c r="AA61" s="774"/>
      <c r="AB61" s="774"/>
      <c r="AC61" s="774"/>
      <c r="AD61" s="774"/>
      <c r="AE61" s="774"/>
      <c r="AF61" s="774"/>
      <c r="AG61" s="774"/>
      <c r="AH61" s="774"/>
      <c r="AI61" s="774"/>
      <c r="AJ61" s="774"/>
      <c r="AK61" s="774"/>
      <c r="AL61" s="774"/>
      <c r="AM61" s="774"/>
      <c r="AN61" s="774"/>
      <c r="AO61" s="774"/>
      <c r="AP61" s="774"/>
      <c r="AQ61" s="774"/>
      <c r="AR61" s="774"/>
      <c r="AS61" s="774"/>
      <c r="AT61" s="774"/>
      <c r="AU61" s="600"/>
      <c r="AV61" s="600"/>
      <c r="AW61" s="600"/>
      <c r="AX61" s="597"/>
      <c r="AY61" s="597"/>
      <c r="AZ61" s="214"/>
      <c r="BA61" s="490" t="str">
        <f t="shared" si="0"/>
        <v>SUM_CO2</v>
      </c>
      <c r="BB61" s="581" t="str">
        <f t="shared" si="1"/>
        <v>SUM_EnergyIN</v>
      </c>
      <c r="BC61" s="602"/>
      <c r="BD61" s="23"/>
    </row>
    <row r="62" spans="1:56" x14ac:dyDescent="0.2">
      <c r="A62" s="602"/>
      <c r="B62" s="214"/>
      <c r="C62" s="544">
        <v>39</v>
      </c>
      <c r="D62" s="596"/>
      <c r="E62" s="596"/>
      <c r="F62" s="597"/>
      <c r="G62" s="598"/>
      <c r="H62" s="597"/>
      <c r="I62" s="598"/>
      <c r="J62" s="597"/>
      <c r="K62" s="598"/>
      <c r="L62" s="598"/>
      <c r="M62" s="598"/>
      <c r="N62" s="597"/>
      <c r="O62" s="599"/>
      <c r="P62" s="597"/>
      <c r="Q62" s="599"/>
      <c r="R62" s="597"/>
      <c r="S62" s="599"/>
      <c r="T62" s="597"/>
      <c r="U62" s="599"/>
      <c r="V62" s="774"/>
      <c r="W62" s="774"/>
      <c r="X62" s="774"/>
      <c r="Y62" s="774"/>
      <c r="Z62" s="774"/>
      <c r="AA62" s="774"/>
      <c r="AB62" s="774"/>
      <c r="AC62" s="774"/>
      <c r="AD62" s="774"/>
      <c r="AE62" s="774"/>
      <c r="AF62" s="774"/>
      <c r="AG62" s="774"/>
      <c r="AH62" s="774"/>
      <c r="AI62" s="774"/>
      <c r="AJ62" s="774"/>
      <c r="AK62" s="774"/>
      <c r="AL62" s="774"/>
      <c r="AM62" s="774"/>
      <c r="AN62" s="774"/>
      <c r="AO62" s="774"/>
      <c r="AP62" s="774"/>
      <c r="AQ62" s="774"/>
      <c r="AR62" s="774"/>
      <c r="AS62" s="774"/>
      <c r="AT62" s="774"/>
      <c r="AU62" s="600"/>
      <c r="AV62" s="600"/>
      <c r="AW62" s="600"/>
      <c r="AX62" s="597"/>
      <c r="AY62" s="597"/>
      <c r="AZ62" s="214"/>
      <c r="BA62" s="490" t="str">
        <f t="shared" si="0"/>
        <v>SUM_CO2</v>
      </c>
      <c r="BB62" s="581" t="str">
        <f t="shared" si="1"/>
        <v>SUM_EnergyIN</v>
      </c>
      <c r="BC62" s="602"/>
      <c r="BD62" s="23"/>
    </row>
    <row r="63" spans="1:56" x14ac:dyDescent="0.2">
      <c r="A63" s="602"/>
      <c r="B63" s="214"/>
      <c r="C63" s="544">
        <v>40</v>
      </c>
      <c r="D63" s="596"/>
      <c r="E63" s="596"/>
      <c r="F63" s="597"/>
      <c r="G63" s="598"/>
      <c r="H63" s="597"/>
      <c r="I63" s="598"/>
      <c r="J63" s="597"/>
      <c r="K63" s="598"/>
      <c r="L63" s="598"/>
      <c r="M63" s="598"/>
      <c r="N63" s="597"/>
      <c r="O63" s="599"/>
      <c r="P63" s="597"/>
      <c r="Q63" s="599"/>
      <c r="R63" s="597"/>
      <c r="S63" s="599"/>
      <c r="T63" s="597"/>
      <c r="U63" s="599"/>
      <c r="V63" s="774"/>
      <c r="W63" s="774"/>
      <c r="X63" s="774"/>
      <c r="Y63" s="774"/>
      <c r="Z63" s="774"/>
      <c r="AA63" s="774"/>
      <c r="AB63" s="774"/>
      <c r="AC63" s="774"/>
      <c r="AD63" s="774"/>
      <c r="AE63" s="774"/>
      <c r="AF63" s="774"/>
      <c r="AG63" s="774"/>
      <c r="AH63" s="774"/>
      <c r="AI63" s="774"/>
      <c r="AJ63" s="774"/>
      <c r="AK63" s="774"/>
      <c r="AL63" s="774"/>
      <c r="AM63" s="774"/>
      <c r="AN63" s="774"/>
      <c r="AO63" s="774"/>
      <c r="AP63" s="774"/>
      <c r="AQ63" s="774"/>
      <c r="AR63" s="774"/>
      <c r="AS63" s="774"/>
      <c r="AT63" s="774"/>
      <c r="AU63" s="600"/>
      <c r="AV63" s="600"/>
      <c r="AW63" s="600"/>
      <c r="AX63" s="597"/>
      <c r="AY63" s="597"/>
      <c r="AZ63" s="214"/>
      <c r="BA63" s="490" t="str">
        <f t="shared" si="0"/>
        <v>SUM_CO2</v>
      </c>
      <c r="BB63" s="581" t="str">
        <f t="shared" si="1"/>
        <v>SUM_EnergyIN</v>
      </c>
      <c r="BC63" s="602"/>
      <c r="BD63" s="23"/>
    </row>
    <row r="64" spans="1:56" x14ac:dyDescent="0.2">
      <c r="A64" s="602"/>
      <c r="B64" s="214"/>
      <c r="C64" s="544">
        <v>41</v>
      </c>
      <c r="D64" s="596"/>
      <c r="E64" s="596"/>
      <c r="F64" s="597"/>
      <c r="G64" s="598"/>
      <c r="H64" s="597"/>
      <c r="I64" s="598"/>
      <c r="J64" s="597"/>
      <c r="K64" s="598"/>
      <c r="L64" s="598"/>
      <c r="M64" s="598"/>
      <c r="N64" s="597"/>
      <c r="O64" s="599"/>
      <c r="P64" s="597"/>
      <c r="Q64" s="599"/>
      <c r="R64" s="597"/>
      <c r="S64" s="599"/>
      <c r="T64" s="597"/>
      <c r="U64" s="599"/>
      <c r="V64" s="774"/>
      <c r="W64" s="774"/>
      <c r="X64" s="774"/>
      <c r="Y64" s="774"/>
      <c r="Z64" s="774"/>
      <c r="AA64" s="774"/>
      <c r="AB64" s="774"/>
      <c r="AC64" s="774"/>
      <c r="AD64" s="774"/>
      <c r="AE64" s="774"/>
      <c r="AF64" s="774"/>
      <c r="AG64" s="774"/>
      <c r="AH64" s="774"/>
      <c r="AI64" s="774"/>
      <c r="AJ64" s="774"/>
      <c r="AK64" s="774"/>
      <c r="AL64" s="774"/>
      <c r="AM64" s="774"/>
      <c r="AN64" s="774"/>
      <c r="AO64" s="774"/>
      <c r="AP64" s="774"/>
      <c r="AQ64" s="774"/>
      <c r="AR64" s="774"/>
      <c r="AS64" s="774"/>
      <c r="AT64" s="774"/>
      <c r="AU64" s="600"/>
      <c r="AV64" s="600"/>
      <c r="AW64" s="600"/>
      <c r="AX64" s="597"/>
      <c r="AY64" s="597"/>
      <c r="AZ64" s="214"/>
      <c r="BA64" s="490" t="str">
        <f t="shared" si="0"/>
        <v>SUM_CO2</v>
      </c>
      <c r="BB64" s="581" t="str">
        <f t="shared" si="1"/>
        <v>SUM_EnergyIN</v>
      </c>
      <c r="BC64" s="602"/>
      <c r="BD64" s="23"/>
    </row>
    <row r="65" spans="1:56" x14ac:dyDescent="0.2">
      <c r="A65" s="602"/>
      <c r="B65" s="214"/>
      <c r="C65" s="544">
        <v>42</v>
      </c>
      <c r="D65" s="596"/>
      <c r="E65" s="596"/>
      <c r="F65" s="597"/>
      <c r="G65" s="598"/>
      <c r="H65" s="597"/>
      <c r="I65" s="598"/>
      <c r="J65" s="597"/>
      <c r="K65" s="598"/>
      <c r="L65" s="598"/>
      <c r="M65" s="598"/>
      <c r="N65" s="597"/>
      <c r="O65" s="599"/>
      <c r="P65" s="597"/>
      <c r="Q65" s="599"/>
      <c r="R65" s="597"/>
      <c r="S65" s="599"/>
      <c r="T65" s="597"/>
      <c r="U65" s="599"/>
      <c r="V65" s="774"/>
      <c r="W65" s="774"/>
      <c r="X65" s="774"/>
      <c r="Y65" s="774"/>
      <c r="Z65" s="774"/>
      <c r="AA65" s="774"/>
      <c r="AB65" s="774"/>
      <c r="AC65" s="774"/>
      <c r="AD65" s="774"/>
      <c r="AE65" s="774"/>
      <c r="AF65" s="774"/>
      <c r="AG65" s="774"/>
      <c r="AH65" s="774"/>
      <c r="AI65" s="774"/>
      <c r="AJ65" s="774"/>
      <c r="AK65" s="774"/>
      <c r="AL65" s="774"/>
      <c r="AM65" s="774"/>
      <c r="AN65" s="774"/>
      <c r="AO65" s="774"/>
      <c r="AP65" s="774"/>
      <c r="AQ65" s="774"/>
      <c r="AR65" s="774"/>
      <c r="AS65" s="774"/>
      <c r="AT65" s="774"/>
      <c r="AU65" s="600"/>
      <c r="AV65" s="600"/>
      <c r="AW65" s="600"/>
      <c r="AX65" s="597"/>
      <c r="AY65" s="597"/>
      <c r="AZ65" s="214"/>
      <c r="BA65" s="490" t="str">
        <f t="shared" si="0"/>
        <v>SUM_CO2</v>
      </c>
      <c r="BB65" s="581" t="str">
        <f t="shared" si="1"/>
        <v>SUM_EnergyIN</v>
      </c>
      <c r="BC65" s="602"/>
      <c r="BD65" s="23"/>
    </row>
    <row r="66" spans="1:56" x14ac:dyDescent="0.2">
      <c r="A66" s="602"/>
      <c r="B66" s="214"/>
      <c r="C66" s="544">
        <v>43</v>
      </c>
      <c r="D66" s="596"/>
      <c r="E66" s="596"/>
      <c r="F66" s="597"/>
      <c r="G66" s="598"/>
      <c r="H66" s="597"/>
      <c r="I66" s="598"/>
      <c r="J66" s="597"/>
      <c r="K66" s="598"/>
      <c r="L66" s="598"/>
      <c r="M66" s="598"/>
      <c r="N66" s="597"/>
      <c r="O66" s="599"/>
      <c r="P66" s="597"/>
      <c r="Q66" s="599"/>
      <c r="R66" s="597"/>
      <c r="S66" s="599"/>
      <c r="T66" s="597"/>
      <c r="U66" s="599"/>
      <c r="V66" s="774"/>
      <c r="W66" s="774"/>
      <c r="X66" s="774"/>
      <c r="Y66" s="774"/>
      <c r="Z66" s="774"/>
      <c r="AA66" s="774"/>
      <c r="AB66" s="774"/>
      <c r="AC66" s="774"/>
      <c r="AD66" s="774"/>
      <c r="AE66" s="774"/>
      <c r="AF66" s="774"/>
      <c r="AG66" s="774"/>
      <c r="AH66" s="774"/>
      <c r="AI66" s="774"/>
      <c r="AJ66" s="774"/>
      <c r="AK66" s="774"/>
      <c r="AL66" s="774"/>
      <c r="AM66" s="774"/>
      <c r="AN66" s="774"/>
      <c r="AO66" s="774"/>
      <c r="AP66" s="774"/>
      <c r="AQ66" s="774"/>
      <c r="AR66" s="774"/>
      <c r="AS66" s="774"/>
      <c r="AT66" s="774"/>
      <c r="AU66" s="600"/>
      <c r="AV66" s="600"/>
      <c r="AW66" s="600"/>
      <c r="AX66" s="597"/>
      <c r="AY66" s="597"/>
      <c r="AZ66" s="214"/>
      <c r="BA66" s="490" t="str">
        <f t="shared" si="0"/>
        <v>SUM_CO2</v>
      </c>
      <c r="BB66" s="581" t="str">
        <f t="shared" si="1"/>
        <v>SUM_EnergyIN</v>
      </c>
      <c r="BC66" s="602"/>
      <c r="BD66" s="23"/>
    </row>
    <row r="67" spans="1:56" x14ac:dyDescent="0.2">
      <c r="A67" s="602"/>
      <c r="B67" s="214"/>
      <c r="C67" s="544">
        <v>44</v>
      </c>
      <c r="D67" s="596"/>
      <c r="E67" s="596"/>
      <c r="F67" s="597"/>
      <c r="G67" s="598"/>
      <c r="H67" s="597"/>
      <c r="I67" s="598"/>
      <c r="J67" s="597"/>
      <c r="K67" s="598"/>
      <c r="L67" s="598"/>
      <c r="M67" s="598"/>
      <c r="N67" s="597"/>
      <c r="O67" s="599"/>
      <c r="P67" s="597"/>
      <c r="Q67" s="599"/>
      <c r="R67" s="597"/>
      <c r="S67" s="599"/>
      <c r="T67" s="597"/>
      <c r="U67" s="599"/>
      <c r="V67" s="774"/>
      <c r="W67" s="774"/>
      <c r="X67" s="774"/>
      <c r="Y67" s="774"/>
      <c r="Z67" s="774"/>
      <c r="AA67" s="774"/>
      <c r="AB67" s="774"/>
      <c r="AC67" s="774"/>
      <c r="AD67" s="774"/>
      <c r="AE67" s="774"/>
      <c r="AF67" s="774"/>
      <c r="AG67" s="774"/>
      <c r="AH67" s="774"/>
      <c r="AI67" s="774"/>
      <c r="AJ67" s="774"/>
      <c r="AK67" s="774"/>
      <c r="AL67" s="774"/>
      <c r="AM67" s="774"/>
      <c r="AN67" s="774"/>
      <c r="AO67" s="774"/>
      <c r="AP67" s="774"/>
      <c r="AQ67" s="774"/>
      <c r="AR67" s="774"/>
      <c r="AS67" s="774"/>
      <c r="AT67" s="774"/>
      <c r="AU67" s="600"/>
      <c r="AV67" s="600"/>
      <c r="AW67" s="600"/>
      <c r="AX67" s="597"/>
      <c r="AY67" s="597"/>
      <c r="AZ67" s="214"/>
      <c r="BA67" s="490" t="str">
        <f t="shared" si="0"/>
        <v>SUM_CO2</v>
      </c>
      <c r="BB67" s="581" t="str">
        <f t="shared" si="1"/>
        <v>SUM_EnergyIN</v>
      </c>
      <c r="BC67" s="602"/>
      <c r="BD67" s="23"/>
    </row>
    <row r="68" spans="1:56" x14ac:dyDescent="0.2">
      <c r="A68" s="602"/>
      <c r="B68" s="214"/>
      <c r="C68" s="544">
        <v>45</v>
      </c>
      <c r="D68" s="596"/>
      <c r="E68" s="596"/>
      <c r="F68" s="597"/>
      <c r="G68" s="598"/>
      <c r="H68" s="597"/>
      <c r="I68" s="598"/>
      <c r="J68" s="597"/>
      <c r="K68" s="598"/>
      <c r="L68" s="598"/>
      <c r="M68" s="598"/>
      <c r="N68" s="597"/>
      <c r="O68" s="599"/>
      <c r="P68" s="597"/>
      <c r="Q68" s="599"/>
      <c r="R68" s="597"/>
      <c r="S68" s="599"/>
      <c r="T68" s="597"/>
      <c r="U68" s="599"/>
      <c r="V68" s="774"/>
      <c r="W68" s="774"/>
      <c r="X68" s="774"/>
      <c r="Y68" s="774"/>
      <c r="Z68" s="774"/>
      <c r="AA68" s="774"/>
      <c r="AB68" s="774"/>
      <c r="AC68" s="774"/>
      <c r="AD68" s="774"/>
      <c r="AE68" s="774"/>
      <c r="AF68" s="774"/>
      <c r="AG68" s="774"/>
      <c r="AH68" s="774"/>
      <c r="AI68" s="774"/>
      <c r="AJ68" s="774"/>
      <c r="AK68" s="774"/>
      <c r="AL68" s="774"/>
      <c r="AM68" s="774"/>
      <c r="AN68" s="774"/>
      <c r="AO68" s="774"/>
      <c r="AP68" s="774"/>
      <c r="AQ68" s="774"/>
      <c r="AR68" s="774"/>
      <c r="AS68" s="774"/>
      <c r="AT68" s="774"/>
      <c r="AU68" s="600"/>
      <c r="AV68" s="600"/>
      <c r="AW68" s="600"/>
      <c r="AX68" s="597"/>
      <c r="AY68" s="597"/>
      <c r="AZ68" s="214"/>
      <c r="BA68" s="490" t="str">
        <f t="shared" si="0"/>
        <v>SUM_CO2</v>
      </c>
      <c r="BB68" s="581" t="str">
        <f t="shared" si="1"/>
        <v>SUM_EnergyIN</v>
      </c>
      <c r="BC68" s="602"/>
      <c r="BD68" s="23"/>
    </row>
    <row r="69" spans="1:56" x14ac:dyDescent="0.2">
      <c r="A69" s="602"/>
      <c r="B69" s="214"/>
      <c r="C69" s="544">
        <v>46</v>
      </c>
      <c r="D69" s="596"/>
      <c r="E69" s="596"/>
      <c r="F69" s="597"/>
      <c r="G69" s="598"/>
      <c r="H69" s="597"/>
      <c r="I69" s="598"/>
      <c r="J69" s="597"/>
      <c r="K69" s="598"/>
      <c r="L69" s="598"/>
      <c r="M69" s="598"/>
      <c r="N69" s="597"/>
      <c r="O69" s="599"/>
      <c r="P69" s="597"/>
      <c r="Q69" s="599"/>
      <c r="R69" s="597"/>
      <c r="S69" s="599"/>
      <c r="T69" s="597"/>
      <c r="U69" s="599"/>
      <c r="V69" s="774"/>
      <c r="W69" s="774"/>
      <c r="X69" s="774"/>
      <c r="Y69" s="774"/>
      <c r="Z69" s="774"/>
      <c r="AA69" s="774"/>
      <c r="AB69" s="774"/>
      <c r="AC69" s="774"/>
      <c r="AD69" s="774"/>
      <c r="AE69" s="774"/>
      <c r="AF69" s="774"/>
      <c r="AG69" s="774"/>
      <c r="AH69" s="774"/>
      <c r="AI69" s="774"/>
      <c r="AJ69" s="774"/>
      <c r="AK69" s="774"/>
      <c r="AL69" s="774"/>
      <c r="AM69" s="774"/>
      <c r="AN69" s="774"/>
      <c r="AO69" s="774"/>
      <c r="AP69" s="774"/>
      <c r="AQ69" s="774"/>
      <c r="AR69" s="774"/>
      <c r="AS69" s="774"/>
      <c r="AT69" s="774"/>
      <c r="AU69" s="600"/>
      <c r="AV69" s="600"/>
      <c r="AW69" s="600"/>
      <c r="AX69" s="597"/>
      <c r="AY69" s="597"/>
      <c r="AZ69" s="214"/>
      <c r="BA69" s="490" t="str">
        <f t="shared" si="0"/>
        <v>SUM_CO2</v>
      </c>
      <c r="BB69" s="581" t="str">
        <f t="shared" si="1"/>
        <v>SUM_EnergyIN</v>
      </c>
      <c r="BC69" s="602"/>
      <c r="BD69" s="23"/>
    </row>
    <row r="70" spans="1:56" x14ac:dyDescent="0.2">
      <c r="A70" s="602"/>
      <c r="B70" s="214"/>
      <c r="C70" s="544">
        <v>47</v>
      </c>
      <c r="D70" s="596"/>
      <c r="E70" s="596"/>
      <c r="F70" s="597"/>
      <c r="G70" s="598"/>
      <c r="H70" s="597"/>
      <c r="I70" s="598"/>
      <c r="J70" s="597"/>
      <c r="K70" s="598"/>
      <c r="L70" s="598"/>
      <c r="M70" s="598"/>
      <c r="N70" s="597"/>
      <c r="O70" s="599"/>
      <c r="P70" s="597"/>
      <c r="Q70" s="599"/>
      <c r="R70" s="597"/>
      <c r="S70" s="599"/>
      <c r="T70" s="597"/>
      <c r="U70" s="599"/>
      <c r="V70" s="774"/>
      <c r="W70" s="774"/>
      <c r="X70" s="774"/>
      <c r="Y70" s="774"/>
      <c r="Z70" s="774"/>
      <c r="AA70" s="774"/>
      <c r="AB70" s="774"/>
      <c r="AC70" s="774"/>
      <c r="AD70" s="774"/>
      <c r="AE70" s="774"/>
      <c r="AF70" s="774"/>
      <c r="AG70" s="774"/>
      <c r="AH70" s="774"/>
      <c r="AI70" s="774"/>
      <c r="AJ70" s="774"/>
      <c r="AK70" s="774"/>
      <c r="AL70" s="774"/>
      <c r="AM70" s="774"/>
      <c r="AN70" s="774"/>
      <c r="AO70" s="774"/>
      <c r="AP70" s="774"/>
      <c r="AQ70" s="774"/>
      <c r="AR70" s="774"/>
      <c r="AS70" s="774"/>
      <c r="AT70" s="774"/>
      <c r="AU70" s="600"/>
      <c r="AV70" s="600"/>
      <c r="AW70" s="600"/>
      <c r="AX70" s="597"/>
      <c r="AY70" s="597"/>
      <c r="AZ70" s="214"/>
      <c r="BA70" s="490" t="str">
        <f t="shared" si="0"/>
        <v>SUM_CO2</v>
      </c>
      <c r="BB70" s="581" t="str">
        <f t="shared" si="1"/>
        <v>SUM_EnergyIN</v>
      </c>
      <c r="BC70" s="602"/>
      <c r="BD70" s="23"/>
    </row>
    <row r="71" spans="1:56" x14ac:dyDescent="0.2">
      <c r="A71" s="602"/>
      <c r="B71" s="214"/>
      <c r="C71" s="544">
        <v>48</v>
      </c>
      <c r="D71" s="596"/>
      <c r="E71" s="596"/>
      <c r="F71" s="597"/>
      <c r="G71" s="598"/>
      <c r="H71" s="597"/>
      <c r="I71" s="598"/>
      <c r="J71" s="597"/>
      <c r="K71" s="598"/>
      <c r="L71" s="598"/>
      <c r="M71" s="598"/>
      <c r="N71" s="597"/>
      <c r="O71" s="599"/>
      <c r="P71" s="597"/>
      <c r="Q71" s="599"/>
      <c r="R71" s="597"/>
      <c r="S71" s="599"/>
      <c r="T71" s="597"/>
      <c r="U71" s="599"/>
      <c r="V71" s="774"/>
      <c r="W71" s="774"/>
      <c r="X71" s="774"/>
      <c r="Y71" s="774"/>
      <c r="Z71" s="774"/>
      <c r="AA71" s="774"/>
      <c r="AB71" s="774"/>
      <c r="AC71" s="774"/>
      <c r="AD71" s="774"/>
      <c r="AE71" s="774"/>
      <c r="AF71" s="774"/>
      <c r="AG71" s="774"/>
      <c r="AH71" s="774"/>
      <c r="AI71" s="774"/>
      <c r="AJ71" s="774"/>
      <c r="AK71" s="774"/>
      <c r="AL71" s="774"/>
      <c r="AM71" s="774"/>
      <c r="AN71" s="774"/>
      <c r="AO71" s="774"/>
      <c r="AP71" s="774"/>
      <c r="AQ71" s="774"/>
      <c r="AR71" s="774"/>
      <c r="AS71" s="774"/>
      <c r="AT71" s="774"/>
      <c r="AU71" s="600"/>
      <c r="AV71" s="600"/>
      <c r="AW71" s="600"/>
      <c r="AX71" s="597"/>
      <c r="AY71" s="597"/>
      <c r="AZ71" s="214"/>
      <c r="BA71" s="490" t="str">
        <f t="shared" si="0"/>
        <v>SUM_CO2</v>
      </c>
      <c r="BB71" s="581" t="str">
        <f t="shared" si="1"/>
        <v>SUM_EnergyIN</v>
      </c>
      <c r="BC71" s="602"/>
      <c r="BD71" s="23"/>
    </row>
    <row r="72" spans="1:56" x14ac:dyDescent="0.2">
      <c r="A72" s="602"/>
      <c r="B72" s="214"/>
      <c r="C72" s="544">
        <v>49</v>
      </c>
      <c r="D72" s="596"/>
      <c r="E72" s="596"/>
      <c r="F72" s="597"/>
      <c r="G72" s="598"/>
      <c r="H72" s="597"/>
      <c r="I72" s="598"/>
      <c r="J72" s="597"/>
      <c r="K72" s="598"/>
      <c r="L72" s="598"/>
      <c r="M72" s="598"/>
      <c r="N72" s="597"/>
      <c r="O72" s="599"/>
      <c r="P72" s="597"/>
      <c r="Q72" s="599"/>
      <c r="R72" s="597"/>
      <c r="S72" s="599"/>
      <c r="T72" s="597"/>
      <c r="U72" s="599"/>
      <c r="V72" s="774"/>
      <c r="W72" s="774"/>
      <c r="X72" s="774"/>
      <c r="Y72" s="774"/>
      <c r="Z72" s="774"/>
      <c r="AA72" s="774"/>
      <c r="AB72" s="774"/>
      <c r="AC72" s="774"/>
      <c r="AD72" s="774"/>
      <c r="AE72" s="774"/>
      <c r="AF72" s="774"/>
      <c r="AG72" s="774"/>
      <c r="AH72" s="774"/>
      <c r="AI72" s="774"/>
      <c r="AJ72" s="774"/>
      <c r="AK72" s="774"/>
      <c r="AL72" s="774"/>
      <c r="AM72" s="774"/>
      <c r="AN72" s="774"/>
      <c r="AO72" s="774"/>
      <c r="AP72" s="774"/>
      <c r="AQ72" s="774"/>
      <c r="AR72" s="774"/>
      <c r="AS72" s="774"/>
      <c r="AT72" s="774"/>
      <c r="AU72" s="600"/>
      <c r="AV72" s="600"/>
      <c r="AW72" s="600"/>
      <c r="AX72" s="597"/>
      <c r="AY72" s="597"/>
      <c r="AZ72" s="214"/>
      <c r="BA72" s="490" t="str">
        <f t="shared" si="0"/>
        <v>SUM_CO2</v>
      </c>
      <c r="BB72" s="581" t="str">
        <f t="shared" si="1"/>
        <v>SUM_EnergyIN</v>
      </c>
      <c r="BC72" s="602"/>
      <c r="BD72" s="23"/>
    </row>
    <row r="73" spans="1:56" x14ac:dyDescent="0.2">
      <c r="A73" s="602"/>
      <c r="B73" s="214"/>
      <c r="C73" s="544">
        <v>50</v>
      </c>
      <c r="D73" s="596"/>
      <c r="E73" s="596"/>
      <c r="F73" s="597"/>
      <c r="G73" s="598"/>
      <c r="H73" s="597"/>
      <c r="I73" s="598"/>
      <c r="J73" s="597"/>
      <c r="K73" s="598"/>
      <c r="L73" s="598"/>
      <c r="M73" s="598"/>
      <c r="N73" s="597"/>
      <c r="O73" s="599"/>
      <c r="P73" s="597"/>
      <c r="Q73" s="599"/>
      <c r="R73" s="597"/>
      <c r="S73" s="599"/>
      <c r="T73" s="597"/>
      <c r="U73" s="599"/>
      <c r="V73" s="774"/>
      <c r="W73" s="774"/>
      <c r="X73" s="774"/>
      <c r="Y73" s="774"/>
      <c r="Z73" s="774"/>
      <c r="AA73" s="774"/>
      <c r="AB73" s="774"/>
      <c r="AC73" s="774"/>
      <c r="AD73" s="774"/>
      <c r="AE73" s="774"/>
      <c r="AF73" s="774"/>
      <c r="AG73" s="774"/>
      <c r="AH73" s="774"/>
      <c r="AI73" s="774"/>
      <c r="AJ73" s="774"/>
      <c r="AK73" s="774"/>
      <c r="AL73" s="774"/>
      <c r="AM73" s="774"/>
      <c r="AN73" s="774"/>
      <c r="AO73" s="774"/>
      <c r="AP73" s="774"/>
      <c r="AQ73" s="774"/>
      <c r="AR73" s="774"/>
      <c r="AS73" s="774"/>
      <c r="AT73" s="774"/>
      <c r="AU73" s="600"/>
      <c r="AV73" s="600"/>
      <c r="AW73" s="600"/>
      <c r="AX73" s="597"/>
      <c r="AY73" s="597"/>
      <c r="AZ73" s="214"/>
      <c r="BA73" s="490" t="str">
        <f t="shared" si="0"/>
        <v>SUM_CO2</v>
      </c>
      <c r="BB73" s="581" t="str">
        <f t="shared" si="1"/>
        <v>SUM_EnergyIN</v>
      </c>
      <c r="BC73" s="602"/>
      <c r="BD73" s="23"/>
    </row>
    <row r="74" spans="1:56" x14ac:dyDescent="0.2">
      <c r="A74" s="602"/>
      <c r="B74" s="214"/>
      <c r="C74" s="544">
        <v>51</v>
      </c>
      <c r="D74" s="596"/>
      <c r="E74" s="596"/>
      <c r="F74" s="597"/>
      <c r="G74" s="598"/>
      <c r="H74" s="597"/>
      <c r="I74" s="598"/>
      <c r="J74" s="597"/>
      <c r="K74" s="598"/>
      <c r="L74" s="598"/>
      <c r="M74" s="598"/>
      <c r="N74" s="597"/>
      <c r="O74" s="599"/>
      <c r="P74" s="597"/>
      <c r="Q74" s="599"/>
      <c r="R74" s="597"/>
      <c r="S74" s="599"/>
      <c r="T74" s="597"/>
      <c r="U74" s="599"/>
      <c r="V74" s="774"/>
      <c r="W74" s="774"/>
      <c r="X74" s="774"/>
      <c r="Y74" s="774"/>
      <c r="Z74" s="774"/>
      <c r="AA74" s="774"/>
      <c r="AB74" s="774"/>
      <c r="AC74" s="774"/>
      <c r="AD74" s="774"/>
      <c r="AE74" s="774"/>
      <c r="AF74" s="774"/>
      <c r="AG74" s="774"/>
      <c r="AH74" s="774"/>
      <c r="AI74" s="774"/>
      <c r="AJ74" s="774"/>
      <c r="AK74" s="774"/>
      <c r="AL74" s="774"/>
      <c r="AM74" s="774"/>
      <c r="AN74" s="774"/>
      <c r="AO74" s="774"/>
      <c r="AP74" s="774"/>
      <c r="AQ74" s="774"/>
      <c r="AR74" s="774"/>
      <c r="AS74" s="774"/>
      <c r="AT74" s="774"/>
      <c r="AU74" s="600"/>
      <c r="AV74" s="600"/>
      <c r="AW74" s="600"/>
      <c r="AX74" s="597"/>
      <c r="AY74" s="597"/>
      <c r="AZ74" s="214"/>
      <c r="BA74" s="490" t="str">
        <f t="shared" si="0"/>
        <v>SUM_CO2</v>
      </c>
      <c r="BB74" s="581" t="str">
        <f t="shared" si="1"/>
        <v>SUM_EnergyIN</v>
      </c>
      <c r="BC74" s="602"/>
      <c r="BD74" s="23"/>
    </row>
    <row r="75" spans="1:56" x14ac:dyDescent="0.2">
      <c r="A75" s="602"/>
      <c r="B75" s="214"/>
      <c r="C75" s="544">
        <v>52</v>
      </c>
      <c r="D75" s="596"/>
      <c r="E75" s="596"/>
      <c r="F75" s="597"/>
      <c r="G75" s="598"/>
      <c r="H75" s="597"/>
      <c r="I75" s="598"/>
      <c r="J75" s="597"/>
      <c r="K75" s="598"/>
      <c r="L75" s="598"/>
      <c r="M75" s="598"/>
      <c r="N75" s="597"/>
      <c r="O75" s="599"/>
      <c r="P75" s="597"/>
      <c r="Q75" s="599"/>
      <c r="R75" s="597"/>
      <c r="S75" s="599"/>
      <c r="T75" s="597"/>
      <c r="U75" s="599"/>
      <c r="V75" s="774"/>
      <c r="W75" s="774"/>
      <c r="X75" s="774"/>
      <c r="Y75" s="774"/>
      <c r="Z75" s="774"/>
      <c r="AA75" s="774"/>
      <c r="AB75" s="774"/>
      <c r="AC75" s="774"/>
      <c r="AD75" s="774"/>
      <c r="AE75" s="774"/>
      <c r="AF75" s="774"/>
      <c r="AG75" s="774"/>
      <c r="AH75" s="774"/>
      <c r="AI75" s="774"/>
      <c r="AJ75" s="774"/>
      <c r="AK75" s="774"/>
      <c r="AL75" s="774"/>
      <c r="AM75" s="774"/>
      <c r="AN75" s="774"/>
      <c r="AO75" s="774"/>
      <c r="AP75" s="774"/>
      <c r="AQ75" s="774"/>
      <c r="AR75" s="774"/>
      <c r="AS75" s="774"/>
      <c r="AT75" s="774"/>
      <c r="AU75" s="600"/>
      <c r="AV75" s="600"/>
      <c r="AW75" s="600"/>
      <c r="AX75" s="597"/>
      <c r="AY75" s="597"/>
      <c r="AZ75" s="214"/>
      <c r="BA75" s="490" t="str">
        <f t="shared" si="0"/>
        <v>SUM_CO2</v>
      </c>
      <c r="BB75" s="581" t="str">
        <f t="shared" si="1"/>
        <v>SUM_EnergyIN</v>
      </c>
      <c r="BC75" s="602"/>
      <c r="BD75" s="23"/>
    </row>
    <row r="76" spans="1:56" x14ac:dyDescent="0.2">
      <c r="A76" s="602"/>
      <c r="B76" s="214"/>
      <c r="C76" s="544">
        <v>53</v>
      </c>
      <c r="D76" s="596"/>
      <c r="E76" s="596"/>
      <c r="F76" s="597"/>
      <c r="G76" s="598"/>
      <c r="H76" s="597"/>
      <c r="I76" s="598"/>
      <c r="J76" s="597"/>
      <c r="K76" s="598"/>
      <c r="L76" s="598"/>
      <c r="M76" s="598"/>
      <c r="N76" s="597"/>
      <c r="O76" s="599"/>
      <c r="P76" s="597"/>
      <c r="Q76" s="599"/>
      <c r="R76" s="597"/>
      <c r="S76" s="599"/>
      <c r="T76" s="597"/>
      <c r="U76" s="599"/>
      <c r="V76" s="774"/>
      <c r="W76" s="774"/>
      <c r="X76" s="774"/>
      <c r="Y76" s="774"/>
      <c r="Z76" s="774"/>
      <c r="AA76" s="774"/>
      <c r="AB76" s="774"/>
      <c r="AC76" s="774"/>
      <c r="AD76" s="774"/>
      <c r="AE76" s="774"/>
      <c r="AF76" s="774"/>
      <c r="AG76" s="774"/>
      <c r="AH76" s="774"/>
      <c r="AI76" s="774"/>
      <c r="AJ76" s="774"/>
      <c r="AK76" s="774"/>
      <c r="AL76" s="774"/>
      <c r="AM76" s="774"/>
      <c r="AN76" s="774"/>
      <c r="AO76" s="774"/>
      <c r="AP76" s="774"/>
      <c r="AQ76" s="774"/>
      <c r="AR76" s="774"/>
      <c r="AS76" s="774"/>
      <c r="AT76" s="774"/>
      <c r="AU76" s="600"/>
      <c r="AV76" s="600"/>
      <c r="AW76" s="600"/>
      <c r="AX76" s="597"/>
      <c r="AY76" s="597"/>
      <c r="AZ76" s="214"/>
      <c r="BA76" s="490" t="str">
        <f t="shared" si="0"/>
        <v>SUM_CO2</v>
      </c>
      <c r="BB76" s="581" t="str">
        <f t="shared" si="1"/>
        <v>SUM_EnergyIN</v>
      </c>
      <c r="BC76" s="602"/>
      <c r="BD76" s="23"/>
    </row>
    <row r="77" spans="1:56" x14ac:dyDescent="0.2">
      <c r="A77" s="602"/>
      <c r="B77" s="214"/>
      <c r="C77" s="544">
        <v>54</v>
      </c>
      <c r="D77" s="596"/>
      <c r="E77" s="596"/>
      <c r="F77" s="597"/>
      <c r="G77" s="598"/>
      <c r="H77" s="597"/>
      <c r="I77" s="598"/>
      <c r="J77" s="597"/>
      <c r="K77" s="598"/>
      <c r="L77" s="598"/>
      <c r="M77" s="598"/>
      <c r="N77" s="597"/>
      <c r="O77" s="599"/>
      <c r="P77" s="597"/>
      <c r="Q77" s="599"/>
      <c r="R77" s="597"/>
      <c r="S77" s="599"/>
      <c r="T77" s="597"/>
      <c r="U77" s="599"/>
      <c r="V77" s="774"/>
      <c r="W77" s="774"/>
      <c r="X77" s="774"/>
      <c r="Y77" s="774"/>
      <c r="Z77" s="774"/>
      <c r="AA77" s="774"/>
      <c r="AB77" s="774"/>
      <c r="AC77" s="774"/>
      <c r="AD77" s="774"/>
      <c r="AE77" s="774"/>
      <c r="AF77" s="774"/>
      <c r="AG77" s="774"/>
      <c r="AH77" s="774"/>
      <c r="AI77" s="774"/>
      <c r="AJ77" s="774"/>
      <c r="AK77" s="774"/>
      <c r="AL77" s="774"/>
      <c r="AM77" s="774"/>
      <c r="AN77" s="774"/>
      <c r="AO77" s="774"/>
      <c r="AP77" s="774"/>
      <c r="AQ77" s="774"/>
      <c r="AR77" s="774"/>
      <c r="AS77" s="774"/>
      <c r="AT77" s="774"/>
      <c r="AU77" s="600"/>
      <c r="AV77" s="600"/>
      <c r="AW77" s="600"/>
      <c r="AX77" s="597"/>
      <c r="AY77" s="597"/>
      <c r="AZ77" s="214"/>
      <c r="BA77" s="490" t="str">
        <f t="shared" si="0"/>
        <v>SUM_CO2</v>
      </c>
      <c r="BB77" s="581" t="str">
        <f t="shared" si="1"/>
        <v>SUM_EnergyIN</v>
      </c>
      <c r="BC77" s="602"/>
      <c r="BD77" s="23"/>
    </row>
    <row r="78" spans="1:56" x14ac:dyDescent="0.2">
      <c r="A78" s="602"/>
      <c r="B78" s="214"/>
      <c r="C78" s="544">
        <v>55</v>
      </c>
      <c r="D78" s="596"/>
      <c r="E78" s="596"/>
      <c r="F78" s="597"/>
      <c r="G78" s="598"/>
      <c r="H78" s="597"/>
      <c r="I78" s="598"/>
      <c r="J78" s="597"/>
      <c r="K78" s="598"/>
      <c r="L78" s="598"/>
      <c r="M78" s="598"/>
      <c r="N78" s="597"/>
      <c r="O78" s="599"/>
      <c r="P78" s="597"/>
      <c r="Q78" s="599"/>
      <c r="R78" s="597"/>
      <c r="S78" s="599"/>
      <c r="T78" s="597"/>
      <c r="U78" s="599"/>
      <c r="V78" s="774"/>
      <c r="W78" s="774"/>
      <c r="X78" s="774"/>
      <c r="Y78" s="774"/>
      <c r="Z78" s="774"/>
      <c r="AA78" s="774"/>
      <c r="AB78" s="774"/>
      <c r="AC78" s="774"/>
      <c r="AD78" s="774"/>
      <c r="AE78" s="774"/>
      <c r="AF78" s="774"/>
      <c r="AG78" s="774"/>
      <c r="AH78" s="774"/>
      <c r="AI78" s="774"/>
      <c r="AJ78" s="774"/>
      <c r="AK78" s="774"/>
      <c r="AL78" s="774"/>
      <c r="AM78" s="774"/>
      <c r="AN78" s="774"/>
      <c r="AO78" s="774"/>
      <c r="AP78" s="774"/>
      <c r="AQ78" s="774"/>
      <c r="AR78" s="774"/>
      <c r="AS78" s="774"/>
      <c r="AT78" s="774"/>
      <c r="AU78" s="600"/>
      <c r="AV78" s="600"/>
      <c r="AW78" s="600"/>
      <c r="AX78" s="597"/>
      <c r="AY78" s="597"/>
      <c r="AZ78" s="214"/>
      <c r="BA78" s="490" t="str">
        <f t="shared" si="0"/>
        <v>SUM_CO2</v>
      </c>
      <c r="BB78" s="581" t="str">
        <f t="shared" si="1"/>
        <v>SUM_EnergyIN</v>
      </c>
      <c r="BC78" s="602"/>
      <c r="BD78" s="23"/>
    </row>
    <row r="79" spans="1:56" x14ac:dyDescent="0.2">
      <c r="A79" s="602"/>
      <c r="B79" s="214"/>
      <c r="C79" s="544">
        <v>56</v>
      </c>
      <c r="D79" s="596"/>
      <c r="E79" s="596"/>
      <c r="F79" s="597"/>
      <c r="G79" s="598"/>
      <c r="H79" s="597"/>
      <c r="I79" s="598"/>
      <c r="J79" s="597"/>
      <c r="K79" s="598"/>
      <c r="L79" s="598"/>
      <c r="M79" s="598"/>
      <c r="N79" s="597"/>
      <c r="O79" s="599"/>
      <c r="P79" s="597"/>
      <c r="Q79" s="599"/>
      <c r="R79" s="597"/>
      <c r="S79" s="599"/>
      <c r="T79" s="597"/>
      <c r="U79" s="599"/>
      <c r="V79" s="774"/>
      <c r="W79" s="774"/>
      <c r="X79" s="774"/>
      <c r="Y79" s="774"/>
      <c r="Z79" s="774"/>
      <c r="AA79" s="774"/>
      <c r="AB79" s="774"/>
      <c r="AC79" s="774"/>
      <c r="AD79" s="774"/>
      <c r="AE79" s="774"/>
      <c r="AF79" s="774"/>
      <c r="AG79" s="774"/>
      <c r="AH79" s="774"/>
      <c r="AI79" s="774"/>
      <c r="AJ79" s="774"/>
      <c r="AK79" s="774"/>
      <c r="AL79" s="774"/>
      <c r="AM79" s="774"/>
      <c r="AN79" s="774"/>
      <c r="AO79" s="774"/>
      <c r="AP79" s="774"/>
      <c r="AQ79" s="774"/>
      <c r="AR79" s="774"/>
      <c r="AS79" s="774"/>
      <c r="AT79" s="774"/>
      <c r="AU79" s="600"/>
      <c r="AV79" s="600"/>
      <c r="AW79" s="600"/>
      <c r="AX79" s="597"/>
      <c r="AY79" s="597"/>
      <c r="AZ79" s="214"/>
      <c r="BA79" s="490" t="str">
        <f t="shared" si="0"/>
        <v>SUM_CO2</v>
      </c>
      <c r="BB79" s="581" t="str">
        <f t="shared" si="1"/>
        <v>SUM_EnergyIN</v>
      </c>
      <c r="BC79" s="602"/>
      <c r="BD79" s="23"/>
    </row>
    <row r="80" spans="1:56" x14ac:dyDescent="0.2">
      <c r="A80" s="602"/>
      <c r="B80" s="214"/>
      <c r="C80" s="544">
        <v>57</v>
      </c>
      <c r="D80" s="596"/>
      <c r="E80" s="596"/>
      <c r="F80" s="597"/>
      <c r="G80" s="598"/>
      <c r="H80" s="597"/>
      <c r="I80" s="598"/>
      <c r="J80" s="597"/>
      <c r="K80" s="598"/>
      <c r="L80" s="598"/>
      <c r="M80" s="598"/>
      <c r="N80" s="597"/>
      <c r="O80" s="599"/>
      <c r="P80" s="597"/>
      <c r="Q80" s="599"/>
      <c r="R80" s="597"/>
      <c r="S80" s="599"/>
      <c r="T80" s="597"/>
      <c r="U80" s="599"/>
      <c r="V80" s="774"/>
      <c r="W80" s="774"/>
      <c r="X80" s="774"/>
      <c r="Y80" s="774"/>
      <c r="Z80" s="774"/>
      <c r="AA80" s="774"/>
      <c r="AB80" s="774"/>
      <c r="AC80" s="774"/>
      <c r="AD80" s="774"/>
      <c r="AE80" s="774"/>
      <c r="AF80" s="774"/>
      <c r="AG80" s="774"/>
      <c r="AH80" s="774"/>
      <c r="AI80" s="774"/>
      <c r="AJ80" s="774"/>
      <c r="AK80" s="774"/>
      <c r="AL80" s="774"/>
      <c r="AM80" s="774"/>
      <c r="AN80" s="774"/>
      <c r="AO80" s="774"/>
      <c r="AP80" s="774"/>
      <c r="AQ80" s="774"/>
      <c r="AR80" s="774"/>
      <c r="AS80" s="774"/>
      <c r="AT80" s="774"/>
      <c r="AU80" s="600"/>
      <c r="AV80" s="600"/>
      <c r="AW80" s="600"/>
      <c r="AX80" s="597"/>
      <c r="AY80" s="597"/>
      <c r="AZ80" s="214"/>
      <c r="BA80" s="490" t="str">
        <f t="shared" si="0"/>
        <v>SUM_CO2</v>
      </c>
      <c r="BB80" s="581" t="str">
        <f t="shared" si="1"/>
        <v>SUM_EnergyIN</v>
      </c>
      <c r="BC80" s="602"/>
      <c r="BD80" s="23"/>
    </row>
    <row r="81" spans="1:56" x14ac:dyDescent="0.2">
      <c r="A81" s="602"/>
      <c r="B81" s="214"/>
      <c r="C81" s="544">
        <v>58</v>
      </c>
      <c r="D81" s="596"/>
      <c r="E81" s="596"/>
      <c r="F81" s="597"/>
      <c r="G81" s="598"/>
      <c r="H81" s="597"/>
      <c r="I81" s="598"/>
      <c r="J81" s="597"/>
      <c r="K81" s="598"/>
      <c r="L81" s="598"/>
      <c r="M81" s="598"/>
      <c r="N81" s="597"/>
      <c r="O81" s="599"/>
      <c r="P81" s="597"/>
      <c r="Q81" s="599"/>
      <c r="R81" s="597"/>
      <c r="S81" s="599"/>
      <c r="T81" s="597"/>
      <c r="U81" s="599"/>
      <c r="V81" s="774"/>
      <c r="W81" s="774"/>
      <c r="X81" s="774"/>
      <c r="Y81" s="774"/>
      <c r="Z81" s="774"/>
      <c r="AA81" s="774"/>
      <c r="AB81" s="774"/>
      <c r="AC81" s="774"/>
      <c r="AD81" s="774"/>
      <c r="AE81" s="774"/>
      <c r="AF81" s="774"/>
      <c r="AG81" s="774"/>
      <c r="AH81" s="774"/>
      <c r="AI81" s="774"/>
      <c r="AJ81" s="774"/>
      <c r="AK81" s="774"/>
      <c r="AL81" s="774"/>
      <c r="AM81" s="774"/>
      <c r="AN81" s="774"/>
      <c r="AO81" s="774"/>
      <c r="AP81" s="774"/>
      <c r="AQ81" s="774"/>
      <c r="AR81" s="774"/>
      <c r="AS81" s="774"/>
      <c r="AT81" s="774"/>
      <c r="AU81" s="600"/>
      <c r="AV81" s="600"/>
      <c r="AW81" s="600"/>
      <c r="AX81" s="597"/>
      <c r="AY81" s="597"/>
      <c r="AZ81" s="214"/>
      <c r="BA81" s="490" t="str">
        <f t="shared" si="0"/>
        <v>SUM_CO2</v>
      </c>
      <c r="BB81" s="581" t="str">
        <f t="shared" si="1"/>
        <v>SUM_EnergyIN</v>
      </c>
      <c r="BC81" s="602"/>
      <c r="BD81" s="23"/>
    </row>
    <row r="82" spans="1:56" x14ac:dyDescent="0.2">
      <c r="A82" s="602"/>
      <c r="B82" s="214"/>
      <c r="C82" s="544">
        <v>59</v>
      </c>
      <c r="D82" s="596"/>
      <c r="E82" s="596"/>
      <c r="F82" s="597"/>
      <c r="G82" s="598"/>
      <c r="H82" s="597"/>
      <c r="I82" s="598"/>
      <c r="J82" s="597"/>
      <c r="K82" s="598"/>
      <c r="L82" s="598"/>
      <c r="M82" s="598"/>
      <c r="N82" s="597"/>
      <c r="O82" s="599"/>
      <c r="P82" s="597"/>
      <c r="Q82" s="599"/>
      <c r="R82" s="597"/>
      <c r="S82" s="599"/>
      <c r="T82" s="597"/>
      <c r="U82" s="599"/>
      <c r="V82" s="774"/>
      <c r="W82" s="774"/>
      <c r="X82" s="774"/>
      <c r="Y82" s="774"/>
      <c r="Z82" s="774"/>
      <c r="AA82" s="774"/>
      <c r="AB82" s="774"/>
      <c r="AC82" s="774"/>
      <c r="AD82" s="774"/>
      <c r="AE82" s="774"/>
      <c r="AF82" s="774"/>
      <c r="AG82" s="774"/>
      <c r="AH82" s="774"/>
      <c r="AI82" s="774"/>
      <c r="AJ82" s="774"/>
      <c r="AK82" s="774"/>
      <c r="AL82" s="774"/>
      <c r="AM82" s="774"/>
      <c r="AN82" s="774"/>
      <c r="AO82" s="774"/>
      <c r="AP82" s="774"/>
      <c r="AQ82" s="774"/>
      <c r="AR82" s="774"/>
      <c r="AS82" s="774"/>
      <c r="AT82" s="774"/>
      <c r="AU82" s="600"/>
      <c r="AV82" s="600"/>
      <c r="AW82" s="600"/>
      <c r="AX82" s="597"/>
      <c r="AY82" s="597"/>
      <c r="AZ82" s="214"/>
      <c r="BA82" s="490" t="str">
        <f t="shared" si="0"/>
        <v>SUM_CO2</v>
      </c>
      <c r="BB82" s="581" t="str">
        <f t="shared" si="1"/>
        <v>SUM_EnergyIN</v>
      </c>
      <c r="BC82" s="602"/>
      <c r="BD82" s="23"/>
    </row>
    <row r="83" spans="1:56" x14ac:dyDescent="0.2">
      <c r="A83" s="602"/>
      <c r="B83" s="214"/>
      <c r="C83" s="544">
        <v>60</v>
      </c>
      <c r="D83" s="596"/>
      <c r="E83" s="596"/>
      <c r="F83" s="597"/>
      <c r="G83" s="598"/>
      <c r="H83" s="597"/>
      <c r="I83" s="598"/>
      <c r="J83" s="597"/>
      <c r="K83" s="598"/>
      <c r="L83" s="598"/>
      <c r="M83" s="598"/>
      <c r="N83" s="597"/>
      <c r="O83" s="599"/>
      <c r="P83" s="597"/>
      <c r="Q83" s="599"/>
      <c r="R83" s="597"/>
      <c r="S83" s="599"/>
      <c r="T83" s="597"/>
      <c r="U83" s="599"/>
      <c r="V83" s="774"/>
      <c r="W83" s="774"/>
      <c r="X83" s="774"/>
      <c r="Y83" s="774"/>
      <c r="Z83" s="774"/>
      <c r="AA83" s="774"/>
      <c r="AB83" s="774"/>
      <c r="AC83" s="774"/>
      <c r="AD83" s="774"/>
      <c r="AE83" s="774"/>
      <c r="AF83" s="774"/>
      <c r="AG83" s="774"/>
      <c r="AH83" s="774"/>
      <c r="AI83" s="774"/>
      <c r="AJ83" s="774"/>
      <c r="AK83" s="774"/>
      <c r="AL83" s="774"/>
      <c r="AM83" s="774"/>
      <c r="AN83" s="774"/>
      <c r="AO83" s="774"/>
      <c r="AP83" s="774"/>
      <c r="AQ83" s="774"/>
      <c r="AR83" s="774"/>
      <c r="AS83" s="774"/>
      <c r="AT83" s="774"/>
      <c r="AU83" s="600"/>
      <c r="AV83" s="600"/>
      <c r="AW83" s="600"/>
      <c r="AX83" s="597"/>
      <c r="AY83" s="597"/>
      <c r="AZ83" s="214"/>
      <c r="BA83" s="490" t="str">
        <f t="shared" si="0"/>
        <v>SUM_CO2</v>
      </c>
      <c r="BB83" s="581" t="str">
        <f t="shared" si="1"/>
        <v>SUM_EnergyIN</v>
      </c>
      <c r="BC83" s="602"/>
      <c r="BD83" s="23"/>
    </row>
    <row r="84" spans="1:56" x14ac:dyDescent="0.2">
      <c r="A84" s="602"/>
      <c r="B84" s="214"/>
      <c r="C84" s="544">
        <v>61</v>
      </c>
      <c r="D84" s="596"/>
      <c r="E84" s="596"/>
      <c r="F84" s="597"/>
      <c r="G84" s="598"/>
      <c r="H84" s="597"/>
      <c r="I84" s="598"/>
      <c r="J84" s="597"/>
      <c r="K84" s="598"/>
      <c r="L84" s="598"/>
      <c r="M84" s="598"/>
      <c r="N84" s="597"/>
      <c r="O84" s="599"/>
      <c r="P84" s="597"/>
      <c r="Q84" s="599"/>
      <c r="R84" s="597"/>
      <c r="S84" s="599"/>
      <c r="T84" s="597"/>
      <c r="U84" s="599"/>
      <c r="V84" s="774"/>
      <c r="W84" s="774"/>
      <c r="X84" s="774"/>
      <c r="Y84" s="774"/>
      <c r="Z84" s="774"/>
      <c r="AA84" s="774"/>
      <c r="AB84" s="774"/>
      <c r="AC84" s="774"/>
      <c r="AD84" s="774"/>
      <c r="AE84" s="774"/>
      <c r="AF84" s="774"/>
      <c r="AG84" s="774"/>
      <c r="AH84" s="774"/>
      <c r="AI84" s="774"/>
      <c r="AJ84" s="774"/>
      <c r="AK84" s="774"/>
      <c r="AL84" s="774"/>
      <c r="AM84" s="774"/>
      <c r="AN84" s="774"/>
      <c r="AO84" s="774"/>
      <c r="AP84" s="774"/>
      <c r="AQ84" s="774"/>
      <c r="AR84" s="774"/>
      <c r="AS84" s="774"/>
      <c r="AT84" s="774"/>
      <c r="AU84" s="600"/>
      <c r="AV84" s="600"/>
      <c r="AW84" s="600"/>
      <c r="AX84" s="597"/>
      <c r="AY84" s="597"/>
      <c r="AZ84" s="214"/>
      <c r="BA84" s="490" t="str">
        <f t="shared" si="0"/>
        <v>SUM_CO2</v>
      </c>
      <c r="BB84" s="581" t="str">
        <f t="shared" si="1"/>
        <v>SUM_EnergyIN</v>
      </c>
      <c r="BC84" s="602"/>
      <c r="BD84" s="23"/>
    </row>
    <row r="85" spans="1:56" x14ac:dyDescent="0.2">
      <c r="A85" s="602"/>
      <c r="B85" s="214"/>
      <c r="C85" s="544">
        <v>62</v>
      </c>
      <c r="D85" s="596"/>
      <c r="E85" s="596"/>
      <c r="F85" s="597"/>
      <c r="G85" s="598"/>
      <c r="H85" s="597"/>
      <c r="I85" s="598"/>
      <c r="J85" s="597"/>
      <c r="K85" s="598"/>
      <c r="L85" s="598"/>
      <c r="M85" s="598"/>
      <c r="N85" s="597"/>
      <c r="O85" s="599"/>
      <c r="P85" s="597"/>
      <c r="Q85" s="599"/>
      <c r="R85" s="597"/>
      <c r="S85" s="599"/>
      <c r="T85" s="597"/>
      <c r="U85" s="599"/>
      <c r="V85" s="774"/>
      <c r="W85" s="774"/>
      <c r="X85" s="774"/>
      <c r="Y85" s="774"/>
      <c r="Z85" s="774"/>
      <c r="AA85" s="774"/>
      <c r="AB85" s="774"/>
      <c r="AC85" s="774"/>
      <c r="AD85" s="774"/>
      <c r="AE85" s="774"/>
      <c r="AF85" s="774"/>
      <c r="AG85" s="774"/>
      <c r="AH85" s="774"/>
      <c r="AI85" s="774"/>
      <c r="AJ85" s="774"/>
      <c r="AK85" s="774"/>
      <c r="AL85" s="774"/>
      <c r="AM85" s="774"/>
      <c r="AN85" s="774"/>
      <c r="AO85" s="774"/>
      <c r="AP85" s="774"/>
      <c r="AQ85" s="774"/>
      <c r="AR85" s="774"/>
      <c r="AS85" s="774"/>
      <c r="AT85" s="774"/>
      <c r="AU85" s="600"/>
      <c r="AV85" s="600"/>
      <c r="AW85" s="600"/>
      <c r="AX85" s="597"/>
      <c r="AY85" s="597"/>
      <c r="AZ85" s="214"/>
      <c r="BA85" s="490" t="str">
        <f t="shared" si="0"/>
        <v>SUM_CO2</v>
      </c>
      <c r="BB85" s="581" t="str">
        <f t="shared" si="1"/>
        <v>SUM_EnergyIN</v>
      </c>
      <c r="BC85" s="602"/>
      <c r="BD85" s="23"/>
    </row>
    <row r="86" spans="1:56" x14ac:dyDescent="0.2">
      <c r="A86" s="602"/>
      <c r="B86" s="214"/>
      <c r="C86" s="544">
        <v>63</v>
      </c>
      <c r="D86" s="596"/>
      <c r="E86" s="596"/>
      <c r="F86" s="597"/>
      <c r="G86" s="598"/>
      <c r="H86" s="597"/>
      <c r="I86" s="598"/>
      <c r="J86" s="597"/>
      <c r="K86" s="598"/>
      <c r="L86" s="598"/>
      <c r="M86" s="598"/>
      <c r="N86" s="597"/>
      <c r="O86" s="599"/>
      <c r="P86" s="597"/>
      <c r="Q86" s="599"/>
      <c r="R86" s="597"/>
      <c r="S86" s="599"/>
      <c r="T86" s="597"/>
      <c r="U86" s="599"/>
      <c r="V86" s="774"/>
      <c r="W86" s="774"/>
      <c r="X86" s="774"/>
      <c r="Y86" s="774"/>
      <c r="Z86" s="774"/>
      <c r="AA86" s="774"/>
      <c r="AB86" s="774"/>
      <c r="AC86" s="774"/>
      <c r="AD86" s="774"/>
      <c r="AE86" s="774"/>
      <c r="AF86" s="774"/>
      <c r="AG86" s="774"/>
      <c r="AH86" s="774"/>
      <c r="AI86" s="774"/>
      <c r="AJ86" s="774"/>
      <c r="AK86" s="774"/>
      <c r="AL86" s="774"/>
      <c r="AM86" s="774"/>
      <c r="AN86" s="774"/>
      <c r="AO86" s="774"/>
      <c r="AP86" s="774"/>
      <c r="AQ86" s="774"/>
      <c r="AR86" s="774"/>
      <c r="AS86" s="774"/>
      <c r="AT86" s="774"/>
      <c r="AU86" s="600"/>
      <c r="AV86" s="600"/>
      <c r="AW86" s="600"/>
      <c r="AX86" s="597"/>
      <c r="AY86" s="597"/>
      <c r="AZ86" s="214"/>
      <c r="BA86" s="490" t="str">
        <f t="shared" si="0"/>
        <v>SUM_CO2</v>
      </c>
      <c r="BB86" s="581" t="str">
        <f t="shared" si="1"/>
        <v>SUM_EnergyIN</v>
      </c>
      <c r="BC86" s="602"/>
      <c r="BD86" s="23"/>
    </row>
    <row r="87" spans="1:56" x14ac:dyDescent="0.2">
      <c r="A87" s="602"/>
      <c r="B87" s="214"/>
      <c r="C87" s="544">
        <v>64</v>
      </c>
      <c r="D87" s="596"/>
      <c r="E87" s="596"/>
      <c r="F87" s="597"/>
      <c r="G87" s="598"/>
      <c r="H87" s="597"/>
      <c r="I87" s="598"/>
      <c r="J87" s="597"/>
      <c r="K87" s="598"/>
      <c r="L87" s="598"/>
      <c r="M87" s="598"/>
      <c r="N87" s="597"/>
      <c r="O87" s="599"/>
      <c r="P87" s="597"/>
      <c r="Q87" s="599"/>
      <c r="R87" s="597"/>
      <c r="S87" s="599"/>
      <c r="T87" s="597"/>
      <c r="U87" s="599"/>
      <c r="V87" s="774"/>
      <c r="W87" s="774"/>
      <c r="X87" s="774"/>
      <c r="Y87" s="774"/>
      <c r="Z87" s="774"/>
      <c r="AA87" s="774"/>
      <c r="AB87" s="774"/>
      <c r="AC87" s="774"/>
      <c r="AD87" s="774"/>
      <c r="AE87" s="774"/>
      <c r="AF87" s="774"/>
      <c r="AG87" s="774"/>
      <c r="AH87" s="774"/>
      <c r="AI87" s="774"/>
      <c r="AJ87" s="774"/>
      <c r="AK87" s="774"/>
      <c r="AL87" s="774"/>
      <c r="AM87" s="774"/>
      <c r="AN87" s="774"/>
      <c r="AO87" s="774"/>
      <c r="AP87" s="774"/>
      <c r="AQ87" s="774"/>
      <c r="AR87" s="774"/>
      <c r="AS87" s="774"/>
      <c r="AT87" s="774"/>
      <c r="AU87" s="600"/>
      <c r="AV87" s="600"/>
      <c r="AW87" s="600"/>
      <c r="AX87" s="597"/>
      <c r="AY87" s="597"/>
      <c r="AZ87" s="214"/>
      <c r="BA87" s="490" t="str">
        <f t="shared" si="0"/>
        <v>SUM_CO2</v>
      </c>
      <c r="BB87" s="581" t="str">
        <f t="shared" si="1"/>
        <v>SUM_EnergyIN</v>
      </c>
      <c r="BC87" s="602"/>
      <c r="BD87" s="23"/>
    </row>
    <row r="88" spans="1:56" x14ac:dyDescent="0.2">
      <c r="A88" s="602"/>
      <c r="B88" s="214"/>
      <c r="C88" s="544">
        <v>65</v>
      </c>
      <c r="D88" s="596"/>
      <c r="E88" s="596"/>
      <c r="F88" s="597"/>
      <c r="G88" s="598"/>
      <c r="H88" s="597"/>
      <c r="I88" s="598"/>
      <c r="J88" s="597"/>
      <c r="K88" s="598"/>
      <c r="L88" s="598"/>
      <c r="M88" s="598"/>
      <c r="N88" s="597"/>
      <c r="O88" s="599"/>
      <c r="P88" s="597"/>
      <c r="Q88" s="599"/>
      <c r="R88" s="597"/>
      <c r="S88" s="599"/>
      <c r="T88" s="597"/>
      <c r="U88" s="599"/>
      <c r="V88" s="774"/>
      <c r="W88" s="774"/>
      <c r="X88" s="774"/>
      <c r="Y88" s="774"/>
      <c r="Z88" s="774"/>
      <c r="AA88" s="774"/>
      <c r="AB88" s="774"/>
      <c r="AC88" s="774"/>
      <c r="AD88" s="774"/>
      <c r="AE88" s="774"/>
      <c r="AF88" s="774"/>
      <c r="AG88" s="774"/>
      <c r="AH88" s="774"/>
      <c r="AI88" s="774"/>
      <c r="AJ88" s="774"/>
      <c r="AK88" s="774"/>
      <c r="AL88" s="774"/>
      <c r="AM88" s="774"/>
      <c r="AN88" s="774"/>
      <c r="AO88" s="774"/>
      <c r="AP88" s="774"/>
      <c r="AQ88" s="774"/>
      <c r="AR88" s="774"/>
      <c r="AS88" s="774"/>
      <c r="AT88" s="774"/>
      <c r="AU88" s="600"/>
      <c r="AV88" s="600"/>
      <c r="AW88" s="600"/>
      <c r="AX88" s="597"/>
      <c r="AY88" s="597"/>
      <c r="AZ88" s="214"/>
      <c r="BA88" s="490" t="str">
        <f t="shared" ref="BA88:BA98" si="2">EUconst_SumCO2</f>
        <v>SUM_CO2</v>
      </c>
      <c r="BB88" s="581" t="str">
        <f t="shared" ref="BB88:BB98" si="3">EUconst_SumEnergyIN</f>
        <v>SUM_EnergyIN</v>
      </c>
      <c r="BC88" s="602"/>
      <c r="BD88" s="23"/>
    </row>
    <row r="89" spans="1:56" x14ac:dyDescent="0.2">
      <c r="A89" s="602"/>
      <c r="B89" s="214"/>
      <c r="C89" s="544">
        <v>66</v>
      </c>
      <c r="D89" s="596"/>
      <c r="E89" s="596"/>
      <c r="F89" s="597"/>
      <c r="G89" s="598"/>
      <c r="H89" s="597"/>
      <c r="I89" s="598"/>
      <c r="J89" s="597"/>
      <c r="K89" s="598"/>
      <c r="L89" s="598"/>
      <c r="M89" s="598"/>
      <c r="N89" s="597"/>
      <c r="O89" s="599"/>
      <c r="P89" s="597"/>
      <c r="Q89" s="599"/>
      <c r="R89" s="597"/>
      <c r="S89" s="599"/>
      <c r="T89" s="597"/>
      <c r="U89" s="599"/>
      <c r="V89" s="774"/>
      <c r="W89" s="774"/>
      <c r="X89" s="774"/>
      <c r="Y89" s="774"/>
      <c r="Z89" s="774"/>
      <c r="AA89" s="774"/>
      <c r="AB89" s="774"/>
      <c r="AC89" s="774"/>
      <c r="AD89" s="774"/>
      <c r="AE89" s="774"/>
      <c r="AF89" s="774"/>
      <c r="AG89" s="774"/>
      <c r="AH89" s="774"/>
      <c r="AI89" s="774"/>
      <c r="AJ89" s="774"/>
      <c r="AK89" s="774"/>
      <c r="AL89" s="774"/>
      <c r="AM89" s="774"/>
      <c r="AN89" s="774"/>
      <c r="AO89" s="774"/>
      <c r="AP89" s="774"/>
      <c r="AQ89" s="774"/>
      <c r="AR89" s="774"/>
      <c r="AS89" s="774"/>
      <c r="AT89" s="774"/>
      <c r="AU89" s="600"/>
      <c r="AV89" s="600"/>
      <c r="AW89" s="600"/>
      <c r="AX89" s="597"/>
      <c r="AY89" s="597"/>
      <c r="AZ89" s="214"/>
      <c r="BA89" s="490" t="str">
        <f t="shared" si="2"/>
        <v>SUM_CO2</v>
      </c>
      <c r="BB89" s="581" t="str">
        <f t="shared" si="3"/>
        <v>SUM_EnergyIN</v>
      </c>
      <c r="BC89" s="602"/>
      <c r="BD89" s="23"/>
    </row>
    <row r="90" spans="1:56" x14ac:dyDescent="0.2">
      <c r="A90" s="602"/>
      <c r="B90" s="214"/>
      <c r="C90" s="544">
        <v>67</v>
      </c>
      <c r="D90" s="596"/>
      <c r="E90" s="596"/>
      <c r="F90" s="597"/>
      <c r="G90" s="598"/>
      <c r="H90" s="597"/>
      <c r="I90" s="598"/>
      <c r="J90" s="597"/>
      <c r="K90" s="598"/>
      <c r="L90" s="598"/>
      <c r="M90" s="598"/>
      <c r="N90" s="597"/>
      <c r="O90" s="599"/>
      <c r="P90" s="597"/>
      <c r="Q90" s="599"/>
      <c r="R90" s="597"/>
      <c r="S90" s="599"/>
      <c r="T90" s="597"/>
      <c r="U90" s="599"/>
      <c r="V90" s="774"/>
      <c r="W90" s="774"/>
      <c r="X90" s="774"/>
      <c r="Y90" s="774"/>
      <c r="Z90" s="774"/>
      <c r="AA90" s="774"/>
      <c r="AB90" s="774"/>
      <c r="AC90" s="774"/>
      <c r="AD90" s="774"/>
      <c r="AE90" s="774"/>
      <c r="AF90" s="774"/>
      <c r="AG90" s="774"/>
      <c r="AH90" s="774"/>
      <c r="AI90" s="774"/>
      <c r="AJ90" s="774"/>
      <c r="AK90" s="774"/>
      <c r="AL90" s="774"/>
      <c r="AM90" s="774"/>
      <c r="AN90" s="774"/>
      <c r="AO90" s="774"/>
      <c r="AP90" s="774"/>
      <c r="AQ90" s="774"/>
      <c r="AR90" s="774"/>
      <c r="AS90" s="774"/>
      <c r="AT90" s="774"/>
      <c r="AU90" s="600"/>
      <c r="AV90" s="600"/>
      <c r="AW90" s="600"/>
      <c r="AX90" s="597"/>
      <c r="AY90" s="597"/>
      <c r="AZ90" s="214"/>
      <c r="BA90" s="490" t="str">
        <f t="shared" si="2"/>
        <v>SUM_CO2</v>
      </c>
      <c r="BB90" s="581" t="str">
        <f t="shared" si="3"/>
        <v>SUM_EnergyIN</v>
      </c>
      <c r="BC90" s="602"/>
      <c r="BD90" s="23"/>
    </row>
    <row r="91" spans="1:56" x14ac:dyDescent="0.2">
      <c r="A91" s="602"/>
      <c r="B91" s="214"/>
      <c r="C91" s="544">
        <v>68</v>
      </c>
      <c r="D91" s="596"/>
      <c r="E91" s="596"/>
      <c r="F91" s="597"/>
      <c r="G91" s="598"/>
      <c r="H91" s="597"/>
      <c r="I91" s="598"/>
      <c r="J91" s="597"/>
      <c r="K91" s="598"/>
      <c r="L91" s="598"/>
      <c r="M91" s="598"/>
      <c r="N91" s="597"/>
      <c r="O91" s="599"/>
      <c r="P91" s="597"/>
      <c r="Q91" s="599"/>
      <c r="R91" s="597"/>
      <c r="S91" s="599"/>
      <c r="T91" s="597"/>
      <c r="U91" s="599"/>
      <c r="V91" s="774"/>
      <c r="W91" s="774"/>
      <c r="X91" s="774"/>
      <c r="Y91" s="774"/>
      <c r="Z91" s="774"/>
      <c r="AA91" s="774"/>
      <c r="AB91" s="774"/>
      <c r="AC91" s="774"/>
      <c r="AD91" s="774"/>
      <c r="AE91" s="774"/>
      <c r="AF91" s="774"/>
      <c r="AG91" s="774"/>
      <c r="AH91" s="774"/>
      <c r="AI91" s="774"/>
      <c r="AJ91" s="774"/>
      <c r="AK91" s="774"/>
      <c r="AL91" s="774"/>
      <c r="AM91" s="774"/>
      <c r="AN91" s="774"/>
      <c r="AO91" s="774"/>
      <c r="AP91" s="774"/>
      <c r="AQ91" s="774"/>
      <c r="AR91" s="774"/>
      <c r="AS91" s="774"/>
      <c r="AT91" s="774"/>
      <c r="AU91" s="600"/>
      <c r="AV91" s="600"/>
      <c r="AW91" s="600"/>
      <c r="AX91" s="597"/>
      <c r="AY91" s="597"/>
      <c r="AZ91" s="214"/>
      <c r="BA91" s="490" t="str">
        <f t="shared" si="2"/>
        <v>SUM_CO2</v>
      </c>
      <c r="BB91" s="581" t="str">
        <f t="shared" si="3"/>
        <v>SUM_EnergyIN</v>
      </c>
      <c r="BC91" s="602"/>
      <c r="BD91" s="23"/>
    </row>
    <row r="92" spans="1:56" x14ac:dyDescent="0.2">
      <c r="A92" s="602"/>
      <c r="B92" s="214"/>
      <c r="C92" s="544">
        <v>69</v>
      </c>
      <c r="D92" s="596"/>
      <c r="E92" s="596"/>
      <c r="F92" s="597"/>
      <c r="G92" s="598"/>
      <c r="H92" s="597"/>
      <c r="I92" s="598"/>
      <c r="J92" s="597"/>
      <c r="K92" s="598"/>
      <c r="L92" s="598"/>
      <c r="M92" s="598"/>
      <c r="N92" s="597"/>
      <c r="O92" s="599"/>
      <c r="P92" s="597"/>
      <c r="Q92" s="599"/>
      <c r="R92" s="597"/>
      <c r="S92" s="599"/>
      <c r="T92" s="597"/>
      <c r="U92" s="599"/>
      <c r="V92" s="774"/>
      <c r="W92" s="774"/>
      <c r="X92" s="774"/>
      <c r="Y92" s="774"/>
      <c r="Z92" s="774"/>
      <c r="AA92" s="774"/>
      <c r="AB92" s="774"/>
      <c r="AC92" s="774"/>
      <c r="AD92" s="774"/>
      <c r="AE92" s="774"/>
      <c r="AF92" s="774"/>
      <c r="AG92" s="774"/>
      <c r="AH92" s="774"/>
      <c r="AI92" s="774"/>
      <c r="AJ92" s="774"/>
      <c r="AK92" s="774"/>
      <c r="AL92" s="774"/>
      <c r="AM92" s="774"/>
      <c r="AN92" s="774"/>
      <c r="AO92" s="774"/>
      <c r="AP92" s="774"/>
      <c r="AQ92" s="774"/>
      <c r="AR92" s="774"/>
      <c r="AS92" s="774"/>
      <c r="AT92" s="774"/>
      <c r="AU92" s="600"/>
      <c r="AV92" s="600"/>
      <c r="AW92" s="600"/>
      <c r="AX92" s="597"/>
      <c r="AY92" s="597"/>
      <c r="AZ92" s="214"/>
      <c r="BA92" s="490" t="str">
        <f t="shared" si="2"/>
        <v>SUM_CO2</v>
      </c>
      <c r="BB92" s="581" t="str">
        <f t="shared" si="3"/>
        <v>SUM_EnergyIN</v>
      </c>
      <c r="BC92" s="602"/>
      <c r="BD92" s="23"/>
    </row>
    <row r="93" spans="1:56" x14ac:dyDescent="0.2">
      <c r="A93" s="602"/>
      <c r="B93" s="214"/>
      <c r="C93" s="544">
        <v>70</v>
      </c>
      <c r="D93" s="596"/>
      <c r="E93" s="596"/>
      <c r="F93" s="597"/>
      <c r="G93" s="598"/>
      <c r="H93" s="597"/>
      <c r="I93" s="598"/>
      <c r="J93" s="597"/>
      <c r="K93" s="598"/>
      <c r="L93" s="598"/>
      <c r="M93" s="598"/>
      <c r="N93" s="597"/>
      <c r="O93" s="599"/>
      <c r="P93" s="597"/>
      <c r="Q93" s="599"/>
      <c r="R93" s="597"/>
      <c r="S93" s="599"/>
      <c r="T93" s="597"/>
      <c r="U93" s="599"/>
      <c r="V93" s="774"/>
      <c r="W93" s="774"/>
      <c r="X93" s="774"/>
      <c r="Y93" s="774"/>
      <c r="Z93" s="774"/>
      <c r="AA93" s="774"/>
      <c r="AB93" s="774"/>
      <c r="AC93" s="774"/>
      <c r="AD93" s="774"/>
      <c r="AE93" s="774"/>
      <c r="AF93" s="774"/>
      <c r="AG93" s="774"/>
      <c r="AH93" s="774"/>
      <c r="AI93" s="774"/>
      <c r="AJ93" s="774"/>
      <c r="AK93" s="774"/>
      <c r="AL93" s="774"/>
      <c r="AM93" s="774"/>
      <c r="AN93" s="774"/>
      <c r="AO93" s="774"/>
      <c r="AP93" s="774"/>
      <c r="AQ93" s="774"/>
      <c r="AR93" s="774"/>
      <c r="AS93" s="774"/>
      <c r="AT93" s="774"/>
      <c r="AU93" s="600"/>
      <c r="AV93" s="600"/>
      <c r="AW93" s="600"/>
      <c r="AX93" s="597"/>
      <c r="AY93" s="597"/>
      <c r="AZ93" s="214"/>
      <c r="BA93" s="490" t="str">
        <f t="shared" si="2"/>
        <v>SUM_CO2</v>
      </c>
      <c r="BB93" s="581" t="str">
        <f t="shared" si="3"/>
        <v>SUM_EnergyIN</v>
      </c>
      <c r="BC93" s="602"/>
      <c r="BD93" s="23"/>
    </row>
    <row r="94" spans="1:56" x14ac:dyDescent="0.2">
      <c r="A94" s="602"/>
      <c r="B94" s="214"/>
      <c r="C94" s="544">
        <v>71</v>
      </c>
      <c r="D94" s="596"/>
      <c r="E94" s="596"/>
      <c r="F94" s="597"/>
      <c r="G94" s="598"/>
      <c r="H94" s="597"/>
      <c r="I94" s="598"/>
      <c r="J94" s="597"/>
      <c r="K94" s="598"/>
      <c r="L94" s="598"/>
      <c r="M94" s="598"/>
      <c r="N94" s="597"/>
      <c r="O94" s="599"/>
      <c r="P94" s="597"/>
      <c r="Q94" s="599"/>
      <c r="R94" s="597"/>
      <c r="S94" s="599"/>
      <c r="T94" s="597"/>
      <c r="U94" s="599"/>
      <c r="V94" s="774"/>
      <c r="W94" s="774"/>
      <c r="X94" s="774"/>
      <c r="Y94" s="774"/>
      <c r="Z94" s="774"/>
      <c r="AA94" s="774"/>
      <c r="AB94" s="774"/>
      <c r="AC94" s="774"/>
      <c r="AD94" s="774"/>
      <c r="AE94" s="774"/>
      <c r="AF94" s="774"/>
      <c r="AG94" s="774"/>
      <c r="AH94" s="774"/>
      <c r="AI94" s="774"/>
      <c r="AJ94" s="774"/>
      <c r="AK94" s="774"/>
      <c r="AL94" s="774"/>
      <c r="AM94" s="774"/>
      <c r="AN94" s="774"/>
      <c r="AO94" s="774"/>
      <c r="AP94" s="774"/>
      <c r="AQ94" s="774"/>
      <c r="AR94" s="774"/>
      <c r="AS94" s="774"/>
      <c r="AT94" s="774"/>
      <c r="AU94" s="600"/>
      <c r="AV94" s="600"/>
      <c r="AW94" s="600"/>
      <c r="AX94" s="597"/>
      <c r="AY94" s="597"/>
      <c r="AZ94" s="214"/>
      <c r="BA94" s="490" t="str">
        <f t="shared" si="2"/>
        <v>SUM_CO2</v>
      </c>
      <c r="BB94" s="581" t="str">
        <f t="shared" si="3"/>
        <v>SUM_EnergyIN</v>
      </c>
      <c r="BC94" s="602"/>
      <c r="BD94" s="23"/>
    </row>
    <row r="95" spans="1:56" x14ac:dyDescent="0.2">
      <c r="A95" s="602"/>
      <c r="B95" s="214"/>
      <c r="C95" s="544">
        <v>72</v>
      </c>
      <c r="D95" s="596"/>
      <c r="E95" s="596"/>
      <c r="F95" s="597"/>
      <c r="G95" s="598"/>
      <c r="H95" s="597"/>
      <c r="I95" s="598"/>
      <c r="J95" s="597"/>
      <c r="K95" s="598"/>
      <c r="L95" s="598"/>
      <c r="M95" s="598"/>
      <c r="N95" s="597"/>
      <c r="O95" s="599"/>
      <c r="P95" s="597"/>
      <c r="Q95" s="599"/>
      <c r="R95" s="597"/>
      <c r="S95" s="599"/>
      <c r="T95" s="597"/>
      <c r="U95" s="599"/>
      <c r="V95" s="774"/>
      <c r="W95" s="774"/>
      <c r="X95" s="774"/>
      <c r="Y95" s="774"/>
      <c r="Z95" s="774"/>
      <c r="AA95" s="774"/>
      <c r="AB95" s="774"/>
      <c r="AC95" s="774"/>
      <c r="AD95" s="774"/>
      <c r="AE95" s="774"/>
      <c r="AF95" s="774"/>
      <c r="AG95" s="774"/>
      <c r="AH95" s="774"/>
      <c r="AI95" s="774"/>
      <c r="AJ95" s="774"/>
      <c r="AK95" s="774"/>
      <c r="AL95" s="774"/>
      <c r="AM95" s="774"/>
      <c r="AN95" s="774"/>
      <c r="AO95" s="774"/>
      <c r="AP95" s="774"/>
      <c r="AQ95" s="774"/>
      <c r="AR95" s="774"/>
      <c r="AS95" s="774"/>
      <c r="AT95" s="774"/>
      <c r="AU95" s="600"/>
      <c r="AV95" s="600"/>
      <c r="AW95" s="600"/>
      <c r="AX95" s="597"/>
      <c r="AY95" s="597"/>
      <c r="AZ95" s="214"/>
      <c r="BA95" s="490" t="str">
        <f t="shared" si="2"/>
        <v>SUM_CO2</v>
      </c>
      <c r="BB95" s="581" t="str">
        <f t="shared" si="3"/>
        <v>SUM_EnergyIN</v>
      </c>
      <c r="BC95" s="602"/>
      <c r="BD95" s="23"/>
    </row>
    <row r="96" spans="1:56" x14ac:dyDescent="0.2">
      <c r="A96" s="602"/>
      <c r="B96" s="214"/>
      <c r="C96" s="544">
        <v>73</v>
      </c>
      <c r="D96" s="596"/>
      <c r="E96" s="596"/>
      <c r="F96" s="597"/>
      <c r="G96" s="598"/>
      <c r="H96" s="597"/>
      <c r="I96" s="598"/>
      <c r="J96" s="597"/>
      <c r="K96" s="598"/>
      <c r="L96" s="598"/>
      <c r="M96" s="598"/>
      <c r="N96" s="597"/>
      <c r="O96" s="599"/>
      <c r="P96" s="597"/>
      <c r="Q96" s="599"/>
      <c r="R96" s="597"/>
      <c r="S96" s="599"/>
      <c r="T96" s="597"/>
      <c r="U96" s="599"/>
      <c r="V96" s="774"/>
      <c r="W96" s="774"/>
      <c r="X96" s="774"/>
      <c r="Y96" s="774"/>
      <c r="Z96" s="774"/>
      <c r="AA96" s="774"/>
      <c r="AB96" s="774"/>
      <c r="AC96" s="774"/>
      <c r="AD96" s="774"/>
      <c r="AE96" s="774"/>
      <c r="AF96" s="774"/>
      <c r="AG96" s="774"/>
      <c r="AH96" s="774"/>
      <c r="AI96" s="774"/>
      <c r="AJ96" s="774"/>
      <c r="AK96" s="774"/>
      <c r="AL96" s="774"/>
      <c r="AM96" s="774"/>
      <c r="AN96" s="774"/>
      <c r="AO96" s="774"/>
      <c r="AP96" s="774"/>
      <c r="AQ96" s="774"/>
      <c r="AR96" s="774"/>
      <c r="AS96" s="774"/>
      <c r="AT96" s="774"/>
      <c r="AU96" s="600"/>
      <c r="AV96" s="600"/>
      <c r="AW96" s="600"/>
      <c r="AX96" s="597"/>
      <c r="AY96" s="597"/>
      <c r="AZ96" s="214"/>
      <c r="BA96" s="490" t="str">
        <f t="shared" si="2"/>
        <v>SUM_CO2</v>
      </c>
      <c r="BB96" s="581" t="str">
        <f t="shared" si="3"/>
        <v>SUM_EnergyIN</v>
      </c>
      <c r="BC96" s="602"/>
      <c r="BD96" s="23"/>
    </row>
    <row r="97" spans="1:56" x14ac:dyDescent="0.2">
      <c r="A97" s="602"/>
      <c r="B97" s="214"/>
      <c r="C97" s="544">
        <v>74</v>
      </c>
      <c r="D97" s="596"/>
      <c r="E97" s="596"/>
      <c r="F97" s="597"/>
      <c r="G97" s="598"/>
      <c r="H97" s="597"/>
      <c r="I97" s="598"/>
      <c r="J97" s="597"/>
      <c r="K97" s="598"/>
      <c r="L97" s="598"/>
      <c r="M97" s="598"/>
      <c r="N97" s="597"/>
      <c r="O97" s="599"/>
      <c r="P97" s="597"/>
      <c r="Q97" s="599"/>
      <c r="R97" s="597"/>
      <c r="S97" s="599"/>
      <c r="T97" s="597"/>
      <c r="U97" s="599"/>
      <c r="V97" s="774"/>
      <c r="W97" s="774"/>
      <c r="X97" s="774"/>
      <c r="Y97" s="774"/>
      <c r="Z97" s="774"/>
      <c r="AA97" s="774"/>
      <c r="AB97" s="774"/>
      <c r="AC97" s="774"/>
      <c r="AD97" s="774"/>
      <c r="AE97" s="774"/>
      <c r="AF97" s="774"/>
      <c r="AG97" s="774"/>
      <c r="AH97" s="774"/>
      <c r="AI97" s="774"/>
      <c r="AJ97" s="774"/>
      <c r="AK97" s="774"/>
      <c r="AL97" s="774"/>
      <c r="AM97" s="774"/>
      <c r="AN97" s="774"/>
      <c r="AO97" s="774"/>
      <c r="AP97" s="774"/>
      <c r="AQ97" s="774"/>
      <c r="AR97" s="774"/>
      <c r="AS97" s="774"/>
      <c r="AT97" s="774"/>
      <c r="AU97" s="600"/>
      <c r="AV97" s="600"/>
      <c r="AW97" s="600"/>
      <c r="AX97" s="597"/>
      <c r="AY97" s="597"/>
      <c r="AZ97" s="214"/>
      <c r="BA97" s="490" t="str">
        <f t="shared" si="2"/>
        <v>SUM_CO2</v>
      </c>
      <c r="BB97" s="581" t="str">
        <f t="shared" si="3"/>
        <v>SUM_EnergyIN</v>
      </c>
      <c r="BC97" s="602"/>
      <c r="BD97" s="23"/>
    </row>
    <row r="98" spans="1:56" x14ac:dyDescent="0.2">
      <c r="A98" s="602"/>
      <c r="B98" s="214"/>
      <c r="C98" s="544">
        <v>75</v>
      </c>
      <c r="D98" s="596"/>
      <c r="E98" s="596"/>
      <c r="F98" s="597"/>
      <c r="G98" s="598"/>
      <c r="H98" s="597"/>
      <c r="I98" s="598"/>
      <c r="J98" s="597"/>
      <c r="K98" s="598"/>
      <c r="L98" s="598"/>
      <c r="M98" s="598"/>
      <c r="N98" s="597"/>
      <c r="O98" s="599"/>
      <c r="P98" s="597"/>
      <c r="Q98" s="599"/>
      <c r="R98" s="597"/>
      <c r="S98" s="599"/>
      <c r="T98" s="597"/>
      <c r="U98" s="599"/>
      <c r="V98" s="774"/>
      <c r="W98" s="774"/>
      <c r="X98" s="774"/>
      <c r="Y98" s="774"/>
      <c r="Z98" s="774"/>
      <c r="AA98" s="774"/>
      <c r="AB98" s="774"/>
      <c r="AC98" s="774"/>
      <c r="AD98" s="774"/>
      <c r="AE98" s="774"/>
      <c r="AF98" s="774"/>
      <c r="AG98" s="774"/>
      <c r="AH98" s="774"/>
      <c r="AI98" s="774"/>
      <c r="AJ98" s="774"/>
      <c r="AK98" s="774"/>
      <c r="AL98" s="774"/>
      <c r="AM98" s="774"/>
      <c r="AN98" s="774"/>
      <c r="AO98" s="774"/>
      <c r="AP98" s="774"/>
      <c r="AQ98" s="774"/>
      <c r="AR98" s="774"/>
      <c r="AS98" s="774"/>
      <c r="AT98" s="774"/>
      <c r="AU98" s="600"/>
      <c r="AV98" s="600"/>
      <c r="AW98" s="600"/>
      <c r="AX98" s="597"/>
      <c r="AY98" s="597"/>
      <c r="AZ98" s="214"/>
      <c r="BA98" s="490" t="str">
        <f t="shared" si="2"/>
        <v>SUM_CO2</v>
      </c>
      <c r="BB98" s="581" t="str">
        <f t="shared" si="3"/>
        <v>SUM_EnergyIN</v>
      </c>
      <c r="BC98" s="602"/>
      <c r="BD98" s="23"/>
    </row>
    <row r="99" spans="1:56" x14ac:dyDescent="0.2">
      <c r="A99" s="602"/>
      <c r="B99" s="214"/>
      <c r="C99" s="95"/>
      <c r="D99" s="214"/>
      <c r="E99" s="214"/>
      <c r="F99" s="214"/>
      <c r="G99" s="214"/>
      <c r="H99" s="214"/>
      <c r="I99" s="214"/>
      <c r="J99" s="214"/>
      <c r="K99" s="214"/>
      <c r="L99" s="214"/>
      <c r="N99" s="214"/>
      <c r="O99" s="214"/>
      <c r="P99" s="214"/>
      <c r="Q99" s="214"/>
      <c r="R99" s="214"/>
      <c r="S99" s="214"/>
      <c r="T99" s="214"/>
      <c r="U99" s="214"/>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602"/>
      <c r="BB99" s="602"/>
      <c r="BC99" s="602"/>
      <c r="BD99" s="23"/>
    </row>
    <row r="100" spans="1:56" ht="50.1" customHeight="1" thickBot="1" x14ac:dyDescent="0.45">
      <c r="A100" s="602"/>
      <c r="B100" s="214"/>
      <c r="C100" s="95"/>
      <c r="D100" s="532" t="str">
        <f>Translations!$B$339</f>
        <v>PFC avota plūsmas</v>
      </c>
      <c r="E100" s="214"/>
      <c r="F100" s="214"/>
      <c r="G100" s="214"/>
      <c r="H100" s="214"/>
      <c r="I100" s="214"/>
      <c r="J100" s="214"/>
      <c r="K100" s="214"/>
      <c r="L100" s="214"/>
      <c r="N100" s="214"/>
      <c r="O100" s="214"/>
      <c r="P100" s="214"/>
      <c r="Q100" s="214"/>
      <c r="R100" s="214"/>
      <c r="S100" s="214"/>
      <c r="T100" s="214"/>
      <c r="U100" s="214"/>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602"/>
      <c r="BB100" s="602"/>
      <c r="BC100" s="602"/>
      <c r="BD100" s="23"/>
    </row>
    <row r="101" spans="1:56" ht="50.1" customHeight="1" thickBot="1" x14ac:dyDescent="0.25">
      <c r="A101" s="602"/>
      <c r="B101" s="214"/>
      <c r="C101" s="533" t="s">
        <v>466</v>
      </c>
      <c r="D101" s="534" t="str">
        <f>Translations!$B$282</f>
        <v>Metode</v>
      </c>
      <c r="E101" s="534" t="str">
        <f>Translations!$B$340</f>
        <v>Nosaukums</v>
      </c>
      <c r="F101" s="535" t="str">
        <f>Translations!$B$284</f>
        <v>Darbības dati</v>
      </c>
      <c r="G101" s="535" t="str">
        <f>Translations!$B$285</f>
        <v>DD vienība</v>
      </c>
      <c r="H101" s="535" t="str">
        <f>Translations!$B$286</f>
        <v>NCV</v>
      </c>
      <c r="I101" s="535" t="str">
        <f>Translations!$B$287</f>
        <v>NCV vienība</v>
      </c>
      <c r="J101" s="535" t="str">
        <f>Translations!$B$288</f>
        <v>EF</v>
      </c>
      <c r="K101" s="535" t="str">
        <f>Translations!$B$289</f>
        <v>EF vienība</v>
      </c>
      <c r="L101" s="535" t="str">
        <f>Translations!$B$290</f>
        <v>C saturs</v>
      </c>
      <c r="M101" s="535" t="str">
        <f>Translations!$B$291</f>
        <v>C satura vienība</v>
      </c>
      <c r="N101" s="535" t="str">
        <f>Translations!$B$292</f>
        <v>Oksid. koef.</v>
      </c>
      <c r="O101" s="535" t="str">
        <f>Translations!$B$293</f>
        <v>OK vienība</v>
      </c>
      <c r="P101" s="535" t="str">
        <f>Translations!$B$294</f>
        <v>Pārrēķina koef.</v>
      </c>
      <c r="Q101" s="535" t="str">
        <f>Translations!$B$295</f>
        <v>PK vienība</v>
      </c>
      <c r="R101" s="535" t="str">
        <f>Translations!$B$296</f>
        <v>Biomasas saturs</v>
      </c>
      <c r="S101" s="535" t="str">
        <f>Translations!$B$297</f>
        <v>BS vienība</v>
      </c>
      <c r="T101" s="535" t="str">
        <f>Translations!$B$298</f>
        <v>ilgtnesp. BS</v>
      </c>
      <c r="U101" s="535" t="str">
        <f>Translations!$B$299</f>
        <v>ilgtnesp. BS vienība</v>
      </c>
      <c r="V101" s="535" t="str">
        <f>Translations!$B$300</f>
        <v>SEG konc. vidējā vērtība h</v>
      </c>
      <c r="W101" s="535" t="str">
        <f>Translations!$B$301</f>
        <v>SEG konc. h vienība</v>
      </c>
      <c r="X101" s="535" t="str">
        <f>Translations!$B$302</f>
        <v>ekspluatācijas stundas</v>
      </c>
      <c r="Y101" s="535" t="str">
        <f>Translations!$B$303</f>
        <v>ekspluatācijas stundu vienība</v>
      </c>
      <c r="Z101" s="535" t="str">
        <f>Translations!$B$304</f>
        <v>Dūmgāzes (vidēji)</v>
      </c>
      <c r="AA101" s="535" t="str">
        <f>Translations!$B$305</f>
        <v>Dūmgāzes (vidēji), vienība</v>
      </c>
      <c r="AB101" s="535" t="str">
        <f>Translations!$B$306</f>
        <v>Dūmgāzes (kopā)</v>
      </c>
      <c r="AC101" s="535" t="str">
        <f>Translations!$B$307</f>
        <v>Dūmgāzes (kopā), vienība</v>
      </c>
      <c r="AD101" s="535" t="str">
        <f>Translations!$B$308</f>
        <v>SEG daudzums gadā</v>
      </c>
      <c r="AE101" s="535" t="str">
        <f>Translations!$B$309</f>
        <v>SEG daudzums gadā, vienība</v>
      </c>
      <c r="AF101" s="535" t="str">
        <f>Translations!$B$310</f>
        <v>GWP (t CO2 e/t)</v>
      </c>
      <c r="AG101" s="535" t="str">
        <f>Translations!$B$311</f>
        <v>A: biežums</v>
      </c>
      <c r="AH101" s="535" t="str">
        <f>Translations!$B$312</f>
        <v>A: ilgums</v>
      </c>
      <c r="AI101" s="535" t="str">
        <f>Translations!$B$313</f>
        <v>A: SEF (CF4)</v>
      </c>
      <c r="AJ101" s="535" t="str">
        <f>Translations!$B$314</f>
        <v>B: AEO</v>
      </c>
      <c r="AK101" s="535" t="str">
        <f>Translations!$B$315</f>
        <v>B: CE</v>
      </c>
      <c r="AL101" s="535" t="str">
        <f>Translations!$B$316</f>
        <v>B: OVC</v>
      </c>
      <c r="AM101" s="535" t="str">
        <f>Translations!$B$317</f>
        <v>F (C2F6)</v>
      </c>
      <c r="AN101" s="535" t="str">
        <f>Translations!$B$318</f>
        <v>CF4 emisijas (t CF4)</v>
      </c>
      <c r="AO101" s="535" t="str">
        <f>Translations!$B$319</f>
        <v>C2F6 emisijas (t C2F6)</v>
      </c>
      <c r="AP101" s="535" t="str">
        <f>Translations!$B$320</f>
        <v>GWP (CF4) (t CO2 e/t)</v>
      </c>
      <c r="AQ101" s="535" t="str">
        <f>Translations!$B$321</f>
        <v>GWP (C2F6) (t CO2 e/t)</v>
      </c>
      <c r="AR101" s="535" t="str">
        <f>Translations!$B$322</f>
        <v>CF4 emisijas (t CO2e)</v>
      </c>
      <c r="AS101" s="535" t="str">
        <f>Translations!$B$323</f>
        <v>C2F6 emisijas (t CO2 e)</v>
      </c>
      <c r="AT101" s="535" t="str">
        <f>Translations!$B$324</f>
        <v>Uztveršanas efektivitāte, %</v>
      </c>
      <c r="AU101" s="535" t="str">
        <f>Translations!$B$325</f>
        <v>CO2 e, fosilie avoti (t)</v>
      </c>
      <c r="AV101" s="535" t="str">
        <f>Translations!$B$326</f>
        <v>CO2 e bio (t)</v>
      </c>
      <c r="AW101" s="535" t="str">
        <f>Translations!$B$327</f>
        <v>CO2 e, ilgtnesp. biomasa (t)</v>
      </c>
      <c r="AX101" s="536" t="str">
        <f>Translations!$B$328</f>
        <v>Enerģētiskais saturs (fosilie avoti), TJ</v>
      </c>
      <c r="AY101" s="537" t="str">
        <f>Translations!$B$329</f>
        <v>Enerģētiskais saturs (biomasa), TJ</v>
      </c>
      <c r="AZ101" s="214"/>
      <c r="BA101" s="602"/>
      <c r="BB101" s="602"/>
      <c r="BC101" s="602"/>
      <c r="BD101" s="23"/>
    </row>
    <row r="102" spans="1:56" ht="12.75" customHeight="1" x14ac:dyDescent="0.2">
      <c r="A102" s="602"/>
      <c r="B102" s="214"/>
      <c r="C102" s="543" t="str">
        <f>Translations!$B$341</f>
        <v>Piem.</v>
      </c>
      <c r="D102" s="686" t="str">
        <f>Translations!$B$342</f>
        <v>PFC emisijas</v>
      </c>
      <c r="E102" s="686" t="str">
        <f>Translations!$B$343</f>
        <v>Centriska priekšdedzināšana (CWPB); A tipa anodi</v>
      </c>
      <c r="F102" s="687">
        <v>5000</v>
      </c>
      <c r="G102" s="538" t="s">
        <v>205</v>
      </c>
      <c r="H102" s="775"/>
      <c r="I102" s="776"/>
      <c r="J102" s="775"/>
      <c r="K102" s="776"/>
      <c r="L102" s="776"/>
      <c r="M102" s="776"/>
      <c r="N102" s="775"/>
      <c r="O102" s="774"/>
      <c r="P102" s="775"/>
      <c r="Q102" s="774"/>
      <c r="R102" s="775"/>
      <c r="S102" s="774"/>
      <c r="T102" s="775"/>
      <c r="U102" s="774"/>
      <c r="V102" s="774"/>
      <c r="W102" s="774"/>
      <c r="X102" s="774"/>
      <c r="Y102" s="774"/>
      <c r="Z102" s="774"/>
      <c r="AA102" s="774"/>
      <c r="AB102" s="774"/>
      <c r="AC102" s="774"/>
      <c r="AD102" s="774"/>
      <c r="AE102" s="774"/>
      <c r="AF102" s="774"/>
      <c r="AG102" s="687">
        <v>300</v>
      </c>
      <c r="AH102" s="687">
        <v>2</v>
      </c>
      <c r="AI102" s="687">
        <v>0.14599999999999999</v>
      </c>
      <c r="AJ102" s="687">
        <v>0</v>
      </c>
      <c r="AK102" s="687">
        <v>0</v>
      </c>
      <c r="AL102" s="687">
        <v>0</v>
      </c>
      <c r="AM102" s="687">
        <v>0.122</v>
      </c>
      <c r="AN102" s="687">
        <v>4.38</v>
      </c>
      <c r="AO102" s="687">
        <v>0.53435999999999995</v>
      </c>
      <c r="AP102" s="691">
        <v>7390</v>
      </c>
      <c r="AQ102" s="691">
        <v>12200</v>
      </c>
      <c r="AR102" s="691">
        <v>32368.2</v>
      </c>
      <c r="AS102" s="691">
        <v>6519.1919999999991</v>
      </c>
      <c r="AT102" s="687">
        <v>98</v>
      </c>
      <c r="AU102" s="689">
        <v>39681.01224489796</v>
      </c>
      <c r="AV102" s="689"/>
      <c r="AW102" s="689"/>
      <c r="AX102" s="687"/>
      <c r="AY102" s="687"/>
      <c r="AZ102" s="214"/>
      <c r="BA102" s="602"/>
      <c r="BB102" s="602"/>
      <c r="BC102" s="602"/>
      <c r="BD102" s="23"/>
    </row>
    <row r="103" spans="1:56" x14ac:dyDescent="0.2">
      <c r="A103" s="602"/>
      <c r="B103" s="214"/>
      <c r="C103" s="538">
        <v>1</v>
      </c>
      <c r="D103" s="671"/>
      <c r="E103" s="596"/>
      <c r="F103" s="597"/>
      <c r="G103" s="598"/>
      <c r="H103" s="775"/>
      <c r="I103" s="776"/>
      <c r="J103" s="775"/>
      <c r="K103" s="776"/>
      <c r="L103" s="776"/>
      <c r="M103" s="776"/>
      <c r="N103" s="775"/>
      <c r="O103" s="774"/>
      <c r="P103" s="775"/>
      <c r="Q103" s="774"/>
      <c r="R103" s="775"/>
      <c r="S103" s="774"/>
      <c r="T103" s="775"/>
      <c r="U103" s="774"/>
      <c r="V103" s="774"/>
      <c r="W103" s="774"/>
      <c r="X103" s="774"/>
      <c r="Y103" s="774"/>
      <c r="Z103" s="774"/>
      <c r="AA103" s="774"/>
      <c r="AB103" s="774"/>
      <c r="AC103" s="774"/>
      <c r="AD103" s="774"/>
      <c r="AE103" s="774"/>
      <c r="AF103" s="774"/>
      <c r="AG103" s="597"/>
      <c r="AH103" s="597"/>
      <c r="AI103" s="597"/>
      <c r="AJ103" s="597"/>
      <c r="AK103" s="597"/>
      <c r="AL103" s="597"/>
      <c r="AM103" s="597"/>
      <c r="AN103" s="597"/>
      <c r="AO103" s="597"/>
      <c r="AP103" s="601"/>
      <c r="AQ103" s="601"/>
      <c r="AR103" s="601"/>
      <c r="AS103" s="601"/>
      <c r="AT103" s="597"/>
      <c r="AU103" s="600"/>
      <c r="AV103" s="600"/>
      <c r="AW103" s="600"/>
      <c r="AX103" s="597"/>
      <c r="AY103" s="597"/>
      <c r="AZ103" s="214"/>
      <c r="BA103" s="490" t="str">
        <f t="shared" ref="BA103:BA112" si="4">EUconst_SumPFC</f>
        <v>SUM_PFC</v>
      </c>
      <c r="BB103" s="581" t="str">
        <f t="shared" ref="BB103:BB112" si="5">EUconst_SumEnergyIN</f>
        <v>SUM_EnergyIN</v>
      </c>
      <c r="BC103" s="602"/>
      <c r="BD103" s="23"/>
    </row>
    <row r="104" spans="1:56" x14ac:dyDescent="0.2">
      <c r="A104" s="602"/>
      <c r="B104" s="214"/>
      <c r="C104" s="539">
        <v>2</v>
      </c>
      <c r="D104" s="671"/>
      <c r="E104" s="596"/>
      <c r="F104" s="597"/>
      <c r="G104" s="598"/>
      <c r="H104" s="775"/>
      <c r="I104" s="776"/>
      <c r="J104" s="775"/>
      <c r="K104" s="776"/>
      <c r="L104" s="776"/>
      <c r="M104" s="776"/>
      <c r="N104" s="775"/>
      <c r="O104" s="774"/>
      <c r="P104" s="775"/>
      <c r="Q104" s="774"/>
      <c r="R104" s="775"/>
      <c r="S104" s="774"/>
      <c r="T104" s="775"/>
      <c r="U104" s="774"/>
      <c r="V104" s="774"/>
      <c r="W104" s="774"/>
      <c r="X104" s="774"/>
      <c r="Y104" s="774"/>
      <c r="Z104" s="774"/>
      <c r="AA104" s="774"/>
      <c r="AB104" s="774"/>
      <c r="AC104" s="774"/>
      <c r="AD104" s="774"/>
      <c r="AE104" s="774"/>
      <c r="AF104" s="774"/>
      <c r="AG104" s="597"/>
      <c r="AH104" s="597"/>
      <c r="AI104" s="597"/>
      <c r="AJ104" s="597"/>
      <c r="AK104" s="597"/>
      <c r="AL104" s="597"/>
      <c r="AM104" s="597"/>
      <c r="AN104" s="597"/>
      <c r="AO104" s="597"/>
      <c r="AP104" s="601"/>
      <c r="AQ104" s="601"/>
      <c r="AR104" s="601"/>
      <c r="AS104" s="601"/>
      <c r="AT104" s="597"/>
      <c r="AU104" s="600"/>
      <c r="AV104" s="600"/>
      <c r="AW104" s="600"/>
      <c r="AX104" s="597"/>
      <c r="AY104" s="597"/>
      <c r="AZ104" s="214"/>
      <c r="BA104" s="490" t="str">
        <f t="shared" si="4"/>
        <v>SUM_PFC</v>
      </c>
      <c r="BB104" s="581" t="str">
        <f t="shared" si="5"/>
        <v>SUM_EnergyIN</v>
      </c>
      <c r="BC104" s="602"/>
      <c r="BD104" s="23"/>
    </row>
    <row r="105" spans="1:56" x14ac:dyDescent="0.2">
      <c r="A105" s="602"/>
      <c r="B105" s="214"/>
      <c r="C105" s="539">
        <v>3</v>
      </c>
      <c r="D105" s="671"/>
      <c r="E105" s="596"/>
      <c r="F105" s="597"/>
      <c r="G105" s="598"/>
      <c r="H105" s="775"/>
      <c r="I105" s="776"/>
      <c r="J105" s="775"/>
      <c r="K105" s="776"/>
      <c r="L105" s="776"/>
      <c r="M105" s="776"/>
      <c r="N105" s="775"/>
      <c r="O105" s="774"/>
      <c r="P105" s="775"/>
      <c r="Q105" s="774"/>
      <c r="R105" s="775"/>
      <c r="S105" s="774"/>
      <c r="T105" s="775"/>
      <c r="U105" s="774"/>
      <c r="V105" s="774"/>
      <c r="W105" s="774"/>
      <c r="X105" s="774"/>
      <c r="Y105" s="774"/>
      <c r="Z105" s="774"/>
      <c r="AA105" s="774"/>
      <c r="AB105" s="774"/>
      <c r="AC105" s="774"/>
      <c r="AD105" s="774"/>
      <c r="AE105" s="774"/>
      <c r="AF105" s="774"/>
      <c r="AG105" s="597"/>
      <c r="AH105" s="597"/>
      <c r="AI105" s="597"/>
      <c r="AJ105" s="597"/>
      <c r="AK105" s="597"/>
      <c r="AL105" s="597"/>
      <c r="AM105" s="597"/>
      <c r="AN105" s="597"/>
      <c r="AO105" s="597"/>
      <c r="AP105" s="601"/>
      <c r="AQ105" s="601"/>
      <c r="AR105" s="601"/>
      <c r="AS105" s="601"/>
      <c r="AT105" s="597"/>
      <c r="AU105" s="600"/>
      <c r="AV105" s="600"/>
      <c r="AW105" s="600"/>
      <c r="AX105" s="597"/>
      <c r="AY105" s="597"/>
      <c r="AZ105" s="214"/>
      <c r="BA105" s="490" t="str">
        <f t="shared" si="4"/>
        <v>SUM_PFC</v>
      </c>
      <c r="BB105" s="581" t="str">
        <f t="shared" si="5"/>
        <v>SUM_EnergyIN</v>
      </c>
      <c r="BC105" s="602"/>
      <c r="BD105" s="23"/>
    </row>
    <row r="106" spans="1:56" x14ac:dyDescent="0.2">
      <c r="A106" s="602"/>
      <c r="B106" s="214"/>
      <c r="C106" s="539">
        <v>4</v>
      </c>
      <c r="D106" s="671"/>
      <c r="E106" s="596"/>
      <c r="F106" s="597"/>
      <c r="G106" s="598"/>
      <c r="H106" s="775"/>
      <c r="I106" s="776"/>
      <c r="J106" s="775"/>
      <c r="K106" s="776"/>
      <c r="L106" s="776"/>
      <c r="M106" s="776"/>
      <c r="N106" s="775"/>
      <c r="O106" s="774"/>
      <c r="P106" s="775"/>
      <c r="Q106" s="774"/>
      <c r="R106" s="775"/>
      <c r="S106" s="774"/>
      <c r="T106" s="775"/>
      <c r="U106" s="774"/>
      <c r="V106" s="774"/>
      <c r="W106" s="774"/>
      <c r="X106" s="774"/>
      <c r="Y106" s="774"/>
      <c r="Z106" s="774"/>
      <c r="AA106" s="774"/>
      <c r="AB106" s="774"/>
      <c r="AC106" s="774"/>
      <c r="AD106" s="774"/>
      <c r="AE106" s="774"/>
      <c r="AF106" s="774"/>
      <c r="AG106" s="597"/>
      <c r="AH106" s="597"/>
      <c r="AI106" s="597"/>
      <c r="AJ106" s="597"/>
      <c r="AK106" s="597"/>
      <c r="AL106" s="597"/>
      <c r="AM106" s="597"/>
      <c r="AN106" s="597"/>
      <c r="AO106" s="597"/>
      <c r="AP106" s="601"/>
      <c r="AQ106" s="601"/>
      <c r="AR106" s="601"/>
      <c r="AS106" s="601"/>
      <c r="AT106" s="597"/>
      <c r="AU106" s="600"/>
      <c r="AV106" s="600"/>
      <c r="AW106" s="600"/>
      <c r="AX106" s="597"/>
      <c r="AY106" s="597"/>
      <c r="AZ106" s="214"/>
      <c r="BA106" s="490" t="str">
        <f t="shared" si="4"/>
        <v>SUM_PFC</v>
      </c>
      <c r="BB106" s="581" t="str">
        <f t="shared" si="5"/>
        <v>SUM_EnergyIN</v>
      </c>
      <c r="BC106" s="602"/>
      <c r="BD106" s="23"/>
    </row>
    <row r="107" spans="1:56" x14ac:dyDescent="0.2">
      <c r="A107" s="602"/>
      <c r="B107" s="214"/>
      <c r="C107" s="539">
        <v>5</v>
      </c>
      <c r="D107" s="671"/>
      <c r="E107" s="596"/>
      <c r="F107" s="597"/>
      <c r="G107" s="598"/>
      <c r="H107" s="775"/>
      <c r="I107" s="776"/>
      <c r="J107" s="775"/>
      <c r="K107" s="776"/>
      <c r="L107" s="776"/>
      <c r="M107" s="776"/>
      <c r="N107" s="775"/>
      <c r="O107" s="774"/>
      <c r="P107" s="775"/>
      <c r="Q107" s="774"/>
      <c r="R107" s="775"/>
      <c r="S107" s="774"/>
      <c r="T107" s="775"/>
      <c r="U107" s="774"/>
      <c r="V107" s="774"/>
      <c r="W107" s="774"/>
      <c r="X107" s="774"/>
      <c r="Y107" s="774"/>
      <c r="Z107" s="774"/>
      <c r="AA107" s="774"/>
      <c r="AB107" s="774"/>
      <c r="AC107" s="774"/>
      <c r="AD107" s="774"/>
      <c r="AE107" s="774"/>
      <c r="AF107" s="774"/>
      <c r="AG107" s="597"/>
      <c r="AH107" s="597"/>
      <c r="AI107" s="597"/>
      <c r="AJ107" s="597"/>
      <c r="AK107" s="597"/>
      <c r="AL107" s="597"/>
      <c r="AM107" s="597"/>
      <c r="AN107" s="597"/>
      <c r="AO107" s="597"/>
      <c r="AP107" s="601"/>
      <c r="AQ107" s="601"/>
      <c r="AR107" s="601"/>
      <c r="AS107" s="601"/>
      <c r="AT107" s="597"/>
      <c r="AU107" s="600"/>
      <c r="AV107" s="600"/>
      <c r="AW107" s="600"/>
      <c r="AX107" s="597"/>
      <c r="AY107" s="597"/>
      <c r="AZ107" s="214"/>
      <c r="BA107" s="490" t="str">
        <f t="shared" si="4"/>
        <v>SUM_PFC</v>
      </c>
      <c r="BB107" s="581" t="str">
        <f t="shared" si="5"/>
        <v>SUM_EnergyIN</v>
      </c>
      <c r="BC107" s="602"/>
      <c r="BD107" s="23"/>
    </row>
    <row r="108" spans="1:56" x14ac:dyDescent="0.2">
      <c r="A108" s="602"/>
      <c r="B108" s="214"/>
      <c r="C108" s="539">
        <v>6</v>
      </c>
      <c r="D108" s="671"/>
      <c r="E108" s="596"/>
      <c r="F108" s="597"/>
      <c r="G108" s="598"/>
      <c r="H108" s="775"/>
      <c r="I108" s="776"/>
      <c r="J108" s="775"/>
      <c r="K108" s="776"/>
      <c r="L108" s="776"/>
      <c r="M108" s="776"/>
      <c r="N108" s="775"/>
      <c r="O108" s="774"/>
      <c r="P108" s="775"/>
      <c r="Q108" s="774"/>
      <c r="R108" s="775"/>
      <c r="S108" s="774"/>
      <c r="T108" s="775"/>
      <c r="U108" s="774"/>
      <c r="V108" s="774"/>
      <c r="W108" s="774"/>
      <c r="X108" s="774"/>
      <c r="Y108" s="774"/>
      <c r="Z108" s="774"/>
      <c r="AA108" s="774"/>
      <c r="AB108" s="774"/>
      <c r="AC108" s="774"/>
      <c r="AD108" s="774"/>
      <c r="AE108" s="774"/>
      <c r="AF108" s="774"/>
      <c r="AG108" s="597"/>
      <c r="AH108" s="597"/>
      <c r="AI108" s="597"/>
      <c r="AJ108" s="597"/>
      <c r="AK108" s="597"/>
      <c r="AL108" s="597"/>
      <c r="AM108" s="597"/>
      <c r="AN108" s="597"/>
      <c r="AO108" s="597"/>
      <c r="AP108" s="601"/>
      <c r="AQ108" s="601"/>
      <c r="AR108" s="601"/>
      <c r="AS108" s="601"/>
      <c r="AT108" s="597"/>
      <c r="AU108" s="600"/>
      <c r="AV108" s="600"/>
      <c r="AW108" s="600"/>
      <c r="AX108" s="597"/>
      <c r="AY108" s="597"/>
      <c r="AZ108" s="214"/>
      <c r="BA108" s="490" t="str">
        <f t="shared" si="4"/>
        <v>SUM_PFC</v>
      </c>
      <c r="BB108" s="581" t="str">
        <f t="shared" si="5"/>
        <v>SUM_EnergyIN</v>
      </c>
      <c r="BC108" s="602"/>
      <c r="BD108" s="23"/>
    </row>
    <row r="109" spans="1:56" x14ac:dyDescent="0.2">
      <c r="A109" s="602"/>
      <c r="B109" s="214"/>
      <c r="C109" s="539">
        <v>7</v>
      </c>
      <c r="D109" s="671"/>
      <c r="E109" s="596"/>
      <c r="F109" s="597"/>
      <c r="G109" s="598"/>
      <c r="H109" s="775"/>
      <c r="I109" s="776"/>
      <c r="J109" s="775"/>
      <c r="K109" s="776"/>
      <c r="L109" s="776"/>
      <c r="M109" s="776"/>
      <c r="N109" s="775"/>
      <c r="O109" s="774"/>
      <c r="P109" s="775"/>
      <c r="Q109" s="774"/>
      <c r="R109" s="775"/>
      <c r="S109" s="774"/>
      <c r="T109" s="775"/>
      <c r="U109" s="774"/>
      <c r="V109" s="774"/>
      <c r="W109" s="774"/>
      <c r="X109" s="774"/>
      <c r="Y109" s="774"/>
      <c r="Z109" s="774"/>
      <c r="AA109" s="774"/>
      <c r="AB109" s="774"/>
      <c r="AC109" s="774"/>
      <c r="AD109" s="774"/>
      <c r="AE109" s="774"/>
      <c r="AF109" s="774"/>
      <c r="AG109" s="597"/>
      <c r="AH109" s="597"/>
      <c r="AI109" s="597"/>
      <c r="AJ109" s="597"/>
      <c r="AK109" s="597"/>
      <c r="AL109" s="597"/>
      <c r="AM109" s="597"/>
      <c r="AN109" s="597"/>
      <c r="AO109" s="597"/>
      <c r="AP109" s="601"/>
      <c r="AQ109" s="601"/>
      <c r="AR109" s="601"/>
      <c r="AS109" s="601"/>
      <c r="AT109" s="597"/>
      <c r="AU109" s="600"/>
      <c r="AV109" s="600"/>
      <c r="AW109" s="600"/>
      <c r="AX109" s="597"/>
      <c r="AY109" s="597"/>
      <c r="AZ109" s="214"/>
      <c r="BA109" s="490" t="str">
        <f t="shared" si="4"/>
        <v>SUM_PFC</v>
      </c>
      <c r="BB109" s="581" t="str">
        <f t="shared" si="5"/>
        <v>SUM_EnergyIN</v>
      </c>
      <c r="BC109" s="602"/>
      <c r="BD109" s="23"/>
    </row>
    <row r="110" spans="1:56" x14ac:dyDescent="0.2">
      <c r="A110" s="602"/>
      <c r="B110" s="214"/>
      <c r="C110" s="539">
        <v>8</v>
      </c>
      <c r="D110" s="671"/>
      <c r="E110" s="596"/>
      <c r="F110" s="597"/>
      <c r="G110" s="598"/>
      <c r="H110" s="775"/>
      <c r="I110" s="776"/>
      <c r="J110" s="775"/>
      <c r="K110" s="776"/>
      <c r="L110" s="776"/>
      <c r="M110" s="776"/>
      <c r="N110" s="775"/>
      <c r="O110" s="774"/>
      <c r="P110" s="775"/>
      <c r="Q110" s="774"/>
      <c r="R110" s="775"/>
      <c r="S110" s="774"/>
      <c r="T110" s="775"/>
      <c r="U110" s="774"/>
      <c r="V110" s="774"/>
      <c r="W110" s="774"/>
      <c r="X110" s="774"/>
      <c r="Y110" s="774"/>
      <c r="Z110" s="774"/>
      <c r="AA110" s="774"/>
      <c r="AB110" s="774"/>
      <c r="AC110" s="774"/>
      <c r="AD110" s="774"/>
      <c r="AE110" s="774"/>
      <c r="AF110" s="774"/>
      <c r="AG110" s="597"/>
      <c r="AH110" s="597"/>
      <c r="AI110" s="597"/>
      <c r="AJ110" s="597"/>
      <c r="AK110" s="597"/>
      <c r="AL110" s="597"/>
      <c r="AM110" s="597"/>
      <c r="AN110" s="597"/>
      <c r="AO110" s="597"/>
      <c r="AP110" s="601"/>
      <c r="AQ110" s="601"/>
      <c r="AR110" s="601"/>
      <c r="AS110" s="601"/>
      <c r="AT110" s="597"/>
      <c r="AU110" s="600"/>
      <c r="AV110" s="600"/>
      <c r="AW110" s="600"/>
      <c r="AX110" s="597"/>
      <c r="AY110" s="597"/>
      <c r="AZ110" s="214"/>
      <c r="BA110" s="490" t="str">
        <f t="shared" si="4"/>
        <v>SUM_PFC</v>
      </c>
      <c r="BB110" s="581" t="str">
        <f t="shared" si="5"/>
        <v>SUM_EnergyIN</v>
      </c>
      <c r="BC110" s="602"/>
      <c r="BD110" s="23"/>
    </row>
    <row r="111" spans="1:56" x14ac:dyDescent="0.2">
      <c r="A111" s="602"/>
      <c r="B111" s="214"/>
      <c r="C111" s="539">
        <v>9</v>
      </c>
      <c r="D111" s="671"/>
      <c r="E111" s="596"/>
      <c r="F111" s="597"/>
      <c r="G111" s="598"/>
      <c r="H111" s="775"/>
      <c r="I111" s="776"/>
      <c r="J111" s="775"/>
      <c r="K111" s="776"/>
      <c r="L111" s="776"/>
      <c r="M111" s="776"/>
      <c r="N111" s="775"/>
      <c r="O111" s="774"/>
      <c r="P111" s="775"/>
      <c r="Q111" s="774"/>
      <c r="R111" s="775"/>
      <c r="S111" s="774"/>
      <c r="T111" s="775"/>
      <c r="U111" s="774"/>
      <c r="V111" s="774"/>
      <c r="W111" s="774"/>
      <c r="X111" s="774"/>
      <c r="Y111" s="774"/>
      <c r="Z111" s="774"/>
      <c r="AA111" s="774"/>
      <c r="AB111" s="774"/>
      <c r="AC111" s="774"/>
      <c r="AD111" s="774"/>
      <c r="AE111" s="774"/>
      <c r="AF111" s="774"/>
      <c r="AG111" s="597"/>
      <c r="AH111" s="597"/>
      <c r="AI111" s="597"/>
      <c r="AJ111" s="597"/>
      <c r="AK111" s="597"/>
      <c r="AL111" s="597"/>
      <c r="AM111" s="597"/>
      <c r="AN111" s="597"/>
      <c r="AO111" s="597"/>
      <c r="AP111" s="601"/>
      <c r="AQ111" s="601"/>
      <c r="AR111" s="601"/>
      <c r="AS111" s="601"/>
      <c r="AT111" s="597"/>
      <c r="AU111" s="600"/>
      <c r="AV111" s="600"/>
      <c r="AW111" s="600"/>
      <c r="AX111" s="597"/>
      <c r="AY111" s="597"/>
      <c r="AZ111" s="214"/>
      <c r="BA111" s="490" t="str">
        <f t="shared" si="4"/>
        <v>SUM_PFC</v>
      </c>
      <c r="BB111" s="581" t="str">
        <f t="shared" si="5"/>
        <v>SUM_EnergyIN</v>
      </c>
      <c r="BC111" s="602"/>
      <c r="BD111" s="23"/>
    </row>
    <row r="112" spans="1:56" x14ac:dyDescent="0.2">
      <c r="A112" s="602"/>
      <c r="B112" s="214"/>
      <c r="C112" s="539">
        <v>10</v>
      </c>
      <c r="D112" s="671"/>
      <c r="E112" s="596"/>
      <c r="F112" s="597"/>
      <c r="G112" s="598"/>
      <c r="H112" s="775"/>
      <c r="I112" s="776"/>
      <c r="J112" s="775"/>
      <c r="K112" s="776"/>
      <c r="L112" s="776"/>
      <c r="M112" s="776"/>
      <c r="N112" s="775"/>
      <c r="O112" s="774"/>
      <c r="P112" s="775"/>
      <c r="Q112" s="774"/>
      <c r="R112" s="775"/>
      <c r="S112" s="774"/>
      <c r="T112" s="775"/>
      <c r="U112" s="774"/>
      <c r="V112" s="774"/>
      <c r="W112" s="774"/>
      <c r="X112" s="774"/>
      <c r="Y112" s="774"/>
      <c r="Z112" s="774"/>
      <c r="AA112" s="774"/>
      <c r="AB112" s="774"/>
      <c r="AC112" s="774"/>
      <c r="AD112" s="774"/>
      <c r="AE112" s="774"/>
      <c r="AF112" s="774"/>
      <c r="AG112" s="597"/>
      <c r="AH112" s="597"/>
      <c r="AI112" s="597"/>
      <c r="AJ112" s="597"/>
      <c r="AK112" s="597"/>
      <c r="AL112" s="597"/>
      <c r="AM112" s="597"/>
      <c r="AN112" s="597"/>
      <c r="AO112" s="597"/>
      <c r="AP112" s="601"/>
      <c r="AQ112" s="601"/>
      <c r="AR112" s="601"/>
      <c r="AS112" s="601"/>
      <c r="AT112" s="597"/>
      <c r="AU112" s="600"/>
      <c r="AV112" s="600"/>
      <c r="AW112" s="600"/>
      <c r="AX112" s="597"/>
      <c r="AY112" s="597"/>
      <c r="AZ112" s="214"/>
      <c r="BA112" s="490" t="str">
        <f t="shared" si="4"/>
        <v>SUM_PFC</v>
      </c>
      <c r="BB112" s="581" t="str">
        <f t="shared" si="5"/>
        <v>SUM_EnergyIN</v>
      </c>
      <c r="BC112" s="602"/>
      <c r="BD112" s="23"/>
    </row>
    <row r="113" spans="1:56" x14ac:dyDescent="0.2">
      <c r="A113" s="602"/>
      <c r="B113" s="214"/>
      <c r="F113" s="540"/>
      <c r="G113" s="24"/>
      <c r="H113" s="540"/>
      <c r="I113" s="24"/>
      <c r="J113" s="540"/>
      <c r="K113" s="24"/>
      <c r="L113" s="24"/>
      <c r="M113" s="24"/>
      <c r="N113" s="540"/>
      <c r="O113" s="541"/>
      <c r="P113" s="540"/>
      <c r="Q113" s="541"/>
      <c r="R113" s="540"/>
      <c r="S113" s="541"/>
      <c r="T113" s="540"/>
      <c r="U113" s="541"/>
      <c r="V113" s="541"/>
      <c r="W113" s="541"/>
      <c r="X113" s="541"/>
      <c r="Y113" s="541"/>
      <c r="Z113" s="541"/>
      <c r="AA113" s="541"/>
      <c r="AB113" s="541"/>
      <c r="AC113" s="541"/>
      <c r="AD113" s="541"/>
      <c r="AE113" s="541"/>
      <c r="AF113" s="541"/>
      <c r="AG113" s="541"/>
      <c r="AH113" s="541"/>
      <c r="AI113" s="541"/>
      <c r="AJ113" s="541"/>
      <c r="AK113" s="541"/>
      <c r="AL113" s="541"/>
      <c r="AM113" s="541"/>
      <c r="AN113" s="541"/>
      <c r="AO113" s="541"/>
      <c r="AP113" s="541"/>
      <c r="AQ113" s="541"/>
      <c r="AR113" s="541"/>
      <c r="AS113" s="541"/>
      <c r="AT113" s="541"/>
      <c r="AU113" s="542"/>
      <c r="AV113" s="542"/>
      <c r="AW113" s="542"/>
      <c r="AX113" s="540"/>
      <c r="AY113" s="540"/>
      <c r="AZ113" s="214"/>
      <c r="BA113" s="602"/>
      <c r="BB113" s="602"/>
      <c r="BC113" s="602"/>
      <c r="BD113" s="23"/>
    </row>
    <row r="114" spans="1:56" ht="50.1" customHeight="1" thickBot="1" x14ac:dyDescent="0.45">
      <c r="A114" s="602"/>
      <c r="B114" s="214"/>
      <c r="C114" s="95"/>
      <c r="D114" s="532" t="str">
        <f>Translations!$B$344</f>
        <v>Emisiju avoti (mērījumos balstītas pieejas)</v>
      </c>
      <c r="E114" s="214"/>
      <c r="F114" s="214"/>
      <c r="G114" s="214"/>
      <c r="H114" s="214"/>
      <c r="I114" s="214"/>
      <c r="J114" s="214"/>
      <c r="K114" s="214"/>
      <c r="L114" s="214"/>
      <c r="N114" s="214"/>
      <c r="O114" s="214"/>
      <c r="P114" s="214"/>
      <c r="Q114" s="214"/>
      <c r="R114" s="214"/>
      <c r="S114" s="214"/>
      <c r="T114" s="214"/>
      <c r="U114" s="214"/>
      <c r="V114" s="214"/>
      <c r="W114" s="214"/>
      <c r="X114" s="214"/>
      <c r="Y114" s="214"/>
      <c r="Z114" s="214"/>
      <c r="AA114" s="214"/>
      <c r="AB114" s="214"/>
      <c r="AC114" s="214"/>
      <c r="AD114" s="214"/>
      <c r="AE114" s="214"/>
      <c r="AF114" s="673"/>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602"/>
      <c r="BB114" s="602"/>
      <c r="BC114" s="602"/>
      <c r="BD114" s="23"/>
    </row>
    <row r="115" spans="1:56" ht="50.1" customHeight="1" thickBot="1" x14ac:dyDescent="0.25">
      <c r="A115" s="602"/>
      <c r="B115" s="214"/>
      <c r="C115" s="533" t="s">
        <v>466</v>
      </c>
      <c r="D115" s="534" t="str">
        <f>Translations!$B$282</f>
        <v>Metode</v>
      </c>
      <c r="E115" s="534" t="str">
        <f>Translations!$B$340</f>
        <v>Nosaukums</v>
      </c>
      <c r="F115" s="535" t="str">
        <f>Translations!$B$284</f>
        <v>Darbības dati</v>
      </c>
      <c r="G115" s="535" t="str">
        <f>Translations!$B$285</f>
        <v>DD vienība</v>
      </c>
      <c r="H115" s="535" t="str">
        <f>Translations!$B$286</f>
        <v>NCV</v>
      </c>
      <c r="I115" s="535" t="str">
        <f>Translations!$B$287</f>
        <v>NCV vienība</v>
      </c>
      <c r="J115" s="535" t="str">
        <f>Translations!$B$288</f>
        <v>EF</v>
      </c>
      <c r="K115" s="535" t="str">
        <f>Translations!$B$289</f>
        <v>EF vienība</v>
      </c>
      <c r="L115" s="535" t="str">
        <f>Translations!$B$290</f>
        <v>C saturs</v>
      </c>
      <c r="M115" s="535" t="str">
        <f>Translations!$B$291</f>
        <v>C satura vienība</v>
      </c>
      <c r="N115" s="535" t="str">
        <f>Translations!$B$292</f>
        <v>Oksid. koef.</v>
      </c>
      <c r="O115" s="535" t="str">
        <f>Translations!$B$293</f>
        <v>OK vienība</v>
      </c>
      <c r="P115" s="535" t="str">
        <f>Translations!$B$294</f>
        <v>Pārrēķina koef.</v>
      </c>
      <c r="Q115" s="535" t="str">
        <f>Translations!$B$295</f>
        <v>PK vienība</v>
      </c>
      <c r="R115" s="535" t="str">
        <f>Translations!$B$296</f>
        <v>Biomasas saturs</v>
      </c>
      <c r="S115" s="535" t="str">
        <f>Translations!$B$297</f>
        <v>BS vienība</v>
      </c>
      <c r="T115" s="535" t="str">
        <f>Translations!$B$298</f>
        <v>ilgtnesp. BS</v>
      </c>
      <c r="U115" s="535" t="str">
        <f>Translations!$B$299</f>
        <v>ilgtnesp. BS vienība</v>
      </c>
      <c r="V115" s="535" t="str">
        <f>Translations!$B$300</f>
        <v>SEG konc. vidējā vērtība h</v>
      </c>
      <c r="W115" s="535" t="str">
        <f>Translations!$B$301</f>
        <v>SEG konc. h vienība</v>
      </c>
      <c r="X115" s="535" t="str">
        <f>Translations!$B$302</f>
        <v>ekspluatācijas stundas</v>
      </c>
      <c r="Y115" s="535" t="str">
        <f>Translations!$B$303</f>
        <v>ekspluatācijas stundu vienība</v>
      </c>
      <c r="Z115" s="535" t="str">
        <f>Translations!$B$304</f>
        <v>Dūmgāzes (vidēji)</v>
      </c>
      <c r="AA115" s="535" t="str">
        <f>Translations!$B$305</f>
        <v>Dūmgāzes (vidēji), vienība</v>
      </c>
      <c r="AB115" s="535" t="str">
        <f>Translations!$B$306</f>
        <v>Dūmgāzes (kopā)</v>
      </c>
      <c r="AC115" s="535" t="str">
        <f>Translations!$B$307</f>
        <v>Dūmgāzes (kopā), vienība</v>
      </c>
      <c r="AD115" s="535" t="str">
        <f>Translations!$B$308</f>
        <v>SEG daudzums gadā</v>
      </c>
      <c r="AE115" s="535" t="str">
        <f>Translations!$B$309</f>
        <v>SEG daudzums gadā, vienība</v>
      </c>
      <c r="AF115" s="535" t="str">
        <f>Translations!$B$310</f>
        <v>GWP (t CO2 e/t)</v>
      </c>
      <c r="AG115" s="535" t="str">
        <f>Translations!$B$311</f>
        <v>A: biežums</v>
      </c>
      <c r="AH115" s="535" t="str">
        <f>Translations!$B$312</f>
        <v>A: ilgums</v>
      </c>
      <c r="AI115" s="535" t="str">
        <f>Translations!$B$313</f>
        <v>A: SEF (CF4)</v>
      </c>
      <c r="AJ115" s="535" t="str">
        <f>Translations!$B$314</f>
        <v>B: AEO</v>
      </c>
      <c r="AK115" s="535" t="str">
        <f>Translations!$B$315</f>
        <v>B: CE</v>
      </c>
      <c r="AL115" s="535" t="str">
        <f>Translations!$B$316</f>
        <v>B: OVC</v>
      </c>
      <c r="AM115" s="535" t="str">
        <f>Translations!$B$317</f>
        <v>F (C2F6)</v>
      </c>
      <c r="AN115" s="535" t="str">
        <f>Translations!$B$318</f>
        <v>CF4 emisijas (t CF4)</v>
      </c>
      <c r="AO115" s="535" t="str">
        <f>Translations!$B$319</f>
        <v>C2F6 emisijas (t C2F6)</v>
      </c>
      <c r="AP115" s="535" t="str">
        <f>Translations!$B$320</f>
        <v>GWP (CF4) (t CO2 e/t)</v>
      </c>
      <c r="AQ115" s="535" t="str">
        <f>Translations!$B$321</f>
        <v>GWP (C2F6) (t CO2 e/t)</v>
      </c>
      <c r="AR115" s="535" t="str">
        <f>Translations!$B$322</f>
        <v>CF4 emisijas (t CO2e)</v>
      </c>
      <c r="AS115" s="535" t="str">
        <f>Translations!$B$323</f>
        <v>C2F6 emisijas (t CO2 e)</v>
      </c>
      <c r="AT115" s="535" t="str">
        <f>Translations!$B$324</f>
        <v>Uztveršanas efektivitāte, %</v>
      </c>
      <c r="AU115" s="535" t="str">
        <f>Translations!$B$325</f>
        <v>CO2 e, fosilie avoti (t)</v>
      </c>
      <c r="AV115" s="535" t="str">
        <f>Translations!$B$326</f>
        <v>CO2 e bio (t)</v>
      </c>
      <c r="AW115" s="535" t="str">
        <f>Translations!$B$327</f>
        <v>CO2 e, ilgtnesp. biomasa (t)</v>
      </c>
      <c r="AX115" s="536" t="str">
        <f>Translations!$B$328</f>
        <v>Enerģētiskais saturs (fosilie avoti), TJ</v>
      </c>
      <c r="AY115" s="537" t="str">
        <f>Translations!$B$329</f>
        <v>Enerģētiskais saturs (biomasa), TJ</v>
      </c>
      <c r="AZ115" s="214"/>
      <c r="BA115" s="602"/>
      <c r="BB115" s="602"/>
      <c r="BC115" s="602"/>
      <c r="BD115" s="23"/>
    </row>
    <row r="116" spans="1:56" ht="12.75" customHeight="1" x14ac:dyDescent="0.2">
      <c r="A116" s="602"/>
      <c r="B116" s="214"/>
      <c r="C116" s="543" t="str">
        <f>Translations!$B$330</f>
        <v>1. piem.</v>
      </c>
      <c r="D116" s="686" t="s">
        <v>372</v>
      </c>
      <c r="E116" s="686" t="str">
        <f>Translations!$B$345</f>
        <v>Slāpekļskābe, 1. līnija</v>
      </c>
      <c r="F116" s="775"/>
      <c r="G116" s="776"/>
      <c r="H116" s="775"/>
      <c r="I116" s="776"/>
      <c r="J116" s="775"/>
      <c r="K116" s="776"/>
      <c r="L116" s="776"/>
      <c r="M116" s="776"/>
      <c r="N116" s="775"/>
      <c r="O116" s="774"/>
      <c r="P116" s="775"/>
      <c r="Q116" s="774"/>
      <c r="R116" s="691">
        <v>0</v>
      </c>
      <c r="S116" s="688" t="s">
        <v>393</v>
      </c>
      <c r="T116" s="691">
        <v>0</v>
      </c>
      <c r="U116" s="688" t="s">
        <v>393</v>
      </c>
      <c r="V116" s="691">
        <v>64.292500000000004</v>
      </c>
      <c r="W116" s="688" t="s">
        <v>513</v>
      </c>
      <c r="X116" s="691">
        <v>4</v>
      </c>
      <c r="Y116" s="688" t="str">
        <f>Translations!$B$346</f>
        <v>h gadā</v>
      </c>
      <c r="Z116" s="691">
        <v>265</v>
      </c>
      <c r="AA116" s="688" t="str">
        <f>Translations!$B$347</f>
        <v>1000 Nm3/h</v>
      </c>
      <c r="AB116" s="691">
        <v>1060</v>
      </c>
      <c r="AC116" s="688" t="str">
        <f>Translations!$B$348</f>
        <v>1000 Nm3 gadā</v>
      </c>
      <c r="AD116" s="691">
        <v>68</v>
      </c>
      <c r="AE116" s="688" t="s">
        <v>205</v>
      </c>
      <c r="AF116" s="691">
        <v>298</v>
      </c>
      <c r="AG116" s="777"/>
      <c r="AH116" s="777"/>
      <c r="AI116" s="777"/>
      <c r="AJ116" s="777"/>
      <c r="AK116" s="777"/>
      <c r="AL116" s="777"/>
      <c r="AM116" s="777"/>
      <c r="AN116" s="777"/>
      <c r="AO116" s="777"/>
      <c r="AP116" s="777"/>
      <c r="AQ116" s="777"/>
      <c r="AR116" s="777"/>
      <c r="AS116" s="777"/>
      <c r="AT116" s="777"/>
      <c r="AU116" s="689">
        <v>20308.714900000003</v>
      </c>
      <c r="AV116" s="689">
        <v>0</v>
      </c>
      <c r="AW116" s="689">
        <v>0</v>
      </c>
      <c r="AX116" s="691">
        <v>0</v>
      </c>
      <c r="AY116" s="691">
        <v>0</v>
      </c>
      <c r="AZ116" s="214"/>
      <c r="BA116" s="602"/>
      <c r="BB116" s="602"/>
      <c r="BC116" s="602"/>
      <c r="BD116" s="23"/>
    </row>
    <row r="117" spans="1:56" ht="12.75" customHeight="1" x14ac:dyDescent="0.2">
      <c r="A117" s="602"/>
      <c r="B117" s="214"/>
      <c r="C117" s="543" t="str">
        <f>Translations!$B$333</f>
        <v>2. piem.</v>
      </c>
      <c r="D117" s="686" t="str">
        <f>Translations!$B$349</f>
        <v>CO2 pārvade</v>
      </c>
      <c r="E117" s="686" t="str">
        <f>Translations!$B$350</f>
        <v>Pārvade uz ES ETS iekārtu X</v>
      </c>
      <c r="F117" s="775"/>
      <c r="G117" s="776"/>
      <c r="H117" s="775"/>
      <c r="I117" s="776"/>
      <c r="J117" s="775"/>
      <c r="K117" s="776"/>
      <c r="L117" s="776"/>
      <c r="M117" s="776"/>
      <c r="N117" s="775"/>
      <c r="O117" s="774"/>
      <c r="P117" s="775"/>
      <c r="Q117" s="774"/>
      <c r="R117" s="691">
        <v>0</v>
      </c>
      <c r="S117" s="688" t="s">
        <v>393</v>
      </c>
      <c r="T117" s="691">
        <v>0</v>
      </c>
      <c r="U117" s="688" t="s">
        <v>393</v>
      </c>
      <c r="V117" s="691">
        <v>1820</v>
      </c>
      <c r="W117" s="688" t="s">
        <v>513</v>
      </c>
      <c r="X117" s="691">
        <v>5000</v>
      </c>
      <c r="Y117" s="688" t="str">
        <f>Translations!$B$346</f>
        <v>h gadā</v>
      </c>
      <c r="Z117" s="691">
        <v>50</v>
      </c>
      <c r="AA117" s="688" t="str">
        <f>Translations!$B$347</f>
        <v>1000 Nm3/h</v>
      </c>
      <c r="AB117" s="691">
        <v>250000</v>
      </c>
      <c r="AC117" s="688" t="str">
        <f>Translations!$B$348</f>
        <v>1000 Nm3 gadā</v>
      </c>
      <c r="AD117" s="691">
        <v>455000</v>
      </c>
      <c r="AE117" s="688" t="s">
        <v>205</v>
      </c>
      <c r="AF117" s="691">
        <v>1</v>
      </c>
      <c r="AG117" s="777"/>
      <c r="AH117" s="777"/>
      <c r="AI117" s="777"/>
      <c r="AJ117" s="777"/>
      <c r="AK117" s="777"/>
      <c r="AL117" s="777"/>
      <c r="AM117" s="777"/>
      <c r="AN117" s="777"/>
      <c r="AO117" s="777"/>
      <c r="AP117" s="777"/>
      <c r="AQ117" s="777"/>
      <c r="AR117" s="777"/>
      <c r="AS117" s="777"/>
      <c r="AT117" s="777"/>
      <c r="AU117" s="689">
        <v>-455000</v>
      </c>
      <c r="AV117" s="689">
        <v>0</v>
      </c>
      <c r="AW117" s="689">
        <v>0</v>
      </c>
      <c r="AX117" s="691">
        <v>0</v>
      </c>
      <c r="AY117" s="691">
        <v>0</v>
      </c>
      <c r="AZ117" s="214"/>
      <c r="BA117" s="602"/>
      <c r="BB117" s="602"/>
      <c r="BC117" s="602"/>
      <c r="BD117" s="23"/>
    </row>
    <row r="118" spans="1:56" x14ac:dyDescent="0.2">
      <c r="A118" s="602"/>
      <c r="B118" s="214"/>
      <c r="C118" s="539">
        <v>1</v>
      </c>
      <c r="D118" s="671"/>
      <c r="E118" s="596"/>
      <c r="F118" s="775"/>
      <c r="G118" s="776"/>
      <c r="H118" s="775"/>
      <c r="I118" s="776"/>
      <c r="J118" s="775"/>
      <c r="K118" s="776"/>
      <c r="L118" s="776"/>
      <c r="M118" s="776"/>
      <c r="N118" s="775"/>
      <c r="O118" s="774"/>
      <c r="P118" s="775"/>
      <c r="Q118" s="774"/>
      <c r="R118" s="601"/>
      <c r="S118" s="599"/>
      <c r="T118" s="601"/>
      <c r="U118" s="599"/>
      <c r="V118" s="601"/>
      <c r="W118" s="599"/>
      <c r="X118" s="601"/>
      <c r="Y118" s="599"/>
      <c r="Z118" s="601"/>
      <c r="AA118" s="599"/>
      <c r="AB118" s="601"/>
      <c r="AC118" s="599"/>
      <c r="AD118" s="601"/>
      <c r="AE118" s="599"/>
      <c r="AF118" s="601"/>
      <c r="AG118" s="777"/>
      <c r="AH118" s="777"/>
      <c r="AI118" s="777"/>
      <c r="AJ118" s="777"/>
      <c r="AK118" s="777"/>
      <c r="AL118" s="777"/>
      <c r="AM118" s="777"/>
      <c r="AN118" s="777"/>
      <c r="AO118" s="777"/>
      <c r="AP118" s="777"/>
      <c r="AQ118" s="777"/>
      <c r="AR118" s="777"/>
      <c r="AS118" s="777"/>
      <c r="AT118" s="777"/>
      <c r="AU118" s="600"/>
      <c r="AV118" s="600"/>
      <c r="AW118" s="600"/>
      <c r="AX118" s="601"/>
      <c r="AY118" s="601"/>
      <c r="AZ118" s="214"/>
      <c r="BA118" s="490" t="str">
        <f t="shared" ref="BA118:BA127" si="6">IF(SUM(AF118)&gt;1,EUconst_SumN2O,IF(SUM(AU118:AV118)&lt;0,EUconst_SumTransferCO2,EUconst_SumCO2))</f>
        <v>SUM_CO2</v>
      </c>
      <c r="BB118" s="581" t="str">
        <f t="shared" ref="BB118:BB127" si="7">EUconst_SumEnergyIN</f>
        <v>SUM_EnergyIN</v>
      </c>
      <c r="BC118" s="602"/>
      <c r="BD118" s="23"/>
    </row>
    <row r="119" spans="1:56" x14ac:dyDescent="0.2">
      <c r="A119" s="602"/>
      <c r="B119" s="214"/>
      <c r="C119" s="539">
        <v>2</v>
      </c>
      <c r="D119" s="671"/>
      <c r="E119" s="596"/>
      <c r="F119" s="775"/>
      <c r="G119" s="776"/>
      <c r="H119" s="775"/>
      <c r="I119" s="776"/>
      <c r="J119" s="775"/>
      <c r="K119" s="776"/>
      <c r="L119" s="776"/>
      <c r="M119" s="776"/>
      <c r="N119" s="775"/>
      <c r="O119" s="774"/>
      <c r="P119" s="775"/>
      <c r="Q119" s="774"/>
      <c r="R119" s="601"/>
      <c r="S119" s="599"/>
      <c r="T119" s="601"/>
      <c r="U119" s="599"/>
      <c r="V119" s="601"/>
      <c r="W119" s="599"/>
      <c r="X119" s="601"/>
      <c r="Y119" s="599"/>
      <c r="Z119" s="601"/>
      <c r="AA119" s="599"/>
      <c r="AB119" s="601"/>
      <c r="AC119" s="599"/>
      <c r="AD119" s="601"/>
      <c r="AE119" s="599"/>
      <c r="AF119" s="601"/>
      <c r="AG119" s="777"/>
      <c r="AH119" s="777"/>
      <c r="AI119" s="777"/>
      <c r="AJ119" s="777"/>
      <c r="AK119" s="777"/>
      <c r="AL119" s="777"/>
      <c r="AM119" s="777"/>
      <c r="AN119" s="777"/>
      <c r="AO119" s="777"/>
      <c r="AP119" s="777"/>
      <c r="AQ119" s="777"/>
      <c r="AR119" s="777"/>
      <c r="AS119" s="777"/>
      <c r="AT119" s="777"/>
      <c r="AU119" s="600"/>
      <c r="AV119" s="600"/>
      <c r="AW119" s="600"/>
      <c r="AX119" s="601"/>
      <c r="AY119" s="601"/>
      <c r="AZ119" s="214"/>
      <c r="BA119" s="490" t="str">
        <f t="shared" si="6"/>
        <v>SUM_CO2</v>
      </c>
      <c r="BB119" s="581" t="str">
        <f t="shared" si="7"/>
        <v>SUM_EnergyIN</v>
      </c>
      <c r="BC119" s="602"/>
      <c r="BD119" s="23"/>
    </row>
    <row r="120" spans="1:56" x14ac:dyDescent="0.2">
      <c r="A120" s="602"/>
      <c r="B120" s="214"/>
      <c r="C120" s="539">
        <v>3</v>
      </c>
      <c r="D120" s="671"/>
      <c r="E120" s="596"/>
      <c r="F120" s="775"/>
      <c r="G120" s="776"/>
      <c r="H120" s="775"/>
      <c r="I120" s="776"/>
      <c r="J120" s="775"/>
      <c r="K120" s="776"/>
      <c r="L120" s="776"/>
      <c r="M120" s="776"/>
      <c r="N120" s="775"/>
      <c r="O120" s="774"/>
      <c r="P120" s="775"/>
      <c r="Q120" s="774"/>
      <c r="R120" s="601"/>
      <c r="S120" s="599"/>
      <c r="T120" s="601"/>
      <c r="U120" s="599"/>
      <c r="V120" s="601"/>
      <c r="W120" s="599"/>
      <c r="X120" s="601"/>
      <c r="Y120" s="599"/>
      <c r="Z120" s="601"/>
      <c r="AA120" s="599"/>
      <c r="AB120" s="601"/>
      <c r="AC120" s="599"/>
      <c r="AD120" s="601"/>
      <c r="AE120" s="599"/>
      <c r="AF120" s="601"/>
      <c r="AG120" s="777"/>
      <c r="AH120" s="777"/>
      <c r="AI120" s="777"/>
      <c r="AJ120" s="777"/>
      <c r="AK120" s="777"/>
      <c r="AL120" s="777"/>
      <c r="AM120" s="777"/>
      <c r="AN120" s="777"/>
      <c r="AO120" s="777"/>
      <c r="AP120" s="777"/>
      <c r="AQ120" s="777"/>
      <c r="AR120" s="777"/>
      <c r="AS120" s="777"/>
      <c r="AT120" s="777"/>
      <c r="AU120" s="600"/>
      <c r="AV120" s="600"/>
      <c r="AW120" s="600"/>
      <c r="AX120" s="601"/>
      <c r="AY120" s="601"/>
      <c r="AZ120" s="214"/>
      <c r="BA120" s="490" t="str">
        <f t="shared" si="6"/>
        <v>SUM_CO2</v>
      </c>
      <c r="BB120" s="581" t="str">
        <f t="shared" si="7"/>
        <v>SUM_EnergyIN</v>
      </c>
      <c r="BC120" s="602"/>
      <c r="BD120" s="23"/>
    </row>
    <row r="121" spans="1:56" x14ac:dyDescent="0.2">
      <c r="A121" s="602"/>
      <c r="B121" s="214"/>
      <c r="C121" s="539">
        <v>4</v>
      </c>
      <c r="D121" s="671"/>
      <c r="E121" s="596"/>
      <c r="F121" s="775"/>
      <c r="G121" s="776"/>
      <c r="H121" s="775"/>
      <c r="I121" s="776"/>
      <c r="J121" s="775"/>
      <c r="K121" s="776"/>
      <c r="L121" s="776"/>
      <c r="M121" s="776"/>
      <c r="N121" s="775"/>
      <c r="O121" s="774"/>
      <c r="P121" s="775"/>
      <c r="Q121" s="774"/>
      <c r="R121" s="601"/>
      <c r="S121" s="599"/>
      <c r="T121" s="601"/>
      <c r="U121" s="599"/>
      <c r="V121" s="601"/>
      <c r="W121" s="599"/>
      <c r="X121" s="601"/>
      <c r="Y121" s="599"/>
      <c r="Z121" s="601"/>
      <c r="AA121" s="599"/>
      <c r="AB121" s="601"/>
      <c r="AC121" s="599"/>
      <c r="AD121" s="601"/>
      <c r="AE121" s="599"/>
      <c r="AF121" s="601"/>
      <c r="AG121" s="777"/>
      <c r="AH121" s="777"/>
      <c r="AI121" s="777"/>
      <c r="AJ121" s="777"/>
      <c r="AK121" s="777"/>
      <c r="AL121" s="777"/>
      <c r="AM121" s="777"/>
      <c r="AN121" s="777"/>
      <c r="AO121" s="777"/>
      <c r="AP121" s="777"/>
      <c r="AQ121" s="777"/>
      <c r="AR121" s="777"/>
      <c r="AS121" s="777"/>
      <c r="AT121" s="777"/>
      <c r="AU121" s="600"/>
      <c r="AV121" s="600"/>
      <c r="AW121" s="600"/>
      <c r="AX121" s="601"/>
      <c r="AY121" s="601"/>
      <c r="AZ121" s="214"/>
      <c r="BA121" s="490" t="str">
        <f t="shared" si="6"/>
        <v>SUM_CO2</v>
      </c>
      <c r="BB121" s="581" t="str">
        <f t="shared" si="7"/>
        <v>SUM_EnergyIN</v>
      </c>
      <c r="BC121" s="602"/>
      <c r="BD121" s="23"/>
    </row>
    <row r="122" spans="1:56" x14ac:dyDescent="0.2">
      <c r="A122" s="602"/>
      <c r="B122" s="214"/>
      <c r="C122" s="539">
        <v>5</v>
      </c>
      <c r="D122" s="671"/>
      <c r="E122" s="596"/>
      <c r="F122" s="775"/>
      <c r="G122" s="776"/>
      <c r="H122" s="775"/>
      <c r="I122" s="776"/>
      <c r="J122" s="775"/>
      <c r="K122" s="776"/>
      <c r="L122" s="776"/>
      <c r="M122" s="776"/>
      <c r="N122" s="775"/>
      <c r="O122" s="774"/>
      <c r="P122" s="775"/>
      <c r="Q122" s="774"/>
      <c r="R122" s="601"/>
      <c r="S122" s="599"/>
      <c r="T122" s="601"/>
      <c r="U122" s="599"/>
      <c r="V122" s="601"/>
      <c r="W122" s="599"/>
      <c r="X122" s="601"/>
      <c r="Y122" s="599"/>
      <c r="Z122" s="601"/>
      <c r="AA122" s="599"/>
      <c r="AB122" s="601"/>
      <c r="AC122" s="599"/>
      <c r="AD122" s="601"/>
      <c r="AE122" s="599"/>
      <c r="AF122" s="601"/>
      <c r="AG122" s="777"/>
      <c r="AH122" s="777"/>
      <c r="AI122" s="777"/>
      <c r="AJ122" s="777"/>
      <c r="AK122" s="777"/>
      <c r="AL122" s="777"/>
      <c r="AM122" s="777"/>
      <c r="AN122" s="777"/>
      <c r="AO122" s="777"/>
      <c r="AP122" s="777"/>
      <c r="AQ122" s="777"/>
      <c r="AR122" s="777"/>
      <c r="AS122" s="777"/>
      <c r="AT122" s="777"/>
      <c r="AU122" s="600"/>
      <c r="AV122" s="600"/>
      <c r="AW122" s="600"/>
      <c r="AX122" s="601"/>
      <c r="AY122" s="601"/>
      <c r="AZ122" s="214"/>
      <c r="BA122" s="490" t="str">
        <f t="shared" si="6"/>
        <v>SUM_CO2</v>
      </c>
      <c r="BB122" s="581" t="str">
        <f t="shared" si="7"/>
        <v>SUM_EnergyIN</v>
      </c>
      <c r="BC122" s="602"/>
      <c r="BD122" s="23"/>
    </row>
    <row r="123" spans="1:56" x14ac:dyDescent="0.2">
      <c r="A123" s="602"/>
      <c r="B123" s="214"/>
      <c r="C123" s="539">
        <v>6</v>
      </c>
      <c r="D123" s="671"/>
      <c r="E123" s="596"/>
      <c r="F123" s="775"/>
      <c r="G123" s="776"/>
      <c r="H123" s="775"/>
      <c r="I123" s="776"/>
      <c r="J123" s="775"/>
      <c r="K123" s="776"/>
      <c r="L123" s="776"/>
      <c r="M123" s="776"/>
      <c r="N123" s="775"/>
      <c r="O123" s="774"/>
      <c r="P123" s="775"/>
      <c r="Q123" s="774"/>
      <c r="R123" s="601"/>
      <c r="S123" s="599"/>
      <c r="T123" s="601"/>
      <c r="U123" s="599"/>
      <c r="V123" s="601"/>
      <c r="W123" s="599"/>
      <c r="X123" s="601"/>
      <c r="Y123" s="599"/>
      <c r="Z123" s="601"/>
      <c r="AA123" s="599"/>
      <c r="AB123" s="601"/>
      <c r="AC123" s="599"/>
      <c r="AD123" s="601"/>
      <c r="AE123" s="599"/>
      <c r="AF123" s="601"/>
      <c r="AG123" s="777"/>
      <c r="AH123" s="777"/>
      <c r="AI123" s="777"/>
      <c r="AJ123" s="777"/>
      <c r="AK123" s="777"/>
      <c r="AL123" s="777"/>
      <c r="AM123" s="777"/>
      <c r="AN123" s="777"/>
      <c r="AO123" s="777"/>
      <c r="AP123" s="777"/>
      <c r="AQ123" s="777"/>
      <c r="AR123" s="777"/>
      <c r="AS123" s="777"/>
      <c r="AT123" s="777"/>
      <c r="AU123" s="600"/>
      <c r="AV123" s="600"/>
      <c r="AW123" s="600"/>
      <c r="AX123" s="601"/>
      <c r="AY123" s="601"/>
      <c r="AZ123" s="214"/>
      <c r="BA123" s="490" t="str">
        <f t="shared" si="6"/>
        <v>SUM_CO2</v>
      </c>
      <c r="BB123" s="581" t="str">
        <f t="shared" si="7"/>
        <v>SUM_EnergyIN</v>
      </c>
      <c r="BC123" s="602"/>
      <c r="BD123" s="23"/>
    </row>
    <row r="124" spans="1:56" x14ac:dyDescent="0.2">
      <c r="A124" s="602"/>
      <c r="B124" s="214"/>
      <c r="C124" s="539">
        <v>7</v>
      </c>
      <c r="D124" s="671"/>
      <c r="E124" s="596"/>
      <c r="F124" s="775"/>
      <c r="G124" s="776"/>
      <c r="H124" s="775"/>
      <c r="I124" s="776"/>
      <c r="J124" s="775"/>
      <c r="K124" s="776"/>
      <c r="L124" s="776"/>
      <c r="M124" s="776"/>
      <c r="N124" s="775"/>
      <c r="O124" s="774"/>
      <c r="P124" s="775"/>
      <c r="Q124" s="774"/>
      <c r="R124" s="601"/>
      <c r="S124" s="599"/>
      <c r="T124" s="601"/>
      <c r="U124" s="599"/>
      <c r="V124" s="601"/>
      <c r="W124" s="599"/>
      <c r="X124" s="601"/>
      <c r="Y124" s="599"/>
      <c r="Z124" s="601"/>
      <c r="AA124" s="599"/>
      <c r="AB124" s="601"/>
      <c r="AC124" s="599"/>
      <c r="AD124" s="601"/>
      <c r="AE124" s="599"/>
      <c r="AF124" s="601"/>
      <c r="AG124" s="777"/>
      <c r="AH124" s="777"/>
      <c r="AI124" s="777"/>
      <c r="AJ124" s="777"/>
      <c r="AK124" s="777"/>
      <c r="AL124" s="777"/>
      <c r="AM124" s="777"/>
      <c r="AN124" s="777"/>
      <c r="AO124" s="777"/>
      <c r="AP124" s="777"/>
      <c r="AQ124" s="777"/>
      <c r="AR124" s="777"/>
      <c r="AS124" s="777"/>
      <c r="AT124" s="777"/>
      <c r="AU124" s="600"/>
      <c r="AV124" s="600"/>
      <c r="AW124" s="600"/>
      <c r="AX124" s="601"/>
      <c r="AY124" s="601"/>
      <c r="AZ124" s="214"/>
      <c r="BA124" s="490" t="str">
        <f t="shared" si="6"/>
        <v>SUM_CO2</v>
      </c>
      <c r="BB124" s="581" t="str">
        <f t="shared" si="7"/>
        <v>SUM_EnergyIN</v>
      </c>
      <c r="BC124" s="602"/>
      <c r="BD124" s="23"/>
    </row>
    <row r="125" spans="1:56" x14ac:dyDescent="0.2">
      <c r="A125" s="602"/>
      <c r="B125" s="214"/>
      <c r="C125" s="539">
        <v>8</v>
      </c>
      <c r="D125" s="671"/>
      <c r="E125" s="596"/>
      <c r="F125" s="775"/>
      <c r="G125" s="776"/>
      <c r="H125" s="775"/>
      <c r="I125" s="776"/>
      <c r="J125" s="775"/>
      <c r="K125" s="776"/>
      <c r="L125" s="776"/>
      <c r="M125" s="776"/>
      <c r="N125" s="775"/>
      <c r="O125" s="774"/>
      <c r="P125" s="775"/>
      <c r="Q125" s="774"/>
      <c r="R125" s="601"/>
      <c r="S125" s="599"/>
      <c r="T125" s="601"/>
      <c r="U125" s="599"/>
      <c r="V125" s="601"/>
      <c r="W125" s="599"/>
      <c r="X125" s="601"/>
      <c r="Y125" s="599"/>
      <c r="Z125" s="601"/>
      <c r="AA125" s="599"/>
      <c r="AB125" s="601"/>
      <c r="AC125" s="599"/>
      <c r="AD125" s="601"/>
      <c r="AE125" s="599"/>
      <c r="AF125" s="601"/>
      <c r="AG125" s="777"/>
      <c r="AH125" s="777"/>
      <c r="AI125" s="777"/>
      <c r="AJ125" s="777"/>
      <c r="AK125" s="777"/>
      <c r="AL125" s="777"/>
      <c r="AM125" s="777"/>
      <c r="AN125" s="777"/>
      <c r="AO125" s="777"/>
      <c r="AP125" s="777"/>
      <c r="AQ125" s="777"/>
      <c r="AR125" s="777"/>
      <c r="AS125" s="777"/>
      <c r="AT125" s="777"/>
      <c r="AU125" s="600"/>
      <c r="AV125" s="600"/>
      <c r="AW125" s="600"/>
      <c r="AX125" s="601"/>
      <c r="AY125" s="601"/>
      <c r="AZ125" s="214"/>
      <c r="BA125" s="490" t="str">
        <f t="shared" si="6"/>
        <v>SUM_CO2</v>
      </c>
      <c r="BB125" s="581" t="str">
        <f t="shared" si="7"/>
        <v>SUM_EnergyIN</v>
      </c>
      <c r="BC125" s="602"/>
      <c r="BD125" s="23"/>
    </row>
    <row r="126" spans="1:56" x14ac:dyDescent="0.2">
      <c r="A126" s="602"/>
      <c r="B126" s="214"/>
      <c r="C126" s="539">
        <v>9</v>
      </c>
      <c r="D126" s="671"/>
      <c r="E126" s="596"/>
      <c r="F126" s="775"/>
      <c r="G126" s="776"/>
      <c r="H126" s="775"/>
      <c r="I126" s="776"/>
      <c r="J126" s="775"/>
      <c r="K126" s="776"/>
      <c r="L126" s="776"/>
      <c r="M126" s="776"/>
      <c r="N126" s="775"/>
      <c r="O126" s="774"/>
      <c r="P126" s="775"/>
      <c r="Q126" s="774"/>
      <c r="R126" s="601"/>
      <c r="S126" s="599"/>
      <c r="T126" s="601"/>
      <c r="U126" s="599"/>
      <c r="V126" s="601"/>
      <c r="W126" s="599"/>
      <c r="X126" s="601"/>
      <c r="Y126" s="599"/>
      <c r="Z126" s="601"/>
      <c r="AA126" s="599"/>
      <c r="AB126" s="601"/>
      <c r="AC126" s="599"/>
      <c r="AD126" s="601"/>
      <c r="AE126" s="599"/>
      <c r="AF126" s="601"/>
      <c r="AG126" s="777"/>
      <c r="AH126" s="777"/>
      <c r="AI126" s="777"/>
      <c r="AJ126" s="777"/>
      <c r="AK126" s="777"/>
      <c r="AL126" s="777"/>
      <c r="AM126" s="777"/>
      <c r="AN126" s="777"/>
      <c r="AO126" s="777"/>
      <c r="AP126" s="777"/>
      <c r="AQ126" s="777"/>
      <c r="AR126" s="777"/>
      <c r="AS126" s="777"/>
      <c r="AT126" s="777"/>
      <c r="AU126" s="600"/>
      <c r="AV126" s="600"/>
      <c r="AW126" s="600"/>
      <c r="AX126" s="601"/>
      <c r="AY126" s="601"/>
      <c r="AZ126" s="214"/>
      <c r="BA126" s="490" t="str">
        <f t="shared" si="6"/>
        <v>SUM_CO2</v>
      </c>
      <c r="BB126" s="581" t="str">
        <f t="shared" si="7"/>
        <v>SUM_EnergyIN</v>
      </c>
      <c r="BC126" s="602"/>
      <c r="BD126" s="23"/>
    </row>
    <row r="127" spans="1:56" x14ac:dyDescent="0.2">
      <c r="A127" s="602"/>
      <c r="B127" s="214"/>
      <c r="C127" s="539">
        <v>10</v>
      </c>
      <c r="D127" s="671"/>
      <c r="E127" s="596"/>
      <c r="F127" s="775"/>
      <c r="G127" s="776"/>
      <c r="H127" s="775"/>
      <c r="I127" s="776"/>
      <c r="J127" s="775"/>
      <c r="K127" s="776"/>
      <c r="L127" s="776"/>
      <c r="M127" s="776"/>
      <c r="N127" s="775"/>
      <c r="O127" s="774"/>
      <c r="P127" s="775"/>
      <c r="Q127" s="774"/>
      <c r="R127" s="601"/>
      <c r="S127" s="599"/>
      <c r="T127" s="601"/>
      <c r="U127" s="599"/>
      <c r="V127" s="601"/>
      <c r="W127" s="599"/>
      <c r="X127" s="601"/>
      <c r="Y127" s="599"/>
      <c r="Z127" s="601"/>
      <c r="AA127" s="599"/>
      <c r="AB127" s="601"/>
      <c r="AC127" s="599"/>
      <c r="AD127" s="601"/>
      <c r="AE127" s="599"/>
      <c r="AF127" s="601"/>
      <c r="AG127" s="777"/>
      <c r="AH127" s="777"/>
      <c r="AI127" s="777"/>
      <c r="AJ127" s="777"/>
      <c r="AK127" s="777"/>
      <c r="AL127" s="777"/>
      <c r="AM127" s="777"/>
      <c r="AN127" s="777"/>
      <c r="AO127" s="777"/>
      <c r="AP127" s="777"/>
      <c r="AQ127" s="777"/>
      <c r="AR127" s="777"/>
      <c r="AS127" s="777"/>
      <c r="AT127" s="777"/>
      <c r="AU127" s="600"/>
      <c r="AV127" s="600"/>
      <c r="AW127" s="600"/>
      <c r="AX127" s="601"/>
      <c r="AY127" s="601"/>
      <c r="AZ127" s="214"/>
      <c r="BA127" s="490" t="str">
        <f t="shared" si="6"/>
        <v>SUM_CO2</v>
      </c>
      <c r="BB127" s="581" t="str">
        <f t="shared" si="7"/>
        <v>SUM_EnergyIN</v>
      </c>
      <c r="BC127" s="602"/>
      <c r="BD127" s="23"/>
    </row>
    <row r="128" spans="1:56" x14ac:dyDescent="0.2">
      <c r="A128" s="602"/>
      <c r="B128" s="214"/>
      <c r="C128" s="95"/>
      <c r="D128" s="214"/>
      <c r="E128" s="214"/>
      <c r="F128" s="214"/>
      <c r="G128" s="214"/>
      <c r="H128" s="214"/>
      <c r="I128" s="214"/>
      <c r="J128" s="214"/>
      <c r="K128" s="214"/>
      <c r="L128" s="214"/>
      <c r="N128" s="214"/>
      <c r="O128" s="214"/>
      <c r="P128" s="214"/>
      <c r="Q128" s="214"/>
      <c r="R128" s="214"/>
      <c r="S128" s="214"/>
      <c r="T128" s="214"/>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4"/>
      <c r="AP128" s="214"/>
      <c r="AQ128" s="214"/>
      <c r="AR128" s="214"/>
      <c r="AS128" s="214"/>
      <c r="AT128" s="214"/>
      <c r="AU128" s="214"/>
      <c r="AV128" s="214"/>
      <c r="AW128" s="214"/>
      <c r="AX128" s="214"/>
      <c r="AY128" s="214"/>
      <c r="AZ128" s="214"/>
      <c r="BA128" s="602"/>
      <c r="BB128" s="602"/>
      <c r="BC128" s="602"/>
      <c r="BD128" s="23"/>
    </row>
    <row r="129" spans="1:56" ht="50.1" customHeight="1" thickBot="1" x14ac:dyDescent="0.45">
      <c r="A129" s="602"/>
      <c r="B129" s="214"/>
      <c r="C129" s="95"/>
      <c r="D129" s="532" t="str">
        <f>Translations!$B$271</f>
        <v>Alternatīvās pieejas</v>
      </c>
      <c r="E129" s="214"/>
      <c r="F129" s="214"/>
      <c r="G129" s="214"/>
      <c r="H129" s="214"/>
      <c r="I129" s="214"/>
      <c r="J129" s="214"/>
      <c r="K129" s="214"/>
      <c r="L129" s="214"/>
      <c r="N129" s="214"/>
      <c r="O129" s="214"/>
      <c r="P129" s="214"/>
      <c r="Q129" s="214"/>
      <c r="R129" s="214"/>
      <c r="S129" s="214"/>
      <c r="T129" s="214"/>
      <c r="U129" s="214"/>
      <c r="V129" s="214"/>
      <c r="W129" s="214"/>
      <c r="X129" s="214"/>
      <c r="Y129" s="214"/>
      <c r="Z129" s="214"/>
      <c r="AA129" s="214"/>
      <c r="AB129" s="214"/>
      <c r="AC129" s="214"/>
      <c r="AD129" s="214"/>
      <c r="AE129" s="214"/>
      <c r="AF129" s="214"/>
      <c r="AG129" s="214"/>
      <c r="AH129" s="214"/>
      <c r="AI129" s="214"/>
      <c r="AJ129" s="214"/>
      <c r="AK129" s="214"/>
      <c r="AL129" s="214"/>
      <c r="AM129" s="214"/>
      <c r="AN129" s="214"/>
      <c r="AO129" s="214"/>
      <c r="AP129" s="214"/>
      <c r="AQ129" s="214"/>
      <c r="AR129" s="214"/>
      <c r="AS129" s="214"/>
      <c r="AT129" s="214"/>
      <c r="AU129" s="214"/>
      <c r="AV129" s="214"/>
      <c r="AW129" s="214"/>
      <c r="AX129" s="214"/>
      <c r="AY129" s="214"/>
      <c r="AZ129" s="214"/>
      <c r="BA129" s="602"/>
      <c r="BB129" s="602"/>
      <c r="BC129" s="602"/>
      <c r="BD129" s="23"/>
    </row>
    <row r="130" spans="1:56" ht="50.1" customHeight="1" thickBot="1" x14ac:dyDescent="0.25">
      <c r="A130" s="602"/>
      <c r="B130" s="214"/>
      <c r="C130" s="533" t="s">
        <v>466</v>
      </c>
      <c r="D130" s="534" t="str">
        <f>Translations!$B$282</f>
        <v>Metode</v>
      </c>
      <c r="E130" s="534" t="str">
        <f>Translations!$B$340</f>
        <v>Nosaukums</v>
      </c>
      <c r="F130" s="535" t="str">
        <f>Translations!$B$284</f>
        <v>Darbības dati</v>
      </c>
      <c r="G130" s="535" t="str">
        <f>Translations!$B$285</f>
        <v>DD vienība</v>
      </c>
      <c r="H130" s="535" t="str">
        <f>Translations!$B$286</f>
        <v>NCV</v>
      </c>
      <c r="I130" s="535" t="str">
        <f>Translations!$B$287</f>
        <v>NCV vienība</v>
      </c>
      <c r="J130" s="535" t="str">
        <f>Translations!$B$288</f>
        <v>EF</v>
      </c>
      <c r="K130" s="535" t="str">
        <f>Translations!$B$289</f>
        <v>EF vienība</v>
      </c>
      <c r="L130" s="535" t="str">
        <f>Translations!$B$290</f>
        <v>C saturs</v>
      </c>
      <c r="M130" s="535" t="str">
        <f>Translations!$B$291</f>
        <v>C satura vienība</v>
      </c>
      <c r="N130" s="535" t="str">
        <f>Translations!$B$292</f>
        <v>Oksid. koef.</v>
      </c>
      <c r="O130" s="535" t="str">
        <f>Translations!$B$293</f>
        <v>OK vienība</v>
      </c>
      <c r="P130" s="535" t="str">
        <f>Translations!$B$294</f>
        <v>Pārrēķina koef.</v>
      </c>
      <c r="Q130" s="535" t="str">
        <f>Translations!$B$295</f>
        <v>PK vienība</v>
      </c>
      <c r="R130" s="535" t="str">
        <f>Translations!$B$296</f>
        <v>Biomasas saturs</v>
      </c>
      <c r="S130" s="535" t="str">
        <f>Translations!$B$297</f>
        <v>BS vienība</v>
      </c>
      <c r="T130" s="535" t="str">
        <f>Translations!$B$298</f>
        <v>ilgtnesp. BS</v>
      </c>
      <c r="U130" s="535" t="str">
        <f>Translations!$B$299</f>
        <v>ilgtnesp. BS vienība</v>
      </c>
      <c r="V130" s="535" t="str">
        <f>Translations!$B$300</f>
        <v>SEG konc. vidējā vērtība h</v>
      </c>
      <c r="W130" s="535" t="str">
        <f>Translations!$B$301</f>
        <v>SEG konc. h vienība</v>
      </c>
      <c r="X130" s="535" t="str">
        <f>Translations!$B$302</f>
        <v>ekspluatācijas stundas</v>
      </c>
      <c r="Y130" s="535" t="str">
        <f>Translations!$B$303</f>
        <v>ekspluatācijas stundu vienība</v>
      </c>
      <c r="Z130" s="535" t="str">
        <f>Translations!$B$304</f>
        <v>Dūmgāzes (vidēji)</v>
      </c>
      <c r="AA130" s="535" t="str">
        <f>Translations!$B$305</f>
        <v>Dūmgāzes (vidēji), vienība</v>
      </c>
      <c r="AB130" s="535" t="str">
        <f>Translations!$B$306</f>
        <v>Dūmgāzes (kopā)</v>
      </c>
      <c r="AC130" s="535" t="str">
        <f>Translations!$B$307</f>
        <v>Dūmgāzes (kopā), vienība</v>
      </c>
      <c r="AD130" s="535" t="str">
        <f>Translations!$B$308</f>
        <v>SEG daudzums gadā</v>
      </c>
      <c r="AE130" s="535" t="str">
        <f>Translations!$B$309</f>
        <v>SEG daudzums gadā, vienība</v>
      </c>
      <c r="AF130" s="535" t="str">
        <f>Translations!$B$310</f>
        <v>GWP (t CO2 e/t)</v>
      </c>
      <c r="AG130" s="535" t="str">
        <f>Translations!$B$311</f>
        <v>A: biežums</v>
      </c>
      <c r="AH130" s="535" t="str">
        <f>Translations!$B$312</f>
        <v>A: ilgums</v>
      </c>
      <c r="AI130" s="535" t="str">
        <f>Translations!$B$313</f>
        <v>A: SEF (CF4)</v>
      </c>
      <c r="AJ130" s="535" t="str">
        <f>Translations!$B$314</f>
        <v>B: AEO</v>
      </c>
      <c r="AK130" s="535" t="str">
        <f>Translations!$B$315</f>
        <v>B: CE</v>
      </c>
      <c r="AL130" s="535" t="str">
        <f>Translations!$B$316</f>
        <v>B: OVC</v>
      </c>
      <c r="AM130" s="535" t="str">
        <f>Translations!$B$317</f>
        <v>F (C2F6)</v>
      </c>
      <c r="AN130" s="535" t="str">
        <f>Translations!$B$318</f>
        <v>CF4 emisijas (t CF4)</v>
      </c>
      <c r="AO130" s="535" t="str">
        <f>Translations!$B$319</f>
        <v>C2F6 emisijas (t C2F6)</v>
      </c>
      <c r="AP130" s="535" t="str">
        <f>Translations!$B$320</f>
        <v>GWP (CF4) (t CO2 e/t)</v>
      </c>
      <c r="AQ130" s="535" t="str">
        <f>Translations!$B$321</f>
        <v>GWP (C2F6) (t CO2 e/t)</v>
      </c>
      <c r="AR130" s="535" t="str">
        <f>Translations!$B$322</f>
        <v>CF4 emisijas (t CO2e)</v>
      </c>
      <c r="AS130" s="535" t="str">
        <f>Translations!$B$323</f>
        <v>C2F6 emisijas (t CO2 e)</v>
      </c>
      <c r="AT130" s="535" t="str">
        <f>Translations!$B$324</f>
        <v>Uztveršanas efektivitāte, %</v>
      </c>
      <c r="AU130" s="535" t="str">
        <f>Translations!$B$325</f>
        <v>CO2 e, fosilie avoti (t)</v>
      </c>
      <c r="AV130" s="535" t="str">
        <f>Translations!$B$326</f>
        <v>CO2 e bio (t)</v>
      </c>
      <c r="AW130" s="535" t="str">
        <f>Translations!$B$327</f>
        <v>CO2 e, ilgtnesp. biomasa (t)</v>
      </c>
      <c r="AX130" s="536" t="str">
        <f>Translations!$B$328</f>
        <v>Enerģētiskais saturs (fosilie avoti), TJ</v>
      </c>
      <c r="AY130" s="537" t="str">
        <f>Translations!$B$329</f>
        <v>Enerģētiskais saturs (biomasa), TJ</v>
      </c>
      <c r="AZ130" s="214"/>
      <c r="BA130" s="602"/>
      <c r="BB130" s="602"/>
      <c r="BC130" s="602"/>
      <c r="BD130" s="23"/>
    </row>
    <row r="131" spans="1:56" ht="12.75" customHeight="1" x14ac:dyDescent="0.2">
      <c r="A131" s="602"/>
      <c r="B131" s="214"/>
      <c r="C131" s="692" t="str">
        <f>Translations!$B$341</f>
        <v>Piem.</v>
      </c>
      <c r="D131" s="669" t="str">
        <f>Translations!$B$271</f>
        <v>Alternatīvās pieejas</v>
      </c>
      <c r="E131" s="778"/>
      <c r="F131" s="779"/>
      <c r="G131" s="780"/>
      <c r="H131" s="779"/>
      <c r="I131" s="780"/>
      <c r="J131" s="779"/>
      <c r="K131" s="780"/>
      <c r="L131" s="780"/>
      <c r="M131" s="780"/>
      <c r="N131" s="779"/>
      <c r="O131" s="781"/>
      <c r="P131" s="779"/>
      <c r="Q131" s="781"/>
      <c r="R131" s="779"/>
      <c r="S131" s="781"/>
      <c r="T131" s="779"/>
      <c r="U131" s="781"/>
      <c r="V131" s="781"/>
      <c r="W131" s="781"/>
      <c r="X131" s="781"/>
      <c r="Y131" s="781"/>
      <c r="Z131" s="781"/>
      <c r="AA131" s="781"/>
      <c r="AB131" s="781"/>
      <c r="AC131" s="781"/>
      <c r="AD131" s="781"/>
      <c r="AE131" s="781"/>
      <c r="AF131" s="781"/>
      <c r="AG131" s="781"/>
      <c r="AH131" s="781"/>
      <c r="AI131" s="781"/>
      <c r="AJ131" s="781"/>
      <c r="AK131" s="781"/>
      <c r="AL131" s="781"/>
      <c r="AM131" s="781"/>
      <c r="AN131" s="781"/>
      <c r="AO131" s="781"/>
      <c r="AP131" s="781"/>
      <c r="AQ131" s="781"/>
      <c r="AR131" s="781"/>
      <c r="AS131" s="781"/>
      <c r="AT131" s="781"/>
      <c r="AU131" s="693">
        <v>2850</v>
      </c>
      <c r="AV131" s="693">
        <v>340</v>
      </c>
      <c r="AW131" s="693">
        <v>0</v>
      </c>
      <c r="AX131" s="694">
        <v>45</v>
      </c>
      <c r="AY131" s="694">
        <v>5</v>
      </c>
      <c r="AZ131" s="214"/>
      <c r="BA131" s="602"/>
      <c r="BB131" s="602"/>
      <c r="BC131" s="602"/>
      <c r="BD131" s="23"/>
    </row>
    <row r="132" spans="1:56" x14ac:dyDescent="0.2">
      <c r="A132" s="602"/>
      <c r="B132" s="214"/>
      <c r="C132" s="538">
        <v>1</v>
      </c>
      <c r="D132" s="686" t="str">
        <f>Translations!$B$271</f>
        <v>Alternatīvās pieejas</v>
      </c>
      <c r="E132" s="782"/>
      <c r="F132" s="775"/>
      <c r="G132" s="776"/>
      <c r="H132" s="775"/>
      <c r="I132" s="776"/>
      <c r="J132" s="775"/>
      <c r="K132" s="776"/>
      <c r="L132" s="776"/>
      <c r="M132" s="776"/>
      <c r="N132" s="775"/>
      <c r="O132" s="774"/>
      <c r="P132" s="775"/>
      <c r="Q132" s="774"/>
      <c r="R132" s="775"/>
      <c r="S132" s="774"/>
      <c r="T132" s="775"/>
      <c r="U132" s="774"/>
      <c r="V132" s="774"/>
      <c r="W132" s="774"/>
      <c r="X132" s="774"/>
      <c r="Y132" s="774"/>
      <c r="Z132" s="774"/>
      <c r="AA132" s="774"/>
      <c r="AB132" s="774"/>
      <c r="AC132" s="774"/>
      <c r="AD132" s="774"/>
      <c r="AE132" s="774"/>
      <c r="AF132" s="774"/>
      <c r="AG132" s="774"/>
      <c r="AH132" s="774"/>
      <c r="AI132" s="774"/>
      <c r="AJ132" s="774"/>
      <c r="AK132" s="774"/>
      <c r="AL132" s="774"/>
      <c r="AM132" s="774"/>
      <c r="AN132" s="774"/>
      <c r="AO132" s="774"/>
      <c r="AP132" s="774"/>
      <c r="AQ132" s="774"/>
      <c r="AR132" s="774"/>
      <c r="AS132" s="774"/>
      <c r="AT132" s="774"/>
      <c r="AU132" s="600"/>
      <c r="AV132" s="600"/>
      <c r="AW132" s="600"/>
      <c r="AX132" s="601"/>
      <c r="AY132" s="601"/>
      <c r="AZ132" s="214"/>
      <c r="BA132" s="490" t="str">
        <f>EUconst_SumCO2</f>
        <v>SUM_CO2</v>
      </c>
      <c r="BB132" s="581" t="str">
        <f>EUconst_SumEnergyIN</f>
        <v>SUM_EnergyIN</v>
      </c>
      <c r="BC132" s="602"/>
      <c r="BD132" s="23"/>
    </row>
    <row r="133" spans="1:56" x14ac:dyDescent="0.2">
      <c r="AZ133" s="668"/>
      <c r="BC133" s="670"/>
      <c r="BD133" s="23"/>
    </row>
    <row r="134" spans="1:56" s="20" customFormat="1" hidden="1" x14ac:dyDescent="0.2">
      <c r="A134" s="20" t="s">
        <v>93</v>
      </c>
      <c r="B134" s="20" t="s">
        <v>336</v>
      </c>
      <c r="C134" s="20" t="s">
        <v>336</v>
      </c>
      <c r="D134" s="20" t="s">
        <v>336</v>
      </c>
      <c r="E134" s="20" t="s">
        <v>336</v>
      </c>
      <c r="F134" s="20" t="s">
        <v>336</v>
      </c>
      <c r="G134" s="20" t="s">
        <v>336</v>
      </c>
      <c r="H134" s="20" t="s">
        <v>336</v>
      </c>
      <c r="I134" s="20" t="s">
        <v>336</v>
      </c>
      <c r="J134" s="20" t="s">
        <v>336</v>
      </c>
      <c r="K134" s="20" t="s">
        <v>336</v>
      </c>
      <c r="L134" s="20" t="s">
        <v>336</v>
      </c>
      <c r="M134" s="20" t="s">
        <v>336</v>
      </c>
      <c r="N134" s="20" t="s">
        <v>336</v>
      </c>
      <c r="O134" s="20" t="s">
        <v>336</v>
      </c>
      <c r="P134" s="20" t="s">
        <v>336</v>
      </c>
      <c r="Q134" s="20" t="s">
        <v>336</v>
      </c>
      <c r="R134" s="20" t="s">
        <v>336</v>
      </c>
      <c r="S134" s="20" t="s">
        <v>336</v>
      </c>
      <c r="T134" s="20" t="s">
        <v>336</v>
      </c>
      <c r="U134" s="20" t="s">
        <v>336</v>
      </c>
      <c r="V134" s="20" t="s">
        <v>336</v>
      </c>
      <c r="W134" s="20" t="s">
        <v>336</v>
      </c>
      <c r="X134" s="20" t="s">
        <v>336</v>
      </c>
      <c r="Y134" s="20" t="s">
        <v>336</v>
      </c>
      <c r="Z134" s="20" t="s">
        <v>336</v>
      </c>
      <c r="AA134" s="20" t="s">
        <v>336</v>
      </c>
      <c r="AB134" s="20" t="s">
        <v>336</v>
      </c>
      <c r="AC134" s="20" t="s">
        <v>336</v>
      </c>
      <c r="AD134" s="20" t="s">
        <v>336</v>
      </c>
      <c r="AE134" s="20" t="s">
        <v>336</v>
      </c>
      <c r="AF134" s="20" t="s">
        <v>336</v>
      </c>
      <c r="AG134" s="20" t="s">
        <v>336</v>
      </c>
      <c r="AH134" s="20" t="s">
        <v>336</v>
      </c>
      <c r="AI134" s="20" t="s">
        <v>336</v>
      </c>
      <c r="AJ134" s="20" t="s">
        <v>336</v>
      </c>
      <c r="AK134" s="20" t="s">
        <v>336</v>
      </c>
      <c r="AL134" s="20" t="s">
        <v>336</v>
      </c>
      <c r="AM134" s="20" t="s">
        <v>336</v>
      </c>
      <c r="AN134" s="20" t="s">
        <v>336</v>
      </c>
      <c r="AO134" s="20" t="s">
        <v>336</v>
      </c>
      <c r="AP134" s="20" t="s">
        <v>336</v>
      </c>
      <c r="AQ134" s="20" t="s">
        <v>336</v>
      </c>
      <c r="AR134" s="20" t="s">
        <v>336</v>
      </c>
      <c r="AS134" s="20" t="s">
        <v>336</v>
      </c>
      <c r="AT134" s="20" t="s">
        <v>336</v>
      </c>
      <c r="AU134" s="20" t="s">
        <v>336</v>
      </c>
      <c r="AV134" s="20" t="s">
        <v>336</v>
      </c>
      <c r="AW134" s="20" t="s">
        <v>336</v>
      </c>
      <c r="AX134" s="20" t="s">
        <v>336</v>
      </c>
      <c r="AY134" s="20" t="s">
        <v>336</v>
      </c>
      <c r="AZ134" s="20" t="s">
        <v>336</v>
      </c>
      <c r="BA134" s="20" t="s">
        <v>336</v>
      </c>
      <c r="BB134" s="20" t="s">
        <v>336</v>
      </c>
      <c r="BC134" s="445"/>
    </row>
    <row r="135" spans="1:56" x14ac:dyDescent="0.2">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670"/>
      <c r="BB135" s="670"/>
      <c r="BC135" s="670"/>
      <c r="BD135" s="23"/>
    </row>
  </sheetData>
  <sheetProtection sheet="1" objects="1" scenarios="1" formatCells="0" formatColumns="0" formatRows="0"/>
  <mergeCells count="26">
    <mergeCell ref="D15:K15"/>
    <mergeCell ref="D16:K16"/>
    <mergeCell ref="D17:K17"/>
    <mergeCell ref="D18:K18"/>
    <mergeCell ref="D8:N8"/>
    <mergeCell ref="D10:I10"/>
    <mergeCell ref="J10:K10"/>
    <mergeCell ref="D11:K11"/>
    <mergeCell ref="D12:K12"/>
    <mergeCell ref="D14:N14"/>
    <mergeCell ref="B4:D4"/>
    <mergeCell ref="F4:G4"/>
    <mergeCell ref="H4:I4"/>
    <mergeCell ref="J4:K4"/>
    <mergeCell ref="L4:M4"/>
    <mergeCell ref="D6:I6"/>
    <mergeCell ref="J6:K6"/>
    <mergeCell ref="B2:D3"/>
    <mergeCell ref="F2:G2"/>
    <mergeCell ref="H2:I2"/>
    <mergeCell ref="J2:K2"/>
    <mergeCell ref="L2:M2"/>
    <mergeCell ref="F3:G3"/>
    <mergeCell ref="H3:I3"/>
    <mergeCell ref="J3:K3"/>
    <mergeCell ref="L3:M3"/>
  </mergeCells>
  <conditionalFormatting sqref="D24:U98 AU24:AY98 AG103:AY112 D103:G112 D118:E127 R118:AF127 AU118:AY127 AU132:AY132">
    <cfRule type="expression" dxfId="325" priority="1" stopIfTrue="1">
      <formula>MSconst_AllowInstEmmisionTotals</formula>
    </cfRule>
  </conditionalFormatting>
  <hyperlinks>
    <hyperlink ref="F2:G2" location="JUMP_TOC_Home" display="Table of contents"/>
    <hyperlink ref="L2:M2" location="JUMP_K_I" display="Summary"/>
    <hyperlink ref="J2:K2" location="JUMP_BY4_Top" display="JUMP_BY4_Top"/>
    <hyperlink ref="H2:I2" location="JUMP_BY2_Top" display="JUMP_BY2_Top"/>
    <hyperlink ref="E3" location="JUMP_BY3_Top" display="JUMP_BY3_Top"/>
    <hyperlink ref="F3:G3" location="JUMP_BY3_Source" display="Source streams (excl. PFC)"/>
    <hyperlink ref="H3:I3" location="JUMP_BY3_PFC" display="PFC source streams"/>
    <hyperlink ref="J3:K3" location="JUMP_BY3_Emissions" display="Emission Sources (CEMS)"/>
    <hyperlink ref="L3:M3" location="JUMP_BY3_Fallback" display="Fall-back"/>
  </hyperlinks>
  <pageMargins left="0.70866141732283472" right="0.70866141732283472" top="0.78740157480314965" bottom="0.78740157480314965" header="0.31496062992125984" footer="0.31496062992125984"/>
  <pageSetup paperSize="9" scale="37" fitToWidth="10" orientation="portrait" r:id="rId1"/>
  <headerFooter>
    <oddFooter>&amp;L&amp;F; &amp;A&amp;C&amp;P / &amp;N&amp;R&amp;D; &amp;T</oddFooter>
  </headerFooter>
  <colBreaks count="1" manualBreakCount="1">
    <brk id="51" min="4" max="13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tabColor rgb="FFCCFFCC"/>
    <pageSetUpPr fitToPage="1"/>
  </sheetPr>
  <dimension ref="A1:BD136"/>
  <sheetViews>
    <sheetView zoomScaleNormal="100" workbookViewId="0">
      <pane ySplit="4" topLeftCell="A5" activePane="bottomLeft" state="frozen"/>
      <selection sqref="B2:D4"/>
      <selection pane="bottomLeft" sqref="B2:D4"/>
    </sheetView>
  </sheetViews>
  <sheetFormatPr defaultColWidth="11.42578125" defaultRowHeight="12.75" x14ac:dyDescent="0.2"/>
  <cols>
    <col min="1" max="1" width="3.42578125" style="667" hidden="1" customWidth="1"/>
    <col min="2" max="2" width="3.42578125" style="216" customWidth="1"/>
    <col min="3" max="3" width="6.140625" style="24" customWidth="1"/>
    <col min="4" max="4" width="21.5703125" style="216" bestFit="1" customWidth="1"/>
    <col min="5" max="5" width="35.7109375" style="216" customWidth="1"/>
    <col min="6" max="6" width="15.7109375" style="216" customWidth="1"/>
    <col min="7" max="51" width="12.7109375" style="216" customWidth="1"/>
    <col min="52" max="52" width="9.140625" style="216" customWidth="1"/>
    <col min="53" max="55" width="11.42578125" style="667" hidden="1" customWidth="1"/>
    <col min="56" max="16384" width="11.42578125" style="668"/>
  </cols>
  <sheetData>
    <row r="1" spans="1:56" ht="13.5" hidden="1" thickBot="1" x14ac:dyDescent="0.25">
      <c r="A1" s="519" t="s">
        <v>93</v>
      </c>
      <c r="B1" s="529"/>
      <c r="C1" s="530"/>
      <c r="D1" s="529"/>
      <c r="E1" s="529"/>
      <c r="F1" s="529"/>
      <c r="G1" s="529"/>
      <c r="H1" s="529"/>
      <c r="I1" s="529"/>
      <c r="J1" s="529"/>
      <c r="K1" s="529"/>
      <c r="L1" s="531"/>
      <c r="M1" s="529"/>
      <c r="N1" s="529"/>
      <c r="O1" s="529"/>
      <c r="P1" s="529"/>
      <c r="Q1" s="529"/>
      <c r="R1" s="529"/>
      <c r="S1" s="529"/>
      <c r="T1" s="529"/>
      <c r="U1" s="5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602" t="s">
        <v>93</v>
      </c>
      <c r="BB1" s="602" t="s">
        <v>93</v>
      </c>
      <c r="BC1" s="602" t="s">
        <v>93</v>
      </c>
      <c r="BD1" s="23"/>
    </row>
    <row r="2" spans="1:56" ht="13.5" customHeight="1" thickBot="1" x14ac:dyDescent="0.25">
      <c r="A2" s="602"/>
      <c r="B2" s="1405" t="str">
        <f>Translations!$B$267</f>
        <v>B+C ikgadējie emisiju dati</v>
      </c>
      <c r="C2" s="1497"/>
      <c r="D2" s="1498"/>
      <c r="E2" s="789" t="str">
        <f>Translations!$B$2</f>
        <v>Navigācijas josla:</v>
      </c>
      <c r="F2" s="1388" t="str">
        <f>Translations!$B$18</f>
        <v>Saturs</v>
      </c>
      <c r="G2" s="7"/>
      <c r="H2" s="7" t="str">
        <f>Translations!$B$19</f>
        <v>Iepriekšējā lapa</v>
      </c>
      <c r="I2" s="1509"/>
      <c r="J2" s="7" t="str">
        <f>Translations!$B$3</f>
        <v>Nākamā lapa</v>
      </c>
      <c r="K2" s="1509"/>
      <c r="L2" s="7" t="str">
        <f>Translations!$B$4</f>
        <v>Kopsavilkums</v>
      </c>
      <c r="M2" s="1509"/>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604" t="s">
        <v>494</v>
      </c>
      <c r="BB2" s="603">
        <v>4</v>
      </c>
      <c r="BC2" s="685"/>
      <c r="BD2" s="23"/>
    </row>
    <row r="3" spans="1:56" ht="13.5" thickBot="1" x14ac:dyDescent="0.25">
      <c r="A3" s="602"/>
      <c r="B3" s="1499"/>
      <c r="C3" s="1500"/>
      <c r="D3" s="1501"/>
      <c r="E3" s="1005" t="str">
        <f>Translations!$B$5</f>
        <v>Lapas sākums</v>
      </c>
      <c r="F3" s="1491" t="str">
        <f>Translations!$B$268</f>
        <v>Avota plūsmas (izņemot PFC)</v>
      </c>
      <c r="G3" s="1393"/>
      <c r="H3" s="1393" t="str">
        <f>Translations!$B$269</f>
        <v>PFC avota plūsmas</v>
      </c>
      <c r="I3" s="1393"/>
      <c r="J3" s="1393" t="str">
        <f>Translations!$B$270</f>
        <v>Emisiju avoti (CEMS)</v>
      </c>
      <c r="K3" s="1393"/>
      <c r="L3" s="1393" t="str">
        <f>Translations!$B$271</f>
        <v>Alternatīvās pieejas</v>
      </c>
      <c r="M3" s="1492"/>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604" t="s">
        <v>493</v>
      </c>
      <c r="BB3" s="606">
        <f>INDEX(EUconst_ReportingYears,BB2)+(IF(CNTR_BaselinePeriod=EUconst_NA,0,CNTR_BaselinePeriod-1)*5)</f>
        <v>2022</v>
      </c>
      <c r="BC3" s="685"/>
      <c r="BD3" s="23"/>
    </row>
    <row r="4" spans="1:56" ht="13.5" thickBot="1" x14ac:dyDescent="0.25">
      <c r="A4" s="602"/>
      <c r="B4" s="1502">
        <f>BB3</f>
        <v>2022</v>
      </c>
      <c r="C4" s="1503"/>
      <c r="D4" s="1504"/>
      <c r="E4" s="790"/>
      <c r="F4" s="1506"/>
      <c r="G4" s="1510"/>
      <c r="H4" s="1495"/>
      <c r="I4" s="1495"/>
      <c r="J4" s="1495"/>
      <c r="K4" s="1495"/>
      <c r="L4" s="1495"/>
      <c r="M4" s="1496"/>
      <c r="N4" s="95">
        <f>$B$4</f>
        <v>2022</v>
      </c>
      <c r="O4" s="214"/>
      <c r="P4" s="95">
        <f>$B$4</f>
        <v>2022</v>
      </c>
      <c r="Q4" s="214"/>
      <c r="R4" s="95">
        <f>$B$4</f>
        <v>2022</v>
      </c>
      <c r="S4" s="214"/>
      <c r="T4" s="95">
        <f>$B$4</f>
        <v>2022</v>
      </c>
      <c r="U4" s="214"/>
      <c r="V4" s="95">
        <f>$B$4</f>
        <v>2022</v>
      </c>
      <c r="W4" s="214"/>
      <c r="X4" s="95">
        <f>$B$4</f>
        <v>2022</v>
      </c>
      <c r="Y4" s="214"/>
      <c r="Z4" s="95">
        <f>$B$4</f>
        <v>2022</v>
      </c>
      <c r="AA4" s="214"/>
      <c r="AB4" s="95">
        <f>$B$4</f>
        <v>2022</v>
      </c>
      <c r="AC4" s="214"/>
      <c r="AD4" s="95">
        <f>$B$4</f>
        <v>2022</v>
      </c>
      <c r="AE4" s="214"/>
      <c r="AF4" s="95">
        <f>$B$4</f>
        <v>2022</v>
      </c>
      <c r="AG4" s="214"/>
      <c r="AH4" s="95">
        <f>$B$4</f>
        <v>2022</v>
      </c>
      <c r="AI4" s="214"/>
      <c r="AJ4" s="95">
        <f>$B$4</f>
        <v>2022</v>
      </c>
      <c r="AK4" s="214"/>
      <c r="AL4" s="95">
        <f>$B$4</f>
        <v>2022</v>
      </c>
      <c r="AM4" s="214"/>
      <c r="AN4" s="95">
        <f>$B$4</f>
        <v>2022</v>
      </c>
      <c r="AO4" s="214"/>
      <c r="AP4" s="95">
        <f>$B$4</f>
        <v>2022</v>
      </c>
      <c r="AQ4" s="214"/>
      <c r="AR4" s="95">
        <f>$B$4</f>
        <v>2022</v>
      </c>
      <c r="AS4" s="214"/>
      <c r="AT4" s="95">
        <f>$B$4</f>
        <v>2022</v>
      </c>
      <c r="AU4" s="214"/>
      <c r="AV4" s="95">
        <f>$B$4</f>
        <v>2022</v>
      </c>
      <c r="AW4" s="214"/>
      <c r="AX4" s="95">
        <f>$B$4</f>
        <v>2022</v>
      </c>
      <c r="AY4" s="214"/>
      <c r="AZ4" s="214"/>
      <c r="BA4" s="602"/>
      <c r="BB4" s="605"/>
      <c r="BC4" s="685"/>
      <c r="BD4" s="23"/>
    </row>
    <row r="5" spans="1:56" x14ac:dyDescent="0.2">
      <c r="A5" s="602"/>
      <c r="B5" s="21"/>
      <c r="C5" s="22"/>
      <c r="D5" s="23"/>
      <c r="E5" s="23"/>
      <c r="F5" s="24"/>
      <c r="G5" s="24"/>
      <c r="H5" s="24"/>
      <c r="I5" s="21"/>
      <c r="J5" s="21"/>
      <c r="K5" s="21"/>
      <c r="L5" s="21"/>
      <c r="M5" s="25"/>
      <c r="N5" s="25"/>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602"/>
      <c r="BB5" s="605"/>
      <c r="BC5" s="685"/>
      <c r="BD5" s="23"/>
    </row>
    <row r="6" spans="1:56" ht="18" customHeight="1" x14ac:dyDescent="0.2">
      <c r="A6" s="602"/>
      <c r="B6" s="21"/>
      <c r="C6" s="27" t="s">
        <v>611</v>
      </c>
      <c r="D6" s="1493" t="str">
        <f>Translations!$B$272</f>
        <v>Lapa “Ikgadējie emisiju dati” par šo gadu:</v>
      </c>
      <c r="E6" s="1493"/>
      <c r="F6" s="1493"/>
      <c r="G6" s="1493"/>
      <c r="H6" s="1493"/>
      <c r="I6" s="1494"/>
      <c r="J6" s="1505">
        <f>B4</f>
        <v>2022</v>
      </c>
      <c r="K6" s="1505"/>
      <c r="L6" s="214"/>
      <c r="N6" s="457"/>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8" t="s">
        <v>73</v>
      </c>
      <c r="BB6" s="28" t="s">
        <v>73</v>
      </c>
      <c r="BC6" s="685"/>
      <c r="BD6" s="23"/>
    </row>
    <row r="7" spans="1:56" x14ac:dyDescent="0.2">
      <c r="A7" s="602"/>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9" t="s">
        <v>265</v>
      </c>
      <c r="BB7" s="29" t="s">
        <v>265</v>
      </c>
      <c r="BC7" s="685"/>
      <c r="BD7" s="23"/>
    </row>
    <row r="8" spans="1:56" s="666" customFormat="1" ht="15.75" x14ac:dyDescent="0.25">
      <c r="A8" s="663"/>
      <c r="B8" s="21"/>
      <c r="C8" s="30" t="s">
        <v>391</v>
      </c>
      <c r="D8" s="1508" t="str">
        <f>Translations!$B$273</f>
        <v>Vispārīgi norādījumi par avota plūsmu datiem</v>
      </c>
      <c r="E8" s="1508"/>
      <c r="F8" s="1508"/>
      <c r="G8" s="1508"/>
      <c r="H8" s="1508"/>
      <c r="I8" s="1508"/>
      <c r="J8" s="1508"/>
      <c r="K8" s="1508"/>
      <c r="L8" s="1508"/>
      <c r="M8" s="1508"/>
      <c r="N8" s="1508"/>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602"/>
      <c r="BB8" s="602"/>
      <c r="BC8" s="685"/>
      <c r="BD8" s="23"/>
    </row>
    <row r="9" spans="1:56" s="666" customFormat="1" x14ac:dyDescent="0.2">
      <c r="A9" s="663"/>
      <c r="B9" s="664"/>
      <c r="C9" s="142"/>
      <c r="D9" s="142"/>
      <c r="E9" s="142"/>
      <c r="F9" s="142"/>
      <c r="G9" s="142"/>
      <c r="H9" s="142"/>
      <c r="I9" s="142"/>
      <c r="J9" s="142"/>
      <c r="K9" s="142"/>
      <c r="L9" s="142"/>
      <c r="M9" s="142"/>
      <c r="N9" s="142"/>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602"/>
      <c r="BB9" s="602"/>
      <c r="BC9" s="685"/>
      <c r="BD9" s="23"/>
    </row>
    <row r="10" spans="1:56" s="666" customFormat="1" ht="12.75" customHeight="1" x14ac:dyDescent="0.2">
      <c r="A10" s="663"/>
      <c r="B10" s="21"/>
      <c r="C10" s="32"/>
      <c r="D10" s="1325" t="str">
        <f>Translations!$B$274</f>
        <v>Dalībvalsts pieprasa detalizētus avota plūsmu datus, kuri parasti ziņojami obligāti:</v>
      </c>
      <c r="E10" s="1325"/>
      <c r="F10" s="1325"/>
      <c r="G10" s="1325"/>
      <c r="H10" s="1325"/>
      <c r="I10" s="1489"/>
      <c r="J10" s="1490" t="b">
        <f>NOT(MSconst_AllowInstEmmisionTotals)</f>
        <v>1</v>
      </c>
      <c r="K10" s="1490"/>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602"/>
      <c r="BB10" s="602"/>
      <c r="BC10" s="685"/>
      <c r="BD10" s="23"/>
    </row>
    <row r="11" spans="1:56" s="666" customFormat="1" ht="12.75" customHeight="1" x14ac:dyDescent="0.2">
      <c r="A11" s="663"/>
      <c r="B11" s="664"/>
      <c r="C11" s="664"/>
      <c r="D11" s="1301" t="str">
        <f>Translations!$B$275</f>
        <v>Ja atbilde ir “APLAMS” (“FALSE”), datus šeit var neievadīt un tikai jānorāda kopējās ikgadējās emisijas sadaļā D.I.</v>
      </c>
      <c r="E11" s="1301"/>
      <c r="F11" s="1301"/>
      <c r="G11" s="1301"/>
      <c r="H11" s="1301"/>
      <c r="I11" s="1301"/>
      <c r="J11" s="1301"/>
      <c r="K11" s="1301"/>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602"/>
      <c r="BB11" s="602"/>
      <c r="BC11" s="685"/>
      <c r="BD11" s="23"/>
    </row>
    <row r="12" spans="1:56" s="666" customFormat="1" ht="12.75" customHeight="1" x14ac:dyDescent="0.2">
      <c r="A12" s="663"/>
      <c r="B12" s="664"/>
      <c r="C12" s="664"/>
      <c r="D12" s="1514" t="str">
        <f>IF(MSconst_AllowInstEmmisionTotals,HYPERLINK(BB12,EUconst_ERR_Goto_DI2),"")</f>
        <v/>
      </c>
      <c r="E12" s="1514"/>
      <c r="F12" s="1514"/>
      <c r="G12" s="1514"/>
      <c r="H12" s="1514"/>
      <c r="I12" s="1514"/>
      <c r="J12" s="1514"/>
      <c r="K12" s="1514"/>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0" t="s">
        <v>192</v>
      </c>
      <c r="BB12" s="362" t="str">
        <f>"#JUMP_D_I"</f>
        <v>#JUMP_D_I</v>
      </c>
      <c r="BC12" s="685"/>
      <c r="BD12" s="23"/>
    </row>
    <row r="13" spans="1:56" s="666" customFormat="1" x14ac:dyDescent="0.2">
      <c r="A13" s="663"/>
      <c r="B13" s="21"/>
      <c r="C13" s="21"/>
      <c r="D13" s="21"/>
      <c r="E13" s="665"/>
      <c r="F13" s="21"/>
      <c r="G13" s="21"/>
      <c r="H13" s="21"/>
      <c r="I13" s="21"/>
      <c r="J13" s="21"/>
      <c r="K13" s="21"/>
      <c r="L13" s="21"/>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602"/>
      <c r="BB13" s="602"/>
      <c r="BC13" s="602"/>
      <c r="BD13" s="23"/>
    </row>
    <row r="14" spans="1:56" s="666" customFormat="1" ht="15.75" x14ac:dyDescent="0.25">
      <c r="A14" s="663"/>
      <c r="B14" s="21"/>
      <c r="C14" s="30" t="s">
        <v>338</v>
      </c>
      <c r="D14" s="1249" t="str">
        <f>Translations!$B$276</f>
        <v>Avota plūsmas un emisiju avoti</v>
      </c>
      <c r="E14" s="1249"/>
      <c r="F14" s="1249"/>
      <c r="G14" s="1249"/>
      <c r="H14" s="1249"/>
      <c r="I14" s="1249"/>
      <c r="J14" s="1249"/>
      <c r="K14" s="1249"/>
      <c r="L14" s="1249"/>
      <c r="M14" s="1249"/>
      <c r="N14" s="1249"/>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602"/>
      <c r="BB14" s="602"/>
      <c r="BC14" s="602"/>
      <c r="BD14" s="23"/>
    </row>
    <row r="15" spans="1:56" s="666" customFormat="1" ht="12.75" customHeight="1" x14ac:dyDescent="0.2">
      <c r="A15" s="663"/>
      <c r="B15" s="664"/>
      <c r="C15" s="690"/>
      <c r="D15" s="1301" t="str">
        <f>Translations!$B$277</f>
        <v>Nākamās tabulas ir identiskas tām, kas atrodamas lapā “Accounting” Komisijas nodrošinātajā Ikgadējo emisiju datu veidnē.</v>
      </c>
      <c r="E15" s="1301"/>
      <c r="F15" s="1301"/>
      <c r="G15" s="1301"/>
      <c r="H15" s="1301"/>
      <c r="I15" s="1301"/>
      <c r="J15" s="1301"/>
      <c r="K15" s="1301"/>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602"/>
      <c r="BB15" s="602"/>
      <c r="BC15" s="685"/>
      <c r="BD15" s="23"/>
    </row>
    <row r="16" spans="1:56" s="666" customFormat="1" ht="12.75" customHeight="1" x14ac:dyDescent="0.2">
      <c r="A16" s="663"/>
      <c r="B16" s="664"/>
      <c r="C16" s="690"/>
      <c r="D16" s="1301" t="str">
        <f>Translations!$B$278</f>
        <v>Tāpēc varat katras tabulas datus iekopēt no Ikgadējo emisiju ziņojuma veidnes, jaunus datus neievadot; sīkāki norādījumi atrodami tur.</v>
      </c>
      <c r="E16" s="1301"/>
      <c r="F16" s="1301"/>
      <c r="G16" s="1301"/>
      <c r="H16" s="1301"/>
      <c r="I16" s="1301"/>
      <c r="J16" s="1301"/>
      <c r="K16" s="1301"/>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602"/>
      <c r="BB16" s="602"/>
      <c r="BC16" s="685"/>
      <c r="BD16" s="23"/>
    </row>
    <row r="17" spans="1:56" s="666" customFormat="1" ht="12.75" customHeight="1" x14ac:dyDescent="0.2">
      <c r="A17" s="663"/>
      <c r="B17" s="664"/>
      <c r="C17" s="690"/>
      <c r="D17" s="1301" t="str">
        <f>Translations!$B$279</f>
        <v>Ja jūsu dalībvalsts Komisijas veidni neizmanto vai dodat priekšroku datu manuālai ievadei, katras tabulas augšā ir sniegti datu paraugi (baltajos laukos).</v>
      </c>
      <c r="E17" s="1301"/>
      <c r="F17" s="1301"/>
      <c r="G17" s="1301"/>
      <c r="H17" s="1301"/>
      <c r="I17" s="1301"/>
      <c r="J17" s="1301"/>
      <c r="K17" s="1301"/>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602"/>
      <c r="BB17" s="602"/>
      <c r="BC17" s="685"/>
      <c r="BD17" s="23"/>
    </row>
    <row r="18" spans="1:56" s="666" customFormat="1" ht="12.75" customHeight="1" x14ac:dyDescent="0.2">
      <c r="A18" s="663"/>
      <c r="B18" s="664"/>
      <c r="C18" s="690"/>
      <c r="D18" s="1471" t="str">
        <f>Translations!$B$280</f>
        <v>Šajā lapā netiek veikti nekādi aprēķini. Tāpēc kopsummas slejās no AU līdz AY jāievada pareizi, jo šie dati tiks izmantoti tālāk šajā veidnē.</v>
      </c>
      <c r="E18" s="1471"/>
      <c r="F18" s="1471"/>
      <c r="G18" s="1471"/>
      <c r="H18" s="1471"/>
      <c r="I18" s="1471"/>
      <c r="J18" s="1471"/>
      <c r="K18" s="1471"/>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602"/>
      <c r="BB18" s="602"/>
      <c r="BC18" s="685"/>
      <c r="BD18" s="23"/>
    </row>
    <row r="19" spans="1:56" ht="50.1" customHeight="1" thickBot="1" x14ac:dyDescent="0.45">
      <c r="A19" s="602"/>
      <c r="B19" s="214"/>
      <c r="C19" s="95"/>
      <c r="D19" s="532" t="str">
        <f>Translations!$B$281</f>
        <v>Avota plūsmas (izņemot PFC emisijas)</v>
      </c>
      <c r="E19" s="214"/>
      <c r="F19" s="214"/>
      <c r="G19" s="214"/>
      <c r="H19" s="214"/>
      <c r="I19" s="214"/>
      <c r="J19" s="214"/>
      <c r="K19" s="214"/>
      <c r="L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602"/>
      <c r="BB19" s="602"/>
      <c r="BC19" s="685"/>
      <c r="BD19" s="23"/>
    </row>
    <row r="20" spans="1:56" ht="50.1" customHeight="1" thickBot="1" x14ac:dyDescent="0.25">
      <c r="A20" s="602"/>
      <c r="B20" s="214"/>
      <c r="C20" s="533" t="s">
        <v>466</v>
      </c>
      <c r="D20" s="534" t="str">
        <f>Translations!$B$282</f>
        <v>Metode</v>
      </c>
      <c r="E20" s="534" t="str">
        <f>Translations!$B$283</f>
        <v>Avota plūsmas nosaukums</v>
      </c>
      <c r="F20" s="535" t="str">
        <f>Translations!$B$284</f>
        <v>Darbības dati</v>
      </c>
      <c r="G20" s="535" t="str">
        <f>Translations!$B$285</f>
        <v>DD vienība</v>
      </c>
      <c r="H20" s="535" t="str">
        <f>Translations!$B$286</f>
        <v>NCV</v>
      </c>
      <c r="I20" s="535" t="str">
        <f>Translations!$B$287</f>
        <v>NCV vienība</v>
      </c>
      <c r="J20" s="535" t="str">
        <f>Translations!$B$288</f>
        <v>EF</v>
      </c>
      <c r="K20" s="535" t="str">
        <f>Translations!$B$289</f>
        <v>EF vienība</v>
      </c>
      <c r="L20" s="535" t="str">
        <f>Translations!$B$290</f>
        <v>C saturs</v>
      </c>
      <c r="M20" s="535" t="str">
        <f>Translations!$B$291</f>
        <v>C satura vienība</v>
      </c>
      <c r="N20" s="535" t="str">
        <f>Translations!$B$292</f>
        <v>Oksid. koef.</v>
      </c>
      <c r="O20" s="535" t="str">
        <f>Translations!$B$293</f>
        <v>OK vienība</v>
      </c>
      <c r="P20" s="535" t="str">
        <f>Translations!$B$294</f>
        <v>Pārrēķina koef.</v>
      </c>
      <c r="Q20" s="535" t="str">
        <f>Translations!$B$295</f>
        <v>PK vienība</v>
      </c>
      <c r="R20" s="535" t="str">
        <f>Translations!$B$296</f>
        <v>Biomasas saturs</v>
      </c>
      <c r="S20" s="535" t="str">
        <f>Translations!$B$297</f>
        <v>BS vienība</v>
      </c>
      <c r="T20" s="535" t="str">
        <f>Translations!$B$298</f>
        <v>ilgtnesp. BS</v>
      </c>
      <c r="U20" s="535" t="str">
        <f>Translations!$B$299</f>
        <v>ilgtnesp. BS vienība</v>
      </c>
      <c r="V20" s="535" t="str">
        <f>Translations!$B$300</f>
        <v>SEG konc. vidējā vērtība h</v>
      </c>
      <c r="W20" s="535" t="str">
        <f>Translations!$B$301</f>
        <v>SEG konc. h vienība</v>
      </c>
      <c r="X20" s="535" t="str">
        <f>Translations!$B$302</f>
        <v>ekspluatācijas stundas</v>
      </c>
      <c r="Y20" s="535" t="str">
        <f>Translations!$B$303</f>
        <v>ekspluatācijas stundu vienība</v>
      </c>
      <c r="Z20" s="535" t="str">
        <f>Translations!$B$304</f>
        <v>Dūmgāzes (vidēji)</v>
      </c>
      <c r="AA20" s="535" t="str">
        <f>Translations!$B$305</f>
        <v>Dūmgāzes (vidēji), vienība</v>
      </c>
      <c r="AB20" s="535" t="str">
        <f>Translations!$B$306</f>
        <v>Dūmgāzes (kopā)</v>
      </c>
      <c r="AC20" s="535" t="str">
        <f>Translations!$B$307</f>
        <v>Dūmgāzes (kopā), vienība</v>
      </c>
      <c r="AD20" s="535" t="str">
        <f>Translations!$B$308</f>
        <v>SEG daudzums gadā</v>
      </c>
      <c r="AE20" s="535" t="str">
        <f>Translations!$B$309</f>
        <v>SEG daudzums gadā, vienība</v>
      </c>
      <c r="AF20" s="535" t="str">
        <f>Translations!$B$310</f>
        <v>GWP (t CO2 e/t)</v>
      </c>
      <c r="AG20" s="535" t="str">
        <f>Translations!$B$311</f>
        <v>A: biežums</v>
      </c>
      <c r="AH20" s="535" t="str">
        <f>Translations!$B$312</f>
        <v>A: ilgums</v>
      </c>
      <c r="AI20" s="535" t="str">
        <f>Translations!$B$313</f>
        <v>A: SEF (CF4)</v>
      </c>
      <c r="AJ20" s="535" t="str">
        <f>Translations!$B$314</f>
        <v>B: AEO</v>
      </c>
      <c r="AK20" s="535" t="str">
        <f>Translations!$B$315</f>
        <v>B: CE</v>
      </c>
      <c r="AL20" s="535" t="str">
        <f>Translations!$B$316</f>
        <v>B: OVC</v>
      </c>
      <c r="AM20" s="535" t="str">
        <f>Translations!$B$317</f>
        <v>F (C2F6)</v>
      </c>
      <c r="AN20" s="535" t="str">
        <f>Translations!$B$318</f>
        <v>CF4 emisijas (t CF4)</v>
      </c>
      <c r="AO20" s="535" t="str">
        <f>Translations!$B$319</f>
        <v>C2F6 emisijas (t C2F6)</v>
      </c>
      <c r="AP20" s="535" t="str">
        <f>Translations!$B$320</f>
        <v>GWP (CF4) (t CO2 e/t)</v>
      </c>
      <c r="AQ20" s="535" t="str">
        <f>Translations!$B$321</f>
        <v>GWP (C2F6) (t CO2 e/t)</v>
      </c>
      <c r="AR20" s="535" t="str">
        <f>Translations!$B$322</f>
        <v>CF4 emisijas (t CO2e)</v>
      </c>
      <c r="AS20" s="535" t="str">
        <f>Translations!$B$323</f>
        <v>C2F6 emisijas (t CO2 e)</v>
      </c>
      <c r="AT20" s="535" t="str">
        <f>Translations!$B$324</f>
        <v>Uztveršanas efektivitāte, %</v>
      </c>
      <c r="AU20" s="535" t="str">
        <f>Translations!$B$325</f>
        <v>CO2 e, fosilie avoti (t)</v>
      </c>
      <c r="AV20" s="535" t="str">
        <f>Translations!$B$326</f>
        <v>CO2 e bio (t)</v>
      </c>
      <c r="AW20" s="535" t="str">
        <f>Translations!$B$327</f>
        <v>CO2 e, ilgtnesp. biomasa (t)</v>
      </c>
      <c r="AX20" s="536" t="str">
        <f>Translations!$B$328</f>
        <v>Enerģētiskais saturs (fosilie avoti), TJ</v>
      </c>
      <c r="AY20" s="537" t="str">
        <f>Translations!$B$329</f>
        <v>Enerģētiskais saturs (biomasa), TJ</v>
      </c>
      <c r="AZ20" s="214"/>
      <c r="BA20" s="602"/>
      <c r="BB20" s="602"/>
      <c r="BC20" s="685"/>
      <c r="BD20" s="23"/>
    </row>
    <row r="21" spans="1:56" ht="12.75" customHeight="1" x14ac:dyDescent="0.2">
      <c r="A21" s="602"/>
      <c r="B21" s="214"/>
      <c r="C21" s="543" t="str">
        <f>Translations!$B$330</f>
        <v>1. piem.</v>
      </c>
      <c r="D21" s="686" t="str">
        <f>Translations!$B$331</f>
        <v>Sadedzināšana</v>
      </c>
      <c r="E21" s="686" t="str">
        <f>Translations!$B$332</f>
        <v>Smagā degvieleļļa</v>
      </c>
      <c r="F21" s="687">
        <v>252000</v>
      </c>
      <c r="G21" s="538" t="s">
        <v>205</v>
      </c>
      <c r="H21" s="687">
        <v>45</v>
      </c>
      <c r="I21" s="538" t="s">
        <v>509</v>
      </c>
      <c r="J21" s="687">
        <v>73</v>
      </c>
      <c r="K21" s="538" t="s">
        <v>510</v>
      </c>
      <c r="L21" s="538"/>
      <c r="M21" s="538" t="s">
        <v>472</v>
      </c>
      <c r="N21" s="687">
        <v>100</v>
      </c>
      <c r="O21" s="688" t="s">
        <v>393</v>
      </c>
      <c r="P21" s="687"/>
      <c r="Q21" s="688" t="s">
        <v>393</v>
      </c>
      <c r="R21" s="687">
        <v>0</v>
      </c>
      <c r="S21" s="688" t="s">
        <v>393</v>
      </c>
      <c r="T21" s="687">
        <v>0</v>
      </c>
      <c r="U21" s="688" t="s">
        <v>393</v>
      </c>
      <c r="V21" s="774"/>
      <c r="W21" s="774"/>
      <c r="X21" s="774"/>
      <c r="Y21" s="774"/>
      <c r="Z21" s="774"/>
      <c r="AA21" s="774"/>
      <c r="AB21" s="774"/>
      <c r="AC21" s="774"/>
      <c r="AD21" s="774"/>
      <c r="AE21" s="774"/>
      <c r="AF21" s="774"/>
      <c r="AG21" s="774"/>
      <c r="AH21" s="774"/>
      <c r="AI21" s="774"/>
      <c r="AJ21" s="774"/>
      <c r="AK21" s="774"/>
      <c r="AL21" s="774"/>
      <c r="AM21" s="774"/>
      <c r="AN21" s="774"/>
      <c r="AO21" s="774"/>
      <c r="AP21" s="774"/>
      <c r="AQ21" s="774"/>
      <c r="AR21" s="774"/>
      <c r="AS21" s="774"/>
      <c r="AT21" s="774"/>
      <c r="AU21" s="689">
        <v>827820</v>
      </c>
      <c r="AV21" s="689">
        <v>0</v>
      </c>
      <c r="AW21" s="689">
        <v>0</v>
      </c>
      <c r="AX21" s="687">
        <v>11340</v>
      </c>
      <c r="AY21" s="687">
        <v>0</v>
      </c>
      <c r="AZ21" s="214"/>
      <c r="BA21" s="602"/>
      <c r="BB21" s="602"/>
      <c r="BC21" s="685"/>
      <c r="BD21" s="23"/>
    </row>
    <row r="22" spans="1:56" ht="12.75" customHeight="1" x14ac:dyDescent="0.2">
      <c r="A22" s="602"/>
      <c r="B22" s="214"/>
      <c r="C22" s="543" t="str">
        <f>Translations!$B$333</f>
        <v>2. piem.</v>
      </c>
      <c r="D22" s="686" t="str">
        <f>Translations!$B$334</f>
        <v>Procesa emisijas</v>
      </c>
      <c r="E22" s="686" t="str">
        <f>Translations!$B$335</f>
        <v>Māls</v>
      </c>
      <c r="F22" s="687">
        <v>121000</v>
      </c>
      <c r="G22" s="538" t="s">
        <v>205</v>
      </c>
      <c r="H22" s="687"/>
      <c r="I22" s="538" t="s">
        <v>472</v>
      </c>
      <c r="J22" s="687">
        <v>8.7940000000000004E-2</v>
      </c>
      <c r="K22" s="538" t="s">
        <v>511</v>
      </c>
      <c r="L22" s="538"/>
      <c r="M22" s="538" t="s">
        <v>472</v>
      </c>
      <c r="N22" s="687"/>
      <c r="O22" s="688" t="s">
        <v>393</v>
      </c>
      <c r="P22" s="687"/>
      <c r="Q22" s="688" t="s">
        <v>393</v>
      </c>
      <c r="R22" s="687">
        <v>0</v>
      </c>
      <c r="S22" s="688" t="s">
        <v>393</v>
      </c>
      <c r="T22" s="687">
        <v>0</v>
      </c>
      <c r="U22" s="688" t="s">
        <v>393</v>
      </c>
      <c r="V22" s="774"/>
      <c r="W22" s="774"/>
      <c r="X22" s="774"/>
      <c r="Y22" s="774"/>
      <c r="Z22" s="774"/>
      <c r="AA22" s="774"/>
      <c r="AB22" s="774"/>
      <c r="AC22" s="774"/>
      <c r="AD22" s="774"/>
      <c r="AE22" s="774"/>
      <c r="AF22" s="774"/>
      <c r="AG22" s="774"/>
      <c r="AH22" s="774"/>
      <c r="AI22" s="774"/>
      <c r="AJ22" s="774"/>
      <c r="AK22" s="774"/>
      <c r="AL22" s="774"/>
      <c r="AM22" s="774"/>
      <c r="AN22" s="774"/>
      <c r="AO22" s="774"/>
      <c r="AP22" s="774"/>
      <c r="AQ22" s="774"/>
      <c r="AR22" s="774"/>
      <c r="AS22" s="774"/>
      <c r="AT22" s="774"/>
      <c r="AU22" s="689">
        <v>10640.74</v>
      </c>
      <c r="AV22" s="689">
        <v>0</v>
      </c>
      <c r="AW22" s="689">
        <v>0</v>
      </c>
      <c r="AX22" s="687">
        <v>0</v>
      </c>
      <c r="AY22" s="687">
        <v>0</v>
      </c>
      <c r="AZ22" s="214"/>
      <c r="BA22" s="602"/>
      <c r="BB22" s="602"/>
      <c r="BC22" s="685"/>
      <c r="BD22" s="23"/>
    </row>
    <row r="23" spans="1:56" ht="12.75" customHeight="1" x14ac:dyDescent="0.2">
      <c r="A23" s="602"/>
      <c r="B23" s="214"/>
      <c r="C23" s="543" t="str">
        <f>Translations!$B$336</f>
        <v>3. piem.</v>
      </c>
      <c r="D23" s="686" t="str">
        <f>Translations!$B$337</f>
        <v>Masas bilance</v>
      </c>
      <c r="E23" s="686" t="str">
        <f>Translations!$B$338</f>
        <v>Tērauds</v>
      </c>
      <c r="F23" s="687">
        <v>-1808226</v>
      </c>
      <c r="G23" s="538" t="s">
        <v>205</v>
      </c>
      <c r="H23" s="687"/>
      <c r="I23" s="538" t="s">
        <v>472</v>
      </c>
      <c r="J23" s="687">
        <v>0</v>
      </c>
      <c r="K23" s="538" t="s">
        <v>472</v>
      </c>
      <c r="L23" s="538">
        <v>0.38779999999999998</v>
      </c>
      <c r="M23" s="538" t="s">
        <v>512</v>
      </c>
      <c r="N23" s="687"/>
      <c r="O23" s="688" t="s">
        <v>393</v>
      </c>
      <c r="P23" s="687">
        <v>100</v>
      </c>
      <c r="Q23" s="688" t="s">
        <v>393</v>
      </c>
      <c r="R23" s="687">
        <v>0</v>
      </c>
      <c r="S23" s="688" t="s">
        <v>393</v>
      </c>
      <c r="T23" s="687">
        <v>0</v>
      </c>
      <c r="U23" s="688" t="s">
        <v>393</v>
      </c>
      <c r="V23" s="774"/>
      <c r="W23" s="774"/>
      <c r="X23" s="774"/>
      <c r="Y23" s="774"/>
      <c r="Z23" s="774"/>
      <c r="AA23" s="774"/>
      <c r="AB23" s="774"/>
      <c r="AC23" s="774"/>
      <c r="AD23" s="774"/>
      <c r="AE23" s="774"/>
      <c r="AF23" s="774"/>
      <c r="AG23" s="774"/>
      <c r="AH23" s="774"/>
      <c r="AI23" s="774"/>
      <c r="AJ23" s="774"/>
      <c r="AK23" s="774"/>
      <c r="AL23" s="774"/>
      <c r="AM23" s="774"/>
      <c r="AN23" s="774"/>
      <c r="AO23" s="774"/>
      <c r="AP23" s="774"/>
      <c r="AQ23" s="774"/>
      <c r="AR23" s="774"/>
      <c r="AS23" s="774"/>
      <c r="AT23" s="774"/>
      <c r="AU23" s="689">
        <v>-2569306.8768191999</v>
      </c>
      <c r="AV23" s="689">
        <v>0</v>
      </c>
      <c r="AW23" s="689">
        <v>0</v>
      </c>
      <c r="AX23" s="687">
        <v>0</v>
      </c>
      <c r="AY23" s="687">
        <v>0</v>
      </c>
      <c r="AZ23" s="214"/>
      <c r="BA23" s="602"/>
      <c r="BB23" s="602"/>
      <c r="BC23" s="685"/>
      <c r="BD23" s="23"/>
    </row>
    <row r="24" spans="1:56" x14ac:dyDescent="0.2">
      <c r="A24" s="602"/>
      <c r="B24" s="214"/>
      <c r="C24" s="543">
        <v>1</v>
      </c>
      <c r="D24" s="596"/>
      <c r="E24" s="596"/>
      <c r="F24" s="597"/>
      <c r="G24" s="598"/>
      <c r="H24" s="597"/>
      <c r="I24" s="598"/>
      <c r="J24" s="597"/>
      <c r="K24" s="598"/>
      <c r="L24" s="598"/>
      <c r="M24" s="598"/>
      <c r="N24" s="597"/>
      <c r="O24" s="599"/>
      <c r="P24" s="597"/>
      <c r="Q24" s="599"/>
      <c r="R24" s="597"/>
      <c r="S24" s="599"/>
      <c r="T24" s="597"/>
      <c r="U24" s="599"/>
      <c r="V24" s="774"/>
      <c r="W24" s="774"/>
      <c r="X24" s="774"/>
      <c r="Y24" s="774"/>
      <c r="Z24" s="774"/>
      <c r="AA24" s="774"/>
      <c r="AB24" s="774"/>
      <c r="AC24" s="774"/>
      <c r="AD24" s="774"/>
      <c r="AE24" s="774"/>
      <c r="AF24" s="774"/>
      <c r="AG24" s="774"/>
      <c r="AH24" s="774"/>
      <c r="AI24" s="774"/>
      <c r="AJ24" s="774"/>
      <c r="AK24" s="774"/>
      <c r="AL24" s="774"/>
      <c r="AM24" s="774"/>
      <c r="AN24" s="774"/>
      <c r="AO24" s="774"/>
      <c r="AP24" s="774"/>
      <c r="AQ24" s="774"/>
      <c r="AR24" s="774"/>
      <c r="AS24" s="774"/>
      <c r="AT24" s="774"/>
      <c r="AU24" s="600"/>
      <c r="AV24" s="600"/>
      <c r="AW24" s="600"/>
      <c r="AX24" s="597"/>
      <c r="AY24" s="597"/>
      <c r="AZ24" s="214"/>
      <c r="BA24" s="490" t="str">
        <f t="shared" ref="BA24:BA87" si="0">EUconst_SumCO2</f>
        <v>SUM_CO2</v>
      </c>
      <c r="BB24" s="581" t="str">
        <f t="shared" ref="BB24:BB87" si="1">EUconst_SumEnergyIN</f>
        <v>SUM_EnergyIN</v>
      </c>
      <c r="BC24" s="602"/>
      <c r="BD24" s="23"/>
    </row>
    <row r="25" spans="1:56" x14ac:dyDescent="0.2">
      <c r="A25" s="602"/>
      <c r="B25" s="214"/>
      <c r="C25" s="544">
        <v>2</v>
      </c>
      <c r="D25" s="596"/>
      <c r="E25" s="596"/>
      <c r="F25" s="597"/>
      <c r="G25" s="598"/>
      <c r="H25" s="597"/>
      <c r="I25" s="598"/>
      <c r="J25" s="597"/>
      <c r="K25" s="598"/>
      <c r="L25" s="598"/>
      <c r="M25" s="598"/>
      <c r="N25" s="597"/>
      <c r="O25" s="599"/>
      <c r="P25" s="597"/>
      <c r="Q25" s="599"/>
      <c r="R25" s="597"/>
      <c r="S25" s="599"/>
      <c r="T25" s="597"/>
      <c r="U25" s="599"/>
      <c r="V25" s="774"/>
      <c r="W25" s="774"/>
      <c r="X25" s="774"/>
      <c r="Y25" s="774"/>
      <c r="Z25" s="774"/>
      <c r="AA25" s="774"/>
      <c r="AB25" s="774"/>
      <c r="AC25" s="774"/>
      <c r="AD25" s="774"/>
      <c r="AE25" s="774"/>
      <c r="AF25" s="774"/>
      <c r="AG25" s="774"/>
      <c r="AH25" s="774"/>
      <c r="AI25" s="774"/>
      <c r="AJ25" s="774"/>
      <c r="AK25" s="774"/>
      <c r="AL25" s="774"/>
      <c r="AM25" s="774"/>
      <c r="AN25" s="774"/>
      <c r="AO25" s="774"/>
      <c r="AP25" s="774"/>
      <c r="AQ25" s="774"/>
      <c r="AR25" s="774"/>
      <c r="AS25" s="774"/>
      <c r="AT25" s="774"/>
      <c r="AU25" s="600"/>
      <c r="AV25" s="600"/>
      <c r="AW25" s="600"/>
      <c r="AX25" s="597"/>
      <c r="AY25" s="597"/>
      <c r="AZ25" s="214"/>
      <c r="BA25" s="490" t="str">
        <f t="shared" si="0"/>
        <v>SUM_CO2</v>
      </c>
      <c r="BB25" s="581" t="str">
        <f t="shared" si="1"/>
        <v>SUM_EnergyIN</v>
      </c>
      <c r="BC25" s="602"/>
      <c r="BD25" s="23"/>
    </row>
    <row r="26" spans="1:56" x14ac:dyDescent="0.2">
      <c r="A26" s="602"/>
      <c r="B26" s="214"/>
      <c r="C26" s="544">
        <v>3</v>
      </c>
      <c r="D26" s="596"/>
      <c r="E26" s="596"/>
      <c r="F26" s="597"/>
      <c r="G26" s="598"/>
      <c r="H26" s="597"/>
      <c r="I26" s="598"/>
      <c r="J26" s="597"/>
      <c r="K26" s="598"/>
      <c r="L26" s="598"/>
      <c r="M26" s="598"/>
      <c r="N26" s="597"/>
      <c r="O26" s="599"/>
      <c r="P26" s="597"/>
      <c r="Q26" s="599"/>
      <c r="R26" s="597"/>
      <c r="S26" s="599"/>
      <c r="T26" s="597"/>
      <c r="U26" s="599"/>
      <c r="V26" s="774"/>
      <c r="W26" s="774"/>
      <c r="X26" s="774"/>
      <c r="Y26" s="774"/>
      <c r="Z26" s="774"/>
      <c r="AA26" s="774"/>
      <c r="AB26" s="774"/>
      <c r="AC26" s="774"/>
      <c r="AD26" s="774"/>
      <c r="AE26" s="774"/>
      <c r="AF26" s="774"/>
      <c r="AG26" s="774"/>
      <c r="AH26" s="774"/>
      <c r="AI26" s="774"/>
      <c r="AJ26" s="774"/>
      <c r="AK26" s="774"/>
      <c r="AL26" s="774"/>
      <c r="AM26" s="774"/>
      <c r="AN26" s="774"/>
      <c r="AO26" s="774"/>
      <c r="AP26" s="774"/>
      <c r="AQ26" s="774"/>
      <c r="AR26" s="774"/>
      <c r="AS26" s="774"/>
      <c r="AT26" s="774"/>
      <c r="AU26" s="600"/>
      <c r="AV26" s="600"/>
      <c r="AW26" s="600"/>
      <c r="AX26" s="597"/>
      <c r="AY26" s="597"/>
      <c r="AZ26" s="214"/>
      <c r="BA26" s="490" t="str">
        <f t="shared" si="0"/>
        <v>SUM_CO2</v>
      </c>
      <c r="BB26" s="581" t="str">
        <f t="shared" si="1"/>
        <v>SUM_EnergyIN</v>
      </c>
      <c r="BC26" s="602"/>
      <c r="BD26" s="23"/>
    </row>
    <row r="27" spans="1:56" x14ac:dyDescent="0.2">
      <c r="A27" s="602"/>
      <c r="B27" s="214"/>
      <c r="C27" s="544">
        <v>4</v>
      </c>
      <c r="D27" s="596"/>
      <c r="E27" s="596"/>
      <c r="F27" s="597"/>
      <c r="G27" s="598"/>
      <c r="H27" s="597"/>
      <c r="I27" s="598"/>
      <c r="J27" s="597"/>
      <c r="K27" s="598"/>
      <c r="L27" s="598"/>
      <c r="M27" s="598"/>
      <c r="N27" s="597"/>
      <c r="O27" s="599"/>
      <c r="P27" s="597"/>
      <c r="Q27" s="599"/>
      <c r="R27" s="597"/>
      <c r="S27" s="599"/>
      <c r="T27" s="597"/>
      <c r="U27" s="599"/>
      <c r="V27" s="774"/>
      <c r="W27" s="774"/>
      <c r="X27" s="774"/>
      <c r="Y27" s="774"/>
      <c r="Z27" s="774"/>
      <c r="AA27" s="774"/>
      <c r="AB27" s="774"/>
      <c r="AC27" s="774"/>
      <c r="AD27" s="774"/>
      <c r="AE27" s="774"/>
      <c r="AF27" s="774"/>
      <c r="AG27" s="774"/>
      <c r="AH27" s="774"/>
      <c r="AI27" s="774"/>
      <c r="AJ27" s="774"/>
      <c r="AK27" s="774"/>
      <c r="AL27" s="774"/>
      <c r="AM27" s="774"/>
      <c r="AN27" s="774"/>
      <c r="AO27" s="774"/>
      <c r="AP27" s="774"/>
      <c r="AQ27" s="774"/>
      <c r="AR27" s="774"/>
      <c r="AS27" s="774"/>
      <c r="AT27" s="774"/>
      <c r="AU27" s="600"/>
      <c r="AV27" s="600"/>
      <c r="AW27" s="600"/>
      <c r="AX27" s="597"/>
      <c r="AY27" s="597"/>
      <c r="AZ27" s="214"/>
      <c r="BA27" s="490" t="str">
        <f t="shared" si="0"/>
        <v>SUM_CO2</v>
      </c>
      <c r="BB27" s="581" t="str">
        <f t="shared" si="1"/>
        <v>SUM_EnergyIN</v>
      </c>
      <c r="BC27" s="602"/>
      <c r="BD27" s="23"/>
    </row>
    <row r="28" spans="1:56" x14ac:dyDescent="0.2">
      <c r="A28" s="602"/>
      <c r="B28" s="214"/>
      <c r="C28" s="544">
        <v>5</v>
      </c>
      <c r="D28" s="596"/>
      <c r="E28" s="596"/>
      <c r="F28" s="597"/>
      <c r="G28" s="598"/>
      <c r="H28" s="597"/>
      <c r="I28" s="598"/>
      <c r="J28" s="597"/>
      <c r="K28" s="598"/>
      <c r="L28" s="598"/>
      <c r="M28" s="598"/>
      <c r="N28" s="597"/>
      <c r="O28" s="599"/>
      <c r="P28" s="597"/>
      <c r="Q28" s="599"/>
      <c r="R28" s="597"/>
      <c r="S28" s="599"/>
      <c r="T28" s="597"/>
      <c r="U28" s="599"/>
      <c r="V28" s="774"/>
      <c r="W28" s="774"/>
      <c r="X28" s="774"/>
      <c r="Y28" s="774"/>
      <c r="Z28" s="774"/>
      <c r="AA28" s="774"/>
      <c r="AB28" s="774"/>
      <c r="AC28" s="774"/>
      <c r="AD28" s="774"/>
      <c r="AE28" s="774"/>
      <c r="AF28" s="774"/>
      <c r="AG28" s="774"/>
      <c r="AH28" s="774"/>
      <c r="AI28" s="774"/>
      <c r="AJ28" s="774"/>
      <c r="AK28" s="774"/>
      <c r="AL28" s="774"/>
      <c r="AM28" s="774"/>
      <c r="AN28" s="774"/>
      <c r="AO28" s="774"/>
      <c r="AP28" s="774"/>
      <c r="AQ28" s="774"/>
      <c r="AR28" s="774"/>
      <c r="AS28" s="774"/>
      <c r="AT28" s="774"/>
      <c r="AU28" s="600"/>
      <c r="AV28" s="600"/>
      <c r="AW28" s="600"/>
      <c r="AX28" s="597"/>
      <c r="AY28" s="597"/>
      <c r="AZ28" s="214"/>
      <c r="BA28" s="490" t="str">
        <f t="shared" si="0"/>
        <v>SUM_CO2</v>
      </c>
      <c r="BB28" s="581" t="str">
        <f t="shared" si="1"/>
        <v>SUM_EnergyIN</v>
      </c>
      <c r="BC28" s="602"/>
      <c r="BD28" s="23"/>
    </row>
    <row r="29" spans="1:56" x14ac:dyDescent="0.2">
      <c r="A29" s="602"/>
      <c r="B29" s="214"/>
      <c r="C29" s="544">
        <v>6</v>
      </c>
      <c r="D29" s="596"/>
      <c r="E29" s="596"/>
      <c r="F29" s="597"/>
      <c r="G29" s="598"/>
      <c r="H29" s="597"/>
      <c r="I29" s="598"/>
      <c r="J29" s="597"/>
      <c r="K29" s="598"/>
      <c r="L29" s="598"/>
      <c r="M29" s="598"/>
      <c r="N29" s="597"/>
      <c r="O29" s="599"/>
      <c r="P29" s="597"/>
      <c r="Q29" s="599"/>
      <c r="R29" s="597"/>
      <c r="S29" s="599"/>
      <c r="T29" s="597"/>
      <c r="U29" s="599"/>
      <c r="V29" s="774"/>
      <c r="W29" s="774"/>
      <c r="X29" s="774"/>
      <c r="Y29" s="774"/>
      <c r="Z29" s="774"/>
      <c r="AA29" s="774"/>
      <c r="AB29" s="774"/>
      <c r="AC29" s="774"/>
      <c r="AD29" s="774"/>
      <c r="AE29" s="774"/>
      <c r="AF29" s="774"/>
      <c r="AG29" s="774"/>
      <c r="AH29" s="774"/>
      <c r="AI29" s="774"/>
      <c r="AJ29" s="774"/>
      <c r="AK29" s="774"/>
      <c r="AL29" s="774"/>
      <c r="AM29" s="774"/>
      <c r="AN29" s="774"/>
      <c r="AO29" s="774"/>
      <c r="AP29" s="774"/>
      <c r="AQ29" s="774"/>
      <c r="AR29" s="774"/>
      <c r="AS29" s="774"/>
      <c r="AT29" s="774"/>
      <c r="AU29" s="600"/>
      <c r="AV29" s="600"/>
      <c r="AW29" s="600"/>
      <c r="AX29" s="597"/>
      <c r="AY29" s="597"/>
      <c r="AZ29" s="214"/>
      <c r="BA29" s="490" t="str">
        <f t="shared" si="0"/>
        <v>SUM_CO2</v>
      </c>
      <c r="BB29" s="581" t="str">
        <f t="shared" si="1"/>
        <v>SUM_EnergyIN</v>
      </c>
      <c r="BC29" s="602"/>
      <c r="BD29" s="23"/>
    </row>
    <row r="30" spans="1:56" x14ac:dyDescent="0.2">
      <c r="A30" s="602"/>
      <c r="B30" s="214"/>
      <c r="C30" s="544">
        <v>7</v>
      </c>
      <c r="D30" s="596"/>
      <c r="E30" s="596"/>
      <c r="F30" s="597"/>
      <c r="G30" s="598"/>
      <c r="H30" s="597"/>
      <c r="I30" s="598"/>
      <c r="J30" s="597"/>
      <c r="K30" s="598"/>
      <c r="L30" s="598"/>
      <c r="M30" s="598"/>
      <c r="N30" s="597"/>
      <c r="O30" s="599"/>
      <c r="P30" s="597"/>
      <c r="Q30" s="599"/>
      <c r="R30" s="597"/>
      <c r="S30" s="599"/>
      <c r="T30" s="597"/>
      <c r="U30" s="599"/>
      <c r="V30" s="774"/>
      <c r="W30" s="774"/>
      <c r="X30" s="774"/>
      <c r="Y30" s="774"/>
      <c r="Z30" s="774"/>
      <c r="AA30" s="774"/>
      <c r="AB30" s="774"/>
      <c r="AC30" s="774"/>
      <c r="AD30" s="774"/>
      <c r="AE30" s="774"/>
      <c r="AF30" s="774"/>
      <c r="AG30" s="774"/>
      <c r="AH30" s="774"/>
      <c r="AI30" s="774"/>
      <c r="AJ30" s="774"/>
      <c r="AK30" s="774"/>
      <c r="AL30" s="774"/>
      <c r="AM30" s="774"/>
      <c r="AN30" s="774"/>
      <c r="AO30" s="774"/>
      <c r="AP30" s="774"/>
      <c r="AQ30" s="774"/>
      <c r="AR30" s="774"/>
      <c r="AS30" s="774"/>
      <c r="AT30" s="774"/>
      <c r="AU30" s="600"/>
      <c r="AV30" s="600"/>
      <c r="AW30" s="600"/>
      <c r="AX30" s="597"/>
      <c r="AY30" s="597"/>
      <c r="AZ30" s="214"/>
      <c r="BA30" s="490" t="str">
        <f t="shared" si="0"/>
        <v>SUM_CO2</v>
      </c>
      <c r="BB30" s="581" t="str">
        <f t="shared" si="1"/>
        <v>SUM_EnergyIN</v>
      </c>
      <c r="BC30" s="602"/>
      <c r="BD30" s="23"/>
    </row>
    <row r="31" spans="1:56" x14ac:dyDescent="0.2">
      <c r="A31" s="602"/>
      <c r="B31" s="214"/>
      <c r="C31" s="544">
        <v>8</v>
      </c>
      <c r="D31" s="596"/>
      <c r="E31" s="596"/>
      <c r="F31" s="597"/>
      <c r="G31" s="598"/>
      <c r="H31" s="597"/>
      <c r="I31" s="598"/>
      <c r="J31" s="597"/>
      <c r="K31" s="598"/>
      <c r="L31" s="598"/>
      <c r="M31" s="598"/>
      <c r="N31" s="597"/>
      <c r="O31" s="599"/>
      <c r="P31" s="597"/>
      <c r="Q31" s="599"/>
      <c r="R31" s="597"/>
      <c r="S31" s="599"/>
      <c r="T31" s="597"/>
      <c r="U31" s="599"/>
      <c r="V31" s="774"/>
      <c r="W31" s="774"/>
      <c r="X31" s="774"/>
      <c r="Y31" s="774"/>
      <c r="Z31" s="774"/>
      <c r="AA31" s="774"/>
      <c r="AB31" s="774"/>
      <c r="AC31" s="774"/>
      <c r="AD31" s="774"/>
      <c r="AE31" s="774"/>
      <c r="AF31" s="774"/>
      <c r="AG31" s="774"/>
      <c r="AH31" s="774"/>
      <c r="AI31" s="774"/>
      <c r="AJ31" s="774"/>
      <c r="AK31" s="774"/>
      <c r="AL31" s="774"/>
      <c r="AM31" s="774"/>
      <c r="AN31" s="774"/>
      <c r="AO31" s="774"/>
      <c r="AP31" s="774"/>
      <c r="AQ31" s="774"/>
      <c r="AR31" s="774"/>
      <c r="AS31" s="774"/>
      <c r="AT31" s="774"/>
      <c r="AU31" s="600"/>
      <c r="AV31" s="600"/>
      <c r="AW31" s="600"/>
      <c r="AX31" s="597"/>
      <c r="AY31" s="597"/>
      <c r="AZ31" s="214"/>
      <c r="BA31" s="490" t="str">
        <f t="shared" si="0"/>
        <v>SUM_CO2</v>
      </c>
      <c r="BB31" s="581" t="str">
        <f t="shared" si="1"/>
        <v>SUM_EnergyIN</v>
      </c>
      <c r="BC31" s="602"/>
      <c r="BD31" s="23"/>
    </row>
    <row r="32" spans="1:56" x14ac:dyDescent="0.2">
      <c r="A32" s="602"/>
      <c r="B32" s="214"/>
      <c r="C32" s="544">
        <v>9</v>
      </c>
      <c r="D32" s="596"/>
      <c r="E32" s="596"/>
      <c r="F32" s="597"/>
      <c r="G32" s="598"/>
      <c r="H32" s="597"/>
      <c r="I32" s="598"/>
      <c r="J32" s="597"/>
      <c r="K32" s="598"/>
      <c r="L32" s="598"/>
      <c r="M32" s="598"/>
      <c r="N32" s="597"/>
      <c r="O32" s="599"/>
      <c r="P32" s="597"/>
      <c r="Q32" s="599"/>
      <c r="R32" s="597"/>
      <c r="S32" s="599"/>
      <c r="T32" s="597"/>
      <c r="U32" s="599"/>
      <c r="V32" s="774"/>
      <c r="W32" s="774"/>
      <c r="X32" s="774"/>
      <c r="Y32" s="774"/>
      <c r="Z32" s="774"/>
      <c r="AA32" s="774"/>
      <c r="AB32" s="774"/>
      <c r="AC32" s="774"/>
      <c r="AD32" s="774"/>
      <c r="AE32" s="774"/>
      <c r="AF32" s="774"/>
      <c r="AG32" s="774"/>
      <c r="AH32" s="774"/>
      <c r="AI32" s="774"/>
      <c r="AJ32" s="774"/>
      <c r="AK32" s="774"/>
      <c r="AL32" s="774"/>
      <c r="AM32" s="774"/>
      <c r="AN32" s="774"/>
      <c r="AO32" s="774"/>
      <c r="AP32" s="774"/>
      <c r="AQ32" s="774"/>
      <c r="AR32" s="774"/>
      <c r="AS32" s="774"/>
      <c r="AT32" s="774"/>
      <c r="AU32" s="600"/>
      <c r="AV32" s="600"/>
      <c r="AW32" s="600"/>
      <c r="AX32" s="597"/>
      <c r="AY32" s="597"/>
      <c r="AZ32" s="214"/>
      <c r="BA32" s="490" t="str">
        <f t="shared" si="0"/>
        <v>SUM_CO2</v>
      </c>
      <c r="BB32" s="581" t="str">
        <f t="shared" si="1"/>
        <v>SUM_EnergyIN</v>
      </c>
      <c r="BC32" s="602"/>
      <c r="BD32" s="23"/>
    </row>
    <row r="33" spans="1:56" x14ac:dyDescent="0.2">
      <c r="A33" s="602"/>
      <c r="B33" s="214"/>
      <c r="C33" s="544">
        <v>10</v>
      </c>
      <c r="D33" s="596"/>
      <c r="E33" s="596"/>
      <c r="F33" s="597"/>
      <c r="G33" s="598"/>
      <c r="H33" s="597"/>
      <c r="I33" s="598"/>
      <c r="J33" s="597"/>
      <c r="K33" s="598"/>
      <c r="L33" s="598"/>
      <c r="M33" s="598"/>
      <c r="N33" s="597"/>
      <c r="O33" s="599"/>
      <c r="P33" s="597"/>
      <c r="Q33" s="599"/>
      <c r="R33" s="597"/>
      <c r="S33" s="599"/>
      <c r="T33" s="597"/>
      <c r="U33" s="599"/>
      <c r="V33" s="774"/>
      <c r="W33" s="774"/>
      <c r="X33" s="774"/>
      <c r="Y33" s="774"/>
      <c r="Z33" s="774"/>
      <c r="AA33" s="774"/>
      <c r="AB33" s="774"/>
      <c r="AC33" s="774"/>
      <c r="AD33" s="774"/>
      <c r="AE33" s="774"/>
      <c r="AF33" s="774"/>
      <c r="AG33" s="774"/>
      <c r="AH33" s="774"/>
      <c r="AI33" s="774"/>
      <c r="AJ33" s="774"/>
      <c r="AK33" s="774"/>
      <c r="AL33" s="774"/>
      <c r="AM33" s="774"/>
      <c r="AN33" s="774"/>
      <c r="AO33" s="774"/>
      <c r="AP33" s="774"/>
      <c r="AQ33" s="774"/>
      <c r="AR33" s="774"/>
      <c r="AS33" s="774"/>
      <c r="AT33" s="774"/>
      <c r="AU33" s="600"/>
      <c r="AV33" s="600"/>
      <c r="AW33" s="600"/>
      <c r="AX33" s="597"/>
      <c r="AY33" s="597"/>
      <c r="AZ33" s="214"/>
      <c r="BA33" s="490" t="str">
        <f t="shared" si="0"/>
        <v>SUM_CO2</v>
      </c>
      <c r="BB33" s="581" t="str">
        <f t="shared" si="1"/>
        <v>SUM_EnergyIN</v>
      </c>
      <c r="BC33" s="602"/>
      <c r="BD33" s="23"/>
    </row>
    <row r="34" spans="1:56" x14ac:dyDescent="0.2">
      <c r="A34" s="602"/>
      <c r="B34" s="214"/>
      <c r="C34" s="544">
        <v>11</v>
      </c>
      <c r="D34" s="596"/>
      <c r="E34" s="596"/>
      <c r="F34" s="597"/>
      <c r="G34" s="598"/>
      <c r="H34" s="597"/>
      <c r="I34" s="598"/>
      <c r="J34" s="597"/>
      <c r="K34" s="598"/>
      <c r="L34" s="598"/>
      <c r="M34" s="598"/>
      <c r="N34" s="597"/>
      <c r="O34" s="599"/>
      <c r="P34" s="597"/>
      <c r="Q34" s="599"/>
      <c r="R34" s="597"/>
      <c r="S34" s="599"/>
      <c r="T34" s="597"/>
      <c r="U34" s="599"/>
      <c r="V34" s="774"/>
      <c r="W34" s="774"/>
      <c r="X34" s="774"/>
      <c r="Y34" s="774"/>
      <c r="Z34" s="774"/>
      <c r="AA34" s="774"/>
      <c r="AB34" s="774"/>
      <c r="AC34" s="774"/>
      <c r="AD34" s="774"/>
      <c r="AE34" s="774"/>
      <c r="AF34" s="774"/>
      <c r="AG34" s="774"/>
      <c r="AH34" s="774"/>
      <c r="AI34" s="774"/>
      <c r="AJ34" s="774"/>
      <c r="AK34" s="774"/>
      <c r="AL34" s="774"/>
      <c r="AM34" s="774"/>
      <c r="AN34" s="774"/>
      <c r="AO34" s="774"/>
      <c r="AP34" s="774"/>
      <c r="AQ34" s="774"/>
      <c r="AR34" s="774"/>
      <c r="AS34" s="774"/>
      <c r="AT34" s="774"/>
      <c r="AU34" s="600"/>
      <c r="AV34" s="600"/>
      <c r="AW34" s="600"/>
      <c r="AX34" s="597"/>
      <c r="AY34" s="597"/>
      <c r="AZ34" s="214"/>
      <c r="BA34" s="490" t="str">
        <f t="shared" si="0"/>
        <v>SUM_CO2</v>
      </c>
      <c r="BB34" s="581" t="str">
        <f t="shared" si="1"/>
        <v>SUM_EnergyIN</v>
      </c>
      <c r="BC34" s="602"/>
      <c r="BD34" s="23"/>
    </row>
    <row r="35" spans="1:56" x14ac:dyDescent="0.2">
      <c r="A35" s="602"/>
      <c r="B35" s="214"/>
      <c r="C35" s="544">
        <v>12</v>
      </c>
      <c r="D35" s="596"/>
      <c r="E35" s="596"/>
      <c r="F35" s="597"/>
      <c r="G35" s="598"/>
      <c r="H35" s="597"/>
      <c r="I35" s="598"/>
      <c r="J35" s="597"/>
      <c r="K35" s="598"/>
      <c r="L35" s="598"/>
      <c r="M35" s="598"/>
      <c r="N35" s="597"/>
      <c r="O35" s="599"/>
      <c r="P35" s="597"/>
      <c r="Q35" s="599"/>
      <c r="R35" s="597"/>
      <c r="S35" s="599"/>
      <c r="T35" s="597"/>
      <c r="U35" s="599"/>
      <c r="V35" s="774"/>
      <c r="W35" s="774"/>
      <c r="X35" s="774"/>
      <c r="Y35" s="774"/>
      <c r="Z35" s="774"/>
      <c r="AA35" s="774"/>
      <c r="AB35" s="774"/>
      <c r="AC35" s="774"/>
      <c r="AD35" s="774"/>
      <c r="AE35" s="774"/>
      <c r="AF35" s="774"/>
      <c r="AG35" s="774"/>
      <c r="AH35" s="774"/>
      <c r="AI35" s="774"/>
      <c r="AJ35" s="774"/>
      <c r="AK35" s="774"/>
      <c r="AL35" s="774"/>
      <c r="AM35" s="774"/>
      <c r="AN35" s="774"/>
      <c r="AO35" s="774"/>
      <c r="AP35" s="774"/>
      <c r="AQ35" s="774"/>
      <c r="AR35" s="774"/>
      <c r="AS35" s="774"/>
      <c r="AT35" s="774"/>
      <c r="AU35" s="600"/>
      <c r="AV35" s="600"/>
      <c r="AW35" s="600"/>
      <c r="AX35" s="597"/>
      <c r="AY35" s="597"/>
      <c r="AZ35" s="214"/>
      <c r="BA35" s="490" t="str">
        <f t="shared" si="0"/>
        <v>SUM_CO2</v>
      </c>
      <c r="BB35" s="581" t="str">
        <f t="shared" si="1"/>
        <v>SUM_EnergyIN</v>
      </c>
      <c r="BC35" s="602"/>
      <c r="BD35" s="23"/>
    </row>
    <row r="36" spans="1:56" x14ac:dyDescent="0.2">
      <c r="A36" s="602"/>
      <c r="B36" s="214"/>
      <c r="C36" s="544">
        <v>13</v>
      </c>
      <c r="D36" s="596"/>
      <c r="E36" s="596"/>
      <c r="F36" s="597"/>
      <c r="G36" s="598"/>
      <c r="H36" s="597"/>
      <c r="I36" s="598"/>
      <c r="J36" s="597"/>
      <c r="K36" s="598"/>
      <c r="L36" s="598"/>
      <c r="M36" s="598"/>
      <c r="N36" s="597"/>
      <c r="O36" s="599"/>
      <c r="P36" s="597"/>
      <c r="Q36" s="599"/>
      <c r="R36" s="597"/>
      <c r="S36" s="599"/>
      <c r="T36" s="597"/>
      <c r="U36" s="599"/>
      <c r="V36" s="774"/>
      <c r="W36" s="774"/>
      <c r="X36" s="774"/>
      <c r="Y36" s="774"/>
      <c r="Z36" s="774"/>
      <c r="AA36" s="774"/>
      <c r="AB36" s="774"/>
      <c r="AC36" s="774"/>
      <c r="AD36" s="774"/>
      <c r="AE36" s="774"/>
      <c r="AF36" s="774"/>
      <c r="AG36" s="774"/>
      <c r="AH36" s="774"/>
      <c r="AI36" s="774"/>
      <c r="AJ36" s="774"/>
      <c r="AK36" s="774"/>
      <c r="AL36" s="774"/>
      <c r="AM36" s="774"/>
      <c r="AN36" s="774"/>
      <c r="AO36" s="774"/>
      <c r="AP36" s="774"/>
      <c r="AQ36" s="774"/>
      <c r="AR36" s="774"/>
      <c r="AS36" s="774"/>
      <c r="AT36" s="774"/>
      <c r="AU36" s="600"/>
      <c r="AV36" s="600"/>
      <c r="AW36" s="600"/>
      <c r="AX36" s="597"/>
      <c r="AY36" s="597"/>
      <c r="AZ36" s="214"/>
      <c r="BA36" s="490" t="str">
        <f t="shared" si="0"/>
        <v>SUM_CO2</v>
      </c>
      <c r="BB36" s="581" t="str">
        <f t="shared" si="1"/>
        <v>SUM_EnergyIN</v>
      </c>
      <c r="BC36" s="602"/>
      <c r="BD36" s="23"/>
    </row>
    <row r="37" spans="1:56" x14ac:dyDescent="0.2">
      <c r="A37" s="602"/>
      <c r="B37" s="214"/>
      <c r="C37" s="544">
        <v>14</v>
      </c>
      <c r="D37" s="596"/>
      <c r="E37" s="596"/>
      <c r="F37" s="597"/>
      <c r="G37" s="598"/>
      <c r="H37" s="597"/>
      <c r="I37" s="598"/>
      <c r="J37" s="597"/>
      <c r="K37" s="598"/>
      <c r="L37" s="598"/>
      <c r="M37" s="598"/>
      <c r="N37" s="597"/>
      <c r="O37" s="599"/>
      <c r="P37" s="597"/>
      <c r="Q37" s="599"/>
      <c r="R37" s="597"/>
      <c r="S37" s="599"/>
      <c r="T37" s="597"/>
      <c r="U37" s="599"/>
      <c r="V37" s="774"/>
      <c r="W37" s="774"/>
      <c r="X37" s="774"/>
      <c r="Y37" s="774"/>
      <c r="Z37" s="774"/>
      <c r="AA37" s="774"/>
      <c r="AB37" s="774"/>
      <c r="AC37" s="774"/>
      <c r="AD37" s="774"/>
      <c r="AE37" s="774"/>
      <c r="AF37" s="774"/>
      <c r="AG37" s="774"/>
      <c r="AH37" s="774"/>
      <c r="AI37" s="774"/>
      <c r="AJ37" s="774"/>
      <c r="AK37" s="774"/>
      <c r="AL37" s="774"/>
      <c r="AM37" s="774"/>
      <c r="AN37" s="774"/>
      <c r="AO37" s="774"/>
      <c r="AP37" s="774"/>
      <c r="AQ37" s="774"/>
      <c r="AR37" s="774"/>
      <c r="AS37" s="774"/>
      <c r="AT37" s="774"/>
      <c r="AU37" s="600"/>
      <c r="AV37" s="600"/>
      <c r="AW37" s="600"/>
      <c r="AX37" s="597"/>
      <c r="AY37" s="597"/>
      <c r="AZ37" s="214"/>
      <c r="BA37" s="490" t="str">
        <f t="shared" si="0"/>
        <v>SUM_CO2</v>
      </c>
      <c r="BB37" s="581" t="str">
        <f t="shared" si="1"/>
        <v>SUM_EnergyIN</v>
      </c>
      <c r="BC37" s="602"/>
      <c r="BD37" s="23"/>
    </row>
    <row r="38" spans="1:56" x14ac:dyDescent="0.2">
      <c r="A38" s="602"/>
      <c r="B38" s="214"/>
      <c r="C38" s="544">
        <v>15</v>
      </c>
      <c r="D38" s="596"/>
      <c r="E38" s="596"/>
      <c r="F38" s="597"/>
      <c r="G38" s="598"/>
      <c r="H38" s="597"/>
      <c r="I38" s="598"/>
      <c r="J38" s="597"/>
      <c r="K38" s="598"/>
      <c r="L38" s="598"/>
      <c r="M38" s="598"/>
      <c r="N38" s="597"/>
      <c r="O38" s="599"/>
      <c r="P38" s="597"/>
      <c r="Q38" s="599"/>
      <c r="R38" s="597"/>
      <c r="S38" s="599"/>
      <c r="T38" s="597"/>
      <c r="U38" s="599"/>
      <c r="V38" s="774"/>
      <c r="W38" s="774"/>
      <c r="X38" s="774"/>
      <c r="Y38" s="774"/>
      <c r="Z38" s="774"/>
      <c r="AA38" s="774"/>
      <c r="AB38" s="774"/>
      <c r="AC38" s="774"/>
      <c r="AD38" s="774"/>
      <c r="AE38" s="774"/>
      <c r="AF38" s="774"/>
      <c r="AG38" s="774"/>
      <c r="AH38" s="774"/>
      <c r="AI38" s="774"/>
      <c r="AJ38" s="774"/>
      <c r="AK38" s="774"/>
      <c r="AL38" s="774"/>
      <c r="AM38" s="774"/>
      <c r="AN38" s="774"/>
      <c r="AO38" s="774"/>
      <c r="AP38" s="774"/>
      <c r="AQ38" s="774"/>
      <c r="AR38" s="774"/>
      <c r="AS38" s="774"/>
      <c r="AT38" s="774"/>
      <c r="AU38" s="600"/>
      <c r="AV38" s="600"/>
      <c r="AW38" s="600"/>
      <c r="AX38" s="597"/>
      <c r="AY38" s="597"/>
      <c r="AZ38" s="214"/>
      <c r="BA38" s="490" t="str">
        <f t="shared" si="0"/>
        <v>SUM_CO2</v>
      </c>
      <c r="BB38" s="581" t="str">
        <f t="shared" si="1"/>
        <v>SUM_EnergyIN</v>
      </c>
      <c r="BC38" s="602"/>
      <c r="BD38" s="23"/>
    </row>
    <row r="39" spans="1:56" x14ac:dyDescent="0.2">
      <c r="A39" s="602"/>
      <c r="B39" s="214"/>
      <c r="C39" s="544">
        <v>16</v>
      </c>
      <c r="D39" s="596"/>
      <c r="E39" s="596"/>
      <c r="F39" s="597"/>
      <c r="G39" s="598"/>
      <c r="H39" s="597"/>
      <c r="I39" s="598"/>
      <c r="J39" s="597"/>
      <c r="K39" s="598"/>
      <c r="L39" s="598"/>
      <c r="M39" s="598"/>
      <c r="N39" s="597"/>
      <c r="O39" s="599"/>
      <c r="P39" s="597"/>
      <c r="Q39" s="599"/>
      <c r="R39" s="597"/>
      <c r="S39" s="599"/>
      <c r="T39" s="597"/>
      <c r="U39" s="599"/>
      <c r="V39" s="774"/>
      <c r="W39" s="774"/>
      <c r="X39" s="774"/>
      <c r="Y39" s="774"/>
      <c r="Z39" s="774"/>
      <c r="AA39" s="774"/>
      <c r="AB39" s="774"/>
      <c r="AC39" s="774"/>
      <c r="AD39" s="774"/>
      <c r="AE39" s="774"/>
      <c r="AF39" s="774"/>
      <c r="AG39" s="774"/>
      <c r="AH39" s="774"/>
      <c r="AI39" s="774"/>
      <c r="AJ39" s="774"/>
      <c r="AK39" s="774"/>
      <c r="AL39" s="774"/>
      <c r="AM39" s="774"/>
      <c r="AN39" s="774"/>
      <c r="AO39" s="774"/>
      <c r="AP39" s="774"/>
      <c r="AQ39" s="774"/>
      <c r="AR39" s="774"/>
      <c r="AS39" s="774"/>
      <c r="AT39" s="774"/>
      <c r="AU39" s="600"/>
      <c r="AV39" s="600"/>
      <c r="AW39" s="600"/>
      <c r="AX39" s="597"/>
      <c r="AY39" s="597"/>
      <c r="AZ39" s="214"/>
      <c r="BA39" s="490" t="str">
        <f t="shared" si="0"/>
        <v>SUM_CO2</v>
      </c>
      <c r="BB39" s="581" t="str">
        <f t="shared" si="1"/>
        <v>SUM_EnergyIN</v>
      </c>
      <c r="BC39" s="602"/>
      <c r="BD39" s="23"/>
    </row>
    <row r="40" spans="1:56" x14ac:dyDescent="0.2">
      <c r="A40" s="602"/>
      <c r="B40" s="214"/>
      <c r="C40" s="544">
        <v>17</v>
      </c>
      <c r="D40" s="596"/>
      <c r="E40" s="596"/>
      <c r="F40" s="597"/>
      <c r="G40" s="598"/>
      <c r="H40" s="597"/>
      <c r="I40" s="598"/>
      <c r="J40" s="597"/>
      <c r="K40" s="598"/>
      <c r="L40" s="598"/>
      <c r="M40" s="598"/>
      <c r="N40" s="597"/>
      <c r="O40" s="599"/>
      <c r="P40" s="597"/>
      <c r="Q40" s="599"/>
      <c r="R40" s="597"/>
      <c r="S40" s="599"/>
      <c r="T40" s="597"/>
      <c r="U40" s="599"/>
      <c r="V40" s="774"/>
      <c r="W40" s="774"/>
      <c r="X40" s="774"/>
      <c r="Y40" s="774"/>
      <c r="Z40" s="774"/>
      <c r="AA40" s="774"/>
      <c r="AB40" s="774"/>
      <c r="AC40" s="774"/>
      <c r="AD40" s="774"/>
      <c r="AE40" s="774"/>
      <c r="AF40" s="774"/>
      <c r="AG40" s="774"/>
      <c r="AH40" s="774"/>
      <c r="AI40" s="774"/>
      <c r="AJ40" s="774"/>
      <c r="AK40" s="774"/>
      <c r="AL40" s="774"/>
      <c r="AM40" s="774"/>
      <c r="AN40" s="774"/>
      <c r="AO40" s="774"/>
      <c r="AP40" s="774"/>
      <c r="AQ40" s="774"/>
      <c r="AR40" s="774"/>
      <c r="AS40" s="774"/>
      <c r="AT40" s="774"/>
      <c r="AU40" s="600"/>
      <c r="AV40" s="600"/>
      <c r="AW40" s="600"/>
      <c r="AX40" s="597"/>
      <c r="AY40" s="597"/>
      <c r="AZ40" s="214"/>
      <c r="BA40" s="490" t="str">
        <f t="shared" si="0"/>
        <v>SUM_CO2</v>
      </c>
      <c r="BB40" s="581" t="str">
        <f t="shared" si="1"/>
        <v>SUM_EnergyIN</v>
      </c>
      <c r="BC40" s="602"/>
      <c r="BD40" s="23"/>
    </row>
    <row r="41" spans="1:56" x14ac:dyDescent="0.2">
      <c r="A41" s="602"/>
      <c r="B41" s="214"/>
      <c r="C41" s="544">
        <v>18</v>
      </c>
      <c r="D41" s="596"/>
      <c r="E41" s="596"/>
      <c r="F41" s="597"/>
      <c r="G41" s="598"/>
      <c r="H41" s="597"/>
      <c r="I41" s="598"/>
      <c r="J41" s="597"/>
      <c r="K41" s="598"/>
      <c r="L41" s="598"/>
      <c r="M41" s="598"/>
      <c r="N41" s="597"/>
      <c r="O41" s="599"/>
      <c r="P41" s="597"/>
      <c r="Q41" s="599"/>
      <c r="R41" s="597"/>
      <c r="S41" s="599"/>
      <c r="T41" s="597"/>
      <c r="U41" s="599"/>
      <c r="V41" s="774"/>
      <c r="W41" s="774"/>
      <c r="X41" s="774"/>
      <c r="Y41" s="774"/>
      <c r="Z41" s="774"/>
      <c r="AA41" s="774"/>
      <c r="AB41" s="774"/>
      <c r="AC41" s="774"/>
      <c r="AD41" s="774"/>
      <c r="AE41" s="774"/>
      <c r="AF41" s="774"/>
      <c r="AG41" s="774"/>
      <c r="AH41" s="774"/>
      <c r="AI41" s="774"/>
      <c r="AJ41" s="774"/>
      <c r="AK41" s="774"/>
      <c r="AL41" s="774"/>
      <c r="AM41" s="774"/>
      <c r="AN41" s="774"/>
      <c r="AO41" s="774"/>
      <c r="AP41" s="774"/>
      <c r="AQ41" s="774"/>
      <c r="AR41" s="774"/>
      <c r="AS41" s="774"/>
      <c r="AT41" s="774"/>
      <c r="AU41" s="600"/>
      <c r="AV41" s="600"/>
      <c r="AW41" s="600"/>
      <c r="AX41" s="597"/>
      <c r="AY41" s="597"/>
      <c r="AZ41" s="214"/>
      <c r="BA41" s="490" t="str">
        <f t="shared" si="0"/>
        <v>SUM_CO2</v>
      </c>
      <c r="BB41" s="581" t="str">
        <f t="shared" si="1"/>
        <v>SUM_EnergyIN</v>
      </c>
      <c r="BC41" s="602"/>
      <c r="BD41" s="23"/>
    </row>
    <row r="42" spans="1:56" x14ac:dyDescent="0.2">
      <c r="A42" s="602"/>
      <c r="B42" s="214"/>
      <c r="C42" s="544">
        <v>19</v>
      </c>
      <c r="D42" s="596"/>
      <c r="E42" s="596"/>
      <c r="F42" s="597"/>
      <c r="G42" s="598"/>
      <c r="H42" s="597"/>
      <c r="I42" s="598"/>
      <c r="J42" s="597"/>
      <c r="K42" s="598"/>
      <c r="L42" s="598"/>
      <c r="M42" s="598"/>
      <c r="N42" s="597"/>
      <c r="O42" s="599"/>
      <c r="P42" s="597"/>
      <c r="Q42" s="599"/>
      <c r="R42" s="597"/>
      <c r="S42" s="599"/>
      <c r="T42" s="597"/>
      <c r="U42" s="599"/>
      <c r="V42" s="774"/>
      <c r="W42" s="774"/>
      <c r="X42" s="774"/>
      <c r="Y42" s="774"/>
      <c r="Z42" s="774"/>
      <c r="AA42" s="774"/>
      <c r="AB42" s="774"/>
      <c r="AC42" s="774"/>
      <c r="AD42" s="774"/>
      <c r="AE42" s="774"/>
      <c r="AF42" s="774"/>
      <c r="AG42" s="774"/>
      <c r="AH42" s="774"/>
      <c r="AI42" s="774"/>
      <c r="AJ42" s="774"/>
      <c r="AK42" s="774"/>
      <c r="AL42" s="774"/>
      <c r="AM42" s="774"/>
      <c r="AN42" s="774"/>
      <c r="AO42" s="774"/>
      <c r="AP42" s="774"/>
      <c r="AQ42" s="774"/>
      <c r="AR42" s="774"/>
      <c r="AS42" s="774"/>
      <c r="AT42" s="774"/>
      <c r="AU42" s="600"/>
      <c r="AV42" s="600"/>
      <c r="AW42" s="600"/>
      <c r="AX42" s="597"/>
      <c r="AY42" s="597"/>
      <c r="AZ42" s="214"/>
      <c r="BA42" s="490" t="str">
        <f t="shared" si="0"/>
        <v>SUM_CO2</v>
      </c>
      <c r="BB42" s="581" t="str">
        <f t="shared" si="1"/>
        <v>SUM_EnergyIN</v>
      </c>
      <c r="BC42" s="602"/>
      <c r="BD42" s="23"/>
    </row>
    <row r="43" spans="1:56" x14ac:dyDescent="0.2">
      <c r="A43" s="602"/>
      <c r="B43" s="214"/>
      <c r="C43" s="544">
        <v>20</v>
      </c>
      <c r="D43" s="596"/>
      <c r="E43" s="596"/>
      <c r="F43" s="597"/>
      <c r="G43" s="598"/>
      <c r="H43" s="597"/>
      <c r="I43" s="598"/>
      <c r="J43" s="597"/>
      <c r="K43" s="598"/>
      <c r="L43" s="598"/>
      <c r="M43" s="598"/>
      <c r="N43" s="597"/>
      <c r="O43" s="599"/>
      <c r="P43" s="597"/>
      <c r="Q43" s="599"/>
      <c r="R43" s="597"/>
      <c r="S43" s="599"/>
      <c r="T43" s="597"/>
      <c r="U43" s="599"/>
      <c r="V43" s="774"/>
      <c r="W43" s="774"/>
      <c r="X43" s="774"/>
      <c r="Y43" s="774"/>
      <c r="Z43" s="774"/>
      <c r="AA43" s="774"/>
      <c r="AB43" s="774"/>
      <c r="AC43" s="774"/>
      <c r="AD43" s="774"/>
      <c r="AE43" s="774"/>
      <c r="AF43" s="774"/>
      <c r="AG43" s="774"/>
      <c r="AH43" s="774"/>
      <c r="AI43" s="774"/>
      <c r="AJ43" s="774"/>
      <c r="AK43" s="774"/>
      <c r="AL43" s="774"/>
      <c r="AM43" s="774"/>
      <c r="AN43" s="774"/>
      <c r="AO43" s="774"/>
      <c r="AP43" s="774"/>
      <c r="AQ43" s="774"/>
      <c r="AR43" s="774"/>
      <c r="AS43" s="774"/>
      <c r="AT43" s="774"/>
      <c r="AU43" s="600"/>
      <c r="AV43" s="600"/>
      <c r="AW43" s="600"/>
      <c r="AX43" s="597"/>
      <c r="AY43" s="597"/>
      <c r="AZ43" s="214"/>
      <c r="BA43" s="490" t="str">
        <f t="shared" si="0"/>
        <v>SUM_CO2</v>
      </c>
      <c r="BB43" s="581" t="str">
        <f t="shared" si="1"/>
        <v>SUM_EnergyIN</v>
      </c>
      <c r="BC43" s="602"/>
      <c r="BD43" s="23"/>
    </row>
    <row r="44" spans="1:56" x14ac:dyDescent="0.2">
      <c r="A44" s="602"/>
      <c r="B44" s="214"/>
      <c r="C44" s="544">
        <v>21</v>
      </c>
      <c r="D44" s="596"/>
      <c r="E44" s="596"/>
      <c r="F44" s="597"/>
      <c r="G44" s="598"/>
      <c r="H44" s="597"/>
      <c r="I44" s="598"/>
      <c r="J44" s="597"/>
      <c r="K44" s="598"/>
      <c r="L44" s="598"/>
      <c r="M44" s="598"/>
      <c r="N44" s="597"/>
      <c r="O44" s="599"/>
      <c r="P44" s="597"/>
      <c r="Q44" s="599"/>
      <c r="R44" s="597"/>
      <c r="S44" s="599"/>
      <c r="T44" s="597"/>
      <c r="U44" s="599"/>
      <c r="V44" s="774"/>
      <c r="W44" s="774"/>
      <c r="X44" s="774"/>
      <c r="Y44" s="774"/>
      <c r="Z44" s="774"/>
      <c r="AA44" s="774"/>
      <c r="AB44" s="774"/>
      <c r="AC44" s="774"/>
      <c r="AD44" s="774"/>
      <c r="AE44" s="774"/>
      <c r="AF44" s="774"/>
      <c r="AG44" s="774"/>
      <c r="AH44" s="774"/>
      <c r="AI44" s="774"/>
      <c r="AJ44" s="774"/>
      <c r="AK44" s="774"/>
      <c r="AL44" s="774"/>
      <c r="AM44" s="774"/>
      <c r="AN44" s="774"/>
      <c r="AO44" s="774"/>
      <c r="AP44" s="774"/>
      <c r="AQ44" s="774"/>
      <c r="AR44" s="774"/>
      <c r="AS44" s="774"/>
      <c r="AT44" s="774"/>
      <c r="AU44" s="600"/>
      <c r="AV44" s="600"/>
      <c r="AW44" s="600"/>
      <c r="AX44" s="597"/>
      <c r="AY44" s="597"/>
      <c r="AZ44" s="214"/>
      <c r="BA44" s="490" t="str">
        <f t="shared" si="0"/>
        <v>SUM_CO2</v>
      </c>
      <c r="BB44" s="581" t="str">
        <f t="shared" si="1"/>
        <v>SUM_EnergyIN</v>
      </c>
      <c r="BC44" s="602"/>
      <c r="BD44" s="23"/>
    </row>
    <row r="45" spans="1:56" x14ac:dyDescent="0.2">
      <c r="A45" s="602"/>
      <c r="B45" s="214"/>
      <c r="C45" s="544">
        <v>22</v>
      </c>
      <c r="D45" s="596"/>
      <c r="E45" s="596"/>
      <c r="F45" s="597"/>
      <c r="G45" s="598"/>
      <c r="H45" s="597"/>
      <c r="I45" s="598"/>
      <c r="J45" s="597"/>
      <c r="K45" s="598"/>
      <c r="L45" s="598"/>
      <c r="M45" s="598"/>
      <c r="N45" s="597"/>
      <c r="O45" s="599"/>
      <c r="P45" s="597"/>
      <c r="Q45" s="599"/>
      <c r="R45" s="597"/>
      <c r="S45" s="599"/>
      <c r="T45" s="597"/>
      <c r="U45" s="599"/>
      <c r="V45" s="774"/>
      <c r="W45" s="774"/>
      <c r="X45" s="774"/>
      <c r="Y45" s="774"/>
      <c r="Z45" s="774"/>
      <c r="AA45" s="774"/>
      <c r="AB45" s="774"/>
      <c r="AC45" s="774"/>
      <c r="AD45" s="774"/>
      <c r="AE45" s="774"/>
      <c r="AF45" s="774"/>
      <c r="AG45" s="774"/>
      <c r="AH45" s="774"/>
      <c r="AI45" s="774"/>
      <c r="AJ45" s="774"/>
      <c r="AK45" s="774"/>
      <c r="AL45" s="774"/>
      <c r="AM45" s="774"/>
      <c r="AN45" s="774"/>
      <c r="AO45" s="774"/>
      <c r="AP45" s="774"/>
      <c r="AQ45" s="774"/>
      <c r="AR45" s="774"/>
      <c r="AS45" s="774"/>
      <c r="AT45" s="774"/>
      <c r="AU45" s="600"/>
      <c r="AV45" s="600"/>
      <c r="AW45" s="600"/>
      <c r="AX45" s="597"/>
      <c r="AY45" s="597"/>
      <c r="AZ45" s="214"/>
      <c r="BA45" s="490" t="str">
        <f t="shared" si="0"/>
        <v>SUM_CO2</v>
      </c>
      <c r="BB45" s="581" t="str">
        <f t="shared" si="1"/>
        <v>SUM_EnergyIN</v>
      </c>
      <c r="BC45" s="602"/>
      <c r="BD45" s="23"/>
    </row>
    <row r="46" spans="1:56" x14ac:dyDescent="0.2">
      <c r="A46" s="602"/>
      <c r="B46" s="214"/>
      <c r="C46" s="544">
        <v>23</v>
      </c>
      <c r="D46" s="596"/>
      <c r="E46" s="596"/>
      <c r="F46" s="597"/>
      <c r="G46" s="598"/>
      <c r="H46" s="597"/>
      <c r="I46" s="598"/>
      <c r="J46" s="597"/>
      <c r="K46" s="598"/>
      <c r="L46" s="598"/>
      <c r="M46" s="598"/>
      <c r="N46" s="597"/>
      <c r="O46" s="599"/>
      <c r="P46" s="597"/>
      <c r="Q46" s="599"/>
      <c r="R46" s="597"/>
      <c r="S46" s="599"/>
      <c r="T46" s="597"/>
      <c r="U46" s="599"/>
      <c r="V46" s="774"/>
      <c r="W46" s="774"/>
      <c r="X46" s="774"/>
      <c r="Y46" s="774"/>
      <c r="Z46" s="774"/>
      <c r="AA46" s="774"/>
      <c r="AB46" s="774"/>
      <c r="AC46" s="774"/>
      <c r="AD46" s="774"/>
      <c r="AE46" s="774"/>
      <c r="AF46" s="774"/>
      <c r="AG46" s="774"/>
      <c r="AH46" s="774"/>
      <c r="AI46" s="774"/>
      <c r="AJ46" s="774"/>
      <c r="AK46" s="774"/>
      <c r="AL46" s="774"/>
      <c r="AM46" s="774"/>
      <c r="AN46" s="774"/>
      <c r="AO46" s="774"/>
      <c r="AP46" s="774"/>
      <c r="AQ46" s="774"/>
      <c r="AR46" s="774"/>
      <c r="AS46" s="774"/>
      <c r="AT46" s="774"/>
      <c r="AU46" s="600"/>
      <c r="AV46" s="600"/>
      <c r="AW46" s="600"/>
      <c r="AX46" s="597"/>
      <c r="AY46" s="597"/>
      <c r="AZ46" s="214"/>
      <c r="BA46" s="490" t="str">
        <f t="shared" si="0"/>
        <v>SUM_CO2</v>
      </c>
      <c r="BB46" s="581" t="str">
        <f t="shared" si="1"/>
        <v>SUM_EnergyIN</v>
      </c>
      <c r="BC46" s="602"/>
      <c r="BD46" s="23"/>
    </row>
    <row r="47" spans="1:56" x14ac:dyDescent="0.2">
      <c r="A47" s="602"/>
      <c r="B47" s="214"/>
      <c r="C47" s="544">
        <v>24</v>
      </c>
      <c r="D47" s="596"/>
      <c r="E47" s="596"/>
      <c r="F47" s="597"/>
      <c r="G47" s="598"/>
      <c r="H47" s="597"/>
      <c r="I47" s="598"/>
      <c r="J47" s="597"/>
      <c r="K47" s="598"/>
      <c r="L47" s="598"/>
      <c r="M47" s="598"/>
      <c r="N47" s="597"/>
      <c r="O47" s="599"/>
      <c r="P47" s="597"/>
      <c r="Q47" s="599"/>
      <c r="R47" s="597"/>
      <c r="S47" s="599"/>
      <c r="T47" s="597"/>
      <c r="U47" s="599"/>
      <c r="V47" s="774"/>
      <c r="W47" s="774"/>
      <c r="X47" s="774"/>
      <c r="Y47" s="774"/>
      <c r="Z47" s="774"/>
      <c r="AA47" s="774"/>
      <c r="AB47" s="774"/>
      <c r="AC47" s="774"/>
      <c r="AD47" s="774"/>
      <c r="AE47" s="774"/>
      <c r="AF47" s="774"/>
      <c r="AG47" s="774"/>
      <c r="AH47" s="774"/>
      <c r="AI47" s="774"/>
      <c r="AJ47" s="774"/>
      <c r="AK47" s="774"/>
      <c r="AL47" s="774"/>
      <c r="AM47" s="774"/>
      <c r="AN47" s="774"/>
      <c r="AO47" s="774"/>
      <c r="AP47" s="774"/>
      <c r="AQ47" s="774"/>
      <c r="AR47" s="774"/>
      <c r="AS47" s="774"/>
      <c r="AT47" s="774"/>
      <c r="AU47" s="600"/>
      <c r="AV47" s="600"/>
      <c r="AW47" s="600"/>
      <c r="AX47" s="597"/>
      <c r="AY47" s="597"/>
      <c r="AZ47" s="214"/>
      <c r="BA47" s="490" t="str">
        <f t="shared" si="0"/>
        <v>SUM_CO2</v>
      </c>
      <c r="BB47" s="581" t="str">
        <f t="shared" si="1"/>
        <v>SUM_EnergyIN</v>
      </c>
      <c r="BC47" s="602"/>
      <c r="BD47" s="23"/>
    </row>
    <row r="48" spans="1:56" x14ac:dyDescent="0.2">
      <c r="A48" s="602"/>
      <c r="B48" s="214"/>
      <c r="C48" s="544">
        <v>25</v>
      </c>
      <c r="D48" s="596"/>
      <c r="E48" s="596"/>
      <c r="F48" s="597"/>
      <c r="G48" s="598"/>
      <c r="H48" s="597"/>
      <c r="I48" s="598"/>
      <c r="J48" s="597"/>
      <c r="K48" s="598"/>
      <c r="L48" s="598"/>
      <c r="M48" s="598"/>
      <c r="N48" s="597"/>
      <c r="O48" s="599"/>
      <c r="P48" s="597"/>
      <c r="Q48" s="599"/>
      <c r="R48" s="597"/>
      <c r="S48" s="599"/>
      <c r="T48" s="597"/>
      <c r="U48" s="599"/>
      <c r="V48" s="774"/>
      <c r="W48" s="774"/>
      <c r="X48" s="774"/>
      <c r="Y48" s="774"/>
      <c r="Z48" s="774"/>
      <c r="AA48" s="774"/>
      <c r="AB48" s="774"/>
      <c r="AC48" s="774"/>
      <c r="AD48" s="774"/>
      <c r="AE48" s="774"/>
      <c r="AF48" s="774"/>
      <c r="AG48" s="774"/>
      <c r="AH48" s="774"/>
      <c r="AI48" s="774"/>
      <c r="AJ48" s="774"/>
      <c r="AK48" s="774"/>
      <c r="AL48" s="774"/>
      <c r="AM48" s="774"/>
      <c r="AN48" s="774"/>
      <c r="AO48" s="774"/>
      <c r="AP48" s="774"/>
      <c r="AQ48" s="774"/>
      <c r="AR48" s="774"/>
      <c r="AS48" s="774"/>
      <c r="AT48" s="774"/>
      <c r="AU48" s="600"/>
      <c r="AV48" s="600"/>
      <c r="AW48" s="600"/>
      <c r="AX48" s="597"/>
      <c r="AY48" s="597"/>
      <c r="AZ48" s="214"/>
      <c r="BA48" s="490" t="str">
        <f t="shared" si="0"/>
        <v>SUM_CO2</v>
      </c>
      <c r="BB48" s="581" t="str">
        <f t="shared" si="1"/>
        <v>SUM_EnergyIN</v>
      </c>
      <c r="BC48" s="602"/>
      <c r="BD48" s="23"/>
    </row>
    <row r="49" spans="1:56" x14ac:dyDescent="0.2">
      <c r="A49" s="602"/>
      <c r="B49" s="214"/>
      <c r="C49" s="544">
        <v>26</v>
      </c>
      <c r="D49" s="596"/>
      <c r="E49" s="596"/>
      <c r="F49" s="597"/>
      <c r="G49" s="598"/>
      <c r="H49" s="597"/>
      <c r="I49" s="598"/>
      <c r="J49" s="597"/>
      <c r="K49" s="598"/>
      <c r="L49" s="598"/>
      <c r="M49" s="598"/>
      <c r="N49" s="597"/>
      <c r="O49" s="599"/>
      <c r="P49" s="597"/>
      <c r="Q49" s="599"/>
      <c r="R49" s="597"/>
      <c r="S49" s="599"/>
      <c r="T49" s="597"/>
      <c r="U49" s="599"/>
      <c r="V49" s="774"/>
      <c r="W49" s="774"/>
      <c r="X49" s="774"/>
      <c r="Y49" s="774"/>
      <c r="Z49" s="774"/>
      <c r="AA49" s="774"/>
      <c r="AB49" s="774"/>
      <c r="AC49" s="774"/>
      <c r="AD49" s="774"/>
      <c r="AE49" s="774"/>
      <c r="AF49" s="774"/>
      <c r="AG49" s="774"/>
      <c r="AH49" s="774"/>
      <c r="AI49" s="774"/>
      <c r="AJ49" s="774"/>
      <c r="AK49" s="774"/>
      <c r="AL49" s="774"/>
      <c r="AM49" s="774"/>
      <c r="AN49" s="774"/>
      <c r="AO49" s="774"/>
      <c r="AP49" s="774"/>
      <c r="AQ49" s="774"/>
      <c r="AR49" s="774"/>
      <c r="AS49" s="774"/>
      <c r="AT49" s="774"/>
      <c r="AU49" s="600"/>
      <c r="AV49" s="600"/>
      <c r="AW49" s="600"/>
      <c r="AX49" s="597"/>
      <c r="AY49" s="597"/>
      <c r="AZ49" s="214"/>
      <c r="BA49" s="490" t="str">
        <f t="shared" si="0"/>
        <v>SUM_CO2</v>
      </c>
      <c r="BB49" s="581" t="str">
        <f t="shared" si="1"/>
        <v>SUM_EnergyIN</v>
      </c>
      <c r="BC49" s="602"/>
      <c r="BD49" s="23"/>
    </row>
    <row r="50" spans="1:56" x14ac:dyDescent="0.2">
      <c r="A50" s="602"/>
      <c r="B50" s="214"/>
      <c r="C50" s="544">
        <v>27</v>
      </c>
      <c r="D50" s="596"/>
      <c r="E50" s="596"/>
      <c r="F50" s="597"/>
      <c r="G50" s="598"/>
      <c r="H50" s="597"/>
      <c r="I50" s="598"/>
      <c r="J50" s="597"/>
      <c r="K50" s="598"/>
      <c r="L50" s="598"/>
      <c r="M50" s="598"/>
      <c r="N50" s="597"/>
      <c r="O50" s="599"/>
      <c r="P50" s="597"/>
      <c r="Q50" s="599"/>
      <c r="R50" s="597"/>
      <c r="S50" s="599"/>
      <c r="T50" s="597"/>
      <c r="U50" s="599"/>
      <c r="V50" s="774"/>
      <c r="W50" s="774"/>
      <c r="X50" s="774"/>
      <c r="Y50" s="774"/>
      <c r="Z50" s="774"/>
      <c r="AA50" s="774"/>
      <c r="AB50" s="774"/>
      <c r="AC50" s="774"/>
      <c r="AD50" s="774"/>
      <c r="AE50" s="774"/>
      <c r="AF50" s="774"/>
      <c r="AG50" s="774"/>
      <c r="AH50" s="774"/>
      <c r="AI50" s="774"/>
      <c r="AJ50" s="774"/>
      <c r="AK50" s="774"/>
      <c r="AL50" s="774"/>
      <c r="AM50" s="774"/>
      <c r="AN50" s="774"/>
      <c r="AO50" s="774"/>
      <c r="AP50" s="774"/>
      <c r="AQ50" s="774"/>
      <c r="AR50" s="774"/>
      <c r="AS50" s="774"/>
      <c r="AT50" s="774"/>
      <c r="AU50" s="600"/>
      <c r="AV50" s="600"/>
      <c r="AW50" s="600"/>
      <c r="AX50" s="597"/>
      <c r="AY50" s="597"/>
      <c r="AZ50" s="214"/>
      <c r="BA50" s="490" t="str">
        <f t="shared" si="0"/>
        <v>SUM_CO2</v>
      </c>
      <c r="BB50" s="581" t="str">
        <f t="shared" si="1"/>
        <v>SUM_EnergyIN</v>
      </c>
      <c r="BC50" s="602"/>
      <c r="BD50" s="23"/>
    </row>
    <row r="51" spans="1:56" x14ac:dyDescent="0.2">
      <c r="A51" s="602"/>
      <c r="B51" s="214"/>
      <c r="C51" s="544">
        <v>28</v>
      </c>
      <c r="D51" s="596"/>
      <c r="E51" s="596"/>
      <c r="F51" s="597"/>
      <c r="G51" s="598"/>
      <c r="H51" s="597"/>
      <c r="I51" s="598"/>
      <c r="J51" s="597"/>
      <c r="K51" s="598"/>
      <c r="L51" s="598"/>
      <c r="M51" s="598"/>
      <c r="N51" s="597"/>
      <c r="O51" s="599"/>
      <c r="P51" s="597"/>
      <c r="Q51" s="599"/>
      <c r="R51" s="597"/>
      <c r="S51" s="599"/>
      <c r="T51" s="597"/>
      <c r="U51" s="599"/>
      <c r="V51" s="774"/>
      <c r="W51" s="774"/>
      <c r="X51" s="774"/>
      <c r="Y51" s="774"/>
      <c r="Z51" s="774"/>
      <c r="AA51" s="774"/>
      <c r="AB51" s="774"/>
      <c r="AC51" s="774"/>
      <c r="AD51" s="774"/>
      <c r="AE51" s="774"/>
      <c r="AF51" s="774"/>
      <c r="AG51" s="774"/>
      <c r="AH51" s="774"/>
      <c r="AI51" s="774"/>
      <c r="AJ51" s="774"/>
      <c r="AK51" s="774"/>
      <c r="AL51" s="774"/>
      <c r="AM51" s="774"/>
      <c r="AN51" s="774"/>
      <c r="AO51" s="774"/>
      <c r="AP51" s="774"/>
      <c r="AQ51" s="774"/>
      <c r="AR51" s="774"/>
      <c r="AS51" s="774"/>
      <c r="AT51" s="774"/>
      <c r="AU51" s="600"/>
      <c r="AV51" s="600"/>
      <c r="AW51" s="600"/>
      <c r="AX51" s="597"/>
      <c r="AY51" s="597"/>
      <c r="AZ51" s="214"/>
      <c r="BA51" s="490" t="str">
        <f t="shared" si="0"/>
        <v>SUM_CO2</v>
      </c>
      <c r="BB51" s="581" t="str">
        <f t="shared" si="1"/>
        <v>SUM_EnergyIN</v>
      </c>
      <c r="BC51" s="602"/>
      <c r="BD51" s="23"/>
    </row>
    <row r="52" spans="1:56" x14ac:dyDescent="0.2">
      <c r="A52" s="602"/>
      <c r="B52" s="214"/>
      <c r="C52" s="544">
        <v>29</v>
      </c>
      <c r="D52" s="596"/>
      <c r="E52" s="596"/>
      <c r="F52" s="597"/>
      <c r="G52" s="598"/>
      <c r="H52" s="597"/>
      <c r="I52" s="598"/>
      <c r="J52" s="597"/>
      <c r="K52" s="598"/>
      <c r="L52" s="598"/>
      <c r="M52" s="598"/>
      <c r="N52" s="597"/>
      <c r="O52" s="599"/>
      <c r="P52" s="597"/>
      <c r="Q52" s="599"/>
      <c r="R52" s="597"/>
      <c r="S52" s="599"/>
      <c r="T52" s="597"/>
      <c r="U52" s="599"/>
      <c r="V52" s="774"/>
      <c r="W52" s="774"/>
      <c r="X52" s="774"/>
      <c r="Y52" s="774"/>
      <c r="Z52" s="774"/>
      <c r="AA52" s="774"/>
      <c r="AB52" s="774"/>
      <c r="AC52" s="774"/>
      <c r="AD52" s="774"/>
      <c r="AE52" s="774"/>
      <c r="AF52" s="774"/>
      <c r="AG52" s="774"/>
      <c r="AH52" s="774"/>
      <c r="AI52" s="774"/>
      <c r="AJ52" s="774"/>
      <c r="AK52" s="774"/>
      <c r="AL52" s="774"/>
      <c r="AM52" s="774"/>
      <c r="AN52" s="774"/>
      <c r="AO52" s="774"/>
      <c r="AP52" s="774"/>
      <c r="AQ52" s="774"/>
      <c r="AR52" s="774"/>
      <c r="AS52" s="774"/>
      <c r="AT52" s="774"/>
      <c r="AU52" s="600"/>
      <c r="AV52" s="600"/>
      <c r="AW52" s="600"/>
      <c r="AX52" s="597"/>
      <c r="AY52" s="597"/>
      <c r="AZ52" s="214"/>
      <c r="BA52" s="490" t="str">
        <f t="shared" si="0"/>
        <v>SUM_CO2</v>
      </c>
      <c r="BB52" s="581" t="str">
        <f t="shared" si="1"/>
        <v>SUM_EnergyIN</v>
      </c>
      <c r="BC52" s="602"/>
      <c r="BD52" s="23"/>
    </row>
    <row r="53" spans="1:56" x14ac:dyDescent="0.2">
      <c r="A53" s="602"/>
      <c r="B53" s="214"/>
      <c r="C53" s="544">
        <v>30</v>
      </c>
      <c r="D53" s="596"/>
      <c r="E53" s="596"/>
      <c r="F53" s="597"/>
      <c r="G53" s="598"/>
      <c r="H53" s="597"/>
      <c r="I53" s="598"/>
      <c r="J53" s="597"/>
      <c r="K53" s="598"/>
      <c r="L53" s="598"/>
      <c r="M53" s="598"/>
      <c r="N53" s="597"/>
      <c r="O53" s="599"/>
      <c r="P53" s="597"/>
      <c r="Q53" s="599"/>
      <c r="R53" s="597"/>
      <c r="S53" s="599"/>
      <c r="T53" s="597"/>
      <c r="U53" s="599"/>
      <c r="V53" s="774"/>
      <c r="W53" s="774"/>
      <c r="X53" s="774"/>
      <c r="Y53" s="774"/>
      <c r="Z53" s="774"/>
      <c r="AA53" s="774"/>
      <c r="AB53" s="774"/>
      <c r="AC53" s="774"/>
      <c r="AD53" s="774"/>
      <c r="AE53" s="774"/>
      <c r="AF53" s="774"/>
      <c r="AG53" s="774"/>
      <c r="AH53" s="774"/>
      <c r="AI53" s="774"/>
      <c r="AJ53" s="774"/>
      <c r="AK53" s="774"/>
      <c r="AL53" s="774"/>
      <c r="AM53" s="774"/>
      <c r="AN53" s="774"/>
      <c r="AO53" s="774"/>
      <c r="AP53" s="774"/>
      <c r="AQ53" s="774"/>
      <c r="AR53" s="774"/>
      <c r="AS53" s="774"/>
      <c r="AT53" s="774"/>
      <c r="AU53" s="600"/>
      <c r="AV53" s="600"/>
      <c r="AW53" s="600"/>
      <c r="AX53" s="597"/>
      <c r="AY53" s="597"/>
      <c r="AZ53" s="214"/>
      <c r="BA53" s="490" t="str">
        <f t="shared" si="0"/>
        <v>SUM_CO2</v>
      </c>
      <c r="BB53" s="581" t="str">
        <f t="shared" si="1"/>
        <v>SUM_EnergyIN</v>
      </c>
      <c r="BC53" s="602"/>
      <c r="BD53" s="23"/>
    </row>
    <row r="54" spans="1:56" x14ac:dyDescent="0.2">
      <c r="A54" s="602"/>
      <c r="B54" s="214"/>
      <c r="C54" s="544">
        <v>31</v>
      </c>
      <c r="D54" s="596"/>
      <c r="E54" s="596"/>
      <c r="F54" s="597"/>
      <c r="G54" s="598"/>
      <c r="H54" s="597"/>
      <c r="I54" s="598"/>
      <c r="J54" s="597"/>
      <c r="K54" s="598"/>
      <c r="L54" s="598"/>
      <c r="M54" s="598"/>
      <c r="N54" s="597"/>
      <c r="O54" s="599"/>
      <c r="P54" s="597"/>
      <c r="Q54" s="599"/>
      <c r="R54" s="597"/>
      <c r="S54" s="599"/>
      <c r="T54" s="597"/>
      <c r="U54" s="599"/>
      <c r="V54" s="774"/>
      <c r="W54" s="774"/>
      <c r="X54" s="774"/>
      <c r="Y54" s="774"/>
      <c r="Z54" s="774"/>
      <c r="AA54" s="774"/>
      <c r="AB54" s="774"/>
      <c r="AC54" s="774"/>
      <c r="AD54" s="774"/>
      <c r="AE54" s="774"/>
      <c r="AF54" s="774"/>
      <c r="AG54" s="774"/>
      <c r="AH54" s="774"/>
      <c r="AI54" s="774"/>
      <c r="AJ54" s="774"/>
      <c r="AK54" s="774"/>
      <c r="AL54" s="774"/>
      <c r="AM54" s="774"/>
      <c r="AN54" s="774"/>
      <c r="AO54" s="774"/>
      <c r="AP54" s="774"/>
      <c r="AQ54" s="774"/>
      <c r="AR54" s="774"/>
      <c r="AS54" s="774"/>
      <c r="AT54" s="774"/>
      <c r="AU54" s="600"/>
      <c r="AV54" s="600"/>
      <c r="AW54" s="600"/>
      <c r="AX54" s="597"/>
      <c r="AY54" s="597"/>
      <c r="AZ54" s="214"/>
      <c r="BA54" s="490" t="str">
        <f t="shared" si="0"/>
        <v>SUM_CO2</v>
      </c>
      <c r="BB54" s="581" t="str">
        <f t="shared" si="1"/>
        <v>SUM_EnergyIN</v>
      </c>
      <c r="BC54" s="602"/>
      <c r="BD54" s="23"/>
    </row>
    <row r="55" spans="1:56" x14ac:dyDescent="0.2">
      <c r="A55" s="602"/>
      <c r="B55" s="214"/>
      <c r="C55" s="544">
        <v>32</v>
      </c>
      <c r="D55" s="596"/>
      <c r="E55" s="596"/>
      <c r="F55" s="597"/>
      <c r="G55" s="598"/>
      <c r="H55" s="597"/>
      <c r="I55" s="598"/>
      <c r="J55" s="597"/>
      <c r="K55" s="598"/>
      <c r="L55" s="598"/>
      <c r="M55" s="598"/>
      <c r="N55" s="597"/>
      <c r="O55" s="599"/>
      <c r="P55" s="597"/>
      <c r="Q55" s="599"/>
      <c r="R55" s="597"/>
      <c r="S55" s="599"/>
      <c r="T55" s="597"/>
      <c r="U55" s="599"/>
      <c r="V55" s="774"/>
      <c r="W55" s="774"/>
      <c r="X55" s="774"/>
      <c r="Y55" s="774"/>
      <c r="Z55" s="774"/>
      <c r="AA55" s="774"/>
      <c r="AB55" s="774"/>
      <c r="AC55" s="774"/>
      <c r="AD55" s="774"/>
      <c r="AE55" s="774"/>
      <c r="AF55" s="774"/>
      <c r="AG55" s="774"/>
      <c r="AH55" s="774"/>
      <c r="AI55" s="774"/>
      <c r="AJ55" s="774"/>
      <c r="AK55" s="774"/>
      <c r="AL55" s="774"/>
      <c r="AM55" s="774"/>
      <c r="AN55" s="774"/>
      <c r="AO55" s="774"/>
      <c r="AP55" s="774"/>
      <c r="AQ55" s="774"/>
      <c r="AR55" s="774"/>
      <c r="AS55" s="774"/>
      <c r="AT55" s="774"/>
      <c r="AU55" s="600"/>
      <c r="AV55" s="600"/>
      <c r="AW55" s="600"/>
      <c r="AX55" s="597"/>
      <c r="AY55" s="597"/>
      <c r="AZ55" s="214"/>
      <c r="BA55" s="490" t="str">
        <f t="shared" si="0"/>
        <v>SUM_CO2</v>
      </c>
      <c r="BB55" s="581" t="str">
        <f t="shared" si="1"/>
        <v>SUM_EnergyIN</v>
      </c>
      <c r="BC55" s="602"/>
      <c r="BD55" s="23"/>
    </row>
    <row r="56" spans="1:56" x14ac:dyDescent="0.2">
      <c r="A56" s="602"/>
      <c r="B56" s="214"/>
      <c r="C56" s="544">
        <v>33</v>
      </c>
      <c r="D56" s="596"/>
      <c r="E56" s="596"/>
      <c r="F56" s="597"/>
      <c r="G56" s="598"/>
      <c r="H56" s="597"/>
      <c r="I56" s="598"/>
      <c r="J56" s="597"/>
      <c r="K56" s="598"/>
      <c r="L56" s="598"/>
      <c r="M56" s="598"/>
      <c r="N56" s="597"/>
      <c r="O56" s="599"/>
      <c r="P56" s="597"/>
      <c r="Q56" s="599"/>
      <c r="R56" s="597"/>
      <c r="S56" s="599"/>
      <c r="T56" s="597"/>
      <c r="U56" s="599"/>
      <c r="V56" s="774"/>
      <c r="W56" s="774"/>
      <c r="X56" s="774"/>
      <c r="Y56" s="774"/>
      <c r="Z56" s="774"/>
      <c r="AA56" s="774"/>
      <c r="AB56" s="774"/>
      <c r="AC56" s="774"/>
      <c r="AD56" s="774"/>
      <c r="AE56" s="774"/>
      <c r="AF56" s="774"/>
      <c r="AG56" s="774"/>
      <c r="AH56" s="774"/>
      <c r="AI56" s="774"/>
      <c r="AJ56" s="774"/>
      <c r="AK56" s="774"/>
      <c r="AL56" s="774"/>
      <c r="AM56" s="774"/>
      <c r="AN56" s="774"/>
      <c r="AO56" s="774"/>
      <c r="AP56" s="774"/>
      <c r="AQ56" s="774"/>
      <c r="AR56" s="774"/>
      <c r="AS56" s="774"/>
      <c r="AT56" s="774"/>
      <c r="AU56" s="600"/>
      <c r="AV56" s="600"/>
      <c r="AW56" s="600"/>
      <c r="AX56" s="597"/>
      <c r="AY56" s="597"/>
      <c r="AZ56" s="214"/>
      <c r="BA56" s="490" t="str">
        <f t="shared" si="0"/>
        <v>SUM_CO2</v>
      </c>
      <c r="BB56" s="581" t="str">
        <f t="shared" si="1"/>
        <v>SUM_EnergyIN</v>
      </c>
      <c r="BC56" s="602"/>
      <c r="BD56" s="23"/>
    </row>
    <row r="57" spans="1:56" x14ac:dyDescent="0.2">
      <c r="A57" s="602"/>
      <c r="B57" s="214"/>
      <c r="C57" s="544">
        <v>34</v>
      </c>
      <c r="D57" s="596"/>
      <c r="E57" s="596"/>
      <c r="F57" s="597"/>
      <c r="G57" s="598"/>
      <c r="H57" s="597"/>
      <c r="I57" s="598"/>
      <c r="J57" s="597"/>
      <c r="K57" s="598"/>
      <c r="L57" s="598"/>
      <c r="M57" s="598"/>
      <c r="N57" s="597"/>
      <c r="O57" s="599"/>
      <c r="P57" s="597"/>
      <c r="Q57" s="599"/>
      <c r="R57" s="597"/>
      <c r="S57" s="599"/>
      <c r="T57" s="597"/>
      <c r="U57" s="599"/>
      <c r="V57" s="774"/>
      <c r="W57" s="774"/>
      <c r="X57" s="774"/>
      <c r="Y57" s="774"/>
      <c r="Z57" s="774"/>
      <c r="AA57" s="774"/>
      <c r="AB57" s="774"/>
      <c r="AC57" s="774"/>
      <c r="AD57" s="774"/>
      <c r="AE57" s="774"/>
      <c r="AF57" s="774"/>
      <c r="AG57" s="774"/>
      <c r="AH57" s="774"/>
      <c r="AI57" s="774"/>
      <c r="AJ57" s="774"/>
      <c r="AK57" s="774"/>
      <c r="AL57" s="774"/>
      <c r="AM57" s="774"/>
      <c r="AN57" s="774"/>
      <c r="AO57" s="774"/>
      <c r="AP57" s="774"/>
      <c r="AQ57" s="774"/>
      <c r="AR57" s="774"/>
      <c r="AS57" s="774"/>
      <c r="AT57" s="774"/>
      <c r="AU57" s="600"/>
      <c r="AV57" s="600"/>
      <c r="AW57" s="600"/>
      <c r="AX57" s="597"/>
      <c r="AY57" s="597"/>
      <c r="AZ57" s="214"/>
      <c r="BA57" s="490" t="str">
        <f t="shared" si="0"/>
        <v>SUM_CO2</v>
      </c>
      <c r="BB57" s="581" t="str">
        <f t="shared" si="1"/>
        <v>SUM_EnergyIN</v>
      </c>
      <c r="BC57" s="602"/>
      <c r="BD57" s="23"/>
    </row>
    <row r="58" spans="1:56" x14ac:dyDescent="0.2">
      <c r="A58" s="602"/>
      <c r="B58" s="214"/>
      <c r="C58" s="544">
        <v>35</v>
      </c>
      <c r="D58" s="596"/>
      <c r="E58" s="596"/>
      <c r="F58" s="597"/>
      <c r="G58" s="598"/>
      <c r="H58" s="597"/>
      <c r="I58" s="598"/>
      <c r="J58" s="597"/>
      <c r="K58" s="598"/>
      <c r="L58" s="598"/>
      <c r="M58" s="598"/>
      <c r="N58" s="597"/>
      <c r="O58" s="599"/>
      <c r="P58" s="597"/>
      <c r="Q58" s="599"/>
      <c r="R58" s="597"/>
      <c r="S58" s="599"/>
      <c r="T58" s="597"/>
      <c r="U58" s="599"/>
      <c r="V58" s="774"/>
      <c r="W58" s="774"/>
      <c r="X58" s="774"/>
      <c r="Y58" s="774"/>
      <c r="Z58" s="774"/>
      <c r="AA58" s="774"/>
      <c r="AB58" s="774"/>
      <c r="AC58" s="774"/>
      <c r="AD58" s="774"/>
      <c r="AE58" s="774"/>
      <c r="AF58" s="774"/>
      <c r="AG58" s="774"/>
      <c r="AH58" s="774"/>
      <c r="AI58" s="774"/>
      <c r="AJ58" s="774"/>
      <c r="AK58" s="774"/>
      <c r="AL58" s="774"/>
      <c r="AM58" s="774"/>
      <c r="AN58" s="774"/>
      <c r="AO58" s="774"/>
      <c r="AP58" s="774"/>
      <c r="AQ58" s="774"/>
      <c r="AR58" s="774"/>
      <c r="AS58" s="774"/>
      <c r="AT58" s="774"/>
      <c r="AU58" s="600"/>
      <c r="AV58" s="600"/>
      <c r="AW58" s="600"/>
      <c r="AX58" s="597"/>
      <c r="AY58" s="597"/>
      <c r="AZ58" s="214"/>
      <c r="BA58" s="490" t="str">
        <f t="shared" si="0"/>
        <v>SUM_CO2</v>
      </c>
      <c r="BB58" s="581" t="str">
        <f t="shared" si="1"/>
        <v>SUM_EnergyIN</v>
      </c>
      <c r="BC58" s="602"/>
      <c r="BD58" s="23"/>
    </row>
    <row r="59" spans="1:56" x14ac:dyDescent="0.2">
      <c r="A59" s="602"/>
      <c r="B59" s="214"/>
      <c r="C59" s="544">
        <v>36</v>
      </c>
      <c r="D59" s="596"/>
      <c r="E59" s="596"/>
      <c r="F59" s="597"/>
      <c r="G59" s="598"/>
      <c r="H59" s="597"/>
      <c r="I59" s="598"/>
      <c r="J59" s="597"/>
      <c r="K59" s="598"/>
      <c r="L59" s="598"/>
      <c r="M59" s="598"/>
      <c r="N59" s="597"/>
      <c r="O59" s="599"/>
      <c r="P59" s="597"/>
      <c r="Q59" s="599"/>
      <c r="R59" s="597"/>
      <c r="S59" s="599"/>
      <c r="T59" s="597"/>
      <c r="U59" s="599"/>
      <c r="V59" s="774"/>
      <c r="W59" s="774"/>
      <c r="X59" s="774"/>
      <c r="Y59" s="774"/>
      <c r="Z59" s="774"/>
      <c r="AA59" s="774"/>
      <c r="AB59" s="774"/>
      <c r="AC59" s="774"/>
      <c r="AD59" s="774"/>
      <c r="AE59" s="774"/>
      <c r="AF59" s="774"/>
      <c r="AG59" s="774"/>
      <c r="AH59" s="774"/>
      <c r="AI59" s="774"/>
      <c r="AJ59" s="774"/>
      <c r="AK59" s="774"/>
      <c r="AL59" s="774"/>
      <c r="AM59" s="774"/>
      <c r="AN59" s="774"/>
      <c r="AO59" s="774"/>
      <c r="AP59" s="774"/>
      <c r="AQ59" s="774"/>
      <c r="AR59" s="774"/>
      <c r="AS59" s="774"/>
      <c r="AT59" s="774"/>
      <c r="AU59" s="600"/>
      <c r="AV59" s="600"/>
      <c r="AW59" s="600"/>
      <c r="AX59" s="597"/>
      <c r="AY59" s="597"/>
      <c r="AZ59" s="214"/>
      <c r="BA59" s="490" t="str">
        <f t="shared" si="0"/>
        <v>SUM_CO2</v>
      </c>
      <c r="BB59" s="581" t="str">
        <f t="shared" si="1"/>
        <v>SUM_EnergyIN</v>
      </c>
      <c r="BC59" s="602"/>
      <c r="BD59" s="23"/>
    </row>
    <row r="60" spans="1:56" x14ac:dyDescent="0.2">
      <c r="A60" s="602"/>
      <c r="B60" s="214"/>
      <c r="C60" s="544">
        <v>37</v>
      </c>
      <c r="D60" s="596"/>
      <c r="E60" s="596"/>
      <c r="F60" s="597"/>
      <c r="G60" s="598"/>
      <c r="H60" s="597"/>
      <c r="I60" s="598"/>
      <c r="J60" s="597"/>
      <c r="K60" s="598"/>
      <c r="L60" s="598"/>
      <c r="M60" s="598"/>
      <c r="N60" s="597"/>
      <c r="O60" s="599"/>
      <c r="P60" s="597"/>
      <c r="Q60" s="599"/>
      <c r="R60" s="597"/>
      <c r="S60" s="599"/>
      <c r="T60" s="597"/>
      <c r="U60" s="599"/>
      <c r="V60" s="774"/>
      <c r="W60" s="774"/>
      <c r="X60" s="774"/>
      <c r="Y60" s="774"/>
      <c r="Z60" s="774"/>
      <c r="AA60" s="774"/>
      <c r="AB60" s="774"/>
      <c r="AC60" s="774"/>
      <c r="AD60" s="774"/>
      <c r="AE60" s="774"/>
      <c r="AF60" s="774"/>
      <c r="AG60" s="774"/>
      <c r="AH60" s="774"/>
      <c r="AI60" s="774"/>
      <c r="AJ60" s="774"/>
      <c r="AK60" s="774"/>
      <c r="AL60" s="774"/>
      <c r="AM60" s="774"/>
      <c r="AN60" s="774"/>
      <c r="AO60" s="774"/>
      <c r="AP60" s="774"/>
      <c r="AQ60" s="774"/>
      <c r="AR60" s="774"/>
      <c r="AS60" s="774"/>
      <c r="AT60" s="774"/>
      <c r="AU60" s="600"/>
      <c r="AV60" s="600"/>
      <c r="AW60" s="600"/>
      <c r="AX60" s="597"/>
      <c r="AY60" s="597"/>
      <c r="AZ60" s="214"/>
      <c r="BA60" s="490" t="str">
        <f t="shared" si="0"/>
        <v>SUM_CO2</v>
      </c>
      <c r="BB60" s="581" t="str">
        <f t="shared" si="1"/>
        <v>SUM_EnergyIN</v>
      </c>
      <c r="BC60" s="602"/>
      <c r="BD60" s="23"/>
    </row>
    <row r="61" spans="1:56" x14ac:dyDescent="0.2">
      <c r="A61" s="602"/>
      <c r="B61" s="214"/>
      <c r="C61" s="544">
        <v>38</v>
      </c>
      <c r="D61" s="596"/>
      <c r="E61" s="596"/>
      <c r="F61" s="597"/>
      <c r="G61" s="598"/>
      <c r="H61" s="597"/>
      <c r="I61" s="598"/>
      <c r="J61" s="597"/>
      <c r="K61" s="598"/>
      <c r="L61" s="598"/>
      <c r="M61" s="598"/>
      <c r="N61" s="597"/>
      <c r="O61" s="599"/>
      <c r="P61" s="597"/>
      <c r="Q61" s="599"/>
      <c r="R61" s="597"/>
      <c r="S61" s="599"/>
      <c r="T61" s="597"/>
      <c r="U61" s="599"/>
      <c r="V61" s="774"/>
      <c r="W61" s="774"/>
      <c r="X61" s="774"/>
      <c r="Y61" s="774"/>
      <c r="Z61" s="774"/>
      <c r="AA61" s="774"/>
      <c r="AB61" s="774"/>
      <c r="AC61" s="774"/>
      <c r="AD61" s="774"/>
      <c r="AE61" s="774"/>
      <c r="AF61" s="774"/>
      <c r="AG61" s="774"/>
      <c r="AH61" s="774"/>
      <c r="AI61" s="774"/>
      <c r="AJ61" s="774"/>
      <c r="AK61" s="774"/>
      <c r="AL61" s="774"/>
      <c r="AM61" s="774"/>
      <c r="AN61" s="774"/>
      <c r="AO61" s="774"/>
      <c r="AP61" s="774"/>
      <c r="AQ61" s="774"/>
      <c r="AR61" s="774"/>
      <c r="AS61" s="774"/>
      <c r="AT61" s="774"/>
      <c r="AU61" s="600"/>
      <c r="AV61" s="600"/>
      <c r="AW61" s="600"/>
      <c r="AX61" s="597"/>
      <c r="AY61" s="597"/>
      <c r="AZ61" s="214"/>
      <c r="BA61" s="490" t="str">
        <f t="shared" si="0"/>
        <v>SUM_CO2</v>
      </c>
      <c r="BB61" s="581" t="str">
        <f t="shared" si="1"/>
        <v>SUM_EnergyIN</v>
      </c>
      <c r="BC61" s="602"/>
      <c r="BD61" s="23"/>
    </row>
    <row r="62" spans="1:56" x14ac:dyDescent="0.2">
      <c r="A62" s="602"/>
      <c r="B62" s="214"/>
      <c r="C62" s="544">
        <v>39</v>
      </c>
      <c r="D62" s="596"/>
      <c r="E62" s="596"/>
      <c r="F62" s="597"/>
      <c r="G62" s="598"/>
      <c r="H62" s="597"/>
      <c r="I62" s="598"/>
      <c r="J62" s="597"/>
      <c r="K62" s="598"/>
      <c r="L62" s="598"/>
      <c r="M62" s="598"/>
      <c r="N62" s="597"/>
      <c r="O62" s="599"/>
      <c r="P62" s="597"/>
      <c r="Q62" s="599"/>
      <c r="R62" s="597"/>
      <c r="S62" s="599"/>
      <c r="T62" s="597"/>
      <c r="U62" s="599"/>
      <c r="V62" s="774"/>
      <c r="W62" s="774"/>
      <c r="X62" s="774"/>
      <c r="Y62" s="774"/>
      <c r="Z62" s="774"/>
      <c r="AA62" s="774"/>
      <c r="AB62" s="774"/>
      <c r="AC62" s="774"/>
      <c r="AD62" s="774"/>
      <c r="AE62" s="774"/>
      <c r="AF62" s="774"/>
      <c r="AG62" s="774"/>
      <c r="AH62" s="774"/>
      <c r="AI62" s="774"/>
      <c r="AJ62" s="774"/>
      <c r="AK62" s="774"/>
      <c r="AL62" s="774"/>
      <c r="AM62" s="774"/>
      <c r="AN62" s="774"/>
      <c r="AO62" s="774"/>
      <c r="AP62" s="774"/>
      <c r="AQ62" s="774"/>
      <c r="AR62" s="774"/>
      <c r="AS62" s="774"/>
      <c r="AT62" s="774"/>
      <c r="AU62" s="600"/>
      <c r="AV62" s="600"/>
      <c r="AW62" s="600"/>
      <c r="AX62" s="597"/>
      <c r="AY62" s="597"/>
      <c r="AZ62" s="214"/>
      <c r="BA62" s="490" t="str">
        <f t="shared" si="0"/>
        <v>SUM_CO2</v>
      </c>
      <c r="BB62" s="581" t="str">
        <f t="shared" si="1"/>
        <v>SUM_EnergyIN</v>
      </c>
      <c r="BC62" s="602"/>
      <c r="BD62" s="23"/>
    </row>
    <row r="63" spans="1:56" x14ac:dyDescent="0.2">
      <c r="A63" s="602"/>
      <c r="B63" s="214"/>
      <c r="C63" s="544">
        <v>40</v>
      </c>
      <c r="D63" s="596"/>
      <c r="E63" s="596"/>
      <c r="F63" s="597"/>
      <c r="G63" s="598"/>
      <c r="H63" s="597"/>
      <c r="I63" s="598"/>
      <c r="J63" s="597"/>
      <c r="K63" s="598"/>
      <c r="L63" s="598"/>
      <c r="M63" s="598"/>
      <c r="N63" s="597"/>
      <c r="O63" s="599"/>
      <c r="P63" s="597"/>
      <c r="Q63" s="599"/>
      <c r="R63" s="597"/>
      <c r="S63" s="599"/>
      <c r="T63" s="597"/>
      <c r="U63" s="599"/>
      <c r="V63" s="774"/>
      <c r="W63" s="774"/>
      <c r="X63" s="774"/>
      <c r="Y63" s="774"/>
      <c r="Z63" s="774"/>
      <c r="AA63" s="774"/>
      <c r="AB63" s="774"/>
      <c r="AC63" s="774"/>
      <c r="AD63" s="774"/>
      <c r="AE63" s="774"/>
      <c r="AF63" s="774"/>
      <c r="AG63" s="774"/>
      <c r="AH63" s="774"/>
      <c r="AI63" s="774"/>
      <c r="AJ63" s="774"/>
      <c r="AK63" s="774"/>
      <c r="AL63" s="774"/>
      <c r="AM63" s="774"/>
      <c r="AN63" s="774"/>
      <c r="AO63" s="774"/>
      <c r="AP63" s="774"/>
      <c r="AQ63" s="774"/>
      <c r="AR63" s="774"/>
      <c r="AS63" s="774"/>
      <c r="AT63" s="774"/>
      <c r="AU63" s="600"/>
      <c r="AV63" s="600"/>
      <c r="AW63" s="600"/>
      <c r="AX63" s="597"/>
      <c r="AY63" s="597"/>
      <c r="AZ63" s="214"/>
      <c r="BA63" s="490" t="str">
        <f t="shared" si="0"/>
        <v>SUM_CO2</v>
      </c>
      <c r="BB63" s="581" t="str">
        <f t="shared" si="1"/>
        <v>SUM_EnergyIN</v>
      </c>
      <c r="BC63" s="602"/>
      <c r="BD63" s="23"/>
    </row>
    <row r="64" spans="1:56" x14ac:dyDescent="0.2">
      <c r="A64" s="602"/>
      <c r="B64" s="214"/>
      <c r="C64" s="544">
        <v>41</v>
      </c>
      <c r="D64" s="596"/>
      <c r="E64" s="596"/>
      <c r="F64" s="597"/>
      <c r="G64" s="598"/>
      <c r="H64" s="597"/>
      <c r="I64" s="598"/>
      <c r="J64" s="597"/>
      <c r="K64" s="598"/>
      <c r="L64" s="598"/>
      <c r="M64" s="598"/>
      <c r="N64" s="597"/>
      <c r="O64" s="599"/>
      <c r="P64" s="597"/>
      <c r="Q64" s="599"/>
      <c r="R64" s="597"/>
      <c r="S64" s="599"/>
      <c r="T64" s="597"/>
      <c r="U64" s="599"/>
      <c r="V64" s="774"/>
      <c r="W64" s="774"/>
      <c r="X64" s="774"/>
      <c r="Y64" s="774"/>
      <c r="Z64" s="774"/>
      <c r="AA64" s="774"/>
      <c r="AB64" s="774"/>
      <c r="AC64" s="774"/>
      <c r="AD64" s="774"/>
      <c r="AE64" s="774"/>
      <c r="AF64" s="774"/>
      <c r="AG64" s="774"/>
      <c r="AH64" s="774"/>
      <c r="AI64" s="774"/>
      <c r="AJ64" s="774"/>
      <c r="AK64" s="774"/>
      <c r="AL64" s="774"/>
      <c r="AM64" s="774"/>
      <c r="AN64" s="774"/>
      <c r="AO64" s="774"/>
      <c r="AP64" s="774"/>
      <c r="AQ64" s="774"/>
      <c r="AR64" s="774"/>
      <c r="AS64" s="774"/>
      <c r="AT64" s="774"/>
      <c r="AU64" s="600"/>
      <c r="AV64" s="600"/>
      <c r="AW64" s="600"/>
      <c r="AX64" s="597"/>
      <c r="AY64" s="597"/>
      <c r="AZ64" s="214"/>
      <c r="BA64" s="490" t="str">
        <f t="shared" si="0"/>
        <v>SUM_CO2</v>
      </c>
      <c r="BB64" s="581" t="str">
        <f t="shared" si="1"/>
        <v>SUM_EnergyIN</v>
      </c>
      <c r="BC64" s="602"/>
      <c r="BD64" s="23"/>
    </row>
    <row r="65" spans="1:56" x14ac:dyDescent="0.2">
      <c r="A65" s="602"/>
      <c r="B65" s="214"/>
      <c r="C65" s="544">
        <v>42</v>
      </c>
      <c r="D65" s="596"/>
      <c r="E65" s="596"/>
      <c r="F65" s="597"/>
      <c r="G65" s="598"/>
      <c r="H65" s="597"/>
      <c r="I65" s="598"/>
      <c r="J65" s="597"/>
      <c r="K65" s="598"/>
      <c r="L65" s="598"/>
      <c r="M65" s="598"/>
      <c r="N65" s="597"/>
      <c r="O65" s="599"/>
      <c r="P65" s="597"/>
      <c r="Q65" s="599"/>
      <c r="R65" s="597"/>
      <c r="S65" s="599"/>
      <c r="T65" s="597"/>
      <c r="U65" s="599"/>
      <c r="V65" s="774"/>
      <c r="W65" s="774"/>
      <c r="X65" s="774"/>
      <c r="Y65" s="774"/>
      <c r="Z65" s="774"/>
      <c r="AA65" s="774"/>
      <c r="AB65" s="774"/>
      <c r="AC65" s="774"/>
      <c r="AD65" s="774"/>
      <c r="AE65" s="774"/>
      <c r="AF65" s="774"/>
      <c r="AG65" s="774"/>
      <c r="AH65" s="774"/>
      <c r="AI65" s="774"/>
      <c r="AJ65" s="774"/>
      <c r="AK65" s="774"/>
      <c r="AL65" s="774"/>
      <c r="AM65" s="774"/>
      <c r="AN65" s="774"/>
      <c r="AO65" s="774"/>
      <c r="AP65" s="774"/>
      <c r="AQ65" s="774"/>
      <c r="AR65" s="774"/>
      <c r="AS65" s="774"/>
      <c r="AT65" s="774"/>
      <c r="AU65" s="600"/>
      <c r="AV65" s="600"/>
      <c r="AW65" s="600"/>
      <c r="AX65" s="597"/>
      <c r="AY65" s="597"/>
      <c r="AZ65" s="214"/>
      <c r="BA65" s="490" t="str">
        <f t="shared" si="0"/>
        <v>SUM_CO2</v>
      </c>
      <c r="BB65" s="581" t="str">
        <f t="shared" si="1"/>
        <v>SUM_EnergyIN</v>
      </c>
      <c r="BC65" s="602"/>
      <c r="BD65" s="23"/>
    </row>
    <row r="66" spans="1:56" x14ac:dyDescent="0.2">
      <c r="A66" s="602"/>
      <c r="B66" s="214"/>
      <c r="C66" s="544">
        <v>43</v>
      </c>
      <c r="D66" s="596"/>
      <c r="E66" s="596"/>
      <c r="F66" s="597"/>
      <c r="G66" s="598"/>
      <c r="H66" s="597"/>
      <c r="I66" s="598"/>
      <c r="J66" s="597"/>
      <c r="K66" s="598"/>
      <c r="L66" s="598"/>
      <c r="M66" s="598"/>
      <c r="N66" s="597"/>
      <c r="O66" s="599"/>
      <c r="P66" s="597"/>
      <c r="Q66" s="599"/>
      <c r="R66" s="597"/>
      <c r="S66" s="599"/>
      <c r="T66" s="597"/>
      <c r="U66" s="599"/>
      <c r="V66" s="774"/>
      <c r="W66" s="774"/>
      <c r="X66" s="774"/>
      <c r="Y66" s="774"/>
      <c r="Z66" s="774"/>
      <c r="AA66" s="774"/>
      <c r="AB66" s="774"/>
      <c r="AC66" s="774"/>
      <c r="AD66" s="774"/>
      <c r="AE66" s="774"/>
      <c r="AF66" s="774"/>
      <c r="AG66" s="774"/>
      <c r="AH66" s="774"/>
      <c r="AI66" s="774"/>
      <c r="AJ66" s="774"/>
      <c r="AK66" s="774"/>
      <c r="AL66" s="774"/>
      <c r="AM66" s="774"/>
      <c r="AN66" s="774"/>
      <c r="AO66" s="774"/>
      <c r="AP66" s="774"/>
      <c r="AQ66" s="774"/>
      <c r="AR66" s="774"/>
      <c r="AS66" s="774"/>
      <c r="AT66" s="774"/>
      <c r="AU66" s="600"/>
      <c r="AV66" s="600"/>
      <c r="AW66" s="600"/>
      <c r="AX66" s="597"/>
      <c r="AY66" s="597"/>
      <c r="AZ66" s="214"/>
      <c r="BA66" s="490" t="str">
        <f t="shared" si="0"/>
        <v>SUM_CO2</v>
      </c>
      <c r="BB66" s="581" t="str">
        <f t="shared" si="1"/>
        <v>SUM_EnergyIN</v>
      </c>
      <c r="BC66" s="602"/>
      <c r="BD66" s="23"/>
    </row>
    <row r="67" spans="1:56" x14ac:dyDescent="0.2">
      <c r="A67" s="602"/>
      <c r="B67" s="214"/>
      <c r="C67" s="544">
        <v>44</v>
      </c>
      <c r="D67" s="596"/>
      <c r="E67" s="596"/>
      <c r="F67" s="597"/>
      <c r="G67" s="598"/>
      <c r="H67" s="597"/>
      <c r="I67" s="598"/>
      <c r="J67" s="597"/>
      <c r="K67" s="598"/>
      <c r="L67" s="598"/>
      <c r="M67" s="598"/>
      <c r="N67" s="597"/>
      <c r="O67" s="599"/>
      <c r="P67" s="597"/>
      <c r="Q67" s="599"/>
      <c r="R67" s="597"/>
      <c r="S67" s="599"/>
      <c r="T67" s="597"/>
      <c r="U67" s="599"/>
      <c r="V67" s="774"/>
      <c r="W67" s="774"/>
      <c r="X67" s="774"/>
      <c r="Y67" s="774"/>
      <c r="Z67" s="774"/>
      <c r="AA67" s="774"/>
      <c r="AB67" s="774"/>
      <c r="AC67" s="774"/>
      <c r="AD67" s="774"/>
      <c r="AE67" s="774"/>
      <c r="AF67" s="774"/>
      <c r="AG67" s="774"/>
      <c r="AH67" s="774"/>
      <c r="AI67" s="774"/>
      <c r="AJ67" s="774"/>
      <c r="AK67" s="774"/>
      <c r="AL67" s="774"/>
      <c r="AM67" s="774"/>
      <c r="AN67" s="774"/>
      <c r="AO67" s="774"/>
      <c r="AP67" s="774"/>
      <c r="AQ67" s="774"/>
      <c r="AR67" s="774"/>
      <c r="AS67" s="774"/>
      <c r="AT67" s="774"/>
      <c r="AU67" s="600"/>
      <c r="AV67" s="600"/>
      <c r="AW67" s="600"/>
      <c r="AX67" s="597"/>
      <c r="AY67" s="597"/>
      <c r="AZ67" s="214"/>
      <c r="BA67" s="490" t="str">
        <f t="shared" si="0"/>
        <v>SUM_CO2</v>
      </c>
      <c r="BB67" s="581" t="str">
        <f t="shared" si="1"/>
        <v>SUM_EnergyIN</v>
      </c>
      <c r="BC67" s="602"/>
      <c r="BD67" s="23"/>
    </row>
    <row r="68" spans="1:56" x14ac:dyDescent="0.2">
      <c r="A68" s="602"/>
      <c r="B68" s="214"/>
      <c r="C68" s="544">
        <v>45</v>
      </c>
      <c r="D68" s="596"/>
      <c r="E68" s="596"/>
      <c r="F68" s="597"/>
      <c r="G68" s="598"/>
      <c r="H68" s="597"/>
      <c r="I68" s="598"/>
      <c r="J68" s="597"/>
      <c r="K68" s="598"/>
      <c r="L68" s="598"/>
      <c r="M68" s="598"/>
      <c r="N68" s="597"/>
      <c r="O68" s="599"/>
      <c r="P68" s="597"/>
      <c r="Q68" s="599"/>
      <c r="R68" s="597"/>
      <c r="S68" s="599"/>
      <c r="T68" s="597"/>
      <c r="U68" s="599"/>
      <c r="V68" s="774"/>
      <c r="W68" s="774"/>
      <c r="X68" s="774"/>
      <c r="Y68" s="774"/>
      <c r="Z68" s="774"/>
      <c r="AA68" s="774"/>
      <c r="AB68" s="774"/>
      <c r="AC68" s="774"/>
      <c r="AD68" s="774"/>
      <c r="AE68" s="774"/>
      <c r="AF68" s="774"/>
      <c r="AG68" s="774"/>
      <c r="AH68" s="774"/>
      <c r="AI68" s="774"/>
      <c r="AJ68" s="774"/>
      <c r="AK68" s="774"/>
      <c r="AL68" s="774"/>
      <c r="AM68" s="774"/>
      <c r="AN68" s="774"/>
      <c r="AO68" s="774"/>
      <c r="AP68" s="774"/>
      <c r="AQ68" s="774"/>
      <c r="AR68" s="774"/>
      <c r="AS68" s="774"/>
      <c r="AT68" s="774"/>
      <c r="AU68" s="600"/>
      <c r="AV68" s="600"/>
      <c r="AW68" s="600"/>
      <c r="AX68" s="597"/>
      <c r="AY68" s="597"/>
      <c r="AZ68" s="214"/>
      <c r="BA68" s="490" t="str">
        <f t="shared" si="0"/>
        <v>SUM_CO2</v>
      </c>
      <c r="BB68" s="581" t="str">
        <f t="shared" si="1"/>
        <v>SUM_EnergyIN</v>
      </c>
      <c r="BC68" s="602"/>
      <c r="BD68" s="23"/>
    </row>
    <row r="69" spans="1:56" x14ac:dyDescent="0.2">
      <c r="A69" s="602"/>
      <c r="B69" s="214"/>
      <c r="C69" s="544">
        <v>46</v>
      </c>
      <c r="D69" s="596"/>
      <c r="E69" s="596"/>
      <c r="F69" s="597"/>
      <c r="G69" s="598"/>
      <c r="H69" s="597"/>
      <c r="I69" s="598"/>
      <c r="J69" s="597"/>
      <c r="K69" s="598"/>
      <c r="L69" s="598"/>
      <c r="M69" s="598"/>
      <c r="N69" s="597"/>
      <c r="O69" s="599"/>
      <c r="P69" s="597"/>
      <c r="Q69" s="599"/>
      <c r="R69" s="597"/>
      <c r="S69" s="599"/>
      <c r="T69" s="597"/>
      <c r="U69" s="599"/>
      <c r="V69" s="774"/>
      <c r="W69" s="774"/>
      <c r="X69" s="774"/>
      <c r="Y69" s="774"/>
      <c r="Z69" s="774"/>
      <c r="AA69" s="774"/>
      <c r="AB69" s="774"/>
      <c r="AC69" s="774"/>
      <c r="AD69" s="774"/>
      <c r="AE69" s="774"/>
      <c r="AF69" s="774"/>
      <c r="AG69" s="774"/>
      <c r="AH69" s="774"/>
      <c r="AI69" s="774"/>
      <c r="AJ69" s="774"/>
      <c r="AK69" s="774"/>
      <c r="AL69" s="774"/>
      <c r="AM69" s="774"/>
      <c r="AN69" s="774"/>
      <c r="AO69" s="774"/>
      <c r="AP69" s="774"/>
      <c r="AQ69" s="774"/>
      <c r="AR69" s="774"/>
      <c r="AS69" s="774"/>
      <c r="AT69" s="774"/>
      <c r="AU69" s="600"/>
      <c r="AV69" s="600"/>
      <c r="AW69" s="600"/>
      <c r="AX69" s="597"/>
      <c r="AY69" s="597"/>
      <c r="AZ69" s="214"/>
      <c r="BA69" s="490" t="str">
        <f t="shared" si="0"/>
        <v>SUM_CO2</v>
      </c>
      <c r="BB69" s="581" t="str">
        <f t="shared" si="1"/>
        <v>SUM_EnergyIN</v>
      </c>
      <c r="BC69" s="602"/>
      <c r="BD69" s="23"/>
    </row>
    <row r="70" spans="1:56" x14ac:dyDescent="0.2">
      <c r="A70" s="602"/>
      <c r="B70" s="214"/>
      <c r="C70" s="544">
        <v>47</v>
      </c>
      <c r="D70" s="596"/>
      <c r="E70" s="596"/>
      <c r="F70" s="597"/>
      <c r="G70" s="598"/>
      <c r="H70" s="597"/>
      <c r="I70" s="598"/>
      <c r="J70" s="597"/>
      <c r="K70" s="598"/>
      <c r="L70" s="598"/>
      <c r="M70" s="598"/>
      <c r="N70" s="597"/>
      <c r="O70" s="599"/>
      <c r="P70" s="597"/>
      <c r="Q70" s="599"/>
      <c r="R70" s="597"/>
      <c r="S70" s="599"/>
      <c r="T70" s="597"/>
      <c r="U70" s="599"/>
      <c r="V70" s="774"/>
      <c r="W70" s="774"/>
      <c r="X70" s="774"/>
      <c r="Y70" s="774"/>
      <c r="Z70" s="774"/>
      <c r="AA70" s="774"/>
      <c r="AB70" s="774"/>
      <c r="AC70" s="774"/>
      <c r="AD70" s="774"/>
      <c r="AE70" s="774"/>
      <c r="AF70" s="774"/>
      <c r="AG70" s="774"/>
      <c r="AH70" s="774"/>
      <c r="AI70" s="774"/>
      <c r="AJ70" s="774"/>
      <c r="AK70" s="774"/>
      <c r="AL70" s="774"/>
      <c r="AM70" s="774"/>
      <c r="AN70" s="774"/>
      <c r="AO70" s="774"/>
      <c r="AP70" s="774"/>
      <c r="AQ70" s="774"/>
      <c r="AR70" s="774"/>
      <c r="AS70" s="774"/>
      <c r="AT70" s="774"/>
      <c r="AU70" s="600"/>
      <c r="AV70" s="600"/>
      <c r="AW70" s="600"/>
      <c r="AX70" s="597"/>
      <c r="AY70" s="597"/>
      <c r="AZ70" s="214"/>
      <c r="BA70" s="490" t="str">
        <f t="shared" si="0"/>
        <v>SUM_CO2</v>
      </c>
      <c r="BB70" s="581" t="str">
        <f t="shared" si="1"/>
        <v>SUM_EnergyIN</v>
      </c>
      <c r="BC70" s="602"/>
      <c r="BD70" s="23"/>
    </row>
    <row r="71" spans="1:56" x14ac:dyDescent="0.2">
      <c r="A71" s="602"/>
      <c r="B71" s="214"/>
      <c r="C71" s="544">
        <v>48</v>
      </c>
      <c r="D71" s="596"/>
      <c r="E71" s="596"/>
      <c r="F71" s="597"/>
      <c r="G71" s="598"/>
      <c r="H71" s="597"/>
      <c r="I71" s="598"/>
      <c r="J71" s="597"/>
      <c r="K71" s="598"/>
      <c r="L71" s="598"/>
      <c r="M71" s="598"/>
      <c r="N71" s="597"/>
      <c r="O71" s="599"/>
      <c r="P71" s="597"/>
      <c r="Q71" s="599"/>
      <c r="R71" s="597"/>
      <c r="S71" s="599"/>
      <c r="T71" s="597"/>
      <c r="U71" s="599"/>
      <c r="V71" s="774"/>
      <c r="W71" s="774"/>
      <c r="X71" s="774"/>
      <c r="Y71" s="774"/>
      <c r="Z71" s="774"/>
      <c r="AA71" s="774"/>
      <c r="AB71" s="774"/>
      <c r="AC71" s="774"/>
      <c r="AD71" s="774"/>
      <c r="AE71" s="774"/>
      <c r="AF71" s="774"/>
      <c r="AG71" s="774"/>
      <c r="AH71" s="774"/>
      <c r="AI71" s="774"/>
      <c r="AJ71" s="774"/>
      <c r="AK71" s="774"/>
      <c r="AL71" s="774"/>
      <c r="AM71" s="774"/>
      <c r="AN71" s="774"/>
      <c r="AO71" s="774"/>
      <c r="AP71" s="774"/>
      <c r="AQ71" s="774"/>
      <c r="AR71" s="774"/>
      <c r="AS71" s="774"/>
      <c r="AT71" s="774"/>
      <c r="AU71" s="600"/>
      <c r="AV71" s="600"/>
      <c r="AW71" s="600"/>
      <c r="AX71" s="597"/>
      <c r="AY71" s="597"/>
      <c r="AZ71" s="214"/>
      <c r="BA71" s="490" t="str">
        <f t="shared" si="0"/>
        <v>SUM_CO2</v>
      </c>
      <c r="BB71" s="581" t="str">
        <f t="shared" si="1"/>
        <v>SUM_EnergyIN</v>
      </c>
      <c r="BC71" s="602"/>
      <c r="BD71" s="23"/>
    </row>
    <row r="72" spans="1:56" x14ac:dyDescent="0.2">
      <c r="A72" s="602"/>
      <c r="B72" s="214"/>
      <c r="C72" s="544">
        <v>49</v>
      </c>
      <c r="D72" s="596"/>
      <c r="E72" s="596"/>
      <c r="F72" s="597"/>
      <c r="G72" s="598"/>
      <c r="H72" s="597"/>
      <c r="I72" s="598"/>
      <c r="J72" s="597"/>
      <c r="K72" s="598"/>
      <c r="L72" s="598"/>
      <c r="M72" s="598"/>
      <c r="N72" s="597"/>
      <c r="O72" s="599"/>
      <c r="P72" s="597"/>
      <c r="Q72" s="599"/>
      <c r="R72" s="597"/>
      <c r="S72" s="599"/>
      <c r="T72" s="597"/>
      <c r="U72" s="599"/>
      <c r="V72" s="774"/>
      <c r="W72" s="774"/>
      <c r="X72" s="774"/>
      <c r="Y72" s="774"/>
      <c r="Z72" s="774"/>
      <c r="AA72" s="774"/>
      <c r="AB72" s="774"/>
      <c r="AC72" s="774"/>
      <c r="AD72" s="774"/>
      <c r="AE72" s="774"/>
      <c r="AF72" s="774"/>
      <c r="AG72" s="774"/>
      <c r="AH72" s="774"/>
      <c r="AI72" s="774"/>
      <c r="AJ72" s="774"/>
      <c r="AK72" s="774"/>
      <c r="AL72" s="774"/>
      <c r="AM72" s="774"/>
      <c r="AN72" s="774"/>
      <c r="AO72" s="774"/>
      <c r="AP72" s="774"/>
      <c r="AQ72" s="774"/>
      <c r="AR72" s="774"/>
      <c r="AS72" s="774"/>
      <c r="AT72" s="774"/>
      <c r="AU72" s="600"/>
      <c r="AV72" s="600"/>
      <c r="AW72" s="600"/>
      <c r="AX72" s="597"/>
      <c r="AY72" s="597"/>
      <c r="AZ72" s="214"/>
      <c r="BA72" s="490" t="str">
        <f t="shared" si="0"/>
        <v>SUM_CO2</v>
      </c>
      <c r="BB72" s="581" t="str">
        <f t="shared" si="1"/>
        <v>SUM_EnergyIN</v>
      </c>
      <c r="BC72" s="602"/>
      <c r="BD72" s="23"/>
    </row>
    <row r="73" spans="1:56" x14ac:dyDescent="0.2">
      <c r="A73" s="602"/>
      <c r="B73" s="214"/>
      <c r="C73" s="544">
        <v>50</v>
      </c>
      <c r="D73" s="596"/>
      <c r="E73" s="596"/>
      <c r="F73" s="597"/>
      <c r="G73" s="598"/>
      <c r="H73" s="597"/>
      <c r="I73" s="598"/>
      <c r="J73" s="597"/>
      <c r="K73" s="598"/>
      <c r="L73" s="598"/>
      <c r="M73" s="598"/>
      <c r="N73" s="597"/>
      <c r="O73" s="599"/>
      <c r="P73" s="597"/>
      <c r="Q73" s="599"/>
      <c r="R73" s="597"/>
      <c r="S73" s="599"/>
      <c r="T73" s="597"/>
      <c r="U73" s="599"/>
      <c r="V73" s="774"/>
      <c r="W73" s="774"/>
      <c r="X73" s="774"/>
      <c r="Y73" s="774"/>
      <c r="Z73" s="774"/>
      <c r="AA73" s="774"/>
      <c r="AB73" s="774"/>
      <c r="AC73" s="774"/>
      <c r="AD73" s="774"/>
      <c r="AE73" s="774"/>
      <c r="AF73" s="774"/>
      <c r="AG73" s="774"/>
      <c r="AH73" s="774"/>
      <c r="AI73" s="774"/>
      <c r="AJ73" s="774"/>
      <c r="AK73" s="774"/>
      <c r="AL73" s="774"/>
      <c r="AM73" s="774"/>
      <c r="AN73" s="774"/>
      <c r="AO73" s="774"/>
      <c r="AP73" s="774"/>
      <c r="AQ73" s="774"/>
      <c r="AR73" s="774"/>
      <c r="AS73" s="774"/>
      <c r="AT73" s="774"/>
      <c r="AU73" s="600"/>
      <c r="AV73" s="600"/>
      <c r="AW73" s="600"/>
      <c r="AX73" s="597"/>
      <c r="AY73" s="597"/>
      <c r="AZ73" s="214"/>
      <c r="BA73" s="490" t="str">
        <f t="shared" si="0"/>
        <v>SUM_CO2</v>
      </c>
      <c r="BB73" s="581" t="str">
        <f t="shared" si="1"/>
        <v>SUM_EnergyIN</v>
      </c>
      <c r="BC73" s="602"/>
      <c r="BD73" s="23"/>
    </row>
    <row r="74" spans="1:56" x14ac:dyDescent="0.2">
      <c r="A74" s="602"/>
      <c r="B74" s="214"/>
      <c r="C74" s="544">
        <v>51</v>
      </c>
      <c r="D74" s="596"/>
      <c r="E74" s="596"/>
      <c r="F74" s="597"/>
      <c r="G74" s="598"/>
      <c r="H74" s="597"/>
      <c r="I74" s="598"/>
      <c r="J74" s="597"/>
      <c r="K74" s="598"/>
      <c r="L74" s="598"/>
      <c r="M74" s="598"/>
      <c r="N74" s="597"/>
      <c r="O74" s="599"/>
      <c r="P74" s="597"/>
      <c r="Q74" s="599"/>
      <c r="R74" s="597"/>
      <c r="S74" s="599"/>
      <c r="T74" s="597"/>
      <c r="U74" s="599"/>
      <c r="V74" s="774"/>
      <c r="W74" s="774"/>
      <c r="X74" s="774"/>
      <c r="Y74" s="774"/>
      <c r="Z74" s="774"/>
      <c r="AA74" s="774"/>
      <c r="AB74" s="774"/>
      <c r="AC74" s="774"/>
      <c r="AD74" s="774"/>
      <c r="AE74" s="774"/>
      <c r="AF74" s="774"/>
      <c r="AG74" s="774"/>
      <c r="AH74" s="774"/>
      <c r="AI74" s="774"/>
      <c r="AJ74" s="774"/>
      <c r="AK74" s="774"/>
      <c r="AL74" s="774"/>
      <c r="AM74" s="774"/>
      <c r="AN74" s="774"/>
      <c r="AO74" s="774"/>
      <c r="AP74" s="774"/>
      <c r="AQ74" s="774"/>
      <c r="AR74" s="774"/>
      <c r="AS74" s="774"/>
      <c r="AT74" s="774"/>
      <c r="AU74" s="600"/>
      <c r="AV74" s="600"/>
      <c r="AW74" s="600"/>
      <c r="AX74" s="597"/>
      <c r="AY74" s="597"/>
      <c r="AZ74" s="214"/>
      <c r="BA74" s="490" t="str">
        <f t="shared" si="0"/>
        <v>SUM_CO2</v>
      </c>
      <c r="BB74" s="581" t="str">
        <f t="shared" si="1"/>
        <v>SUM_EnergyIN</v>
      </c>
      <c r="BC74" s="602"/>
      <c r="BD74" s="23"/>
    </row>
    <row r="75" spans="1:56" x14ac:dyDescent="0.2">
      <c r="A75" s="602"/>
      <c r="B75" s="214"/>
      <c r="C75" s="544">
        <v>52</v>
      </c>
      <c r="D75" s="596"/>
      <c r="E75" s="596"/>
      <c r="F75" s="597"/>
      <c r="G75" s="598"/>
      <c r="H75" s="597"/>
      <c r="I75" s="598"/>
      <c r="J75" s="597"/>
      <c r="K75" s="598"/>
      <c r="L75" s="598"/>
      <c r="M75" s="598"/>
      <c r="N75" s="597"/>
      <c r="O75" s="599"/>
      <c r="P75" s="597"/>
      <c r="Q75" s="599"/>
      <c r="R75" s="597"/>
      <c r="S75" s="599"/>
      <c r="T75" s="597"/>
      <c r="U75" s="599"/>
      <c r="V75" s="774"/>
      <c r="W75" s="774"/>
      <c r="X75" s="774"/>
      <c r="Y75" s="774"/>
      <c r="Z75" s="774"/>
      <c r="AA75" s="774"/>
      <c r="AB75" s="774"/>
      <c r="AC75" s="774"/>
      <c r="AD75" s="774"/>
      <c r="AE75" s="774"/>
      <c r="AF75" s="774"/>
      <c r="AG75" s="774"/>
      <c r="AH75" s="774"/>
      <c r="AI75" s="774"/>
      <c r="AJ75" s="774"/>
      <c r="AK75" s="774"/>
      <c r="AL75" s="774"/>
      <c r="AM75" s="774"/>
      <c r="AN75" s="774"/>
      <c r="AO75" s="774"/>
      <c r="AP75" s="774"/>
      <c r="AQ75" s="774"/>
      <c r="AR75" s="774"/>
      <c r="AS75" s="774"/>
      <c r="AT75" s="774"/>
      <c r="AU75" s="600"/>
      <c r="AV75" s="600"/>
      <c r="AW75" s="600"/>
      <c r="AX75" s="597"/>
      <c r="AY75" s="597"/>
      <c r="AZ75" s="214"/>
      <c r="BA75" s="490" t="str">
        <f t="shared" si="0"/>
        <v>SUM_CO2</v>
      </c>
      <c r="BB75" s="581" t="str">
        <f t="shared" si="1"/>
        <v>SUM_EnergyIN</v>
      </c>
      <c r="BC75" s="602"/>
      <c r="BD75" s="23"/>
    </row>
    <row r="76" spans="1:56" x14ac:dyDescent="0.2">
      <c r="A76" s="602"/>
      <c r="B76" s="214"/>
      <c r="C76" s="544">
        <v>53</v>
      </c>
      <c r="D76" s="596"/>
      <c r="E76" s="596"/>
      <c r="F76" s="597"/>
      <c r="G76" s="598"/>
      <c r="H76" s="597"/>
      <c r="I76" s="598"/>
      <c r="J76" s="597"/>
      <c r="K76" s="598"/>
      <c r="L76" s="598"/>
      <c r="M76" s="598"/>
      <c r="N76" s="597"/>
      <c r="O76" s="599"/>
      <c r="P76" s="597"/>
      <c r="Q76" s="599"/>
      <c r="R76" s="597"/>
      <c r="S76" s="599"/>
      <c r="T76" s="597"/>
      <c r="U76" s="599"/>
      <c r="V76" s="774"/>
      <c r="W76" s="774"/>
      <c r="X76" s="774"/>
      <c r="Y76" s="774"/>
      <c r="Z76" s="774"/>
      <c r="AA76" s="774"/>
      <c r="AB76" s="774"/>
      <c r="AC76" s="774"/>
      <c r="AD76" s="774"/>
      <c r="AE76" s="774"/>
      <c r="AF76" s="774"/>
      <c r="AG76" s="774"/>
      <c r="AH76" s="774"/>
      <c r="AI76" s="774"/>
      <c r="AJ76" s="774"/>
      <c r="AK76" s="774"/>
      <c r="AL76" s="774"/>
      <c r="AM76" s="774"/>
      <c r="AN76" s="774"/>
      <c r="AO76" s="774"/>
      <c r="AP76" s="774"/>
      <c r="AQ76" s="774"/>
      <c r="AR76" s="774"/>
      <c r="AS76" s="774"/>
      <c r="AT76" s="774"/>
      <c r="AU76" s="600"/>
      <c r="AV76" s="600"/>
      <c r="AW76" s="600"/>
      <c r="AX76" s="597"/>
      <c r="AY76" s="597"/>
      <c r="AZ76" s="214"/>
      <c r="BA76" s="490" t="str">
        <f t="shared" si="0"/>
        <v>SUM_CO2</v>
      </c>
      <c r="BB76" s="581" t="str">
        <f t="shared" si="1"/>
        <v>SUM_EnergyIN</v>
      </c>
      <c r="BC76" s="602"/>
      <c r="BD76" s="23"/>
    </row>
    <row r="77" spans="1:56" x14ac:dyDescent="0.2">
      <c r="A77" s="602"/>
      <c r="B77" s="214"/>
      <c r="C77" s="544">
        <v>54</v>
      </c>
      <c r="D77" s="596"/>
      <c r="E77" s="596"/>
      <c r="F77" s="597"/>
      <c r="G77" s="598"/>
      <c r="H77" s="597"/>
      <c r="I77" s="598"/>
      <c r="J77" s="597"/>
      <c r="K77" s="598"/>
      <c r="L77" s="598"/>
      <c r="M77" s="598"/>
      <c r="N77" s="597"/>
      <c r="O77" s="599"/>
      <c r="P77" s="597"/>
      <c r="Q77" s="599"/>
      <c r="R77" s="597"/>
      <c r="S77" s="599"/>
      <c r="T77" s="597"/>
      <c r="U77" s="599"/>
      <c r="V77" s="774"/>
      <c r="W77" s="774"/>
      <c r="X77" s="774"/>
      <c r="Y77" s="774"/>
      <c r="Z77" s="774"/>
      <c r="AA77" s="774"/>
      <c r="AB77" s="774"/>
      <c r="AC77" s="774"/>
      <c r="AD77" s="774"/>
      <c r="AE77" s="774"/>
      <c r="AF77" s="774"/>
      <c r="AG77" s="774"/>
      <c r="AH77" s="774"/>
      <c r="AI77" s="774"/>
      <c r="AJ77" s="774"/>
      <c r="AK77" s="774"/>
      <c r="AL77" s="774"/>
      <c r="AM77" s="774"/>
      <c r="AN77" s="774"/>
      <c r="AO77" s="774"/>
      <c r="AP77" s="774"/>
      <c r="AQ77" s="774"/>
      <c r="AR77" s="774"/>
      <c r="AS77" s="774"/>
      <c r="AT77" s="774"/>
      <c r="AU77" s="600"/>
      <c r="AV77" s="600"/>
      <c r="AW77" s="600"/>
      <c r="AX77" s="597"/>
      <c r="AY77" s="597"/>
      <c r="AZ77" s="214"/>
      <c r="BA77" s="490" t="str">
        <f t="shared" si="0"/>
        <v>SUM_CO2</v>
      </c>
      <c r="BB77" s="581" t="str">
        <f t="shared" si="1"/>
        <v>SUM_EnergyIN</v>
      </c>
      <c r="BC77" s="602"/>
      <c r="BD77" s="23"/>
    </row>
    <row r="78" spans="1:56" x14ac:dyDescent="0.2">
      <c r="A78" s="602"/>
      <c r="B78" s="214"/>
      <c r="C78" s="544">
        <v>55</v>
      </c>
      <c r="D78" s="596"/>
      <c r="E78" s="596"/>
      <c r="F78" s="597"/>
      <c r="G78" s="598"/>
      <c r="H78" s="597"/>
      <c r="I78" s="598"/>
      <c r="J78" s="597"/>
      <c r="K78" s="598"/>
      <c r="L78" s="598"/>
      <c r="M78" s="598"/>
      <c r="N78" s="597"/>
      <c r="O78" s="599"/>
      <c r="P78" s="597"/>
      <c r="Q78" s="599"/>
      <c r="R78" s="597"/>
      <c r="S78" s="599"/>
      <c r="T78" s="597"/>
      <c r="U78" s="599"/>
      <c r="V78" s="774"/>
      <c r="W78" s="774"/>
      <c r="X78" s="774"/>
      <c r="Y78" s="774"/>
      <c r="Z78" s="774"/>
      <c r="AA78" s="774"/>
      <c r="AB78" s="774"/>
      <c r="AC78" s="774"/>
      <c r="AD78" s="774"/>
      <c r="AE78" s="774"/>
      <c r="AF78" s="774"/>
      <c r="AG78" s="774"/>
      <c r="AH78" s="774"/>
      <c r="AI78" s="774"/>
      <c r="AJ78" s="774"/>
      <c r="AK78" s="774"/>
      <c r="AL78" s="774"/>
      <c r="AM78" s="774"/>
      <c r="AN78" s="774"/>
      <c r="AO78" s="774"/>
      <c r="AP78" s="774"/>
      <c r="AQ78" s="774"/>
      <c r="AR78" s="774"/>
      <c r="AS78" s="774"/>
      <c r="AT78" s="774"/>
      <c r="AU78" s="600"/>
      <c r="AV78" s="600"/>
      <c r="AW78" s="600"/>
      <c r="AX78" s="597"/>
      <c r="AY78" s="597"/>
      <c r="AZ78" s="214"/>
      <c r="BA78" s="490" t="str">
        <f t="shared" si="0"/>
        <v>SUM_CO2</v>
      </c>
      <c r="BB78" s="581" t="str">
        <f t="shared" si="1"/>
        <v>SUM_EnergyIN</v>
      </c>
      <c r="BC78" s="602"/>
      <c r="BD78" s="23"/>
    </row>
    <row r="79" spans="1:56" x14ac:dyDescent="0.2">
      <c r="A79" s="602"/>
      <c r="B79" s="214"/>
      <c r="C79" s="544">
        <v>56</v>
      </c>
      <c r="D79" s="596"/>
      <c r="E79" s="596"/>
      <c r="F79" s="597"/>
      <c r="G79" s="598"/>
      <c r="H79" s="597"/>
      <c r="I79" s="598"/>
      <c r="J79" s="597"/>
      <c r="K79" s="598"/>
      <c r="L79" s="598"/>
      <c r="M79" s="598"/>
      <c r="N79" s="597"/>
      <c r="O79" s="599"/>
      <c r="P79" s="597"/>
      <c r="Q79" s="599"/>
      <c r="R79" s="597"/>
      <c r="S79" s="599"/>
      <c r="T79" s="597"/>
      <c r="U79" s="599"/>
      <c r="V79" s="774"/>
      <c r="W79" s="774"/>
      <c r="X79" s="774"/>
      <c r="Y79" s="774"/>
      <c r="Z79" s="774"/>
      <c r="AA79" s="774"/>
      <c r="AB79" s="774"/>
      <c r="AC79" s="774"/>
      <c r="AD79" s="774"/>
      <c r="AE79" s="774"/>
      <c r="AF79" s="774"/>
      <c r="AG79" s="774"/>
      <c r="AH79" s="774"/>
      <c r="AI79" s="774"/>
      <c r="AJ79" s="774"/>
      <c r="AK79" s="774"/>
      <c r="AL79" s="774"/>
      <c r="AM79" s="774"/>
      <c r="AN79" s="774"/>
      <c r="AO79" s="774"/>
      <c r="AP79" s="774"/>
      <c r="AQ79" s="774"/>
      <c r="AR79" s="774"/>
      <c r="AS79" s="774"/>
      <c r="AT79" s="774"/>
      <c r="AU79" s="600"/>
      <c r="AV79" s="600"/>
      <c r="AW79" s="600"/>
      <c r="AX79" s="597"/>
      <c r="AY79" s="597"/>
      <c r="AZ79" s="214"/>
      <c r="BA79" s="490" t="str">
        <f t="shared" si="0"/>
        <v>SUM_CO2</v>
      </c>
      <c r="BB79" s="581" t="str">
        <f t="shared" si="1"/>
        <v>SUM_EnergyIN</v>
      </c>
      <c r="BC79" s="602"/>
      <c r="BD79" s="23"/>
    </row>
    <row r="80" spans="1:56" x14ac:dyDescent="0.2">
      <c r="A80" s="602"/>
      <c r="B80" s="214"/>
      <c r="C80" s="544">
        <v>57</v>
      </c>
      <c r="D80" s="596"/>
      <c r="E80" s="596"/>
      <c r="F80" s="597"/>
      <c r="G80" s="598"/>
      <c r="H80" s="597"/>
      <c r="I80" s="598"/>
      <c r="J80" s="597"/>
      <c r="K80" s="598"/>
      <c r="L80" s="598"/>
      <c r="M80" s="598"/>
      <c r="N80" s="597"/>
      <c r="O80" s="599"/>
      <c r="P80" s="597"/>
      <c r="Q80" s="599"/>
      <c r="R80" s="597"/>
      <c r="S80" s="599"/>
      <c r="T80" s="597"/>
      <c r="U80" s="599"/>
      <c r="V80" s="774"/>
      <c r="W80" s="774"/>
      <c r="X80" s="774"/>
      <c r="Y80" s="774"/>
      <c r="Z80" s="774"/>
      <c r="AA80" s="774"/>
      <c r="AB80" s="774"/>
      <c r="AC80" s="774"/>
      <c r="AD80" s="774"/>
      <c r="AE80" s="774"/>
      <c r="AF80" s="774"/>
      <c r="AG80" s="774"/>
      <c r="AH80" s="774"/>
      <c r="AI80" s="774"/>
      <c r="AJ80" s="774"/>
      <c r="AK80" s="774"/>
      <c r="AL80" s="774"/>
      <c r="AM80" s="774"/>
      <c r="AN80" s="774"/>
      <c r="AO80" s="774"/>
      <c r="AP80" s="774"/>
      <c r="AQ80" s="774"/>
      <c r="AR80" s="774"/>
      <c r="AS80" s="774"/>
      <c r="AT80" s="774"/>
      <c r="AU80" s="600"/>
      <c r="AV80" s="600"/>
      <c r="AW80" s="600"/>
      <c r="AX80" s="597"/>
      <c r="AY80" s="597"/>
      <c r="AZ80" s="214"/>
      <c r="BA80" s="490" t="str">
        <f t="shared" si="0"/>
        <v>SUM_CO2</v>
      </c>
      <c r="BB80" s="581" t="str">
        <f t="shared" si="1"/>
        <v>SUM_EnergyIN</v>
      </c>
      <c r="BC80" s="602"/>
      <c r="BD80" s="23"/>
    </row>
    <row r="81" spans="1:56" x14ac:dyDescent="0.2">
      <c r="A81" s="602"/>
      <c r="B81" s="214"/>
      <c r="C81" s="544">
        <v>58</v>
      </c>
      <c r="D81" s="596"/>
      <c r="E81" s="596"/>
      <c r="F81" s="597"/>
      <c r="G81" s="598"/>
      <c r="H81" s="597"/>
      <c r="I81" s="598"/>
      <c r="J81" s="597"/>
      <c r="K81" s="598"/>
      <c r="L81" s="598"/>
      <c r="M81" s="598"/>
      <c r="N81" s="597"/>
      <c r="O81" s="599"/>
      <c r="P81" s="597"/>
      <c r="Q81" s="599"/>
      <c r="R81" s="597"/>
      <c r="S81" s="599"/>
      <c r="T81" s="597"/>
      <c r="U81" s="599"/>
      <c r="V81" s="774"/>
      <c r="W81" s="774"/>
      <c r="X81" s="774"/>
      <c r="Y81" s="774"/>
      <c r="Z81" s="774"/>
      <c r="AA81" s="774"/>
      <c r="AB81" s="774"/>
      <c r="AC81" s="774"/>
      <c r="AD81" s="774"/>
      <c r="AE81" s="774"/>
      <c r="AF81" s="774"/>
      <c r="AG81" s="774"/>
      <c r="AH81" s="774"/>
      <c r="AI81" s="774"/>
      <c r="AJ81" s="774"/>
      <c r="AK81" s="774"/>
      <c r="AL81" s="774"/>
      <c r="AM81" s="774"/>
      <c r="AN81" s="774"/>
      <c r="AO81" s="774"/>
      <c r="AP81" s="774"/>
      <c r="AQ81" s="774"/>
      <c r="AR81" s="774"/>
      <c r="AS81" s="774"/>
      <c r="AT81" s="774"/>
      <c r="AU81" s="600"/>
      <c r="AV81" s="600"/>
      <c r="AW81" s="600"/>
      <c r="AX81" s="597"/>
      <c r="AY81" s="597"/>
      <c r="AZ81" s="214"/>
      <c r="BA81" s="490" t="str">
        <f t="shared" si="0"/>
        <v>SUM_CO2</v>
      </c>
      <c r="BB81" s="581" t="str">
        <f t="shared" si="1"/>
        <v>SUM_EnergyIN</v>
      </c>
      <c r="BC81" s="602"/>
      <c r="BD81" s="23"/>
    </row>
    <row r="82" spans="1:56" x14ac:dyDescent="0.2">
      <c r="A82" s="602"/>
      <c r="B82" s="214"/>
      <c r="C82" s="544">
        <v>59</v>
      </c>
      <c r="D82" s="596"/>
      <c r="E82" s="596"/>
      <c r="F82" s="597"/>
      <c r="G82" s="598"/>
      <c r="H82" s="597"/>
      <c r="I82" s="598"/>
      <c r="J82" s="597"/>
      <c r="K82" s="598"/>
      <c r="L82" s="598"/>
      <c r="M82" s="598"/>
      <c r="N82" s="597"/>
      <c r="O82" s="599"/>
      <c r="P82" s="597"/>
      <c r="Q82" s="599"/>
      <c r="R82" s="597"/>
      <c r="S82" s="599"/>
      <c r="T82" s="597"/>
      <c r="U82" s="599"/>
      <c r="V82" s="774"/>
      <c r="W82" s="774"/>
      <c r="X82" s="774"/>
      <c r="Y82" s="774"/>
      <c r="Z82" s="774"/>
      <c r="AA82" s="774"/>
      <c r="AB82" s="774"/>
      <c r="AC82" s="774"/>
      <c r="AD82" s="774"/>
      <c r="AE82" s="774"/>
      <c r="AF82" s="774"/>
      <c r="AG82" s="774"/>
      <c r="AH82" s="774"/>
      <c r="AI82" s="774"/>
      <c r="AJ82" s="774"/>
      <c r="AK82" s="774"/>
      <c r="AL82" s="774"/>
      <c r="AM82" s="774"/>
      <c r="AN82" s="774"/>
      <c r="AO82" s="774"/>
      <c r="AP82" s="774"/>
      <c r="AQ82" s="774"/>
      <c r="AR82" s="774"/>
      <c r="AS82" s="774"/>
      <c r="AT82" s="774"/>
      <c r="AU82" s="600"/>
      <c r="AV82" s="600"/>
      <c r="AW82" s="600"/>
      <c r="AX82" s="597"/>
      <c r="AY82" s="597"/>
      <c r="AZ82" s="214"/>
      <c r="BA82" s="490" t="str">
        <f t="shared" si="0"/>
        <v>SUM_CO2</v>
      </c>
      <c r="BB82" s="581" t="str">
        <f t="shared" si="1"/>
        <v>SUM_EnergyIN</v>
      </c>
      <c r="BC82" s="602"/>
      <c r="BD82" s="23"/>
    </row>
    <row r="83" spans="1:56" x14ac:dyDescent="0.2">
      <c r="A83" s="602"/>
      <c r="B83" s="214"/>
      <c r="C83" s="544">
        <v>60</v>
      </c>
      <c r="D83" s="596"/>
      <c r="E83" s="596"/>
      <c r="F83" s="597"/>
      <c r="G83" s="598"/>
      <c r="H83" s="597"/>
      <c r="I83" s="598"/>
      <c r="J83" s="597"/>
      <c r="K83" s="598"/>
      <c r="L83" s="598"/>
      <c r="M83" s="598"/>
      <c r="N83" s="597"/>
      <c r="O83" s="599"/>
      <c r="P83" s="597"/>
      <c r="Q83" s="599"/>
      <c r="R83" s="597"/>
      <c r="S83" s="599"/>
      <c r="T83" s="597"/>
      <c r="U83" s="599"/>
      <c r="V83" s="774"/>
      <c r="W83" s="774"/>
      <c r="X83" s="774"/>
      <c r="Y83" s="774"/>
      <c r="Z83" s="774"/>
      <c r="AA83" s="774"/>
      <c r="AB83" s="774"/>
      <c r="AC83" s="774"/>
      <c r="AD83" s="774"/>
      <c r="AE83" s="774"/>
      <c r="AF83" s="774"/>
      <c r="AG83" s="774"/>
      <c r="AH83" s="774"/>
      <c r="AI83" s="774"/>
      <c r="AJ83" s="774"/>
      <c r="AK83" s="774"/>
      <c r="AL83" s="774"/>
      <c r="AM83" s="774"/>
      <c r="AN83" s="774"/>
      <c r="AO83" s="774"/>
      <c r="AP83" s="774"/>
      <c r="AQ83" s="774"/>
      <c r="AR83" s="774"/>
      <c r="AS83" s="774"/>
      <c r="AT83" s="774"/>
      <c r="AU83" s="600"/>
      <c r="AV83" s="600"/>
      <c r="AW83" s="600"/>
      <c r="AX83" s="597"/>
      <c r="AY83" s="597"/>
      <c r="AZ83" s="214"/>
      <c r="BA83" s="490" t="str">
        <f t="shared" si="0"/>
        <v>SUM_CO2</v>
      </c>
      <c r="BB83" s="581" t="str">
        <f t="shared" si="1"/>
        <v>SUM_EnergyIN</v>
      </c>
      <c r="BC83" s="602"/>
      <c r="BD83" s="23"/>
    </row>
    <row r="84" spans="1:56" x14ac:dyDescent="0.2">
      <c r="A84" s="602"/>
      <c r="B84" s="214"/>
      <c r="C84" s="544">
        <v>61</v>
      </c>
      <c r="D84" s="596"/>
      <c r="E84" s="596"/>
      <c r="F84" s="597"/>
      <c r="G84" s="598"/>
      <c r="H84" s="597"/>
      <c r="I84" s="598"/>
      <c r="J84" s="597"/>
      <c r="K84" s="598"/>
      <c r="L84" s="598"/>
      <c r="M84" s="598"/>
      <c r="N84" s="597"/>
      <c r="O84" s="599"/>
      <c r="P84" s="597"/>
      <c r="Q84" s="599"/>
      <c r="R84" s="597"/>
      <c r="S84" s="599"/>
      <c r="T84" s="597"/>
      <c r="U84" s="599"/>
      <c r="V84" s="774"/>
      <c r="W84" s="774"/>
      <c r="X84" s="774"/>
      <c r="Y84" s="774"/>
      <c r="Z84" s="774"/>
      <c r="AA84" s="774"/>
      <c r="AB84" s="774"/>
      <c r="AC84" s="774"/>
      <c r="AD84" s="774"/>
      <c r="AE84" s="774"/>
      <c r="AF84" s="774"/>
      <c r="AG84" s="774"/>
      <c r="AH84" s="774"/>
      <c r="AI84" s="774"/>
      <c r="AJ84" s="774"/>
      <c r="AK84" s="774"/>
      <c r="AL84" s="774"/>
      <c r="AM84" s="774"/>
      <c r="AN84" s="774"/>
      <c r="AO84" s="774"/>
      <c r="AP84" s="774"/>
      <c r="AQ84" s="774"/>
      <c r="AR84" s="774"/>
      <c r="AS84" s="774"/>
      <c r="AT84" s="774"/>
      <c r="AU84" s="600"/>
      <c r="AV84" s="600"/>
      <c r="AW84" s="600"/>
      <c r="AX84" s="597"/>
      <c r="AY84" s="597"/>
      <c r="AZ84" s="214"/>
      <c r="BA84" s="490" t="str">
        <f t="shared" si="0"/>
        <v>SUM_CO2</v>
      </c>
      <c r="BB84" s="581" t="str">
        <f t="shared" si="1"/>
        <v>SUM_EnergyIN</v>
      </c>
      <c r="BC84" s="602"/>
      <c r="BD84" s="23"/>
    </row>
    <row r="85" spans="1:56" x14ac:dyDescent="0.2">
      <c r="A85" s="602"/>
      <c r="B85" s="214"/>
      <c r="C85" s="544">
        <v>62</v>
      </c>
      <c r="D85" s="596"/>
      <c r="E85" s="596"/>
      <c r="F85" s="597"/>
      <c r="G85" s="598"/>
      <c r="H85" s="597"/>
      <c r="I85" s="598"/>
      <c r="J85" s="597"/>
      <c r="K85" s="598"/>
      <c r="L85" s="598"/>
      <c r="M85" s="598"/>
      <c r="N85" s="597"/>
      <c r="O85" s="599"/>
      <c r="P85" s="597"/>
      <c r="Q85" s="599"/>
      <c r="R85" s="597"/>
      <c r="S85" s="599"/>
      <c r="T85" s="597"/>
      <c r="U85" s="599"/>
      <c r="V85" s="774"/>
      <c r="W85" s="774"/>
      <c r="X85" s="774"/>
      <c r="Y85" s="774"/>
      <c r="Z85" s="774"/>
      <c r="AA85" s="774"/>
      <c r="AB85" s="774"/>
      <c r="AC85" s="774"/>
      <c r="AD85" s="774"/>
      <c r="AE85" s="774"/>
      <c r="AF85" s="774"/>
      <c r="AG85" s="774"/>
      <c r="AH85" s="774"/>
      <c r="AI85" s="774"/>
      <c r="AJ85" s="774"/>
      <c r="AK85" s="774"/>
      <c r="AL85" s="774"/>
      <c r="AM85" s="774"/>
      <c r="AN85" s="774"/>
      <c r="AO85" s="774"/>
      <c r="AP85" s="774"/>
      <c r="AQ85" s="774"/>
      <c r="AR85" s="774"/>
      <c r="AS85" s="774"/>
      <c r="AT85" s="774"/>
      <c r="AU85" s="600"/>
      <c r="AV85" s="600"/>
      <c r="AW85" s="600"/>
      <c r="AX85" s="597"/>
      <c r="AY85" s="597"/>
      <c r="AZ85" s="214"/>
      <c r="BA85" s="490" t="str">
        <f t="shared" si="0"/>
        <v>SUM_CO2</v>
      </c>
      <c r="BB85" s="581" t="str">
        <f t="shared" si="1"/>
        <v>SUM_EnergyIN</v>
      </c>
      <c r="BC85" s="602"/>
      <c r="BD85" s="23"/>
    </row>
    <row r="86" spans="1:56" x14ac:dyDescent="0.2">
      <c r="A86" s="602"/>
      <c r="B86" s="214"/>
      <c r="C86" s="544">
        <v>63</v>
      </c>
      <c r="D86" s="596"/>
      <c r="E86" s="596"/>
      <c r="F86" s="597"/>
      <c r="G86" s="598"/>
      <c r="H86" s="597"/>
      <c r="I86" s="598"/>
      <c r="J86" s="597"/>
      <c r="K86" s="598"/>
      <c r="L86" s="598"/>
      <c r="M86" s="598"/>
      <c r="N86" s="597"/>
      <c r="O86" s="599"/>
      <c r="P86" s="597"/>
      <c r="Q86" s="599"/>
      <c r="R86" s="597"/>
      <c r="S86" s="599"/>
      <c r="T86" s="597"/>
      <c r="U86" s="599"/>
      <c r="V86" s="774"/>
      <c r="W86" s="774"/>
      <c r="X86" s="774"/>
      <c r="Y86" s="774"/>
      <c r="Z86" s="774"/>
      <c r="AA86" s="774"/>
      <c r="AB86" s="774"/>
      <c r="AC86" s="774"/>
      <c r="AD86" s="774"/>
      <c r="AE86" s="774"/>
      <c r="AF86" s="774"/>
      <c r="AG86" s="774"/>
      <c r="AH86" s="774"/>
      <c r="AI86" s="774"/>
      <c r="AJ86" s="774"/>
      <c r="AK86" s="774"/>
      <c r="AL86" s="774"/>
      <c r="AM86" s="774"/>
      <c r="AN86" s="774"/>
      <c r="AO86" s="774"/>
      <c r="AP86" s="774"/>
      <c r="AQ86" s="774"/>
      <c r="AR86" s="774"/>
      <c r="AS86" s="774"/>
      <c r="AT86" s="774"/>
      <c r="AU86" s="600"/>
      <c r="AV86" s="600"/>
      <c r="AW86" s="600"/>
      <c r="AX86" s="597"/>
      <c r="AY86" s="597"/>
      <c r="AZ86" s="214"/>
      <c r="BA86" s="490" t="str">
        <f t="shared" si="0"/>
        <v>SUM_CO2</v>
      </c>
      <c r="BB86" s="581" t="str">
        <f t="shared" si="1"/>
        <v>SUM_EnergyIN</v>
      </c>
      <c r="BC86" s="602"/>
      <c r="BD86" s="23"/>
    </row>
    <row r="87" spans="1:56" x14ac:dyDescent="0.2">
      <c r="A87" s="602"/>
      <c r="B87" s="214"/>
      <c r="C87" s="544">
        <v>64</v>
      </c>
      <c r="D87" s="596"/>
      <c r="E87" s="596"/>
      <c r="F87" s="597"/>
      <c r="G87" s="598"/>
      <c r="H87" s="597"/>
      <c r="I87" s="598"/>
      <c r="J87" s="597"/>
      <c r="K87" s="598"/>
      <c r="L87" s="598"/>
      <c r="M87" s="598"/>
      <c r="N87" s="597"/>
      <c r="O87" s="599"/>
      <c r="P87" s="597"/>
      <c r="Q87" s="599"/>
      <c r="R87" s="597"/>
      <c r="S87" s="599"/>
      <c r="T87" s="597"/>
      <c r="U87" s="599"/>
      <c r="V87" s="774"/>
      <c r="W87" s="774"/>
      <c r="X87" s="774"/>
      <c r="Y87" s="774"/>
      <c r="Z87" s="774"/>
      <c r="AA87" s="774"/>
      <c r="AB87" s="774"/>
      <c r="AC87" s="774"/>
      <c r="AD87" s="774"/>
      <c r="AE87" s="774"/>
      <c r="AF87" s="774"/>
      <c r="AG87" s="774"/>
      <c r="AH87" s="774"/>
      <c r="AI87" s="774"/>
      <c r="AJ87" s="774"/>
      <c r="AK87" s="774"/>
      <c r="AL87" s="774"/>
      <c r="AM87" s="774"/>
      <c r="AN87" s="774"/>
      <c r="AO87" s="774"/>
      <c r="AP87" s="774"/>
      <c r="AQ87" s="774"/>
      <c r="AR87" s="774"/>
      <c r="AS87" s="774"/>
      <c r="AT87" s="774"/>
      <c r="AU87" s="600"/>
      <c r="AV87" s="600"/>
      <c r="AW87" s="600"/>
      <c r="AX87" s="597"/>
      <c r="AY87" s="597"/>
      <c r="AZ87" s="214"/>
      <c r="BA87" s="490" t="str">
        <f t="shared" si="0"/>
        <v>SUM_CO2</v>
      </c>
      <c r="BB87" s="581" t="str">
        <f t="shared" si="1"/>
        <v>SUM_EnergyIN</v>
      </c>
      <c r="BC87" s="602"/>
      <c r="BD87" s="23"/>
    </row>
    <row r="88" spans="1:56" x14ac:dyDescent="0.2">
      <c r="A88" s="602"/>
      <c r="B88" s="214"/>
      <c r="C88" s="544">
        <v>65</v>
      </c>
      <c r="D88" s="596"/>
      <c r="E88" s="596"/>
      <c r="F88" s="597"/>
      <c r="G88" s="598"/>
      <c r="H88" s="597"/>
      <c r="I88" s="598"/>
      <c r="J88" s="597"/>
      <c r="K88" s="598"/>
      <c r="L88" s="598"/>
      <c r="M88" s="598"/>
      <c r="N88" s="597"/>
      <c r="O88" s="599"/>
      <c r="P88" s="597"/>
      <c r="Q88" s="599"/>
      <c r="R88" s="597"/>
      <c r="S88" s="599"/>
      <c r="T88" s="597"/>
      <c r="U88" s="599"/>
      <c r="V88" s="774"/>
      <c r="W88" s="774"/>
      <c r="X88" s="774"/>
      <c r="Y88" s="774"/>
      <c r="Z88" s="774"/>
      <c r="AA88" s="774"/>
      <c r="AB88" s="774"/>
      <c r="AC88" s="774"/>
      <c r="AD88" s="774"/>
      <c r="AE88" s="774"/>
      <c r="AF88" s="774"/>
      <c r="AG88" s="774"/>
      <c r="AH88" s="774"/>
      <c r="AI88" s="774"/>
      <c r="AJ88" s="774"/>
      <c r="AK88" s="774"/>
      <c r="AL88" s="774"/>
      <c r="AM88" s="774"/>
      <c r="AN88" s="774"/>
      <c r="AO88" s="774"/>
      <c r="AP88" s="774"/>
      <c r="AQ88" s="774"/>
      <c r="AR88" s="774"/>
      <c r="AS88" s="774"/>
      <c r="AT88" s="774"/>
      <c r="AU88" s="600"/>
      <c r="AV88" s="600"/>
      <c r="AW88" s="600"/>
      <c r="AX88" s="597"/>
      <c r="AY88" s="597"/>
      <c r="AZ88" s="214"/>
      <c r="BA88" s="490" t="str">
        <f t="shared" ref="BA88:BA98" si="2">EUconst_SumCO2</f>
        <v>SUM_CO2</v>
      </c>
      <c r="BB88" s="581" t="str">
        <f t="shared" ref="BB88:BB98" si="3">EUconst_SumEnergyIN</f>
        <v>SUM_EnergyIN</v>
      </c>
      <c r="BC88" s="602"/>
      <c r="BD88" s="23"/>
    </row>
    <row r="89" spans="1:56" x14ac:dyDescent="0.2">
      <c r="A89" s="602"/>
      <c r="B89" s="214"/>
      <c r="C89" s="544">
        <v>66</v>
      </c>
      <c r="D89" s="596"/>
      <c r="E89" s="596"/>
      <c r="F89" s="597"/>
      <c r="G89" s="598"/>
      <c r="H89" s="597"/>
      <c r="I89" s="598"/>
      <c r="J89" s="597"/>
      <c r="K89" s="598"/>
      <c r="L89" s="598"/>
      <c r="M89" s="598"/>
      <c r="N89" s="597"/>
      <c r="O89" s="599"/>
      <c r="P89" s="597"/>
      <c r="Q89" s="599"/>
      <c r="R89" s="597"/>
      <c r="S89" s="599"/>
      <c r="T89" s="597"/>
      <c r="U89" s="599"/>
      <c r="V89" s="774"/>
      <c r="W89" s="774"/>
      <c r="X89" s="774"/>
      <c r="Y89" s="774"/>
      <c r="Z89" s="774"/>
      <c r="AA89" s="774"/>
      <c r="AB89" s="774"/>
      <c r="AC89" s="774"/>
      <c r="AD89" s="774"/>
      <c r="AE89" s="774"/>
      <c r="AF89" s="774"/>
      <c r="AG89" s="774"/>
      <c r="AH89" s="774"/>
      <c r="AI89" s="774"/>
      <c r="AJ89" s="774"/>
      <c r="AK89" s="774"/>
      <c r="AL89" s="774"/>
      <c r="AM89" s="774"/>
      <c r="AN89" s="774"/>
      <c r="AO89" s="774"/>
      <c r="AP89" s="774"/>
      <c r="AQ89" s="774"/>
      <c r="AR89" s="774"/>
      <c r="AS89" s="774"/>
      <c r="AT89" s="774"/>
      <c r="AU89" s="600"/>
      <c r="AV89" s="600"/>
      <c r="AW89" s="600"/>
      <c r="AX89" s="597"/>
      <c r="AY89" s="597"/>
      <c r="AZ89" s="214"/>
      <c r="BA89" s="490" t="str">
        <f t="shared" si="2"/>
        <v>SUM_CO2</v>
      </c>
      <c r="BB89" s="581" t="str">
        <f t="shared" si="3"/>
        <v>SUM_EnergyIN</v>
      </c>
      <c r="BC89" s="602"/>
      <c r="BD89" s="23"/>
    </row>
    <row r="90" spans="1:56" x14ac:dyDescent="0.2">
      <c r="A90" s="602"/>
      <c r="B90" s="214"/>
      <c r="C90" s="544">
        <v>67</v>
      </c>
      <c r="D90" s="596"/>
      <c r="E90" s="596"/>
      <c r="F90" s="597"/>
      <c r="G90" s="598"/>
      <c r="H90" s="597"/>
      <c r="I90" s="598"/>
      <c r="J90" s="597"/>
      <c r="K90" s="598"/>
      <c r="L90" s="598"/>
      <c r="M90" s="598"/>
      <c r="N90" s="597"/>
      <c r="O90" s="599"/>
      <c r="P90" s="597"/>
      <c r="Q90" s="599"/>
      <c r="R90" s="597"/>
      <c r="S90" s="599"/>
      <c r="T90" s="597"/>
      <c r="U90" s="599"/>
      <c r="V90" s="774"/>
      <c r="W90" s="774"/>
      <c r="X90" s="774"/>
      <c r="Y90" s="774"/>
      <c r="Z90" s="774"/>
      <c r="AA90" s="774"/>
      <c r="AB90" s="774"/>
      <c r="AC90" s="774"/>
      <c r="AD90" s="774"/>
      <c r="AE90" s="774"/>
      <c r="AF90" s="774"/>
      <c r="AG90" s="774"/>
      <c r="AH90" s="774"/>
      <c r="AI90" s="774"/>
      <c r="AJ90" s="774"/>
      <c r="AK90" s="774"/>
      <c r="AL90" s="774"/>
      <c r="AM90" s="774"/>
      <c r="AN90" s="774"/>
      <c r="AO90" s="774"/>
      <c r="AP90" s="774"/>
      <c r="AQ90" s="774"/>
      <c r="AR90" s="774"/>
      <c r="AS90" s="774"/>
      <c r="AT90" s="774"/>
      <c r="AU90" s="600"/>
      <c r="AV90" s="600"/>
      <c r="AW90" s="600"/>
      <c r="AX90" s="597"/>
      <c r="AY90" s="597"/>
      <c r="AZ90" s="214"/>
      <c r="BA90" s="490" t="str">
        <f t="shared" si="2"/>
        <v>SUM_CO2</v>
      </c>
      <c r="BB90" s="581" t="str">
        <f t="shared" si="3"/>
        <v>SUM_EnergyIN</v>
      </c>
      <c r="BC90" s="602"/>
      <c r="BD90" s="23"/>
    </row>
    <row r="91" spans="1:56" x14ac:dyDescent="0.2">
      <c r="A91" s="602"/>
      <c r="B91" s="214"/>
      <c r="C91" s="544">
        <v>68</v>
      </c>
      <c r="D91" s="596"/>
      <c r="E91" s="596"/>
      <c r="F91" s="597"/>
      <c r="G91" s="598"/>
      <c r="H91" s="597"/>
      <c r="I91" s="598"/>
      <c r="J91" s="597"/>
      <c r="K91" s="598"/>
      <c r="L91" s="598"/>
      <c r="M91" s="598"/>
      <c r="N91" s="597"/>
      <c r="O91" s="599"/>
      <c r="P91" s="597"/>
      <c r="Q91" s="599"/>
      <c r="R91" s="597"/>
      <c r="S91" s="599"/>
      <c r="T91" s="597"/>
      <c r="U91" s="599"/>
      <c r="V91" s="774"/>
      <c r="W91" s="774"/>
      <c r="X91" s="774"/>
      <c r="Y91" s="774"/>
      <c r="Z91" s="774"/>
      <c r="AA91" s="774"/>
      <c r="AB91" s="774"/>
      <c r="AC91" s="774"/>
      <c r="AD91" s="774"/>
      <c r="AE91" s="774"/>
      <c r="AF91" s="774"/>
      <c r="AG91" s="774"/>
      <c r="AH91" s="774"/>
      <c r="AI91" s="774"/>
      <c r="AJ91" s="774"/>
      <c r="AK91" s="774"/>
      <c r="AL91" s="774"/>
      <c r="AM91" s="774"/>
      <c r="AN91" s="774"/>
      <c r="AO91" s="774"/>
      <c r="AP91" s="774"/>
      <c r="AQ91" s="774"/>
      <c r="AR91" s="774"/>
      <c r="AS91" s="774"/>
      <c r="AT91" s="774"/>
      <c r="AU91" s="600"/>
      <c r="AV91" s="600"/>
      <c r="AW91" s="600"/>
      <c r="AX91" s="597"/>
      <c r="AY91" s="597"/>
      <c r="AZ91" s="214"/>
      <c r="BA91" s="490" t="str">
        <f t="shared" si="2"/>
        <v>SUM_CO2</v>
      </c>
      <c r="BB91" s="581" t="str">
        <f t="shared" si="3"/>
        <v>SUM_EnergyIN</v>
      </c>
      <c r="BC91" s="602"/>
      <c r="BD91" s="23"/>
    </row>
    <row r="92" spans="1:56" x14ac:dyDescent="0.2">
      <c r="A92" s="602"/>
      <c r="B92" s="214"/>
      <c r="C92" s="544">
        <v>69</v>
      </c>
      <c r="D92" s="596"/>
      <c r="E92" s="596"/>
      <c r="F92" s="597"/>
      <c r="G92" s="598"/>
      <c r="H92" s="597"/>
      <c r="I92" s="598"/>
      <c r="J92" s="597"/>
      <c r="K92" s="598"/>
      <c r="L92" s="598"/>
      <c r="M92" s="598"/>
      <c r="N92" s="597"/>
      <c r="O92" s="599"/>
      <c r="P92" s="597"/>
      <c r="Q92" s="599"/>
      <c r="R92" s="597"/>
      <c r="S92" s="599"/>
      <c r="T92" s="597"/>
      <c r="U92" s="599"/>
      <c r="V92" s="774"/>
      <c r="W92" s="774"/>
      <c r="X92" s="774"/>
      <c r="Y92" s="774"/>
      <c r="Z92" s="774"/>
      <c r="AA92" s="774"/>
      <c r="AB92" s="774"/>
      <c r="AC92" s="774"/>
      <c r="AD92" s="774"/>
      <c r="AE92" s="774"/>
      <c r="AF92" s="774"/>
      <c r="AG92" s="774"/>
      <c r="AH92" s="774"/>
      <c r="AI92" s="774"/>
      <c r="AJ92" s="774"/>
      <c r="AK92" s="774"/>
      <c r="AL92" s="774"/>
      <c r="AM92" s="774"/>
      <c r="AN92" s="774"/>
      <c r="AO92" s="774"/>
      <c r="AP92" s="774"/>
      <c r="AQ92" s="774"/>
      <c r="AR92" s="774"/>
      <c r="AS92" s="774"/>
      <c r="AT92" s="774"/>
      <c r="AU92" s="600"/>
      <c r="AV92" s="600"/>
      <c r="AW92" s="600"/>
      <c r="AX92" s="597"/>
      <c r="AY92" s="597"/>
      <c r="AZ92" s="214"/>
      <c r="BA92" s="490" t="str">
        <f t="shared" si="2"/>
        <v>SUM_CO2</v>
      </c>
      <c r="BB92" s="581" t="str">
        <f t="shared" si="3"/>
        <v>SUM_EnergyIN</v>
      </c>
      <c r="BC92" s="602"/>
      <c r="BD92" s="23"/>
    </row>
    <row r="93" spans="1:56" x14ac:dyDescent="0.2">
      <c r="A93" s="602"/>
      <c r="B93" s="214"/>
      <c r="C93" s="544">
        <v>70</v>
      </c>
      <c r="D93" s="596"/>
      <c r="E93" s="596"/>
      <c r="F93" s="597"/>
      <c r="G93" s="598"/>
      <c r="H93" s="597"/>
      <c r="I93" s="598"/>
      <c r="J93" s="597"/>
      <c r="K93" s="598"/>
      <c r="L93" s="598"/>
      <c r="M93" s="598"/>
      <c r="N93" s="597"/>
      <c r="O93" s="599"/>
      <c r="P93" s="597"/>
      <c r="Q93" s="599"/>
      <c r="R93" s="597"/>
      <c r="S93" s="599"/>
      <c r="T93" s="597"/>
      <c r="U93" s="599"/>
      <c r="V93" s="774"/>
      <c r="W93" s="774"/>
      <c r="X93" s="774"/>
      <c r="Y93" s="774"/>
      <c r="Z93" s="774"/>
      <c r="AA93" s="774"/>
      <c r="AB93" s="774"/>
      <c r="AC93" s="774"/>
      <c r="AD93" s="774"/>
      <c r="AE93" s="774"/>
      <c r="AF93" s="774"/>
      <c r="AG93" s="774"/>
      <c r="AH93" s="774"/>
      <c r="AI93" s="774"/>
      <c r="AJ93" s="774"/>
      <c r="AK93" s="774"/>
      <c r="AL93" s="774"/>
      <c r="AM93" s="774"/>
      <c r="AN93" s="774"/>
      <c r="AO93" s="774"/>
      <c r="AP93" s="774"/>
      <c r="AQ93" s="774"/>
      <c r="AR93" s="774"/>
      <c r="AS93" s="774"/>
      <c r="AT93" s="774"/>
      <c r="AU93" s="600"/>
      <c r="AV93" s="600"/>
      <c r="AW93" s="600"/>
      <c r="AX93" s="597"/>
      <c r="AY93" s="597"/>
      <c r="AZ93" s="214"/>
      <c r="BA93" s="490" t="str">
        <f t="shared" si="2"/>
        <v>SUM_CO2</v>
      </c>
      <c r="BB93" s="581" t="str">
        <f t="shared" si="3"/>
        <v>SUM_EnergyIN</v>
      </c>
      <c r="BC93" s="602"/>
      <c r="BD93" s="23"/>
    </row>
    <row r="94" spans="1:56" x14ac:dyDescent="0.2">
      <c r="A94" s="602"/>
      <c r="B94" s="214"/>
      <c r="C94" s="544">
        <v>71</v>
      </c>
      <c r="D94" s="596"/>
      <c r="E94" s="596"/>
      <c r="F94" s="597"/>
      <c r="G94" s="598"/>
      <c r="H94" s="597"/>
      <c r="I94" s="598"/>
      <c r="J94" s="597"/>
      <c r="K94" s="598"/>
      <c r="L94" s="598"/>
      <c r="M94" s="598"/>
      <c r="N94" s="597"/>
      <c r="O94" s="599"/>
      <c r="P94" s="597"/>
      <c r="Q94" s="599"/>
      <c r="R94" s="597"/>
      <c r="S94" s="599"/>
      <c r="T94" s="597"/>
      <c r="U94" s="599"/>
      <c r="V94" s="774"/>
      <c r="W94" s="774"/>
      <c r="X94" s="774"/>
      <c r="Y94" s="774"/>
      <c r="Z94" s="774"/>
      <c r="AA94" s="774"/>
      <c r="AB94" s="774"/>
      <c r="AC94" s="774"/>
      <c r="AD94" s="774"/>
      <c r="AE94" s="774"/>
      <c r="AF94" s="774"/>
      <c r="AG94" s="774"/>
      <c r="AH94" s="774"/>
      <c r="AI94" s="774"/>
      <c r="AJ94" s="774"/>
      <c r="AK94" s="774"/>
      <c r="AL94" s="774"/>
      <c r="AM94" s="774"/>
      <c r="AN94" s="774"/>
      <c r="AO94" s="774"/>
      <c r="AP94" s="774"/>
      <c r="AQ94" s="774"/>
      <c r="AR94" s="774"/>
      <c r="AS94" s="774"/>
      <c r="AT94" s="774"/>
      <c r="AU94" s="600"/>
      <c r="AV94" s="600"/>
      <c r="AW94" s="600"/>
      <c r="AX94" s="597"/>
      <c r="AY94" s="597"/>
      <c r="AZ94" s="214"/>
      <c r="BA94" s="490" t="str">
        <f t="shared" si="2"/>
        <v>SUM_CO2</v>
      </c>
      <c r="BB94" s="581" t="str">
        <f t="shared" si="3"/>
        <v>SUM_EnergyIN</v>
      </c>
      <c r="BC94" s="602"/>
      <c r="BD94" s="23"/>
    </row>
    <row r="95" spans="1:56" x14ac:dyDescent="0.2">
      <c r="A95" s="602"/>
      <c r="B95" s="214"/>
      <c r="C95" s="544">
        <v>72</v>
      </c>
      <c r="D95" s="596"/>
      <c r="E95" s="596"/>
      <c r="F95" s="597"/>
      <c r="G95" s="598"/>
      <c r="H95" s="597"/>
      <c r="I95" s="598"/>
      <c r="J95" s="597"/>
      <c r="K95" s="598"/>
      <c r="L95" s="598"/>
      <c r="M95" s="598"/>
      <c r="N95" s="597"/>
      <c r="O95" s="599"/>
      <c r="P95" s="597"/>
      <c r="Q95" s="599"/>
      <c r="R95" s="597"/>
      <c r="S95" s="599"/>
      <c r="T95" s="597"/>
      <c r="U95" s="599"/>
      <c r="V95" s="774"/>
      <c r="W95" s="774"/>
      <c r="X95" s="774"/>
      <c r="Y95" s="774"/>
      <c r="Z95" s="774"/>
      <c r="AA95" s="774"/>
      <c r="AB95" s="774"/>
      <c r="AC95" s="774"/>
      <c r="AD95" s="774"/>
      <c r="AE95" s="774"/>
      <c r="AF95" s="774"/>
      <c r="AG95" s="774"/>
      <c r="AH95" s="774"/>
      <c r="AI95" s="774"/>
      <c r="AJ95" s="774"/>
      <c r="AK95" s="774"/>
      <c r="AL95" s="774"/>
      <c r="AM95" s="774"/>
      <c r="AN95" s="774"/>
      <c r="AO95" s="774"/>
      <c r="AP95" s="774"/>
      <c r="AQ95" s="774"/>
      <c r="AR95" s="774"/>
      <c r="AS95" s="774"/>
      <c r="AT95" s="774"/>
      <c r="AU95" s="600"/>
      <c r="AV95" s="600"/>
      <c r="AW95" s="600"/>
      <c r="AX95" s="597"/>
      <c r="AY95" s="597"/>
      <c r="AZ95" s="214"/>
      <c r="BA95" s="490" t="str">
        <f t="shared" si="2"/>
        <v>SUM_CO2</v>
      </c>
      <c r="BB95" s="581" t="str">
        <f t="shared" si="3"/>
        <v>SUM_EnergyIN</v>
      </c>
      <c r="BC95" s="602"/>
      <c r="BD95" s="23"/>
    </row>
    <row r="96" spans="1:56" x14ac:dyDescent="0.2">
      <c r="A96" s="602"/>
      <c r="B96" s="214"/>
      <c r="C96" s="544">
        <v>73</v>
      </c>
      <c r="D96" s="596"/>
      <c r="E96" s="596"/>
      <c r="F96" s="597"/>
      <c r="G96" s="598"/>
      <c r="H96" s="597"/>
      <c r="I96" s="598"/>
      <c r="J96" s="597"/>
      <c r="K96" s="598"/>
      <c r="L96" s="598"/>
      <c r="M96" s="598"/>
      <c r="N96" s="597"/>
      <c r="O96" s="599"/>
      <c r="P96" s="597"/>
      <c r="Q96" s="599"/>
      <c r="R96" s="597"/>
      <c r="S96" s="599"/>
      <c r="T96" s="597"/>
      <c r="U96" s="599"/>
      <c r="V96" s="774"/>
      <c r="W96" s="774"/>
      <c r="X96" s="774"/>
      <c r="Y96" s="774"/>
      <c r="Z96" s="774"/>
      <c r="AA96" s="774"/>
      <c r="AB96" s="774"/>
      <c r="AC96" s="774"/>
      <c r="AD96" s="774"/>
      <c r="AE96" s="774"/>
      <c r="AF96" s="774"/>
      <c r="AG96" s="774"/>
      <c r="AH96" s="774"/>
      <c r="AI96" s="774"/>
      <c r="AJ96" s="774"/>
      <c r="AK96" s="774"/>
      <c r="AL96" s="774"/>
      <c r="AM96" s="774"/>
      <c r="AN96" s="774"/>
      <c r="AO96" s="774"/>
      <c r="AP96" s="774"/>
      <c r="AQ96" s="774"/>
      <c r="AR96" s="774"/>
      <c r="AS96" s="774"/>
      <c r="AT96" s="774"/>
      <c r="AU96" s="600"/>
      <c r="AV96" s="600"/>
      <c r="AW96" s="600"/>
      <c r="AX96" s="597"/>
      <c r="AY96" s="597"/>
      <c r="AZ96" s="214"/>
      <c r="BA96" s="490" t="str">
        <f t="shared" si="2"/>
        <v>SUM_CO2</v>
      </c>
      <c r="BB96" s="581" t="str">
        <f t="shared" si="3"/>
        <v>SUM_EnergyIN</v>
      </c>
      <c r="BC96" s="602"/>
      <c r="BD96" s="23"/>
    </row>
    <row r="97" spans="1:56" x14ac:dyDescent="0.2">
      <c r="A97" s="602"/>
      <c r="B97" s="214"/>
      <c r="C97" s="544">
        <v>74</v>
      </c>
      <c r="D97" s="596"/>
      <c r="E97" s="596"/>
      <c r="F97" s="597"/>
      <c r="G97" s="598"/>
      <c r="H97" s="597"/>
      <c r="I97" s="598"/>
      <c r="J97" s="597"/>
      <c r="K97" s="598"/>
      <c r="L97" s="598"/>
      <c r="M97" s="598"/>
      <c r="N97" s="597"/>
      <c r="O97" s="599"/>
      <c r="P97" s="597"/>
      <c r="Q97" s="599"/>
      <c r="R97" s="597"/>
      <c r="S97" s="599"/>
      <c r="T97" s="597"/>
      <c r="U97" s="599"/>
      <c r="V97" s="774"/>
      <c r="W97" s="774"/>
      <c r="X97" s="774"/>
      <c r="Y97" s="774"/>
      <c r="Z97" s="774"/>
      <c r="AA97" s="774"/>
      <c r="AB97" s="774"/>
      <c r="AC97" s="774"/>
      <c r="AD97" s="774"/>
      <c r="AE97" s="774"/>
      <c r="AF97" s="774"/>
      <c r="AG97" s="774"/>
      <c r="AH97" s="774"/>
      <c r="AI97" s="774"/>
      <c r="AJ97" s="774"/>
      <c r="AK97" s="774"/>
      <c r="AL97" s="774"/>
      <c r="AM97" s="774"/>
      <c r="AN97" s="774"/>
      <c r="AO97" s="774"/>
      <c r="AP97" s="774"/>
      <c r="AQ97" s="774"/>
      <c r="AR97" s="774"/>
      <c r="AS97" s="774"/>
      <c r="AT97" s="774"/>
      <c r="AU97" s="600"/>
      <c r="AV97" s="600"/>
      <c r="AW97" s="600"/>
      <c r="AX97" s="597"/>
      <c r="AY97" s="597"/>
      <c r="AZ97" s="214"/>
      <c r="BA97" s="490" t="str">
        <f t="shared" si="2"/>
        <v>SUM_CO2</v>
      </c>
      <c r="BB97" s="581" t="str">
        <f t="shared" si="3"/>
        <v>SUM_EnergyIN</v>
      </c>
      <c r="BC97" s="602"/>
      <c r="BD97" s="23"/>
    </row>
    <row r="98" spans="1:56" x14ac:dyDescent="0.2">
      <c r="A98" s="602"/>
      <c r="B98" s="214"/>
      <c r="C98" s="544">
        <v>75</v>
      </c>
      <c r="D98" s="596"/>
      <c r="E98" s="596"/>
      <c r="F98" s="597"/>
      <c r="G98" s="598"/>
      <c r="H98" s="597"/>
      <c r="I98" s="598"/>
      <c r="J98" s="597"/>
      <c r="K98" s="598"/>
      <c r="L98" s="598"/>
      <c r="M98" s="598"/>
      <c r="N98" s="597"/>
      <c r="O98" s="599"/>
      <c r="P98" s="597"/>
      <c r="Q98" s="599"/>
      <c r="R98" s="597"/>
      <c r="S98" s="599"/>
      <c r="T98" s="597"/>
      <c r="U98" s="599"/>
      <c r="V98" s="774"/>
      <c r="W98" s="774"/>
      <c r="X98" s="774"/>
      <c r="Y98" s="774"/>
      <c r="Z98" s="774"/>
      <c r="AA98" s="774"/>
      <c r="AB98" s="774"/>
      <c r="AC98" s="774"/>
      <c r="AD98" s="774"/>
      <c r="AE98" s="774"/>
      <c r="AF98" s="774"/>
      <c r="AG98" s="774"/>
      <c r="AH98" s="774"/>
      <c r="AI98" s="774"/>
      <c r="AJ98" s="774"/>
      <c r="AK98" s="774"/>
      <c r="AL98" s="774"/>
      <c r="AM98" s="774"/>
      <c r="AN98" s="774"/>
      <c r="AO98" s="774"/>
      <c r="AP98" s="774"/>
      <c r="AQ98" s="774"/>
      <c r="AR98" s="774"/>
      <c r="AS98" s="774"/>
      <c r="AT98" s="774"/>
      <c r="AU98" s="600"/>
      <c r="AV98" s="600"/>
      <c r="AW98" s="600"/>
      <c r="AX98" s="597"/>
      <c r="AY98" s="597"/>
      <c r="AZ98" s="214"/>
      <c r="BA98" s="490" t="str">
        <f t="shared" si="2"/>
        <v>SUM_CO2</v>
      </c>
      <c r="BB98" s="581" t="str">
        <f t="shared" si="3"/>
        <v>SUM_EnergyIN</v>
      </c>
      <c r="BC98" s="602"/>
      <c r="BD98" s="23"/>
    </row>
    <row r="99" spans="1:56" x14ac:dyDescent="0.2">
      <c r="A99" s="602"/>
      <c r="B99" s="214"/>
      <c r="C99" s="95"/>
      <c r="D99" s="214"/>
      <c r="E99" s="214"/>
      <c r="F99" s="214"/>
      <c r="G99" s="214"/>
      <c r="H99" s="214"/>
      <c r="I99" s="214"/>
      <c r="J99" s="214"/>
      <c r="K99" s="214"/>
      <c r="L99" s="214"/>
      <c r="N99" s="214"/>
      <c r="O99" s="214"/>
      <c r="P99" s="214"/>
      <c r="Q99" s="214"/>
      <c r="R99" s="214"/>
      <c r="S99" s="214"/>
      <c r="T99" s="214"/>
      <c r="U99" s="214"/>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602"/>
      <c r="BB99" s="602"/>
      <c r="BC99" s="602"/>
      <c r="BD99" s="23"/>
    </row>
    <row r="100" spans="1:56" ht="50.1" customHeight="1" thickBot="1" x14ac:dyDescent="0.45">
      <c r="A100" s="602"/>
      <c r="B100" s="214"/>
      <c r="C100" s="95"/>
      <c r="D100" s="532" t="str">
        <f>Translations!$B$339</f>
        <v>PFC avota plūsmas</v>
      </c>
      <c r="E100" s="214"/>
      <c r="F100" s="214"/>
      <c r="G100" s="214"/>
      <c r="H100" s="214"/>
      <c r="I100" s="214"/>
      <c r="J100" s="214"/>
      <c r="K100" s="214"/>
      <c r="L100" s="214"/>
      <c r="N100" s="214"/>
      <c r="O100" s="214"/>
      <c r="P100" s="214"/>
      <c r="Q100" s="214"/>
      <c r="R100" s="214"/>
      <c r="S100" s="214"/>
      <c r="T100" s="214"/>
      <c r="U100" s="214"/>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602"/>
      <c r="BB100" s="602"/>
      <c r="BC100" s="602"/>
      <c r="BD100" s="23"/>
    </row>
    <row r="101" spans="1:56" ht="50.1" customHeight="1" thickBot="1" x14ac:dyDescent="0.25">
      <c r="A101" s="602"/>
      <c r="B101" s="214"/>
      <c r="C101" s="533" t="s">
        <v>466</v>
      </c>
      <c r="D101" s="534" t="str">
        <f>Translations!$B$282</f>
        <v>Metode</v>
      </c>
      <c r="E101" s="534" t="str">
        <f>Translations!$B$340</f>
        <v>Nosaukums</v>
      </c>
      <c r="F101" s="535" t="str">
        <f>Translations!$B$284</f>
        <v>Darbības dati</v>
      </c>
      <c r="G101" s="535" t="str">
        <f>Translations!$B$285</f>
        <v>DD vienība</v>
      </c>
      <c r="H101" s="535" t="str">
        <f>Translations!$B$286</f>
        <v>NCV</v>
      </c>
      <c r="I101" s="535" t="str">
        <f>Translations!$B$287</f>
        <v>NCV vienība</v>
      </c>
      <c r="J101" s="535" t="str">
        <f>Translations!$B$288</f>
        <v>EF</v>
      </c>
      <c r="K101" s="535" t="str">
        <f>Translations!$B$289</f>
        <v>EF vienība</v>
      </c>
      <c r="L101" s="535" t="str">
        <f>Translations!$B$290</f>
        <v>C saturs</v>
      </c>
      <c r="M101" s="535" t="str">
        <f>Translations!$B$291</f>
        <v>C satura vienība</v>
      </c>
      <c r="N101" s="535" t="str">
        <f>Translations!$B$292</f>
        <v>Oksid. koef.</v>
      </c>
      <c r="O101" s="535" t="str">
        <f>Translations!$B$293</f>
        <v>OK vienība</v>
      </c>
      <c r="P101" s="535" t="str">
        <f>Translations!$B$294</f>
        <v>Pārrēķina koef.</v>
      </c>
      <c r="Q101" s="535" t="str">
        <f>Translations!$B$295</f>
        <v>PK vienība</v>
      </c>
      <c r="R101" s="535" t="str">
        <f>Translations!$B$296</f>
        <v>Biomasas saturs</v>
      </c>
      <c r="S101" s="535" t="str">
        <f>Translations!$B$297</f>
        <v>BS vienība</v>
      </c>
      <c r="T101" s="535" t="str">
        <f>Translations!$B$298</f>
        <v>ilgtnesp. BS</v>
      </c>
      <c r="U101" s="535" t="str">
        <f>Translations!$B$299</f>
        <v>ilgtnesp. BS vienība</v>
      </c>
      <c r="V101" s="535" t="str">
        <f>Translations!$B$300</f>
        <v>SEG konc. vidējā vērtība h</v>
      </c>
      <c r="W101" s="535" t="str">
        <f>Translations!$B$301</f>
        <v>SEG konc. h vienība</v>
      </c>
      <c r="X101" s="535" t="str">
        <f>Translations!$B$302</f>
        <v>ekspluatācijas stundas</v>
      </c>
      <c r="Y101" s="535" t="str">
        <f>Translations!$B$303</f>
        <v>ekspluatācijas stundu vienība</v>
      </c>
      <c r="Z101" s="535" t="str">
        <f>Translations!$B$304</f>
        <v>Dūmgāzes (vidēji)</v>
      </c>
      <c r="AA101" s="535" t="str">
        <f>Translations!$B$305</f>
        <v>Dūmgāzes (vidēji), vienība</v>
      </c>
      <c r="AB101" s="535" t="str">
        <f>Translations!$B$306</f>
        <v>Dūmgāzes (kopā)</v>
      </c>
      <c r="AC101" s="535" t="str">
        <f>Translations!$B$307</f>
        <v>Dūmgāzes (kopā), vienība</v>
      </c>
      <c r="AD101" s="535" t="str">
        <f>Translations!$B$308</f>
        <v>SEG daudzums gadā</v>
      </c>
      <c r="AE101" s="535" t="str">
        <f>Translations!$B$309</f>
        <v>SEG daudzums gadā, vienība</v>
      </c>
      <c r="AF101" s="535" t="str">
        <f>Translations!$B$310</f>
        <v>GWP (t CO2 e/t)</v>
      </c>
      <c r="AG101" s="535" t="str">
        <f>Translations!$B$311</f>
        <v>A: biežums</v>
      </c>
      <c r="AH101" s="535" t="str">
        <f>Translations!$B$312</f>
        <v>A: ilgums</v>
      </c>
      <c r="AI101" s="535" t="str">
        <f>Translations!$B$313</f>
        <v>A: SEF (CF4)</v>
      </c>
      <c r="AJ101" s="535" t="str">
        <f>Translations!$B$314</f>
        <v>B: AEO</v>
      </c>
      <c r="AK101" s="535" t="str">
        <f>Translations!$B$315</f>
        <v>B: CE</v>
      </c>
      <c r="AL101" s="535" t="str">
        <f>Translations!$B$316</f>
        <v>B: OVC</v>
      </c>
      <c r="AM101" s="535" t="str">
        <f>Translations!$B$317</f>
        <v>F (C2F6)</v>
      </c>
      <c r="AN101" s="535" t="str">
        <f>Translations!$B$318</f>
        <v>CF4 emisijas (t CF4)</v>
      </c>
      <c r="AO101" s="535" t="str">
        <f>Translations!$B$319</f>
        <v>C2F6 emisijas (t C2F6)</v>
      </c>
      <c r="AP101" s="535" t="str">
        <f>Translations!$B$320</f>
        <v>GWP (CF4) (t CO2 e/t)</v>
      </c>
      <c r="AQ101" s="535" t="str">
        <f>Translations!$B$321</f>
        <v>GWP (C2F6) (t CO2 e/t)</v>
      </c>
      <c r="AR101" s="535" t="str">
        <f>Translations!$B$322</f>
        <v>CF4 emisijas (t CO2e)</v>
      </c>
      <c r="AS101" s="535" t="str">
        <f>Translations!$B$323</f>
        <v>C2F6 emisijas (t CO2 e)</v>
      </c>
      <c r="AT101" s="535" t="str">
        <f>Translations!$B$324</f>
        <v>Uztveršanas efektivitāte, %</v>
      </c>
      <c r="AU101" s="535" t="str">
        <f>Translations!$B$325</f>
        <v>CO2 e, fosilie avoti (t)</v>
      </c>
      <c r="AV101" s="535" t="str">
        <f>Translations!$B$326</f>
        <v>CO2 e bio (t)</v>
      </c>
      <c r="AW101" s="535" t="str">
        <f>Translations!$B$327</f>
        <v>CO2 e, ilgtnesp. biomasa (t)</v>
      </c>
      <c r="AX101" s="536" t="str">
        <f>Translations!$B$328</f>
        <v>Enerģētiskais saturs (fosilie avoti), TJ</v>
      </c>
      <c r="AY101" s="537" t="str">
        <f>Translations!$B$329</f>
        <v>Enerģētiskais saturs (biomasa), TJ</v>
      </c>
      <c r="AZ101" s="214"/>
      <c r="BA101" s="602"/>
      <c r="BB101" s="602"/>
      <c r="BC101" s="602"/>
      <c r="BD101" s="23"/>
    </row>
    <row r="102" spans="1:56" ht="12.75" customHeight="1" x14ac:dyDescent="0.2">
      <c r="A102" s="602"/>
      <c r="B102" s="214"/>
      <c r="C102" s="543" t="str">
        <f>Translations!$B$341</f>
        <v>Piem.</v>
      </c>
      <c r="D102" s="686" t="str">
        <f>Translations!$B$342</f>
        <v>PFC emisijas</v>
      </c>
      <c r="E102" s="686" t="str">
        <f>Translations!$B$343</f>
        <v>Centriska priekšdedzināšana (CWPB); A tipa anodi</v>
      </c>
      <c r="F102" s="687">
        <v>5000</v>
      </c>
      <c r="G102" s="538" t="s">
        <v>205</v>
      </c>
      <c r="H102" s="775"/>
      <c r="I102" s="776"/>
      <c r="J102" s="775"/>
      <c r="K102" s="776"/>
      <c r="L102" s="776"/>
      <c r="M102" s="776"/>
      <c r="N102" s="775"/>
      <c r="O102" s="774"/>
      <c r="P102" s="775"/>
      <c r="Q102" s="774"/>
      <c r="R102" s="775"/>
      <c r="S102" s="774"/>
      <c r="T102" s="775"/>
      <c r="U102" s="774"/>
      <c r="V102" s="774"/>
      <c r="W102" s="774"/>
      <c r="X102" s="774"/>
      <c r="Y102" s="774"/>
      <c r="Z102" s="774"/>
      <c r="AA102" s="774"/>
      <c r="AB102" s="774"/>
      <c r="AC102" s="774"/>
      <c r="AD102" s="774"/>
      <c r="AE102" s="774"/>
      <c r="AF102" s="774"/>
      <c r="AG102" s="687">
        <v>300</v>
      </c>
      <c r="AH102" s="687">
        <v>2</v>
      </c>
      <c r="AI102" s="687">
        <v>0.14599999999999999</v>
      </c>
      <c r="AJ102" s="687">
        <v>0</v>
      </c>
      <c r="AK102" s="687">
        <v>0</v>
      </c>
      <c r="AL102" s="687">
        <v>0</v>
      </c>
      <c r="AM102" s="687">
        <v>0.122</v>
      </c>
      <c r="AN102" s="687">
        <v>4.38</v>
      </c>
      <c r="AO102" s="687">
        <v>0.53435999999999995</v>
      </c>
      <c r="AP102" s="691">
        <v>7390</v>
      </c>
      <c r="AQ102" s="691">
        <v>12200</v>
      </c>
      <c r="AR102" s="691">
        <v>32368.2</v>
      </c>
      <c r="AS102" s="691">
        <v>6519.1919999999991</v>
      </c>
      <c r="AT102" s="687">
        <v>98</v>
      </c>
      <c r="AU102" s="689">
        <v>39681.01224489796</v>
      </c>
      <c r="AV102" s="689"/>
      <c r="AW102" s="689"/>
      <c r="AX102" s="687"/>
      <c r="AY102" s="687"/>
      <c r="AZ102" s="214"/>
      <c r="BA102" s="602"/>
      <c r="BB102" s="602"/>
      <c r="BC102" s="602"/>
      <c r="BD102" s="23"/>
    </row>
    <row r="103" spans="1:56" x14ac:dyDescent="0.2">
      <c r="A103" s="602"/>
      <c r="B103" s="214"/>
      <c r="C103" s="538">
        <v>1</v>
      </c>
      <c r="D103" s="671"/>
      <c r="E103" s="596"/>
      <c r="F103" s="597"/>
      <c r="G103" s="598"/>
      <c r="H103" s="775"/>
      <c r="I103" s="776"/>
      <c r="J103" s="775"/>
      <c r="K103" s="776"/>
      <c r="L103" s="776"/>
      <c r="M103" s="776"/>
      <c r="N103" s="775"/>
      <c r="O103" s="774"/>
      <c r="P103" s="775"/>
      <c r="Q103" s="774"/>
      <c r="R103" s="775"/>
      <c r="S103" s="774"/>
      <c r="T103" s="775"/>
      <c r="U103" s="774"/>
      <c r="V103" s="774"/>
      <c r="W103" s="774"/>
      <c r="X103" s="774"/>
      <c r="Y103" s="774"/>
      <c r="Z103" s="774"/>
      <c r="AA103" s="774"/>
      <c r="AB103" s="774"/>
      <c r="AC103" s="774"/>
      <c r="AD103" s="774"/>
      <c r="AE103" s="774"/>
      <c r="AF103" s="774"/>
      <c r="AG103" s="597"/>
      <c r="AH103" s="597"/>
      <c r="AI103" s="597"/>
      <c r="AJ103" s="597"/>
      <c r="AK103" s="597"/>
      <c r="AL103" s="597"/>
      <c r="AM103" s="597"/>
      <c r="AN103" s="597"/>
      <c r="AO103" s="597"/>
      <c r="AP103" s="601"/>
      <c r="AQ103" s="601"/>
      <c r="AR103" s="601"/>
      <c r="AS103" s="601"/>
      <c r="AT103" s="597"/>
      <c r="AU103" s="600"/>
      <c r="AV103" s="600"/>
      <c r="AW103" s="600"/>
      <c r="AX103" s="597"/>
      <c r="AY103" s="597"/>
      <c r="AZ103" s="214"/>
      <c r="BA103" s="490" t="str">
        <f t="shared" ref="BA103:BA112" si="4">EUconst_SumPFC</f>
        <v>SUM_PFC</v>
      </c>
      <c r="BB103" s="581" t="str">
        <f t="shared" ref="BB103:BB112" si="5">EUconst_SumEnergyIN</f>
        <v>SUM_EnergyIN</v>
      </c>
      <c r="BC103" s="602"/>
      <c r="BD103" s="23"/>
    </row>
    <row r="104" spans="1:56" x14ac:dyDescent="0.2">
      <c r="A104" s="602"/>
      <c r="B104" s="214"/>
      <c r="C104" s="539">
        <v>2</v>
      </c>
      <c r="D104" s="671"/>
      <c r="E104" s="596"/>
      <c r="F104" s="597"/>
      <c r="G104" s="598"/>
      <c r="H104" s="775"/>
      <c r="I104" s="776"/>
      <c r="J104" s="775"/>
      <c r="K104" s="776"/>
      <c r="L104" s="776"/>
      <c r="M104" s="776"/>
      <c r="N104" s="775"/>
      <c r="O104" s="774"/>
      <c r="P104" s="775"/>
      <c r="Q104" s="774"/>
      <c r="R104" s="775"/>
      <c r="S104" s="774"/>
      <c r="T104" s="775"/>
      <c r="U104" s="774"/>
      <c r="V104" s="774"/>
      <c r="W104" s="774"/>
      <c r="X104" s="774"/>
      <c r="Y104" s="774"/>
      <c r="Z104" s="774"/>
      <c r="AA104" s="774"/>
      <c r="AB104" s="774"/>
      <c r="AC104" s="774"/>
      <c r="AD104" s="774"/>
      <c r="AE104" s="774"/>
      <c r="AF104" s="774"/>
      <c r="AG104" s="597"/>
      <c r="AH104" s="597"/>
      <c r="AI104" s="597"/>
      <c r="AJ104" s="597"/>
      <c r="AK104" s="597"/>
      <c r="AL104" s="597"/>
      <c r="AM104" s="597"/>
      <c r="AN104" s="597"/>
      <c r="AO104" s="597"/>
      <c r="AP104" s="601"/>
      <c r="AQ104" s="601"/>
      <c r="AR104" s="601"/>
      <c r="AS104" s="601"/>
      <c r="AT104" s="597"/>
      <c r="AU104" s="600"/>
      <c r="AV104" s="600"/>
      <c r="AW104" s="600"/>
      <c r="AX104" s="597"/>
      <c r="AY104" s="597"/>
      <c r="AZ104" s="214"/>
      <c r="BA104" s="490" t="str">
        <f t="shared" si="4"/>
        <v>SUM_PFC</v>
      </c>
      <c r="BB104" s="581" t="str">
        <f t="shared" si="5"/>
        <v>SUM_EnergyIN</v>
      </c>
      <c r="BC104" s="602"/>
      <c r="BD104" s="23"/>
    </row>
    <row r="105" spans="1:56" x14ac:dyDescent="0.2">
      <c r="A105" s="602"/>
      <c r="B105" s="214"/>
      <c r="C105" s="539">
        <v>3</v>
      </c>
      <c r="D105" s="671"/>
      <c r="E105" s="596"/>
      <c r="F105" s="597"/>
      <c r="G105" s="598"/>
      <c r="H105" s="775"/>
      <c r="I105" s="776"/>
      <c r="J105" s="775"/>
      <c r="K105" s="776"/>
      <c r="L105" s="776"/>
      <c r="M105" s="776"/>
      <c r="N105" s="775"/>
      <c r="O105" s="774"/>
      <c r="P105" s="775"/>
      <c r="Q105" s="774"/>
      <c r="R105" s="775"/>
      <c r="S105" s="774"/>
      <c r="T105" s="775"/>
      <c r="U105" s="774"/>
      <c r="V105" s="774"/>
      <c r="W105" s="774"/>
      <c r="X105" s="774"/>
      <c r="Y105" s="774"/>
      <c r="Z105" s="774"/>
      <c r="AA105" s="774"/>
      <c r="AB105" s="774"/>
      <c r="AC105" s="774"/>
      <c r="AD105" s="774"/>
      <c r="AE105" s="774"/>
      <c r="AF105" s="774"/>
      <c r="AG105" s="597"/>
      <c r="AH105" s="597"/>
      <c r="AI105" s="597"/>
      <c r="AJ105" s="597"/>
      <c r="AK105" s="597"/>
      <c r="AL105" s="597"/>
      <c r="AM105" s="597"/>
      <c r="AN105" s="597"/>
      <c r="AO105" s="597"/>
      <c r="AP105" s="601"/>
      <c r="AQ105" s="601"/>
      <c r="AR105" s="601"/>
      <c r="AS105" s="601"/>
      <c r="AT105" s="597"/>
      <c r="AU105" s="600"/>
      <c r="AV105" s="600"/>
      <c r="AW105" s="600"/>
      <c r="AX105" s="597"/>
      <c r="AY105" s="597"/>
      <c r="AZ105" s="214"/>
      <c r="BA105" s="490" t="str">
        <f t="shared" si="4"/>
        <v>SUM_PFC</v>
      </c>
      <c r="BB105" s="581" t="str">
        <f t="shared" si="5"/>
        <v>SUM_EnergyIN</v>
      </c>
      <c r="BC105" s="602"/>
      <c r="BD105" s="23"/>
    </row>
    <row r="106" spans="1:56" x14ac:dyDescent="0.2">
      <c r="A106" s="602"/>
      <c r="B106" s="214"/>
      <c r="C106" s="539">
        <v>4</v>
      </c>
      <c r="D106" s="671"/>
      <c r="E106" s="596"/>
      <c r="F106" s="597"/>
      <c r="G106" s="598"/>
      <c r="H106" s="775"/>
      <c r="I106" s="776"/>
      <c r="J106" s="775"/>
      <c r="K106" s="776"/>
      <c r="L106" s="776"/>
      <c r="M106" s="776"/>
      <c r="N106" s="775"/>
      <c r="O106" s="774"/>
      <c r="P106" s="775"/>
      <c r="Q106" s="774"/>
      <c r="R106" s="775"/>
      <c r="S106" s="774"/>
      <c r="T106" s="775"/>
      <c r="U106" s="774"/>
      <c r="V106" s="774"/>
      <c r="W106" s="774"/>
      <c r="X106" s="774"/>
      <c r="Y106" s="774"/>
      <c r="Z106" s="774"/>
      <c r="AA106" s="774"/>
      <c r="AB106" s="774"/>
      <c r="AC106" s="774"/>
      <c r="AD106" s="774"/>
      <c r="AE106" s="774"/>
      <c r="AF106" s="774"/>
      <c r="AG106" s="597"/>
      <c r="AH106" s="597"/>
      <c r="AI106" s="597"/>
      <c r="AJ106" s="597"/>
      <c r="AK106" s="597"/>
      <c r="AL106" s="597"/>
      <c r="AM106" s="597"/>
      <c r="AN106" s="597"/>
      <c r="AO106" s="597"/>
      <c r="AP106" s="601"/>
      <c r="AQ106" s="601"/>
      <c r="AR106" s="601"/>
      <c r="AS106" s="601"/>
      <c r="AT106" s="597"/>
      <c r="AU106" s="600"/>
      <c r="AV106" s="600"/>
      <c r="AW106" s="600"/>
      <c r="AX106" s="597"/>
      <c r="AY106" s="597"/>
      <c r="AZ106" s="214"/>
      <c r="BA106" s="490" t="str">
        <f t="shared" si="4"/>
        <v>SUM_PFC</v>
      </c>
      <c r="BB106" s="581" t="str">
        <f t="shared" si="5"/>
        <v>SUM_EnergyIN</v>
      </c>
      <c r="BC106" s="602"/>
      <c r="BD106" s="23"/>
    </row>
    <row r="107" spans="1:56" x14ac:dyDescent="0.2">
      <c r="A107" s="602"/>
      <c r="B107" s="214"/>
      <c r="C107" s="539">
        <v>5</v>
      </c>
      <c r="D107" s="671"/>
      <c r="E107" s="596"/>
      <c r="F107" s="597"/>
      <c r="G107" s="598"/>
      <c r="H107" s="775"/>
      <c r="I107" s="776"/>
      <c r="J107" s="775"/>
      <c r="K107" s="776"/>
      <c r="L107" s="776"/>
      <c r="M107" s="776"/>
      <c r="N107" s="775"/>
      <c r="O107" s="774"/>
      <c r="P107" s="775"/>
      <c r="Q107" s="774"/>
      <c r="R107" s="775"/>
      <c r="S107" s="774"/>
      <c r="T107" s="775"/>
      <c r="U107" s="774"/>
      <c r="V107" s="774"/>
      <c r="W107" s="774"/>
      <c r="X107" s="774"/>
      <c r="Y107" s="774"/>
      <c r="Z107" s="774"/>
      <c r="AA107" s="774"/>
      <c r="AB107" s="774"/>
      <c r="AC107" s="774"/>
      <c r="AD107" s="774"/>
      <c r="AE107" s="774"/>
      <c r="AF107" s="774"/>
      <c r="AG107" s="597"/>
      <c r="AH107" s="597"/>
      <c r="AI107" s="597"/>
      <c r="AJ107" s="597"/>
      <c r="AK107" s="597"/>
      <c r="AL107" s="597"/>
      <c r="AM107" s="597"/>
      <c r="AN107" s="597"/>
      <c r="AO107" s="597"/>
      <c r="AP107" s="601"/>
      <c r="AQ107" s="601"/>
      <c r="AR107" s="601"/>
      <c r="AS107" s="601"/>
      <c r="AT107" s="597"/>
      <c r="AU107" s="600"/>
      <c r="AV107" s="600"/>
      <c r="AW107" s="600"/>
      <c r="AX107" s="597"/>
      <c r="AY107" s="597"/>
      <c r="AZ107" s="214"/>
      <c r="BA107" s="490" t="str">
        <f t="shared" si="4"/>
        <v>SUM_PFC</v>
      </c>
      <c r="BB107" s="581" t="str">
        <f t="shared" si="5"/>
        <v>SUM_EnergyIN</v>
      </c>
      <c r="BC107" s="602"/>
      <c r="BD107" s="23"/>
    </row>
    <row r="108" spans="1:56" x14ac:dyDescent="0.2">
      <c r="A108" s="602"/>
      <c r="B108" s="214"/>
      <c r="C108" s="539">
        <v>6</v>
      </c>
      <c r="D108" s="671"/>
      <c r="E108" s="596"/>
      <c r="F108" s="597"/>
      <c r="G108" s="598"/>
      <c r="H108" s="775"/>
      <c r="I108" s="776"/>
      <c r="J108" s="775"/>
      <c r="K108" s="776"/>
      <c r="L108" s="776"/>
      <c r="M108" s="776"/>
      <c r="N108" s="775"/>
      <c r="O108" s="774"/>
      <c r="P108" s="775"/>
      <c r="Q108" s="774"/>
      <c r="R108" s="775"/>
      <c r="S108" s="774"/>
      <c r="T108" s="775"/>
      <c r="U108" s="774"/>
      <c r="V108" s="774"/>
      <c r="W108" s="774"/>
      <c r="X108" s="774"/>
      <c r="Y108" s="774"/>
      <c r="Z108" s="774"/>
      <c r="AA108" s="774"/>
      <c r="AB108" s="774"/>
      <c r="AC108" s="774"/>
      <c r="AD108" s="774"/>
      <c r="AE108" s="774"/>
      <c r="AF108" s="774"/>
      <c r="AG108" s="597"/>
      <c r="AH108" s="597"/>
      <c r="AI108" s="597"/>
      <c r="AJ108" s="597"/>
      <c r="AK108" s="597"/>
      <c r="AL108" s="597"/>
      <c r="AM108" s="597"/>
      <c r="AN108" s="597"/>
      <c r="AO108" s="597"/>
      <c r="AP108" s="601"/>
      <c r="AQ108" s="601"/>
      <c r="AR108" s="601"/>
      <c r="AS108" s="601"/>
      <c r="AT108" s="597"/>
      <c r="AU108" s="600"/>
      <c r="AV108" s="600"/>
      <c r="AW108" s="600"/>
      <c r="AX108" s="597"/>
      <c r="AY108" s="597"/>
      <c r="AZ108" s="214"/>
      <c r="BA108" s="490" t="str">
        <f t="shared" si="4"/>
        <v>SUM_PFC</v>
      </c>
      <c r="BB108" s="581" t="str">
        <f t="shared" si="5"/>
        <v>SUM_EnergyIN</v>
      </c>
      <c r="BC108" s="602"/>
      <c r="BD108" s="23"/>
    </row>
    <row r="109" spans="1:56" x14ac:dyDescent="0.2">
      <c r="A109" s="602"/>
      <c r="B109" s="214"/>
      <c r="C109" s="539">
        <v>7</v>
      </c>
      <c r="D109" s="671"/>
      <c r="E109" s="596"/>
      <c r="F109" s="597"/>
      <c r="G109" s="598"/>
      <c r="H109" s="775"/>
      <c r="I109" s="776"/>
      <c r="J109" s="775"/>
      <c r="K109" s="776"/>
      <c r="L109" s="776"/>
      <c r="M109" s="776"/>
      <c r="N109" s="775"/>
      <c r="O109" s="774"/>
      <c r="P109" s="775"/>
      <c r="Q109" s="774"/>
      <c r="R109" s="775"/>
      <c r="S109" s="774"/>
      <c r="T109" s="775"/>
      <c r="U109" s="774"/>
      <c r="V109" s="774"/>
      <c r="W109" s="774"/>
      <c r="X109" s="774"/>
      <c r="Y109" s="774"/>
      <c r="Z109" s="774"/>
      <c r="AA109" s="774"/>
      <c r="AB109" s="774"/>
      <c r="AC109" s="774"/>
      <c r="AD109" s="774"/>
      <c r="AE109" s="774"/>
      <c r="AF109" s="774"/>
      <c r="AG109" s="597"/>
      <c r="AH109" s="597"/>
      <c r="AI109" s="597"/>
      <c r="AJ109" s="597"/>
      <c r="AK109" s="597"/>
      <c r="AL109" s="597"/>
      <c r="AM109" s="597"/>
      <c r="AN109" s="597"/>
      <c r="AO109" s="597"/>
      <c r="AP109" s="601"/>
      <c r="AQ109" s="601"/>
      <c r="AR109" s="601"/>
      <c r="AS109" s="601"/>
      <c r="AT109" s="597"/>
      <c r="AU109" s="600"/>
      <c r="AV109" s="600"/>
      <c r="AW109" s="600"/>
      <c r="AX109" s="597"/>
      <c r="AY109" s="597"/>
      <c r="AZ109" s="214"/>
      <c r="BA109" s="490" t="str">
        <f t="shared" si="4"/>
        <v>SUM_PFC</v>
      </c>
      <c r="BB109" s="581" t="str">
        <f t="shared" si="5"/>
        <v>SUM_EnergyIN</v>
      </c>
      <c r="BC109" s="602"/>
      <c r="BD109" s="23"/>
    </row>
    <row r="110" spans="1:56" x14ac:dyDescent="0.2">
      <c r="A110" s="602"/>
      <c r="B110" s="214"/>
      <c r="C110" s="539">
        <v>8</v>
      </c>
      <c r="D110" s="671"/>
      <c r="E110" s="596"/>
      <c r="F110" s="597"/>
      <c r="G110" s="598"/>
      <c r="H110" s="775"/>
      <c r="I110" s="776"/>
      <c r="J110" s="775"/>
      <c r="K110" s="776"/>
      <c r="L110" s="776"/>
      <c r="M110" s="776"/>
      <c r="N110" s="775"/>
      <c r="O110" s="774"/>
      <c r="P110" s="775"/>
      <c r="Q110" s="774"/>
      <c r="R110" s="775"/>
      <c r="S110" s="774"/>
      <c r="T110" s="775"/>
      <c r="U110" s="774"/>
      <c r="V110" s="774"/>
      <c r="W110" s="774"/>
      <c r="X110" s="774"/>
      <c r="Y110" s="774"/>
      <c r="Z110" s="774"/>
      <c r="AA110" s="774"/>
      <c r="AB110" s="774"/>
      <c r="AC110" s="774"/>
      <c r="AD110" s="774"/>
      <c r="AE110" s="774"/>
      <c r="AF110" s="774"/>
      <c r="AG110" s="597"/>
      <c r="AH110" s="597"/>
      <c r="AI110" s="597"/>
      <c r="AJ110" s="597"/>
      <c r="AK110" s="597"/>
      <c r="AL110" s="597"/>
      <c r="AM110" s="597"/>
      <c r="AN110" s="597"/>
      <c r="AO110" s="597"/>
      <c r="AP110" s="601"/>
      <c r="AQ110" s="601"/>
      <c r="AR110" s="601"/>
      <c r="AS110" s="601"/>
      <c r="AT110" s="597"/>
      <c r="AU110" s="600"/>
      <c r="AV110" s="600"/>
      <c r="AW110" s="600"/>
      <c r="AX110" s="597"/>
      <c r="AY110" s="597"/>
      <c r="AZ110" s="214"/>
      <c r="BA110" s="490" t="str">
        <f t="shared" si="4"/>
        <v>SUM_PFC</v>
      </c>
      <c r="BB110" s="581" t="str">
        <f t="shared" si="5"/>
        <v>SUM_EnergyIN</v>
      </c>
      <c r="BC110" s="602"/>
      <c r="BD110" s="23"/>
    </row>
    <row r="111" spans="1:56" x14ac:dyDescent="0.2">
      <c r="A111" s="602"/>
      <c r="B111" s="214"/>
      <c r="C111" s="539">
        <v>9</v>
      </c>
      <c r="D111" s="671"/>
      <c r="E111" s="596"/>
      <c r="F111" s="597"/>
      <c r="G111" s="598"/>
      <c r="H111" s="775"/>
      <c r="I111" s="776"/>
      <c r="J111" s="775"/>
      <c r="K111" s="776"/>
      <c r="L111" s="776"/>
      <c r="M111" s="776"/>
      <c r="N111" s="775"/>
      <c r="O111" s="774"/>
      <c r="P111" s="775"/>
      <c r="Q111" s="774"/>
      <c r="R111" s="775"/>
      <c r="S111" s="774"/>
      <c r="T111" s="775"/>
      <c r="U111" s="774"/>
      <c r="V111" s="774"/>
      <c r="W111" s="774"/>
      <c r="X111" s="774"/>
      <c r="Y111" s="774"/>
      <c r="Z111" s="774"/>
      <c r="AA111" s="774"/>
      <c r="AB111" s="774"/>
      <c r="AC111" s="774"/>
      <c r="AD111" s="774"/>
      <c r="AE111" s="774"/>
      <c r="AF111" s="774"/>
      <c r="AG111" s="597"/>
      <c r="AH111" s="597"/>
      <c r="AI111" s="597"/>
      <c r="AJ111" s="597"/>
      <c r="AK111" s="597"/>
      <c r="AL111" s="597"/>
      <c r="AM111" s="597"/>
      <c r="AN111" s="597"/>
      <c r="AO111" s="597"/>
      <c r="AP111" s="601"/>
      <c r="AQ111" s="601"/>
      <c r="AR111" s="601"/>
      <c r="AS111" s="601"/>
      <c r="AT111" s="597"/>
      <c r="AU111" s="600"/>
      <c r="AV111" s="600"/>
      <c r="AW111" s="600"/>
      <c r="AX111" s="597"/>
      <c r="AY111" s="597"/>
      <c r="AZ111" s="214"/>
      <c r="BA111" s="490" t="str">
        <f t="shared" si="4"/>
        <v>SUM_PFC</v>
      </c>
      <c r="BB111" s="581" t="str">
        <f t="shared" si="5"/>
        <v>SUM_EnergyIN</v>
      </c>
      <c r="BC111" s="602"/>
      <c r="BD111" s="23"/>
    </row>
    <row r="112" spans="1:56" x14ac:dyDescent="0.2">
      <c r="A112" s="602"/>
      <c r="B112" s="214"/>
      <c r="C112" s="539">
        <v>10</v>
      </c>
      <c r="D112" s="671"/>
      <c r="E112" s="596"/>
      <c r="F112" s="597"/>
      <c r="G112" s="598"/>
      <c r="H112" s="775"/>
      <c r="I112" s="776"/>
      <c r="J112" s="775"/>
      <c r="K112" s="776"/>
      <c r="L112" s="776"/>
      <c r="M112" s="776"/>
      <c r="N112" s="775"/>
      <c r="O112" s="774"/>
      <c r="P112" s="775"/>
      <c r="Q112" s="774"/>
      <c r="R112" s="775"/>
      <c r="S112" s="774"/>
      <c r="T112" s="775"/>
      <c r="U112" s="774"/>
      <c r="V112" s="774"/>
      <c r="W112" s="774"/>
      <c r="X112" s="774"/>
      <c r="Y112" s="774"/>
      <c r="Z112" s="774"/>
      <c r="AA112" s="774"/>
      <c r="AB112" s="774"/>
      <c r="AC112" s="774"/>
      <c r="AD112" s="774"/>
      <c r="AE112" s="774"/>
      <c r="AF112" s="774"/>
      <c r="AG112" s="597"/>
      <c r="AH112" s="597"/>
      <c r="AI112" s="597"/>
      <c r="AJ112" s="597"/>
      <c r="AK112" s="597"/>
      <c r="AL112" s="597"/>
      <c r="AM112" s="597"/>
      <c r="AN112" s="597"/>
      <c r="AO112" s="597"/>
      <c r="AP112" s="601"/>
      <c r="AQ112" s="601"/>
      <c r="AR112" s="601"/>
      <c r="AS112" s="601"/>
      <c r="AT112" s="597"/>
      <c r="AU112" s="600"/>
      <c r="AV112" s="600"/>
      <c r="AW112" s="600"/>
      <c r="AX112" s="597"/>
      <c r="AY112" s="597"/>
      <c r="AZ112" s="214"/>
      <c r="BA112" s="490" t="str">
        <f t="shared" si="4"/>
        <v>SUM_PFC</v>
      </c>
      <c r="BB112" s="581" t="str">
        <f t="shared" si="5"/>
        <v>SUM_EnergyIN</v>
      </c>
      <c r="BC112" s="602"/>
      <c r="BD112" s="23"/>
    </row>
    <row r="113" spans="1:56" x14ac:dyDescent="0.2">
      <c r="A113" s="602"/>
      <c r="B113" s="214"/>
      <c r="F113" s="540"/>
      <c r="G113" s="24"/>
      <c r="H113" s="540"/>
      <c r="I113" s="24"/>
      <c r="J113" s="540"/>
      <c r="K113" s="24"/>
      <c r="L113" s="24"/>
      <c r="M113" s="24"/>
      <c r="N113" s="540"/>
      <c r="O113" s="541"/>
      <c r="P113" s="540"/>
      <c r="Q113" s="541"/>
      <c r="R113" s="540"/>
      <c r="S113" s="541"/>
      <c r="T113" s="540"/>
      <c r="U113" s="541"/>
      <c r="V113" s="541"/>
      <c r="W113" s="541"/>
      <c r="X113" s="541"/>
      <c r="Y113" s="541"/>
      <c r="Z113" s="541"/>
      <c r="AA113" s="541"/>
      <c r="AB113" s="541"/>
      <c r="AC113" s="541"/>
      <c r="AD113" s="541"/>
      <c r="AE113" s="541"/>
      <c r="AF113" s="541"/>
      <c r="AG113" s="541"/>
      <c r="AH113" s="541"/>
      <c r="AI113" s="541"/>
      <c r="AJ113" s="541"/>
      <c r="AK113" s="541"/>
      <c r="AL113" s="541"/>
      <c r="AM113" s="541"/>
      <c r="AN113" s="541"/>
      <c r="AO113" s="541"/>
      <c r="AP113" s="541"/>
      <c r="AQ113" s="541"/>
      <c r="AR113" s="541"/>
      <c r="AS113" s="541"/>
      <c r="AT113" s="541"/>
      <c r="AU113" s="542"/>
      <c r="AV113" s="542"/>
      <c r="AW113" s="542"/>
      <c r="AX113" s="540"/>
      <c r="AY113" s="540"/>
      <c r="AZ113" s="214"/>
      <c r="BA113" s="602"/>
      <c r="BB113" s="602"/>
      <c r="BC113" s="602"/>
      <c r="BD113" s="23"/>
    </row>
    <row r="114" spans="1:56" ht="50.1" customHeight="1" thickBot="1" x14ac:dyDescent="0.45">
      <c r="A114" s="602"/>
      <c r="B114" s="214"/>
      <c r="C114" s="95"/>
      <c r="D114" s="532" t="str">
        <f>Translations!$B$344</f>
        <v>Emisiju avoti (mērījumos balstītas pieejas)</v>
      </c>
      <c r="E114" s="214"/>
      <c r="F114" s="214"/>
      <c r="G114" s="214"/>
      <c r="H114" s="214"/>
      <c r="I114" s="214"/>
      <c r="J114" s="214"/>
      <c r="K114" s="214"/>
      <c r="L114" s="214"/>
      <c r="N114" s="214"/>
      <c r="O114" s="214"/>
      <c r="P114" s="214"/>
      <c r="Q114" s="214"/>
      <c r="R114" s="214"/>
      <c r="S114" s="214"/>
      <c r="T114" s="214"/>
      <c r="U114" s="214"/>
      <c r="V114" s="214"/>
      <c r="W114" s="214"/>
      <c r="X114" s="214"/>
      <c r="Y114" s="214"/>
      <c r="Z114" s="214"/>
      <c r="AA114" s="214"/>
      <c r="AB114" s="214"/>
      <c r="AC114" s="214"/>
      <c r="AD114" s="214"/>
      <c r="AE114" s="214"/>
      <c r="AF114" s="673"/>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602"/>
      <c r="BB114" s="602"/>
      <c r="BC114" s="602"/>
      <c r="BD114" s="23"/>
    </row>
    <row r="115" spans="1:56" ht="50.1" customHeight="1" thickBot="1" x14ac:dyDescent="0.25">
      <c r="A115" s="602"/>
      <c r="B115" s="214"/>
      <c r="C115" s="533" t="s">
        <v>466</v>
      </c>
      <c r="D115" s="534" t="str">
        <f>Translations!$B$282</f>
        <v>Metode</v>
      </c>
      <c r="E115" s="534" t="str">
        <f>Translations!$B$340</f>
        <v>Nosaukums</v>
      </c>
      <c r="F115" s="535" t="str">
        <f>Translations!$B$284</f>
        <v>Darbības dati</v>
      </c>
      <c r="G115" s="535" t="str">
        <f>Translations!$B$285</f>
        <v>DD vienība</v>
      </c>
      <c r="H115" s="535" t="str">
        <f>Translations!$B$286</f>
        <v>NCV</v>
      </c>
      <c r="I115" s="535" t="str">
        <f>Translations!$B$287</f>
        <v>NCV vienība</v>
      </c>
      <c r="J115" s="535" t="str">
        <f>Translations!$B$288</f>
        <v>EF</v>
      </c>
      <c r="K115" s="535" t="str">
        <f>Translations!$B$289</f>
        <v>EF vienība</v>
      </c>
      <c r="L115" s="535" t="str">
        <f>Translations!$B$290</f>
        <v>C saturs</v>
      </c>
      <c r="M115" s="535" t="str">
        <f>Translations!$B$291</f>
        <v>C satura vienība</v>
      </c>
      <c r="N115" s="535" t="str">
        <f>Translations!$B$292</f>
        <v>Oksid. koef.</v>
      </c>
      <c r="O115" s="535" t="str">
        <f>Translations!$B$293</f>
        <v>OK vienība</v>
      </c>
      <c r="P115" s="535" t="str">
        <f>Translations!$B$294</f>
        <v>Pārrēķina koef.</v>
      </c>
      <c r="Q115" s="535" t="str">
        <f>Translations!$B$295</f>
        <v>PK vienība</v>
      </c>
      <c r="R115" s="535" t="str">
        <f>Translations!$B$296</f>
        <v>Biomasas saturs</v>
      </c>
      <c r="S115" s="535" t="str">
        <f>Translations!$B$297</f>
        <v>BS vienība</v>
      </c>
      <c r="T115" s="535" t="str">
        <f>Translations!$B$298</f>
        <v>ilgtnesp. BS</v>
      </c>
      <c r="U115" s="535" t="str">
        <f>Translations!$B$299</f>
        <v>ilgtnesp. BS vienība</v>
      </c>
      <c r="V115" s="535" t="str">
        <f>Translations!$B$300</f>
        <v>SEG konc. vidējā vērtība h</v>
      </c>
      <c r="W115" s="535" t="str">
        <f>Translations!$B$301</f>
        <v>SEG konc. h vienība</v>
      </c>
      <c r="X115" s="535" t="str">
        <f>Translations!$B$302</f>
        <v>ekspluatācijas stundas</v>
      </c>
      <c r="Y115" s="535" t="str">
        <f>Translations!$B$303</f>
        <v>ekspluatācijas stundu vienība</v>
      </c>
      <c r="Z115" s="535" t="str">
        <f>Translations!$B$304</f>
        <v>Dūmgāzes (vidēji)</v>
      </c>
      <c r="AA115" s="535" t="str">
        <f>Translations!$B$305</f>
        <v>Dūmgāzes (vidēji), vienība</v>
      </c>
      <c r="AB115" s="535" t="str">
        <f>Translations!$B$306</f>
        <v>Dūmgāzes (kopā)</v>
      </c>
      <c r="AC115" s="535" t="str">
        <f>Translations!$B$307</f>
        <v>Dūmgāzes (kopā), vienība</v>
      </c>
      <c r="AD115" s="535" t="str">
        <f>Translations!$B$308</f>
        <v>SEG daudzums gadā</v>
      </c>
      <c r="AE115" s="535" t="str">
        <f>Translations!$B$309</f>
        <v>SEG daudzums gadā, vienība</v>
      </c>
      <c r="AF115" s="535" t="str">
        <f>Translations!$B$310</f>
        <v>GWP (t CO2 e/t)</v>
      </c>
      <c r="AG115" s="535" t="str">
        <f>Translations!$B$311</f>
        <v>A: biežums</v>
      </c>
      <c r="AH115" s="535" t="str">
        <f>Translations!$B$312</f>
        <v>A: ilgums</v>
      </c>
      <c r="AI115" s="535" t="str">
        <f>Translations!$B$313</f>
        <v>A: SEF (CF4)</v>
      </c>
      <c r="AJ115" s="535" t="str">
        <f>Translations!$B$314</f>
        <v>B: AEO</v>
      </c>
      <c r="AK115" s="535" t="str">
        <f>Translations!$B$315</f>
        <v>B: CE</v>
      </c>
      <c r="AL115" s="535" t="str">
        <f>Translations!$B$316</f>
        <v>B: OVC</v>
      </c>
      <c r="AM115" s="535" t="str">
        <f>Translations!$B$317</f>
        <v>F (C2F6)</v>
      </c>
      <c r="AN115" s="535" t="str">
        <f>Translations!$B$318</f>
        <v>CF4 emisijas (t CF4)</v>
      </c>
      <c r="AO115" s="535" t="str">
        <f>Translations!$B$319</f>
        <v>C2F6 emisijas (t C2F6)</v>
      </c>
      <c r="AP115" s="535" t="str">
        <f>Translations!$B$320</f>
        <v>GWP (CF4) (t CO2 e/t)</v>
      </c>
      <c r="AQ115" s="535" t="str">
        <f>Translations!$B$321</f>
        <v>GWP (C2F6) (t CO2 e/t)</v>
      </c>
      <c r="AR115" s="535" t="str">
        <f>Translations!$B$322</f>
        <v>CF4 emisijas (t CO2e)</v>
      </c>
      <c r="AS115" s="535" t="str">
        <f>Translations!$B$323</f>
        <v>C2F6 emisijas (t CO2 e)</v>
      </c>
      <c r="AT115" s="535" t="str">
        <f>Translations!$B$324</f>
        <v>Uztveršanas efektivitāte, %</v>
      </c>
      <c r="AU115" s="535" t="str">
        <f>Translations!$B$325</f>
        <v>CO2 e, fosilie avoti (t)</v>
      </c>
      <c r="AV115" s="535" t="str">
        <f>Translations!$B$326</f>
        <v>CO2 e bio (t)</v>
      </c>
      <c r="AW115" s="535" t="str">
        <f>Translations!$B$327</f>
        <v>CO2 e, ilgtnesp. biomasa (t)</v>
      </c>
      <c r="AX115" s="536" t="str">
        <f>Translations!$B$328</f>
        <v>Enerģētiskais saturs (fosilie avoti), TJ</v>
      </c>
      <c r="AY115" s="537" t="str">
        <f>Translations!$B$329</f>
        <v>Enerģētiskais saturs (biomasa), TJ</v>
      </c>
      <c r="AZ115" s="214"/>
      <c r="BA115" s="602"/>
      <c r="BB115" s="602"/>
      <c r="BC115" s="602"/>
      <c r="BD115" s="23"/>
    </row>
    <row r="116" spans="1:56" ht="12.75" customHeight="1" x14ac:dyDescent="0.2">
      <c r="A116" s="602"/>
      <c r="B116" s="214"/>
      <c r="C116" s="543" t="str">
        <f>Translations!$B$330</f>
        <v>1. piem.</v>
      </c>
      <c r="D116" s="686" t="s">
        <v>372</v>
      </c>
      <c r="E116" s="686" t="str">
        <f>Translations!$B$345</f>
        <v>Slāpekļskābe, 1. līnija</v>
      </c>
      <c r="F116" s="775"/>
      <c r="G116" s="776"/>
      <c r="H116" s="775"/>
      <c r="I116" s="776"/>
      <c r="J116" s="775"/>
      <c r="K116" s="776"/>
      <c r="L116" s="776"/>
      <c r="M116" s="776"/>
      <c r="N116" s="775"/>
      <c r="O116" s="774"/>
      <c r="P116" s="775"/>
      <c r="Q116" s="774"/>
      <c r="R116" s="691">
        <v>0</v>
      </c>
      <c r="S116" s="688" t="s">
        <v>393</v>
      </c>
      <c r="T116" s="691">
        <v>0</v>
      </c>
      <c r="U116" s="688" t="s">
        <v>393</v>
      </c>
      <c r="V116" s="691">
        <v>64.292500000000004</v>
      </c>
      <c r="W116" s="688" t="s">
        <v>513</v>
      </c>
      <c r="X116" s="691">
        <v>4</v>
      </c>
      <c r="Y116" s="688" t="str">
        <f>Translations!$B$346</f>
        <v>h gadā</v>
      </c>
      <c r="Z116" s="691">
        <v>265</v>
      </c>
      <c r="AA116" s="688" t="str">
        <f>Translations!$B$347</f>
        <v>1000 Nm3/h</v>
      </c>
      <c r="AB116" s="691">
        <v>1060</v>
      </c>
      <c r="AC116" s="688" t="str">
        <f>Translations!$B$348</f>
        <v>1000 Nm3 gadā</v>
      </c>
      <c r="AD116" s="691">
        <v>68</v>
      </c>
      <c r="AE116" s="688" t="s">
        <v>205</v>
      </c>
      <c r="AF116" s="691">
        <v>298</v>
      </c>
      <c r="AG116" s="777"/>
      <c r="AH116" s="777"/>
      <c r="AI116" s="777"/>
      <c r="AJ116" s="777"/>
      <c r="AK116" s="777"/>
      <c r="AL116" s="777"/>
      <c r="AM116" s="777"/>
      <c r="AN116" s="777"/>
      <c r="AO116" s="777"/>
      <c r="AP116" s="777"/>
      <c r="AQ116" s="777"/>
      <c r="AR116" s="777"/>
      <c r="AS116" s="777"/>
      <c r="AT116" s="777"/>
      <c r="AU116" s="689">
        <v>20308.714900000003</v>
      </c>
      <c r="AV116" s="689">
        <v>0</v>
      </c>
      <c r="AW116" s="689">
        <v>0</v>
      </c>
      <c r="AX116" s="691">
        <v>0</v>
      </c>
      <c r="AY116" s="691">
        <v>0</v>
      </c>
      <c r="AZ116" s="214"/>
      <c r="BA116" s="602"/>
      <c r="BB116" s="602"/>
      <c r="BC116" s="602"/>
      <c r="BD116" s="23"/>
    </row>
    <row r="117" spans="1:56" ht="12.75" customHeight="1" x14ac:dyDescent="0.2">
      <c r="A117" s="602"/>
      <c r="B117" s="214"/>
      <c r="C117" s="543" t="str">
        <f>Translations!$B$333</f>
        <v>2. piem.</v>
      </c>
      <c r="D117" s="686" t="str">
        <f>Translations!$B$349</f>
        <v>CO2 pārvade</v>
      </c>
      <c r="E117" s="686" t="str">
        <f>Translations!$B$350</f>
        <v>Pārvade uz ES ETS iekārtu X</v>
      </c>
      <c r="F117" s="775"/>
      <c r="G117" s="776"/>
      <c r="H117" s="775"/>
      <c r="I117" s="776"/>
      <c r="J117" s="775"/>
      <c r="K117" s="776"/>
      <c r="L117" s="776"/>
      <c r="M117" s="776"/>
      <c r="N117" s="775"/>
      <c r="O117" s="774"/>
      <c r="P117" s="775"/>
      <c r="Q117" s="774"/>
      <c r="R117" s="691">
        <v>0</v>
      </c>
      <c r="S117" s="688" t="s">
        <v>393</v>
      </c>
      <c r="T117" s="691">
        <v>0</v>
      </c>
      <c r="U117" s="688" t="s">
        <v>393</v>
      </c>
      <c r="V117" s="691">
        <v>1820</v>
      </c>
      <c r="W117" s="688" t="s">
        <v>513</v>
      </c>
      <c r="X117" s="691">
        <v>5000</v>
      </c>
      <c r="Y117" s="688" t="str">
        <f>Translations!$B$346</f>
        <v>h gadā</v>
      </c>
      <c r="Z117" s="691">
        <v>50</v>
      </c>
      <c r="AA117" s="688" t="str">
        <f>Translations!$B$347</f>
        <v>1000 Nm3/h</v>
      </c>
      <c r="AB117" s="691">
        <v>250000</v>
      </c>
      <c r="AC117" s="688" t="str">
        <f>Translations!$B$348</f>
        <v>1000 Nm3 gadā</v>
      </c>
      <c r="AD117" s="691">
        <v>455000</v>
      </c>
      <c r="AE117" s="688" t="s">
        <v>205</v>
      </c>
      <c r="AF117" s="691">
        <v>1</v>
      </c>
      <c r="AG117" s="777"/>
      <c r="AH117" s="777"/>
      <c r="AI117" s="777"/>
      <c r="AJ117" s="777"/>
      <c r="AK117" s="777"/>
      <c r="AL117" s="777"/>
      <c r="AM117" s="777"/>
      <c r="AN117" s="777"/>
      <c r="AO117" s="777"/>
      <c r="AP117" s="777"/>
      <c r="AQ117" s="777"/>
      <c r="AR117" s="777"/>
      <c r="AS117" s="777"/>
      <c r="AT117" s="777"/>
      <c r="AU117" s="689">
        <v>-455000</v>
      </c>
      <c r="AV117" s="689">
        <v>0</v>
      </c>
      <c r="AW117" s="689">
        <v>0</v>
      </c>
      <c r="AX117" s="691">
        <v>0</v>
      </c>
      <c r="AY117" s="691">
        <v>0</v>
      </c>
      <c r="AZ117" s="214"/>
      <c r="BA117" s="602"/>
      <c r="BB117" s="602"/>
      <c r="BC117" s="602"/>
      <c r="BD117" s="23"/>
    </row>
    <row r="118" spans="1:56" x14ac:dyDescent="0.2">
      <c r="A118" s="602"/>
      <c r="B118" s="214"/>
      <c r="C118" s="539">
        <v>1</v>
      </c>
      <c r="D118" s="671"/>
      <c r="E118" s="596"/>
      <c r="F118" s="775"/>
      <c r="G118" s="776"/>
      <c r="H118" s="775"/>
      <c r="I118" s="776"/>
      <c r="J118" s="775"/>
      <c r="K118" s="776"/>
      <c r="L118" s="776"/>
      <c r="M118" s="776"/>
      <c r="N118" s="775"/>
      <c r="O118" s="774"/>
      <c r="P118" s="775"/>
      <c r="Q118" s="774"/>
      <c r="R118" s="601"/>
      <c r="S118" s="599"/>
      <c r="T118" s="601"/>
      <c r="U118" s="599"/>
      <c r="V118" s="601"/>
      <c r="W118" s="599"/>
      <c r="X118" s="601"/>
      <c r="Y118" s="599"/>
      <c r="Z118" s="601"/>
      <c r="AA118" s="599"/>
      <c r="AB118" s="601"/>
      <c r="AC118" s="599"/>
      <c r="AD118" s="601"/>
      <c r="AE118" s="599"/>
      <c r="AF118" s="601"/>
      <c r="AG118" s="777"/>
      <c r="AH118" s="777"/>
      <c r="AI118" s="777"/>
      <c r="AJ118" s="777"/>
      <c r="AK118" s="777"/>
      <c r="AL118" s="777"/>
      <c r="AM118" s="777"/>
      <c r="AN118" s="777"/>
      <c r="AO118" s="777"/>
      <c r="AP118" s="777"/>
      <c r="AQ118" s="777"/>
      <c r="AR118" s="777"/>
      <c r="AS118" s="777"/>
      <c r="AT118" s="777"/>
      <c r="AU118" s="600"/>
      <c r="AV118" s="600"/>
      <c r="AW118" s="600"/>
      <c r="AX118" s="601"/>
      <c r="AY118" s="601"/>
      <c r="AZ118" s="214"/>
      <c r="BA118" s="490" t="str">
        <f>IF(SUM(AF118)&gt;1,EUconst_SumN2O,IF(SUM(AU118:AV118)&lt;0,EUconst_SumTransferCO2,EUconst_SumCO2))</f>
        <v>SUM_CO2</v>
      </c>
      <c r="BB118" s="581" t="str">
        <f t="shared" ref="BB118:BB127" si="6">EUconst_SumEnergyIN</f>
        <v>SUM_EnergyIN</v>
      </c>
      <c r="BC118" s="602"/>
      <c r="BD118" s="23"/>
    </row>
    <row r="119" spans="1:56" x14ac:dyDescent="0.2">
      <c r="A119" s="602"/>
      <c r="B119" s="214"/>
      <c r="C119" s="539">
        <v>2</v>
      </c>
      <c r="D119" s="671"/>
      <c r="E119" s="596"/>
      <c r="F119" s="775"/>
      <c r="G119" s="776"/>
      <c r="H119" s="775"/>
      <c r="I119" s="776"/>
      <c r="J119" s="775"/>
      <c r="K119" s="776"/>
      <c r="L119" s="776"/>
      <c r="M119" s="776"/>
      <c r="N119" s="775"/>
      <c r="O119" s="774"/>
      <c r="P119" s="775"/>
      <c r="Q119" s="774"/>
      <c r="R119" s="601"/>
      <c r="S119" s="599"/>
      <c r="T119" s="601"/>
      <c r="U119" s="599"/>
      <c r="V119" s="601"/>
      <c r="W119" s="599"/>
      <c r="X119" s="601"/>
      <c r="Y119" s="599"/>
      <c r="Z119" s="601"/>
      <c r="AA119" s="599"/>
      <c r="AB119" s="601"/>
      <c r="AC119" s="599"/>
      <c r="AD119" s="601"/>
      <c r="AE119" s="599"/>
      <c r="AF119" s="601"/>
      <c r="AG119" s="777"/>
      <c r="AH119" s="777"/>
      <c r="AI119" s="777"/>
      <c r="AJ119" s="777"/>
      <c r="AK119" s="777"/>
      <c r="AL119" s="777"/>
      <c r="AM119" s="777"/>
      <c r="AN119" s="777"/>
      <c r="AO119" s="777"/>
      <c r="AP119" s="777"/>
      <c r="AQ119" s="777"/>
      <c r="AR119" s="777"/>
      <c r="AS119" s="777"/>
      <c r="AT119" s="777"/>
      <c r="AU119" s="600"/>
      <c r="AV119" s="600"/>
      <c r="AW119" s="600"/>
      <c r="AX119" s="601"/>
      <c r="AY119" s="601"/>
      <c r="AZ119" s="214"/>
      <c r="BA119" s="490" t="str">
        <f t="shared" ref="BA119:BA127" si="7">IF(SUM(AF119)&gt;1,EUconst_SumN2O,IF(SUM(AU119:AV119)&lt;0,EUconst_SumTransferCO2,EUconst_SumCO2))</f>
        <v>SUM_CO2</v>
      </c>
      <c r="BB119" s="581" t="str">
        <f t="shared" si="6"/>
        <v>SUM_EnergyIN</v>
      </c>
      <c r="BC119" s="602"/>
      <c r="BD119" s="23"/>
    </row>
    <row r="120" spans="1:56" x14ac:dyDescent="0.2">
      <c r="A120" s="602"/>
      <c r="B120" s="214"/>
      <c r="C120" s="539">
        <v>3</v>
      </c>
      <c r="D120" s="671"/>
      <c r="E120" s="596"/>
      <c r="F120" s="775"/>
      <c r="G120" s="776"/>
      <c r="H120" s="775"/>
      <c r="I120" s="776"/>
      <c r="J120" s="775"/>
      <c r="K120" s="776"/>
      <c r="L120" s="776"/>
      <c r="M120" s="776"/>
      <c r="N120" s="775"/>
      <c r="O120" s="774"/>
      <c r="P120" s="775"/>
      <c r="Q120" s="774"/>
      <c r="R120" s="601"/>
      <c r="S120" s="599"/>
      <c r="T120" s="601"/>
      <c r="U120" s="599"/>
      <c r="V120" s="601"/>
      <c r="W120" s="599"/>
      <c r="X120" s="601"/>
      <c r="Y120" s="599"/>
      <c r="Z120" s="601"/>
      <c r="AA120" s="599"/>
      <c r="AB120" s="601"/>
      <c r="AC120" s="599"/>
      <c r="AD120" s="601"/>
      <c r="AE120" s="599"/>
      <c r="AF120" s="601"/>
      <c r="AG120" s="777"/>
      <c r="AH120" s="777"/>
      <c r="AI120" s="777"/>
      <c r="AJ120" s="777"/>
      <c r="AK120" s="777"/>
      <c r="AL120" s="777"/>
      <c r="AM120" s="777"/>
      <c r="AN120" s="777"/>
      <c r="AO120" s="777"/>
      <c r="AP120" s="777"/>
      <c r="AQ120" s="777"/>
      <c r="AR120" s="777"/>
      <c r="AS120" s="777"/>
      <c r="AT120" s="777"/>
      <c r="AU120" s="600"/>
      <c r="AV120" s="600"/>
      <c r="AW120" s="600"/>
      <c r="AX120" s="601"/>
      <c r="AY120" s="601"/>
      <c r="AZ120" s="214"/>
      <c r="BA120" s="490" t="str">
        <f t="shared" si="7"/>
        <v>SUM_CO2</v>
      </c>
      <c r="BB120" s="581" t="str">
        <f t="shared" si="6"/>
        <v>SUM_EnergyIN</v>
      </c>
      <c r="BC120" s="602"/>
      <c r="BD120" s="23"/>
    </row>
    <row r="121" spans="1:56" x14ac:dyDescent="0.2">
      <c r="A121" s="602"/>
      <c r="B121" s="214"/>
      <c r="C121" s="539">
        <v>4</v>
      </c>
      <c r="D121" s="671"/>
      <c r="E121" s="596"/>
      <c r="F121" s="775"/>
      <c r="G121" s="776"/>
      <c r="H121" s="775"/>
      <c r="I121" s="776"/>
      <c r="J121" s="775"/>
      <c r="K121" s="776"/>
      <c r="L121" s="776"/>
      <c r="M121" s="776"/>
      <c r="N121" s="775"/>
      <c r="O121" s="774"/>
      <c r="P121" s="775"/>
      <c r="Q121" s="774"/>
      <c r="R121" s="601"/>
      <c r="S121" s="599"/>
      <c r="T121" s="601"/>
      <c r="U121" s="599"/>
      <c r="V121" s="601"/>
      <c r="W121" s="599"/>
      <c r="X121" s="601"/>
      <c r="Y121" s="599"/>
      <c r="Z121" s="601"/>
      <c r="AA121" s="599"/>
      <c r="AB121" s="601"/>
      <c r="AC121" s="599"/>
      <c r="AD121" s="601"/>
      <c r="AE121" s="599"/>
      <c r="AF121" s="601"/>
      <c r="AG121" s="777"/>
      <c r="AH121" s="777"/>
      <c r="AI121" s="777"/>
      <c r="AJ121" s="777"/>
      <c r="AK121" s="777"/>
      <c r="AL121" s="777"/>
      <c r="AM121" s="777"/>
      <c r="AN121" s="777"/>
      <c r="AO121" s="777"/>
      <c r="AP121" s="777"/>
      <c r="AQ121" s="777"/>
      <c r="AR121" s="777"/>
      <c r="AS121" s="777"/>
      <c r="AT121" s="777"/>
      <c r="AU121" s="600"/>
      <c r="AV121" s="600"/>
      <c r="AW121" s="600"/>
      <c r="AX121" s="601"/>
      <c r="AY121" s="601"/>
      <c r="AZ121" s="214"/>
      <c r="BA121" s="490" t="str">
        <f t="shared" si="7"/>
        <v>SUM_CO2</v>
      </c>
      <c r="BB121" s="581" t="str">
        <f t="shared" si="6"/>
        <v>SUM_EnergyIN</v>
      </c>
      <c r="BC121" s="602"/>
      <c r="BD121" s="23"/>
    </row>
    <row r="122" spans="1:56" x14ac:dyDescent="0.2">
      <c r="A122" s="602"/>
      <c r="B122" s="214"/>
      <c r="C122" s="539">
        <v>5</v>
      </c>
      <c r="D122" s="671"/>
      <c r="E122" s="596"/>
      <c r="F122" s="775"/>
      <c r="G122" s="776"/>
      <c r="H122" s="775"/>
      <c r="I122" s="776"/>
      <c r="J122" s="775"/>
      <c r="K122" s="776"/>
      <c r="L122" s="776"/>
      <c r="M122" s="776"/>
      <c r="N122" s="775"/>
      <c r="O122" s="774"/>
      <c r="P122" s="775"/>
      <c r="Q122" s="774"/>
      <c r="R122" s="601"/>
      <c r="S122" s="599"/>
      <c r="T122" s="601"/>
      <c r="U122" s="599"/>
      <c r="V122" s="601"/>
      <c r="W122" s="599"/>
      <c r="X122" s="601"/>
      <c r="Y122" s="599"/>
      <c r="Z122" s="601"/>
      <c r="AA122" s="599"/>
      <c r="AB122" s="601"/>
      <c r="AC122" s="599"/>
      <c r="AD122" s="601"/>
      <c r="AE122" s="599"/>
      <c r="AF122" s="601"/>
      <c r="AG122" s="777"/>
      <c r="AH122" s="777"/>
      <c r="AI122" s="777"/>
      <c r="AJ122" s="777"/>
      <c r="AK122" s="777"/>
      <c r="AL122" s="777"/>
      <c r="AM122" s="777"/>
      <c r="AN122" s="777"/>
      <c r="AO122" s="777"/>
      <c r="AP122" s="777"/>
      <c r="AQ122" s="777"/>
      <c r="AR122" s="777"/>
      <c r="AS122" s="777"/>
      <c r="AT122" s="777"/>
      <c r="AU122" s="600"/>
      <c r="AV122" s="600"/>
      <c r="AW122" s="600"/>
      <c r="AX122" s="601"/>
      <c r="AY122" s="601"/>
      <c r="AZ122" s="214"/>
      <c r="BA122" s="490" t="str">
        <f t="shared" si="7"/>
        <v>SUM_CO2</v>
      </c>
      <c r="BB122" s="581" t="str">
        <f t="shared" si="6"/>
        <v>SUM_EnergyIN</v>
      </c>
      <c r="BC122" s="602"/>
      <c r="BD122" s="23"/>
    </row>
    <row r="123" spans="1:56" x14ac:dyDescent="0.2">
      <c r="A123" s="602"/>
      <c r="B123" s="214"/>
      <c r="C123" s="539">
        <v>6</v>
      </c>
      <c r="D123" s="671"/>
      <c r="E123" s="596"/>
      <c r="F123" s="775"/>
      <c r="G123" s="776"/>
      <c r="H123" s="775"/>
      <c r="I123" s="776"/>
      <c r="J123" s="775"/>
      <c r="K123" s="776"/>
      <c r="L123" s="776"/>
      <c r="M123" s="776"/>
      <c r="N123" s="775"/>
      <c r="O123" s="774"/>
      <c r="P123" s="775"/>
      <c r="Q123" s="774"/>
      <c r="R123" s="601"/>
      <c r="S123" s="599"/>
      <c r="T123" s="601"/>
      <c r="U123" s="599"/>
      <c r="V123" s="601"/>
      <c r="W123" s="599"/>
      <c r="X123" s="601"/>
      <c r="Y123" s="599"/>
      <c r="Z123" s="601"/>
      <c r="AA123" s="599"/>
      <c r="AB123" s="601"/>
      <c r="AC123" s="599"/>
      <c r="AD123" s="601"/>
      <c r="AE123" s="599"/>
      <c r="AF123" s="601"/>
      <c r="AG123" s="777"/>
      <c r="AH123" s="777"/>
      <c r="AI123" s="777"/>
      <c r="AJ123" s="777"/>
      <c r="AK123" s="777"/>
      <c r="AL123" s="777"/>
      <c r="AM123" s="777"/>
      <c r="AN123" s="777"/>
      <c r="AO123" s="777"/>
      <c r="AP123" s="777"/>
      <c r="AQ123" s="777"/>
      <c r="AR123" s="777"/>
      <c r="AS123" s="777"/>
      <c r="AT123" s="777"/>
      <c r="AU123" s="600"/>
      <c r="AV123" s="600"/>
      <c r="AW123" s="600"/>
      <c r="AX123" s="601"/>
      <c r="AY123" s="601"/>
      <c r="AZ123" s="214"/>
      <c r="BA123" s="490" t="str">
        <f t="shared" si="7"/>
        <v>SUM_CO2</v>
      </c>
      <c r="BB123" s="581" t="str">
        <f t="shared" si="6"/>
        <v>SUM_EnergyIN</v>
      </c>
      <c r="BC123" s="602"/>
      <c r="BD123" s="23"/>
    </row>
    <row r="124" spans="1:56" x14ac:dyDescent="0.2">
      <c r="A124" s="602"/>
      <c r="B124" s="214"/>
      <c r="C124" s="539">
        <v>7</v>
      </c>
      <c r="D124" s="671"/>
      <c r="E124" s="596"/>
      <c r="F124" s="775"/>
      <c r="G124" s="776"/>
      <c r="H124" s="775"/>
      <c r="I124" s="776"/>
      <c r="J124" s="775"/>
      <c r="K124" s="776"/>
      <c r="L124" s="776"/>
      <c r="M124" s="776"/>
      <c r="N124" s="775"/>
      <c r="O124" s="774"/>
      <c r="P124" s="775"/>
      <c r="Q124" s="774"/>
      <c r="R124" s="601"/>
      <c r="S124" s="599"/>
      <c r="T124" s="601"/>
      <c r="U124" s="599"/>
      <c r="V124" s="601"/>
      <c r="W124" s="599"/>
      <c r="X124" s="601"/>
      <c r="Y124" s="599"/>
      <c r="Z124" s="601"/>
      <c r="AA124" s="599"/>
      <c r="AB124" s="601"/>
      <c r="AC124" s="599"/>
      <c r="AD124" s="601"/>
      <c r="AE124" s="599"/>
      <c r="AF124" s="601"/>
      <c r="AG124" s="777"/>
      <c r="AH124" s="777"/>
      <c r="AI124" s="777"/>
      <c r="AJ124" s="777"/>
      <c r="AK124" s="777"/>
      <c r="AL124" s="777"/>
      <c r="AM124" s="777"/>
      <c r="AN124" s="777"/>
      <c r="AO124" s="777"/>
      <c r="AP124" s="777"/>
      <c r="AQ124" s="777"/>
      <c r="AR124" s="777"/>
      <c r="AS124" s="777"/>
      <c r="AT124" s="777"/>
      <c r="AU124" s="600"/>
      <c r="AV124" s="600"/>
      <c r="AW124" s="600"/>
      <c r="AX124" s="601"/>
      <c r="AY124" s="601"/>
      <c r="AZ124" s="214"/>
      <c r="BA124" s="490" t="str">
        <f t="shared" si="7"/>
        <v>SUM_CO2</v>
      </c>
      <c r="BB124" s="581" t="str">
        <f t="shared" si="6"/>
        <v>SUM_EnergyIN</v>
      </c>
      <c r="BC124" s="602"/>
      <c r="BD124" s="23"/>
    </row>
    <row r="125" spans="1:56" x14ac:dyDescent="0.2">
      <c r="A125" s="602"/>
      <c r="B125" s="214"/>
      <c r="C125" s="539">
        <v>8</v>
      </c>
      <c r="D125" s="671"/>
      <c r="E125" s="596"/>
      <c r="F125" s="775"/>
      <c r="G125" s="776"/>
      <c r="H125" s="775"/>
      <c r="I125" s="776"/>
      <c r="J125" s="775"/>
      <c r="K125" s="776"/>
      <c r="L125" s="776"/>
      <c r="M125" s="776"/>
      <c r="N125" s="775"/>
      <c r="O125" s="774"/>
      <c r="P125" s="775"/>
      <c r="Q125" s="774"/>
      <c r="R125" s="601"/>
      <c r="S125" s="599"/>
      <c r="T125" s="601"/>
      <c r="U125" s="599"/>
      <c r="V125" s="601"/>
      <c r="W125" s="599"/>
      <c r="X125" s="601"/>
      <c r="Y125" s="599"/>
      <c r="Z125" s="601"/>
      <c r="AA125" s="599"/>
      <c r="AB125" s="601"/>
      <c r="AC125" s="599"/>
      <c r="AD125" s="601"/>
      <c r="AE125" s="599"/>
      <c r="AF125" s="601"/>
      <c r="AG125" s="777"/>
      <c r="AH125" s="777"/>
      <c r="AI125" s="777"/>
      <c r="AJ125" s="777"/>
      <c r="AK125" s="777"/>
      <c r="AL125" s="777"/>
      <c r="AM125" s="777"/>
      <c r="AN125" s="777"/>
      <c r="AO125" s="777"/>
      <c r="AP125" s="777"/>
      <c r="AQ125" s="777"/>
      <c r="AR125" s="777"/>
      <c r="AS125" s="777"/>
      <c r="AT125" s="777"/>
      <c r="AU125" s="600"/>
      <c r="AV125" s="600"/>
      <c r="AW125" s="600"/>
      <c r="AX125" s="601"/>
      <c r="AY125" s="601"/>
      <c r="AZ125" s="214"/>
      <c r="BA125" s="490" t="str">
        <f t="shared" si="7"/>
        <v>SUM_CO2</v>
      </c>
      <c r="BB125" s="581" t="str">
        <f t="shared" si="6"/>
        <v>SUM_EnergyIN</v>
      </c>
      <c r="BC125" s="602"/>
      <c r="BD125" s="23"/>
    </row>
    <row r="126" spans="1:56" x14ac:dyDescent="0.2">
      <c r="A126" s="602"/>
      <c r="B126" s="214"/>
      <c r="C126" s="539">
        <v>9</v>
      </c>
      <c r="D126" s="671"/>
      <c r="E126" s="596"/>
      <c r="F126" s="775"/>
      <c r="G126" s="776"/>
      <c r="H126" s="775"/>
      <c r="I126" s="776"/>
      <c r="J126" s="775"/>
      <c r="K126" s="776"/>
      <c r="L126" s="776"/>
      <c r="M126" s="776"/>
      <c r="N126" s="775"/>
      <c r="O126" s="774"/>
      <c r="P126" s="775"/>
      <c r="Q126" s="774"/>
      <c r="R126" s="601"/>
      <c r="S126" s="599"/>
      <c r="T126" s="601"/>
      <c r="U126" s="599"/>
      <c r="V126" s="601"/>
      <c r="W126" s="599"/>
      <c r="X126" s="601"/>
      <c r="Y126" s="599"/>
      <c r="Z126" s="601"/>
      <c r="AA126" s="599"/>
      <c r="AB126" s="601"/>
      <c r="AC126" s="599"/>
      <c r="AD126" s="601"/>
      <c r="AE126" s="599"/>
      <c r="AF126" s="601"/>
      <c r="AG126" s="777"/>
      <c r="AH126" s="777"/>
      <c r="AI126" s="777"/>
      <c r="AJ126" s="777"/>
      <c r="AK126" s="777"/>
      <c r="AL126" s="777"/>
      <c r="AM126" s="777"/>
      <c r="AN126" s="777"/>
      <c r="AO126" s="777"/>
      <c r="AP126" s="777"/>
      <c r="AQ126" s="777"/>
      <c r="AR126" s="777"/>
      <c r="AS126" s="777"/>
      <c r="AT126" s="777"/>
      <c r="AU126" s="600"/>
      <c r="AV126" s="600"/>
      <c r="AW126" s="600"/>
      <c r="AX126" s="601"/>
      <c r="AY126" s="601"/>
      <c r="AZ126" s="214"/>
      <c r="BA126" s="490" t="str">
        <f t="shared" si="7"/>
        <v>SUM_CO2</v>
      </c>
      <c r="BB126" s="581" t="str">
        <f t="shared" si="6"/>
        <v>SUM_EnergyIN</v>
      </c>
      <c r="BC126" s="602"/>
      <c r="BD126" s="23"/>
    </row>
    <row r="127" spans="1:56" x14ac:dyDescent="0.2">
      <c r="A127" s="602"/>
      <c r="B127" s="214"/>
      <c r="C127" s="539">
        <v>10</v>
      </c>
      <c r="D127" s="671"/>
      <c r="E127" s="596"/>
      <c r="F127" s="775"/>
      <c r="G127" s="776"/>
      <c r="H127" s="775"/>
      <c r="I127" s="776"/>
      <c r="J127" s="775"/>
      <c r="K127" s="776"/>
      <c r="L127" s="776"/>
      <c r="M127" s="776"/>
      <c r="N127" s="775"/>
      <c r="O127" s="774"/>
      <c r="P127" s="775"/>
      <c r="Q127" s="774"/>
      <c r="R127" s="601"/>
      <c r="S127" s="599"/>
      <c r="T127" s="601"/>
      <c r="U127" s="599"/>
      <c r="V127" s="601"/>
      <c r="W127" s="599"/>
      <c r="X127" s="601"/>
      <c r="Y127" s="599"/>
      <c r="Z127" s="601"/>
      <c r="AA127" s="599"/>
      <c r="AB127" s="601"/>
      <c r="AC127" s="599"/>
      <c r="AD127" s="601"/>
      <c r="AE127" s="599"/>
      <c r="AF127" s="601"/>
      <c r="AG127" s="777"/>
      <c r="AH127" s="777"/>
      <c r="AI127" s="777"/>
      <c r="AJ127" s="777"/>
      <c r="AK127" s="777"/>
      <c r="AL127" s="777"/>
      <c r="AM127" s="777"/>
      <c r="AN127" s="777"/>
      <c r="AO127" s="777"/>
      <c r="AP127" s="777"/>
      <c r="AQ127" s="777"/>
      <c r="AR127" s="777"/>
      <c r="AS127" s="777"/>
      <c r="AT127" s="777"/>
      <c r="AU127" s="600"/>
      <c r="AV127" s="600"/>
      <c r="AW127" s="600"/>
      <c r="AX127" s="601"/>
      <c r="AY127" s="601"/>
      <c r="AZ127" s="214"/>
      <c r="BA127" s="490" t="str">
        <f t="shared" si="7"/>
        <v>SUM_CO2</v>
      </c>
      <c r="BB127" s="581" t="str">
        <f t="shared" si="6"/>
        <v>SUM_EnergyIN</v>
      </c>
      <c r="BC127" s="602"/>
      <c r="BD127" s="23"/>
    </row>
    <row r="128" spans="1:56" x14ac:dyDescent="0.2">
      <c r="A128" s="602"/>
      <c r="B128" s="214"/>
      <c r="C128" s="95"/>
      <c r="D128" s="214"/>
      <c r="E128" s="214"/>
      <c r="F128" s="214"/>
      <c r="G128" s="214"/>
      <c r="H128" s="214"/>
      <c r="I128" s="214"/>
      <c r="J128" s="214"/>
      <c r="K128" s="214"/>
      <c r="L128" s="214"/>
      <c r="N128" s="214"/>
      <c r="O128" s="214"/>
      <c r="P128" s="214"/>
      <c r="Q128" s="214"/>
      <c r="R128" s="214"/>
      <c r="S128" s="214"/>
      <c r="T128" s="214"/>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4"/>
      <c r="AP128" s="214"/>
      <c r="AQ128" s="214"/>
      <c r="AR128" s="214"/>
      <c r="AS128" s="214"/>
      <c r="AT128" s="214"/>
      <c r="AU128" s="214"/>
      <c r="AV128" s="214"/>
      <c r="AW128" s="214"/>
      <c r="AX128" s="214"/>
      <c r="AY128" s="214"/>
      <c r="AZ128" s="214"/>
      <c r="BA128" s="602"/>
      <c r="BB128" s="602"/>
      <c r="BC128" s="602"/>
      <c r="BD128" s="23"/>
    </row>
    <row r="129" spans="1:56" ht="50.1" customHeight="1" thickBot="1" x14ac:dyDescent="0.45">
      <c r="A129" s="602"/>
      <c r="B129" s="214"/>
      <c r="C129" s="95"/>
      <c r="D129" s="532" t="str">
        <f>Translations!$B$271</f>
        <v>Alternatīvās pieejas</v>
      </c>
      <c r="E129" s="214"/>
      <c r="F129" s="214"/>
      <c r="G129" s="214"/>
      <c r="H129" s="214"/>
      <c r="I129" s="214"/>
      <c r="J129" s="214"/>
      <c r="K129" s="214"/>
      <c r="L129" s="214"/>
      <c r="N129" s="214"/>
      <c r="O129" s="214"/>
      <c r="P129" s="214"/>
      <c r="Q129" s="214"/>
      <c r="R129" s="214"/>
      <c r="S129" s="214"/>
      <c r="T129" s="214"/>
      <c r="U129" s="214"/>
      <c r="V129" s="214"/>
      <c r="W129" s="214"/>
      <c r="X129" s="214"/>
      <c r="Y129" s="214"/>
      <c r="Z129" s="214"/>
      <c r="AA129" s="214"/>
      <c r="AB129" s="214"/>
      <c r="AC129" s="214"/>
      <c r="AD129" s="214"/>
      <c r="AE129" s="214"/>
      <c r="AF129" s="214"/>
      <c r="AG129" s="214"/>
      <c r="AH129" s="214"/>
      <c r="AI129" s="214"/>
      <c r="AJ129" s="214"/>
      <c r="AK129" s="214"/>
      <c r="AL129" s="214"/>
      <c r="AM129" s="214"/>
      <c r="AN129" s="214"/>
      <c r="AO129" s="214"/>
      <c r="AP129" s="214"/>
      <c r="AQ129" s="214"/>
      <c r="AR129" s="214"/>
      <c r="AS129" s="214"/>
      <c r="AT129" s="214"/>
      <c r="AU129" s="214"/>
      <c r="AV129" s="214"/>
      <c r="AW129" s="214"/>
      <c r="AX129" s="214"/>
      <c r="AY129" s="214"/>
      <c r="AZ129" s="214"/>
      <c r="BA129" s="602"/>
      <c r="BB129" s="602"/>
      <c r="BC129" s="602"/>
      <c r="BD129" s="23"/>
    </row>
    <row r="130" spans="1:56" ht="50.1" customHeight="1" thickBot="1" x14ac:dyDescent="0.25">
      <c r="A130" s="602"/>
      <c r="B130" s="214"/>
      <c r="C130" s="533" t="s">
        <v>466</v>
      </c>
      <c r="D130" s="534" t="str">
        <f>Translations!$B$282</f>
        <v>Metode</v>
      </c>
      <c r="E130" s="534" t="str">
        <f>Translations!$B$340</f>
        <v>Nosaukums</v>
      </c>
      <c r="F130" s="535" t="str">
        <f>Translations!$B$284</f>
        <v>Darbības dati</v>
      </c>
      <c r="G130" s="535" t="str">
        <f>Translations!$B$285</f>
        <v>DD vienība</v>
      </c>
      <c r="H130" s="535" t="str">
        <f>Translations!$B$286</f>
        <v>NCV</v>
      </c>
      <c r="I130" s="535" t="str">
        <f>Translations!$B$287</f>
        <v>NCV vienība</v>
      </c>
      <c r="J130" s="535" t="str">
        <f>Translations!$B$288</f>
        <v>EF</v>
      </c>
      <c r="K130" s="535" t="str">
        <f>Translations!$B$289</f>
        <v>EF vienība</v>
      </c>
      <c r="L130" s="535" t="str">
        <f>Translations!$B$290</f>
        <v>C saturs</v>
      </c>
      <c r="M130" s="535" t="str">
        <f>Translations!$B$291</f>
        <v>C satura vienība</v>
      </c>
      <c r="N130" s="535" t="str">
        <f>Translations!$B$292</f>
        <v>Oksid. koef.</v>
      </c>
      <c r="O130" s="535" t="str">
        <f>Translations!$B$293</f>
        <v>OK vienība</v>
      </c>
      <c r="P130" s="535" t="str">
        <f>Translations!$B$294</f>
        <v>Pārrēķina koef.</v>
      </c>
      <c r="Q130" s="535" t="str">
        <f>Translations!$B$295</f>
        <v>PK vienība</v>
      </c>
      <c r="R130" s="535" t="str">
        <f>Translations!$B$296</f>
        <v>Biomasas saturs</v>
      </c>
      <c r="S130" s="535" t="str">
        <f>Translations!$B$297</f>
        <v>BS vienība</v>
      </c>
      <c r="T130" s="535" t="str">
        <f>Translations!$B$298</f>
        <v>ilgtnesp. BS</v>
      </c>
      <c r="U130" s="535" t="str">
        <f>Translations!$B$299</f>
        <v>ilgtnesp. BS vienība</v>
      </c>
      <c r="V130" s="535" t="str">
        <f>Translations!$B$300</f>
        <v>SEG konc. vidējā vērtība h</v>
      </c>
      <c r="W130" s="535" t="str">
        <f>Translations!$B$301</f>
        <v>SEG konc. h vienība</v>
      </c>
      <c r="X130" s="535" t="str">
        <f>Translations!$B$302</f>
        <v>ekspluatācijas stundas</v>
      </c>
      <c r="Y130" s="535" t="str">
        <f>Translations!$B$303</f>
        <v>ekspluatācijas stundu vienība</v>
      </c>
      <c r="Z130" s="535" t="str">
        <f>Translations!$B$304</f>
        <v>Dūmgāzes (vidēji)</v>
      </c>
      <c r="AA130" s="535" t="str">
        <f>Translations!$B$305</f>
        <v>Dūmgāzes (vidēji), vienība</v>
      </c>
      <c r="AB130" s="535" t="str">
        <f>Translations!$B$306</f>
        <v>Dūmgāzes (kopā)</v>
      </c>
      <c r="AC130" s="535" t="str">
        <f>Translations!$B$307</f>
        <v>Dūmgāzes (kopā), vienība</v>
      </c>
      <c r="AD130" s="535" t="str">
        <f>Translations!$B$308</f>
        <v>SEG daudzums gadā</v>
      </c>
      <c r="AE130" s="535" t="str">
        <f>Translations!$B$309</f>
        <v>SEG daudzums gadā, vienība</v>
      </c>
      <c r="AF130" s="535" t="str">
        <f>Translations!$B$310</f>
        <v>GWP (t CO2 e/t)</v>
      </c>
      <c r="AG130" s="535" t="str">
        <f>Translations!$B$311</f>
        <v>A: biežums</v>
      </c>
      <c r="AH130" s="535" t="str">
        <f>Translations!$B$312</f>
        <v>A: ilgums</v>
      </c>
      <c r="AI130" s="535" t="str">
        <f>Translations!$B$313</f>
        <v>A: SEF (CF4)</v>
      </c>
      <c r="AJ130" s="535" t="str">
        <f>Translations!$B$314</f>
        <v>B: AEO</v>
      </c>
      <c r="AK130" s="535" t="str">
        <f>Translations!$B$315</f>
        <v>B: CE</v>
      </c>
      <c r="AL130" s="535" t="str">
        <f>Translations!$B$316</f>
        <v>B: OVC</v>
      </c>
      <c r="AM130" s="535" t="str">
        <f>Translations!$B$317</f>
        <v>F (C2F6)</v>
      </c>
      <c r="AN130" s="535" t="str">
        <f>Translations!$B$318</f>
        <v>CF4 emisijas (t CF4)</v>
      </c>
      <c r="AO130" s="535" t="str">
        <f>Translations!$B$319</f>
        <v>C2F6 emisijas (t C2F6)</v>
      </c>
      <c r="AP130" s="535" t="str">
        <f>Translations!$B$320</f>
        <v>GWP (CF4) (t CO2 e/t)</v>
      </c>
      <c r="AQ130" s="535" t="str">
        <f>Translations!$B$321</f>
        <v>GWP (C2F6) (t CO2 e/t)</v>
      </c>
      <c r="AR130" s="535" t="str">
        <f>Translations!$B$322</f>
        <v>CF4 emisijas (t CO2e)</v>
      </c>
      <c r="AS130" s="535" t="str">
        <f>Translations!$B$323</f>
        <v>C2F6 emisijas (t CO2 e)</v>
      </c>
      <c r="AT130" s="535" t="str">
        <f>Translations!$B$324</f>
        <v>Uztveršanas efektivitāte, %</v>
      </c>
      <c r="AU130" s="535" t="str">
        <f>Translations!$B$325</f>
        <v>CO2 e, fosilie avoti (t)</v>
      </c>
      <c r="AV130" s="535" t="str">
        <f>Translations!$B$326</f>
        <v>CO2 e bio (t)</v>
      </c>
      <c r="AW130" s="535" t="str">
        <f>Translations!$B$327</f>
        <v>CO2 e, ilgtnesp. biomasa (t)</v>
      </c>
      <c r="AX130" s="536" t="str">
        <f>Translations!$B$328</f>
        <v>Enerģētiskais saturs (fosilie avoti), TJ</v>
      </c>
      <c r="AY130" s="537" t="str">
        <f>Translations!$B$329</f>
        <v>Enerģētiskais saturs (biomasa), TJ</v>
      </c>
      <c r="AZ130" s="214"/>
      <c r="BA130" s="602"/>
      <c r="BB130" s="602"/>
      <c r="BC130" s="602"/>
      <c r="BD130" s="23"/>
    </row>
    <row r="131" spans="1:56" ht="12.75" customHeight="1" x14ac:dyDescent="0.2">
      <c r="A131" s="602"/>
      <c r="B131" s="214"/>
      <c r="C131" s="692" t="str">
        <f>Translations!$B$341</f>
        <v>Piem.</v>
      </c>
      <c r="D131" s="669" t="str">
        <f>Translations!$B$271</f>
        <v>Alternatīvās pieejas</v>
      </c>
      <c r="E131" s="778"/>
      <c r="F131" s="779"/>
      <c r="G131" s="780"/>
      <c r="H131" s="779"/>
      <c r="I131" s="780"/>
      <c r="J131" s="779"/>
      <c r="K131" s="780"/>
      <c r="L131" s="780"/>
      <c r="M131" s="780"/>
      <c r="N131" s="779"/>
      <c r="O131" s="781"/>
      <c r="P131" s="779"/>
      <c r="Q131" s="781"/>
      <c r="R131" s="779"/>
      <c r="S131" s="781"/>
      <c r="T131" s="779"/>
      <c r="U131" s="781"/>
      <c r="V131" s="781"/>
      <c r="W131" s="781"/>
      <c r="X131" s="781"/>
      <c r="Y131" s="781"/>
      <c r="Z131" s="781"/>
      <c r="AA131" s="781"/>
      <c r="AB131" s="781"/>
      <c r="AC131" s="781"/>
      <c r="AD131" s="781"/>
      <c r="AE131" s="781"/>
      <c r="AF131" s="781"/>
      <c r="AG131" s="781"/>
      <c r="AH131" s="781"/>
      <c r="AI131" s="781"/>
      <c r="AJ131" s="781"/>
      <c r="AK131" s="781"/>
      <c r="AL131" s="781"/>
      <c r="AM131" s="781"/>
      <c r="AN131" s="781"/>
      <c r="AO131" s="781"/>
      <c r="AP131" s="781"/>
      <c r="AQ131" s="781"/>
      <c r="AR131" s="781"/>
      <c r="AS131" s="781"/>
      <c r="AT131" s="781"/>
      <c r="AU131" s="693">
        <v>2850</v>
      </c>
      <c r="AV131" s="693">
        <v>340</v>
      </c>
      <c r="AW131" s="693">
        <v>0</v>
      </c>
      <c r="AX131" s="694">
        <v>45</v>
      </c>
      <c r="AY131" s="694">
        <v>5</v>
      </c>
      <c r="AZ131" s="214"/>
      <c r="BA131" s="602"/>
      <c r="BB131" s="602"/>
      <c r="BC131" s="602"/>
      <c r="BD131" s="23"/>
    </row>
    <row r="132" spans="1:56" x14ac:dyDescent="0.2">
      <c r="A132" s="602"/>
      <c r="B132" s="214"/>
      <c r="C132" s="538">
        <v>1</v>
      </c>
      <c r="D132" s="686" t="str">
        <f>Translations!$B$271</f>
        <v>Alternatīvās pieejas</v>
      </c>
      <c r="E132" s="782"/>
      <c r="F132" s="775"/>
      <c r="G132" s="776"/>
      <c r="H132" s="775"/>
      <c r="I132" s="776"/>
      <c r="J132" s="775"/>
      <c r="K132" s="776"/>
      <c r="L132" s="776"/>
      <c r="M132" s="776"/>
      <c r="N132" s="775"/>
      <c r="O132" s="774"/>
      <c r="P132" s="775"/>
      <c r="Q132" s="774"/>
      <c r="R132" s="775"/>
      <c r="S132" s="774"/>
      <c r="T132" s="775"/>
      <c r="U132" s="774"/>
      <c r="V132" s="774"/>
      <c r="W132" s="774"/>
      <c r="X132" s="774"/>
      <c r="Y132" s="774"/>
      <c r="Z132" s="774"/>
      <c r="AA132" s="774"/>
      <c r="AB132" s="774"/>
      <c r="AC132" s="774"/>
      <c r="AD132" s="774"/>
      <c r="AE132" s="774"/>
      <c r="AF132" s="774"/>
      <c r="AG132" s="774"/>
      <c r="AH132" s="774"/>
      <c r="AI132" s="774"/>
      <c r="AJ132" s="774"/>
      <c r="AK132" s="774"/>
      <c r="AL132" s="774"/>
      <c r="AM132" s="774"/>
      <c r="AN132" s="774"/>
      <c r="AO132" s="774"/>
      <c r="AP132" s="774"/>
      <c r="AQ132" s="774"/>
      <c r="AR132" s="774"/>
      <c r="AS132" s="774"/>
      <c r="AT132" s="774"/>
      <c r="AU132" s="600"/>
      <c r="AV132" s="600"/>
      <c r="AW132" s="600"/>
      <c r="AX132" s="601"/>
      <c r="AY132" s="601"/>
      <c r="AZ132" s="214"/>
      <c r="BA132" s="490" t="str">
        <f>EUconst_SumCO2</f>
        <v>SUM_CO2</v>
      </c>
      <c r="BB132" s="581" t="str">
        <f>EUconst_SumEnergyIN</f>
        <v>SUM_EnergyIN</v>
      </c>
      <c r="BC132" s="602"/>
      <c r="BD132" s="23"/>
    </row>
    <row r="133" spans="1:56" x14ac:dyDescent="0.2">
      <c r="AZ133" s="668"/>
      <c r="BC133" s="670"/>
      <c r="BD133" s="23"/>
    </row>
    <row r="134" spans="1:56" s="20" customFormat="1" hidden="1" x14ac:dyDescent="0.2">
      <c r="A134" s="20" t="s">
        <v>93</v>
      </c>
      <c r="B134" s="20" t="s">
        <v>336</v>
      </c>
      <c r="C134" s="20" t="s">
        <v>336</v>
      </c>
      <c r="D134" s="20" t="s">
        <v>336</v>
      </c>
      <c r="E134" s="20" t="s">
        <v>336</v>
      </c>
      <c r="F134" s="20" t="s">
        <v>336</v>
      </c>
      <c r="G134" s="20" t="s">
        <v>336</v>
      </c>
      <c r="H134" s="20" t="s">
        <v>336</v>
      </c>
      <c r="I134" s="20" t="s">
        <v>336</v>
      </c>
      <c r="J134" s="20" t="s">
        <v>336</v>
      </c>
      <c r="K134" s="20" t="s">
        <v>336</v>
      </c>
      <c r="L134" s="20" t="s">
        <v>336</v>
      </c>
      <c r="M134" s="20" t="s">
        <v>336</v>
      </c>
      <c r="N134" s="20" t="s">
        <v>336</v>
      </c>
      <c r="O134" s="20" t="s">
        <v>336</v>
      </c>
      <c r="P134" s="20" t="s">
        <v>336</v>
      </c>
      <c r="Q134" s="20" t="s">
        <v>336</v>
      </c>
      <c r="R134" s="20" t="s">
        <v>336</v>
      </c>
      <c r="S134" s="20" t="s">
        <v>336</v>
      </c>
      <c r="T134" s="20" t="s">
        <v>336</v>
      </c>
      <c r="U134" s="20" t="s">
        <v>336</v>
      </c>
      <c r="V134" s="20" t="s">
        <v>336</v>
      </c>
      <c r="W134" s="20" t="s">
        <v>336</v>
      </c>
      <c r="X134" s="20" t="s">
        <v>336</v>
      </c>
      <c r="Y134" s="20" t="s">
        <v>336</v>
      </c>
      <c r="Z134" s="20" t="s">
        <v>336</v>
      </c>
      <c r="AA134" s="20" t="s">
        <v>336</v>
      </c>
      <c r="AB134" s="20" t="s">
        <v>336</v>
      </c>
      <c r="AC134" s="20" t="s">
        <v>336</v>
      </c>
      <c r="AD134" s="20" t="s">
        <v>336</v>
      </c>
      <c r="AE134" s="20" t="s">
        <v>336</v>
      </c>
      <c r="AF134" s="20" t="s">
        <v>336</v>
      </c>
      <c r="AG134" s="20" t="s">
        <v>336</v>
      </c>
      <c r="AH134" s="20" t="s">
        <v>336</v>
      </c>
      <c r="AI134" s="20" t="s">
        <v>336</v>
      </c>
      <c r="AJ134" s="20" t="s">
        <v>336</v>
      </c>
      <c r="AK134" s="20" t="s">
        <v>336</v>
      </c>
      <c r="AL134" s="20" t="s">
        <v>336</v>
      </c>
      <c r="AM134" s="20" t="s">
        <v>336</v>
      </c>
      <c r="AN134" s="20" t="s">
        <v>336</v>
      </c>
      <c r="AO134" s="20" t="s">
        <v>336</v>
      </c>
      <c r="AP134" s="20" t="s">
        <v>336</v>
      </c>
      <c r="AQ134" s="20" t="s">
        <v>336</v>
      </c>
      <c r="AR134" s="20" t="s">
        <v>336</v>
      </c>
      <c r="AS134" s="20" t="s">
        <v>336</v>
      </c>
      <c r="AT134" s="20" t="s">
        <v>336</v>
      </c>
      <c r="AU134" s="20" t="s">
        <v>336</v>
      </c>
      <c r="AV134" s="20" t="s">
        <v>336</v>
      </c>
      <c r="AW134" s="20" t="s">
        <v>336</v>
      </c>
      <c r="AX134" s="20" t="s">
        <v>336</v>
      </c>
      <c r="AY134" s="20" t="s">
        <v>336</v>
      </c>
      <c r="AZ134" s="20" t="s">
        <v>336</v>
      </c>
      <c r="BA134" s="20" t="s">
        <v>336</v>
      </c>
      <c r="BB134" s="20" t="s">
        <v>336</v>
      </c>
      <c r="BC134" s="445"/>
    </row>
    <row r="135" spans="1:56" x14ac:dyDescent="0.2">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670"/>
      <c r="BB135" s="670"/>
      <c r="BC135" s="670"/>
      <c r="BD135" s="23"/>
    </row>
    <row r="136" spans="1:56" x14ac:dyDescent="0.2">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670"/>
      <c r="BB136" s="670"/>
      <c r="BC136" s="670"/>
      <c r="BD136" s="23"/>
    </row>
  </sheetData>
  <sheetProtection sheet="1" objects="1" scenarios="1" formatCells="0" formatColumns="0" formatRows="0"/>
  <mergeCells count="26">
    <mergeCell ref="D15:K15"/>
    <mergeCell ref="D16:K16"/>
    <mergeCell ref="D17:K17"/>
    <mergeCell ref="D18:K18"/>
    <mergeCell ref="D8:N8"/>
    <mergeCell ref="D10:I10"/>
    <mergeCell ref="J10:K10"/>
    <mergeCell ref="D11:K11"/>
    <mergeCell ref="D12:K12"/>
    <mergeCell ref="D14:N14"/>
    <mergeCell ref="B4:D4"/>
    <mergeCell ref="F4:G4"/>
    <mergeCell ref="H4:I4"/>
    <mergeCell ref="J4:K4"/>
    <mergeCell ref="L4:M4"/>
    <mergeCell ref="D6:I6"/>
    <mergeCell ref="J6:K6"/>
    <mergeCell ref="B2:D3"/>
    <mergeCell ref="F2:G2"/>
    <mergeCell ref="H2:I2"/>
    <mergeCell ref="J2:K2"/>
    <mergeCell ref="L2:M2"/>
    <mergeCell ref="F3:G3"/>
    <mergeCell ref="H3:I3"/>
    <mergeCell ref="J3:K3"/>
    <mergeCell ref="L3:M3"/>
  </mergeCells>
  <conditionalFormatting sqref="D24:U98 AU24:AY98 AG103:AY112 D103:G112 D118:E127 R118:AF127 AU118:AY127 AU132:AY132">
    <cfRule type="expression" dxfId="324" priority="1" stopIfTrue="1">
      <formula>MSconst_AllowInstEmmisionTotals</formula>
    </cfRule>
  </conditionalFormatting>
  <hyperlinks>
    <hyperlink ref="F2:G2" location="JUMP_TOC_Home" display="Table of contents"/>
    <hyperlink ref="L2:M2" location="JUMP_K_I" display="Summary"/>
    <hyperlink ref="J2:K2" location="JUMP_BY5_Top" display="JUMP_BY5_Top"/>
    <hyperlink ref="E3" location="JUMP_BY4_Top" display="JUMP_BY4_Top"/>
    <hyperlink ref="H2:I2" location="JUMP_BY3_Top" display="JUMP_BY3_Top"/>
    <hyperlink ref="F3:G3" location="JUMP_BY4_Source" display="Source streams (excl. PFC)"/>
    <hyperlink ref="H3:I3" location="JUMP_BY4_PFC" display="PFC source streams"/>
    <hyperlink ref="J3:K3" location="JUMP_BY4_Emissions" display="Emission Sources (CEMS)"/>
    <hyperlink ref="L3:M3" location="JUMP_BY4_Fallback" display="Fall-back"/>
  </hyperlinks>
  <pageMargins left="0.70866141732283472" right="0.70866141732283472" top="0.78740157480314965" bottom="0.78740157480314965" header="0.31496062992125984" footer="0.31496062992125984"/>
  <pageSetup paperSize="9" scale="37" fitToWidth="10" orientation="portrait" r:id="rId1"/>
  <headerFooter>
    <oddFooter>&amp;L&amp;F; &amp;A&amp;C&amp;P / &amp;N&amp;R&amp;D; &amp;T</oddFooter>
  </headerFooter>
  <colBreaks count="1" manualBreakCount="1">
    <brk id="51" min="4" max="13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tabColor rgb="FFCCFFCC"/>
  </sheetPr>
  <dimension ref="A1:BD136"/>
  <sheetViews>
    <sheetView zoomScaleNormal="100" workbookViewId="0">
      <pane ySplit="4" topLeftCell="A5" activePane="bottomLeft" state="frozen"/>
      <selection sqref="B2:D4"/>
      <selection pane="bottomLeft" sqref="B2:D4"/>
    </sheetView>
  </sheetViews>
  <sheetFormatPr defaultColWidth="11.42578125" defaultRowHeight="12.75" x14ac:dyDescent="0.2"/>
  <cols>
    <col min="1" max="1" width="3.42578125" style="667" hidden="1" customWidth="1"/>
    <col min="2" max="2" width="3.42578125" style="216" customWidth="1"/>
    <col min="3" max="3" width="6.140625" style="24" customWidth="1"/>
    <col min="4" max="4" width="21.5703125" style="216" bestFit="1" customWidth="1"/>
    <col min="5" max="5" width="35.7109375" style="216" customWidth="1"/>
    <col min="6" max="6" width="15.7109375" style="216" customWidth="1"/>
    <col min="7" max="51" width="12.7109375" style="216" customWidth="1"/>
    <col min="52" max="52" width="9.140625" style="216" customWidth="1"/>
    <col min="53" max="55" width="11.42578125" style="667" hidden="1" customWidth="1"/>
    <col min="56" max="16384" width="11.42578125" style="668"/>
  </cols>
  <sheetData>
    <row r="1" spans="1:56" ht="13.5" hidden="1" thickBot="1" x14ac:dyDescent="0.25">
      <c r="A1" s="519" t="s">
        <v>93</v>
      </c>
      <c r="B1" s="529"/>
      <c r="C1" s="530"/>
      <c r="D1" s="529"/>
      <c r="E1" s="529"/>
      <c r="F1" s="529"/>
      <c r="G1" s="529"/>
      <c r="H1" s="529"/>
      <c r="I1" s="529"/>
      <c r="J1" s="529"/>
      <c r="K1" s="529"/>
      <c r="L1" s="531"/>
      <c r="M1" s="529"/>
      <c r="N1" s="529"/>
      <c r="O1" s="529"/>
      <c r="P1" s="529"/>
      <c r="Q1" s="529"/>
      <c r="R1" s="529"/>
      <c r="S1" s="529"/>
      <c r="T1" s="529"/>
      <c r="U1" s="5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602" t="s">
        <v>93</v>
      </c>
      <c r="BB1" s="602" t="s">
        <v>93</v>
      </c>
      <c r="BC1" s="602" t="s">
        <v>93</v>
      </c>
      <c r="BD1" s="23"/>
    </row>
    <row r="2" spans="1:56" ht="13.5" customHeight="1" thickBot="1" x14ac:dyDescent="0.25">
      <c r="A2" s="602"/>
      <c r="B2" s="1405" t="str">
        <f>Translations!$B$267</f>
        <v>B+C ikgadējie emisiju dati</v>
      </c>
      <c r="C2" s="1497"/>
      <c r="D2" s="1498"/>
      <c r="E2" s="789" t="str">
        <f>Translations!$B$2</f>
        <v>Navigācijas josla:</v>
      </c>
      <c r="F2" s="1388" t="str">
        <f>Translations!$B$18</f>
        <v>Saturs</v>
      </c>
      <c r="G2" s="7"/>
      <c r="H2" s="7" t="str">
        <f>Translations!$B$19</f>
        <v>Iepriekšējā lapa</v>
      </c>
      <c r="I2" s="1509"/>
      <c r="J2" s="7" t="str">
        <f>Translations!$B$3</f>
        <v>Nākamā lapa</v>
      </c>
      <c r="K2" s="1509"/>
      <c r="L2" s="7" t="str">
        <f>Translations!$B$4</f>
        <v>Kopsavilkums</v>
      </c>
      <c r="M2" s="1509"/>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604" t="s">
        <v>494</v>
      </c>
      <c r="BB2" s="603">
        <v>5</v>
      </c>
      <c r="BC2" s="685"/>
      <c r="BD2" s="23"/>
    </row>
    <row r="3" spans="1:56" ht="13.5" thickBot="1" x14ac:dyDescent="0.25">
      <c r="A3" s="602"/>
      <c r="B3" s="1499"/>
      <c r="C3" s="1500"/>
      <c r="D3" s="1501"/>
      <c r="E3" s="1005" t="str">
        <f>Translations!$B$5</f>
        <v>Lapas sākums</v>
      </c>
      <c r="F3" s="1491" t="str">
        <f>Translations!$B$268</f>
        <v>Avota plūsmas (izņemot PFC)</v>
      </c>
      <c r="G3" s="1393"/>
      <c r="H3" s="1393" t="str">
        <f>Translations!$B$269</f>
        <v>PFC avota plūsmas</v>
      </c>
      <c r="I3" s="1393"/>
      <c r="J3" s="1393" t="str">
        <f>Translations!$B$270</f>
        <v>Emisiju avoti (CEMS)</v>
      </c>
      <c r="K3" s="1393"/>
      <c r="L3" s="1393" t="str">
        <f>Translations!$B$271</f>
        <v>Alternatīvās pieejas</v>
      </c>
      <c r="M3" s="1492"/>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604" t="s">
        <v>493</v>
      </c>
      <c r="BB3" s="606">
        <f>INDEX(EUconst_ReportingYears,BB2)+(IF(CNTR_BaselinePeriod=EUconst_NA,0,CNTR_BaselinePeriod-1)*5)</f>
        <v>2023</v>
      </c>
      <c r="BC3" s="685"/>
      <c r="BD3" s="23"/>
    </row>
    <row r="4" spans="1:56" ht="13.5" thickBot="1" x14ac:dyDescent="0.25">
      <c r="A4" s="602"/>
      <c r="B4" s="1502">
        <f>BB3</f>
        <v>2023</v>
      </c>
      <c r="C4" s="1503"/>
      <c r="D4" s="1504"/>
      <c r="E4" s="790"/>
      <c r="F4" s="1506"/>
      <c r="G4" s="1510"/>
      <c r="H4" s="1495"/>
      <c r="I4" s="1495"/>
      <c r="J4" s="1495"/>
      <c r="K4" s="1495"/>
      <c r="L4" s="1495"/>
      <c r="M4" s="1496"/>
      <c r="N4" s="95">
        <f>$B$4</f>
        <v>2023</v>
      </c>
      <c r="O4" s="214"/>
      <c r="P4" s="95">
        <f>$B$4</f>
        <v>2023</v>
      </c>
      <c r="Q4" s="214"/>
      <c r="R4" s="95">
        <f>$B$4</f>
        <v>2023</v>
      </c>
      <c r="S4" s="214"/>
      <c r="T4" s="95">
        <f>$B$4</f>
        <v>2023</v>
      </c>
      <c r="U4" s="214"/>
      <c r="V4" s="95">
        <f>$B$4</f>
        <v>2023</v>
      </c>
      <c r="W4" s="214"/>
      <c r="X4" s="95">
        <f>$B$4</f>
        <v>2023</v>
      </c>
      <c r="Y4" s="214"/>
      <c r="Z4" s="95">
        <f>$B$4</f>
        <v>2023</v>
      </c>
      <c r="AA4" s="214"/>
      <c r="AB4" s="95">
        <f>$B$4</f>
        <v>2023</v>
      </c>
      <c r="AC4" s="214"/>
      <c r="AD4" s="95">
        <f>$B$4</f>
        <v>2023</v>
      </c>
      <c r="AE4" s="214"/>
      <c r="AF4" s="95">
        <f>$B$4</f>
        <v>2023</v>
      </c>
      <c r="AG4" s="214"/>
      <c r="AH4" s="95">
        <f>$B$4</f>
        <v>2023</v>
      </c>
      <c r="AI4" s="214"/>
      <c r="AJ4" s="95">
        <f>$B$4</f>
        <v>2023</v>
      </c>
      <c r="AK4" s="214"/>
      <c r="AL4" s="95">
        <f>$B$4</f>
        <v>2023</v>
      </c>
      <c r="AM4" s="214"/>
      <c r="AN4" s="95">
        <f>$B$4</f>
        <v>2023</v>
      </c>
      <c r="AO4" s="214"/>
      <c r="AP4" s="95">
        <f>$B$4</f>
        <v>2023</v>
      </c>
      <c r="AQ4" s="214"/>
      <c r="AR4" s="95">
        <f>$B$4</f>
        <v>2023</v>
      </c>
      <c r="AS4" s="214"/>
      <c r="AT4" s="95">
        <f>$B$4</f>
        <v>2023</v>
      </c>
      <c r="AU4" s="214"/>
      <c r="AV4" s="95">
        <f>$B$4</f>
        <v>2023</v>
      </c>
      <c r="AW4" s="214"/>
      <c r="AX4" s="95">
        <f>$B$4</f>
        <v>2023</v>
      </c>
      <c r="AY4" s="214"/>
      <c r="AZ4" s="214"/>
      <c r="BA4" s="602"/>
      <c r="BB4" s="605"/>
      <c r="BC4" s="685"/>
      <c r="BD4" s="23"/>
    </row>
    <row r="5" spans="1:56" x14ac:dyDescent="0.2">
      <c r="A5" s="602"/>
      <c r="B5" s="21"/>
      <c r="C5" s="22"/>
      <c r="D5" s="23"/>
      <c r="E5" s="23"/>
      <c r="F5" s="24"/>
      <c r="G5" s="24"/>
      <c r="H5" s="24"/>
      <c r="I5" s="21"/>
      <c r="J5" s="21"/>
      <c r="K5" s="21"/>
      <c r="L5" s="21"/>
      <c r="M5" s="25"/>
      <c r="N5" s="25"/>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602"/>
      <c r="BB5" s="605"/>
      <c r="BC5" s="685"/>
      <c r="BD5" s="23"/>
    </row>
    <row r="6" spans="1:56" ht="18" customHeight="1" x14ac:dyDescent="0.2">
      <c r="A6" s="602"/>
      <c r="B6" s="21"/>
      <c r="C6" s="27" t="s">
        <v>611</v>
      </c>
      <c r="D6" s="1493" t="str">
        <f>Translations!$B$272</f>
        <v>Lapa “Ikgadējie emisiju dati” par šo gadu:</v>
      </c>
      <c r="E6" s="1493"/>
      <c r="F6" s="1493"/>
      <c r="G6" s="1493"/>
      <c r="H6" s="1493"/>
      <c r="I6" s="1494"/>
      <c r="J6" s="1505">
        <f>B4</f>
        <v>2023</v>
      </c>
      <c r="K6" s="1505"/>
      <c r="L6" s="214"/>
      <c r="N6" s="457"/>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8" t="s">
        <v>73</v>
      </c>
      <c r="BB6" s="28" t="s">
        <v>73</v>
      </c>
      <c r="BC6" s="685"/>
      <c r="BD6" s="23"/>
    </row>
    <row r="7" spans="1:56" x14ac:dyDescent="0.2">
      <c r="A7" s="602"/>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9" t="s">
        <v>265</v>
      </c>
      <c r="BB7" s="29" t="s">
        <v>265</v>
      </c>
      <c r="BC7" s="685"/>
      <c r="BD7" s="23"/>
    </row>
    <row r="8" spans="1:56" s="666" customFormat="1" ht="15.75" x14ac:dyDescent="0.25">
      <c r="A8" s="663"/>
      <c r="B8" s="21"/>
      <c r="C8" s="30" t="s">
        <v>391</v>
      </c>
      <c r="D8" s="1508" t="str">
        <f>Translations!$B$273</f>
        <v>Vispārīgi norādījumi par avota plūsmu datiem</v>
      </c>
      <c r="E8" s="1508"/>
      <c r="F8" s="1508"/>
      <c r="G8" s="1508"/>
      <c r="H8" s="1508"/>
      <c r="I8" s="1508"/>
      <c r="J8" s="1508"/>
      <c r="K8" s="1508"/>
      <c r="L8" s="1508"/>
      <c r="M8" s="1508"/>
      <c r="N8" s="1508"/>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602"/>
      <c r="BB8" s="602"/>
      <c r="BC8" s="685"/>
      <c r="BD8" s="23"/>
    </row>
    <row r="9" spans="1:56" s="666" customFormat="1" x14ac:dyDescent="0.2">
      <c r="A9" s="663"/>
      <c r="B9" s="664"/>
      <c r="C9" s="142"/>
      <c r="D9" s="142"/>
      <c r="E9" s="142"/>
      <c r="F9" s="142"/>
      <c r="G9" s="142"/>
      <c r="H9" s="142"/>
      <c r="I9" s="142"/>
      <c r="J9" s="142"/>
      <c r="K9" s="142"/>
      <c r="L9" s="142"/>
      <c r="M9" s="142"/>
      <c r="N9" s="142"/>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602"/>
      <c r="BB9" s="602"/>
      <c r="BC9" s="685"/>
      <c r="BD9" s="23"/>
    </row>
    <row r="10" spans="1:56" s="666" customFormat="1" ht="12.75" customHeight="1" x14ac:dyDescent="0.2">
      <c r="A10" s="663"/>
      <c r="B10" s="21"/>
      <c r="C10" s="32"/>
      <c r="D10" s="1325" t="str">
        <f>Translations!$B$274</f>
        <v>Dalībvalsts pieprasa detalizētus avota plūsmu datus, kuri parasti ziņojami obligāti:</v>
      </c>
      <c r="E10" s="1325"/>
      <c r="F10" s="1325"/>
      <c r="G10" s="1325"/>
      <c r="H10" s="1325"/>
      <c r="I10" s="1489"/>
      <c r="J10" s="1490" t="b">
        <f>NOT(MSconst_AllowInstEmmisionTotals)</f>
        <v>1</v>
      </c>
      <c r="K10" s="1490"/>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602"/>
      <c r="BB10" s="602"/>
      <c r="BC10" s="685"/>
      <c r="BD10" s="23"/>
    </row>
    <row r="11" spans="1:56" s="666" customFormat="1" ht="12.75" customHeight="1" x14ac:dyDescent="0.2">
      <c r="A11" s="663"/>
      <c r="B11" s="664"/>
      <c r="C11" s="664"/>
      <c r="D11" s="1301" t="str">
        <f>Translations!$B$275</f>
        <v>Ja atbilde ir “APLAMS” (“FALSE”), datus šeit var neievadīt un tikai jānorāda kopējās ikgadējās emisijas sadaļā D.I.</v>
      </c>
      <c r="E11" s="1301"/>
      <c r="F11" s="1301"/>
      <c r="G11" s="1301"/>
      <c r="H11" s="1301"/>
      <c r="I11" s="1301"/>
      <c r="J11" s="1301"/>
      <c r="K11" s="1301"/>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602"/>
      <c r="BB11" s="602"/>
      <c r="BC11" s="685"/>
      <c r="BD11" s="23"/>
    </row>
    <row r="12" spans="1:56" s="666" customFormat="1" ht="12.75" customHeight="1" x14ac:dyDescent="0.2">
      <c r="A12" s="663"/>
      <c r="B12" s="664"/>
      <c r="C12" s="664"/>
      <c r="D12" s="1514" t="str">
        <f>IF(MSconst_AllowInstEmmisionTotals,HYPERLINK(BB12,EUconst_ERR_Goto_DI2),"")</f>
        <v/>
      </c>
      <c r="E12" s="1514"/>
      <c r="F12" s="1514"/>
      <c r="G12" s="1514"/>
      <c r="H12" s="1514"/>
      <c r="I12" s="1514"/>
      <c r="J12" s="1514"/>
      <c r="K12" s="1514"/>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0" t="s">
        <v>192</v>
      </c>
      <c r="BB12" s="362" t="str">
        <f>"#JUMP_D_I"</f>
        <v>#JUMP_D_I</v>
      </c>
      <c r="BC12" s="685"/>
      <c r="BD12" s="23"/>
    </row>
    <row r="13" spans="1:56" s="666" customFormat="1" x14ac:dyDescent="0.2">
      <c r="A13" s="663"/>
      <c r="B13" s="21"/>
      <c r="C13" s="21"/>
      <c r="D13" s="21"/>
      <c r="E13" s="665"/>
      <c r="F13" s="21"/>
      <c r="G13" s="21"/>
      <c r="H13" s="21"/>
      <c r="I13" s="21"/>
      <c r="J13" s="21"/>
      <c r="K13" s="21"/>
      <c r="L13" s="21"/>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602"/>
      <c r="BB13" s="602"/>
      <c r="BC13" s="602"/>
      <c r="BD13" s="23"/>
    </row>
    <row r="14" spans="1:56" s="666" customFormat="1" ht="15.75" x14ac:dyDescent="0.25">
      <c r="A14" s="663"/>
      <c r="B14" s="21"/>
      <c r="C14" s="30" t="s">
        <v>338</v>
      </c>
      <c r="D14" s="1249" t="str">
        <f>Translations!$B$276</f>
        <v>Avota plūsmas un emisiju avoti</v>
      </c>
      <c r="E14" s="1249"/>
      <c r="F14" s="1249"/>
      <c r="G14" s="1249"/>
      <c r="H14" s="1249"/>
      <c r="I14" s="1249"/>
      <c r="J14" s="1249"/>
      <c r="K14" s="1249"/>
      <c r="L14" s="1249"/>
      <c r="M14" s="1249"/>
      <c r="N14" s="1249"/>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602"/>
      <c r="BB14" s="602"/>
      <c r="BC14" s="602"/>
      <c r="BD14" s="23"/>
    </row>
    <row r="15" spans="1:56" s="666" customFormat="1" ht="12.75" customHeight="1" x14ac:dyDescent="0.2">
      <c r="A15" s="663"/>
      <c r="B15" s="664"/>
      <c r="C15" s="690"/>
      <c r="D15" s="1301" t="str">
        <f>Translations!$B$277</f>
        <v>Nākamās tabulas ir identiskas tām, kas atrodamas lapā “Accounting” Komisijas nodrošinātajā Ikgadējo emisiju datu veidnē.</v>
      </c>
      <c r="E15" s="1301"/>
      <c r="F15" s="1301"/>
      <c r="G15" s="1301"/>
      <c r="H15" s="1301"/>
      <c r="I15" s="1301"/>
      <c r="J15" s="1301"/>
      <c r="K15" s="1301"/>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602"/>
      <c r="BB15" s="602"/>
      <c r="BC15" s="685"/>
      <c r="BD15" s="23"/>
    </row>
    <row r="16" spans="1:56" s="666" customFormat="1" ht="12.75" customHeight="1" x14ac:dyDescent="0.2">
      <c r="A16" s="663"/>
      <c r="B16" s="664"/>
      <c r="C16" s="690"/>
      <c r="D16" s="1301" t="str">
        <f>Translations!$B$278</f>
        <v>Tāpēc varat katras tabulas datus iekopēt no Ikgadējo emisiju ziņojuma veidnes, jaunus datus neievadot; sīkāki norādījumi atrodami tur.</v>
      </c>
      <c r="E16" s="1301"/>
      <c r="F16" s="1301"/>
      <c r="G16" s="1301"/>
      <c r="H16" s="1301"/>
      <c r="I16" s="1301"/>
      <c r="J16" s="1301"/>
      <c r="K16" s="1301"/>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602"/>
      <c r="BB16" s="602"/>
      <c r="BC16" s="685"/>
      <c r="BD16" s="23"/>
    </row>
    <row r="17" spans="1:56" s="666" customFormat="1" ht="12.75" customHeight="1" x14ac:dyDescent="0.2">
      <c r="A17" s="663"/>
      <c r="B17" s="664"/>
      <c r="C17" s="690"/>
      <c r="D17" s="1301" t="str">
        <f>Translations!$B$279</f>
        <v>Ja jūsu dalībvalsts Komisijas veidni neizmanto vai dodat priekšroku datu manuālai ievadei, katras tabulas augšā ir sniegti datu paraugi (baltajos laukos).</v>
      </c>
      <c r="E17" s="1301"/>
      <c r="F17" s="1301"/>
      <c r="G17" s="1301"/>
      <c r="H17" s="1301"/>
      <c r="I17" s="1301"/>
      <c r="J17" s="1301"/>
      <c r="K17" s="1301"/>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602"/>
      <c r="BB17" s="602"/>
      <c r="BC17" s="685"/>
      <c r="BD17" s="23"/>
    </row>
    <row r="18" spans="1:56" s="666" customFormat="1" ht="12.75" customHeight="1" x14ac:dyDescent="0.2">
      <c r="A18" s="663"/>
      <c r="B18" s="664"/>
      <c r="C18" s="690"/>
      <c r="D18" s="1471" t="str">
        <f>Translations!$B$280</f>
        <v>Šajā lapā netiek veikti nekādi aprēķini. Tāpēc kopsummas slejās no AU līdz AY jāievada pareizi, jo šie dati tiks izmantoti tālāk šajā veidnē.</v>
      </c>
      <c r="E18" s="1471"/>
      <c r="F18" s="1471"/>
      <c r="G18" s="1471"/>
      <c r="H18" s="1471"/>
      <c r="I18" s="1471"/>
      <c r="J18" s="1471"/>
      <c r="K18" s="1471"/>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602"/>
      <c r="BB18" s="602"/>
      <c r="BC18" s="685"/>
      <c r="BD18" s="23"/>
    </row>
    <row r="19" spans="1:56" ht="50.1" customHeight="1" thickBot="1" x14ac:dyDescent="0.45">
      <c r="A19" s="602"/>
      <c r="B19" s="214"/>
      <c r="C19" s="95"/>
      <c r="D19" s="532" t="str">
        <f>Translations!$B$281</f>
        <v>Avota plūsmas (izņemot PFC emisijas)</v>
      </c>
      <c r="E19" s="214"/>
      <c r="F19" s="214"/>
      <c r="G19" s="214"/>
      <c r="H19" s="214"/>
      <c r="I19" s="214"/>
      <c r="J19" s="214"/>
      <c r="K19" s="214"/>
      <c r="L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602"/>
      <c r="BB19" s="602"/>
      <c r="BC19" s="685"/>
      <c r="BD19" s="23"/>
    </row>
    <row r="20" spans="1:56" ht="50.1" customHeight="1" thickBot="1" x14ac:dyDescent="0.25">
      <c r="A20" s="602"/>
      <c r="B20" s="214"/>
      <c r="C20" s="533" t="s">
        <v>466</v>
      </c>
      <c r="D20" s="534" t="str">
        <f>Translations!$B$282</f>
        <v>Metode</v>
      </c>
      <c r="E20" s="534" t="str">
        <f>Translations!$B$283</f>
        <v>Avota plūsmas nosaukums</v>
      </c>
      <c r="F20" s="535" t="str">
        <f>Translations!$B$284</f>
        <v>Darbības dati</v>
      </c>
      <c r="G20" s="535" t="str">
        <f>Translations!$B$285</f>
        <v>DD vienība</v>
      </c>
      <c r="H20" s="535" t="str">
        <f>Translations!$B$286</f>
        <v>NCV</v>
      </c>
      <c r="I20" s="535" t="str">
        <f>Translations!$B$287</f>
        <v>NCV vienība</v>
      </c>
      <c r="J20" s="535" t="str">
        <f>Translations!$B$288</f>
        <v>EF</v>
      </c>
      <c r="K20" s="535" t="str">
        <f>Translations!$B$289</f>
        <v>EF vienība</v>
      </c>
      <c r="L20" s="535" t="str">
        <f>Translations!$B$290</f>
        <v>C saturs</v>
      </c>
      <c r="M20" s="535" t="str">
        <f>Translations!$B$291</f>
        <v>C satura vienība</v>
      </c>
      <c r="N20" s="535" t="str">
        <f>Translations!$B$292</f>
        <v>Oksid. koef.</v>
      </c>
      <c r="O20" s="535" t="str">
        <f>Translations!$B$293</f>
        <v>OK vienība</v>
      </c>
      <c r="P20" s="535" t="str">
        <f>Translations!$B$294</f>
        <v>Pārrēķina koef.</v>
      </c>
      <c r="Q20" s="535" t="str">
        <f>Translations!$B$295</f>
        <v>PK vienība</v>
      </c>
      <c r="R20" s="535" t="str">
        <f>Translations!$B$296</f>
        <v>Biomasas saturs</v>
      </c>
      <c r="S20" s="535" t="str">
        <f>Translations!$B$297</f>
        <v>BS vienība</v>
      </c>
      <c r="T20" s="535" t="str">
        <f>Translations!$B$298</f>
        <v>ilgtnesp. BS</v>
      </c>
      <c r="U20" s="535" t="str">
        <f>Translations!$B$299</f>
        <v>ilgtnesp. BS vienība</v>
      </c>
      <c r="V20" s="535" t="str">
        <f>Translations!$B$300</f>
        <v>SEG konc. vidējā vērtība h</v>
      </c>
      <c r="W20" s="535" t="str">
        <f>Translations!$B$301</f>
        <v>SEG konc. h vienība</v>
      </c>
      <c r="X20" s="535" t="str">
        <f>Translations!$B$302</f>
        <v>ekspluatācijas stundas</v>
      </c>
      <c r="Y20" s="535" t="str">
        <f>Translations!$B$303</f>
        <v>ekspluatācijas stundu vienība</v>
      </c>
      <c r="Z20" s="535" t="str">
        <f>Translations!$B$304</f>
        <v>Dūmgāzes (vidēji)</v>
      </c>
      <c r="AA20" s="535" t="str">
        <f>Translations!$B$305</f>
        <v>Dūmgāzes (vidēji), vienība</v>
      </c>
      <c r="AB20" s="535" t="str">
        <f>Translations!$B$306</f>
        <v>Dūmgāzes (kopā)</v>
      </c>
      <c r="AC20" s="535" t="str">
        <f>Translations!$B$307</f>
        <v>Dūmgāzes (kopā), vienība</v>
      </c>
      <c r="AD20" s="535" t="str">
        <f>Translations!$B$308</f>
        <v>SEG daudzums gadā</v>
      </c>
      <c r="AE20" s="535" t="str">
        <f>Translations!$B$309</f>
        <v>SEG daudzums gadā, vienība</v>
      </c>
      <c r="AF20" s="535" t="str">
        <f>Translations!$B$310</f>
        <v>GWP (t CO2 e/t)</v>
      </c>
      <c r="AG20" s="535" t="str">
        <f>Translations!$B$311</f>
        <v>A: biežums</v>
      </c>
      <c r="AH20" s="535" t="str">
        <f>Translations!$B$312</f>
        <v>A: ilgums</v>
      </c>
      <c r="AI20" s="535" t="str">
        <f>Translations!$B$313</f>
        <v>A: SEF (CF4)</v>
      </c>
      <c r="AJ20" s="535" t="str">
        <f>Translations!$B$314</f>
        <v>B: AEO</v>
      </c>
      <c r="AK20" s="535" t="str">
        <f>Translations!$B$315</f>
        <v>B: CE</v>
      </c>
      <c r="AL20" s="535" t="str">
        <f>Translations!$B$316</f>
        <v>B: OVC</v>
      </c>
      <c r="AM20" s="535" t="str">
        <f>Translations!$B$317</f>
        <v>F (C2F6)</v>
      </c>
      <c r="AN20" s="535" t="str">
        <f>Translations!$B$318</f>
        <v>CF4 emisijas (t CF4)</v>
      </c>
      <c r="AO20" s="535" t="str">
        <f>Translations!$B$319</f>
        <v>C2F6 emisijas (t C2F6)</v>
      </c>
      <c r="AP20" s="535" t="str">
        <f>Translations!$B$320</f>
        <v>GWP (CF4) (t CO2 e/t)</v>
      </c>
      <c r="AQ20" s="535" t="str">
        <f>Translations!$B$321</f>
        <v>GWP (C2F6) (t CO2 e/t)</v>
      </c>
      <c r="AR20" s="535" t="str">
        <f>Translations!$B$322</f>
        <v>CF4 emisijas (t CO2e)</v>
      </c>
      <c r="AS20" s="535" t="str">
        <f>Translations!$B$323</f>
        <v>C2F6 emisijas (t CO2 e)</v>
      </c>
      <c r="AT20" s="535" t="str">
        <f>Translations!$B$324</f>
        <v>Uztveršanas efektivitāte, %</v>
      </c>
      <c r="AU20" s="535" t="str">
        <f>Translations!$B$325</f>
        <v>CO2 e, fosilie avoti (t)</v>
      </c>
      <c r="AV20" s="535" t="str">
        <f>Translations!$B$326</f>
        <v>CO2 e bio (t)</v>
      </c>
      <c r="AW20" s="535" t="str">
        <f>Translations!$B$327</f>
        <v>CO2 e, ilgtnesp. biomasa (t)</v>
      </c>
      <c r="AX20" s="536" t="str">
        <f>Translations!$B$328</f>
        <v>Enerģētiskais saturs (fosilie avoti), TJ</v>
      </c>
      <c r="AY20" s="537" t="str">
        <f>Translations!$B$329</f>
        <v>Enerģētiskais saturs (biomasa), TJ</v>
      </c>
      <c r="AZ20" s="214"/>
      <c r="BA20" s="602"/>
      <c r="BB20" s="602"/>
      <c r="BC20" s="685"/>
      <c r="BD20" s="23"/>
    </row>
    <row r="21" spans="1:56" ht="12.75" customHeight="1" x14ac:dyDescent="0.2">
      <c r="A21" s="602"/>
      <c r="B21" s="214"/>
      <c r="C21" s="543" t="str">
        <f>Translations!$B$330</f>
        <v>1. piem.</v>
      </c>
      <c r="D21" s="686" t="str">
        <f>Translations!$B$331</f>
        <v>Sadedzināšana</v>
      </c>
      <c r="E21" s="686" t="str">
        <f>Translations!$B$332</f>
        <v>Smagā degvieleļļa</v>
      </c>
      <c r="F21" s="687">
        <v>252000</v>
      </c>
      <c r="G21" s="538" t="s">
        <v>205</v>
      </c>
      <c r="H21" s="687">
        <v>45</v>
      </c>
      <c r="I21" s="538" t="s">
        <v>509</v>
      </c>
      <c r="J21" s="687">
        <v>73</v>
      </c>
      <c r="K21" s="538" t="s">
        <v>510</v>
      </c>
      <c r="L21" s="538"/>
      <c r="M21" s="538" t="s">
        <v>472</v>
      </c>
      <c r="N21" s="687">
        <v>100</v>
      </c>
      <c r="O21" s="688" t="s">
        <v>393</v>
      </c>
      <c r="P21" s="687"/>
      <c r="Q21" s="688" t="s">
        <v>393</v>
      </c>
      <c r="R21" s="687">
        <v>0</v>
      </c>
      <c r="S21" s="688" t="s">
        <v>393</v>
      </c>
      <c r="T21" s="687">
        <v>0</v>
      </c>
      <c r="U21" s="688" t="s">
        <v>393</v>
      </c>
      <c r="V21" s="774"/>
      <c r="W21" s="774"/>
      <c r="X21" s="774"/>
      <c r="Y21" s="774"/>
      <c r="Z21" s="774"/>
      <c r="AA21" s="774"/>
      <c r="AB21" s="774"/>
      <c r="AC21" s="774"/>
      <c r="AD21" s="774"/>
      <c r="AE21" s="774"/>
      <c r="AF21" s="774"/>
      <c r="AG21" s="774"/>
      <c r="AH21" s="774"/>
      <c r="AI21" s="774"/>
      <c r="AJ21" s="774"/>
      <c r="AK21" s="774"/>
      <c r="AL21" s="774"/>
      <c r="AM21" s="774"/>
      <c r="AN21" s="774"/>
      <c r="AO21" s="774"/>
      <c r="AP21" s="774"/>
      <c r="AQ21" s="774"/>
      <c r="AR21" s="774"/>
      <c r="AS21" s="774"/>
      <c r="AT21" s="774"/>
      <c r="AU21" s="689">
        <v>827820</v>
      </c>
      <c r="AV21" s="689">
        <v>0</v>
      </c>
      <c r="AW21" s="689">
        <v>0</v>
      </c>
      <c r="AX21" s="687">
        <v>11340</v>
      </c>
      <c r="AY21" s="687">
        <v>0</v>
      </c>
      <c r="AZ21" s="214"/>
      <c r="BA21" s="602"/>
      <c r="BB21" s="602"/>
      <c r="BC21" s="685"/>
      <c r="BD21" s="23"/>
    </row>
    <row r="22" spans="1:56" ht="12.75" customHeight="1" x14ac:dyDescent="0.2">
      <c r="A22" s="602"/>
      <c r="B22" s="214"/>
      <c r="C22" s="543" t="str">
        <f>Translations!$B$333</f>
        <v>2. piem.</v>
      </c>
      <c r="D22" s="686" t="str">
        <f>Translations!$B$334</f>
        <v>Procesa emisijas</v>
      </c>
      <c r="E22" s="686" t="str">
        <f>Translations!$B$335</f>
        <v>Māls</v>
      </c>
      <c r="F22" s="687">
        <v>121000</v>
      </c>
      <c r="G22" s="538" t="s">
        <v>205</v>
      </c>
      <c r="H22" s="687"/>
      <c r="I22" s="538" t="s">
        <v>472</v>
      </c>
      <c r="J22" s="687">
        <v>8.7940000000000004E-2</v>
      </c>
      <c r="K22" s="538" t="s">
        <v>511</v>
      </c>
      <c r="L22" s="538"/>
      <c r="M22" s="538" t="s">
        <v>472</v>
      </c>
      <c r="N22" s="687"/>
      <c r="O22" s="688" t="s">
        <v>393</v>
      </c>
      <c r="P22" s="687"/>
      <c r="Q22" s="688" t="s">
        <v>393</v>
      </c>
      <c r="R22" s="687">
        <v>0</v>
      </c>
      <c r="S22" s="688" t="s">
        <v>393</v>
      </c>
      <c r="T22" s="687">
        <v>0</v>
      </c>
      <c r="U22" s="688" t="s">
        <v>393</v>
      </c>
      <c r="V22" s="774"/>
      <c r="W22" s="774"/>
      <c r="X22" s="774"/>
      <c r="Y22" s="774"/>
      <c r="Z22" s="774"/>
      <c r="AA22" s="774"/>
      <c r="AB22" s="774"/>
      <c r="AC22" s="774"/>
      <c r="AD22" s="774"/>
      <c r="AE22" s="774"/>
      <c r="AF22" s="774"/>
      <c r="AG22" s="774"/>
      <c r="AH22" s="774"/>
      <c r="AI22" s="774"/>
      <c r="AJ22" s="774"/>
      <c r="AK22" s="774"/>
      <c r="AL22" s="774"/>
      <c r="AM22" s="774"/>
      <c r="AN22" s="774"/>
      <c r="AO22" s="774"/>
      <c r="AP22" s="774"/>
      <c r="AQ22" s="774"/>
      <c r="AR22" s="774"/>
      <c r="AS22" s="774"/>
      <c r="AT22" s="774"/>
      <c r="AU22" s="689">
        <v>10640.74</v>
      </c>
      <c r="AV22" s="689">
        <v>0</v>
      </c>
      <c r="AW22" s="689">
        <v>0</v>
      </c>
      <c r="AX22" s="687">
        <v>0</v>
      </c>
      <c r="AY22" s="687">
        <v>0</v>
      </c>
      <c r="AZ22" s="214"/>
      <c r="BA22" s="602"/>
      <c r="BB22" s="602"/>
      <c r="BC22" s="685"/>
      <c r="BD22" s="23"/>
    </row>
    <row r="23" spans="1:56" ht="12.75" customHeight="1" x14ac:dyDescent="0.2">
      <c r="A23" s="602"/>
      <c r="B23" s="214"/>
      <c r="C23" s="543" t="str">
        <f>Translations!$B$336</f>
        <v>3. piem.</v>
      </c>
      <c r="D23" s="686" t="str">
        <f>Translations!$B$337</f>
        <v>Masas bilance</v>
      </c>
      <c r="E23" s="686" t="str">
        <f>Translations!$B$338</f>
        <v>Tērauds</v>
      </c>
      <c r="F23" s="687">
        <v>-1808226</v>
      </c>
      <c r="G23" s="538" t="s">
        <v>205</v>
      </c>
      <c r="H23" s="687"/>
      <c r="I23" s="538" t="s">
        <v>472</v>
      </c>
      <c r="J23" s="687">
        <v>0</v>
      </c>
      <c r="K23" s="538" t="s">
        <v>472</v>
      </c>
      <c r="L23" s="538">
        <v>0.38779999999999998</v>
      </c>
      <c r="M23" s="538" t="s">
        <v>512</v>
      </c>
      <c r="N23" s="687"/>
      <c r="O23" s="688" t="s">
        <v>393</v>
      </c>
      <c r="P23" s="687">
        <v>100</v>
      </c>
      <c r="Q23" s="688" t="s">
        <v>393</v>
      </c>
      <c r="R23" s="687">
        <v>0</v>
      </c>
      <c r="S23" s="688" t="s">
        <v>393</v>
      </c>
      <c r="T23" s="687">
        <v>0</v>
      </c>
      <c r="U23" s="688" t="s">
        <v>393</v>
      </c>
      <c r="V23" s="774"/>
      <c r="W23" s="774"/>
      <c r="X23" s="774"/>
      <c r="Y23" s="774"/>
      <c r="Z23" s="774"/>
      <c r="AA23" s="774"/>
      <c r="AB23" s="774"/>
      <c r="AC23" s="774"/>
      <c r="AD23" s="774"/>
      <c r="AE23" s="774"/>
      <c r="AF23" s="774"/>
      <c r="AG23" s="774"/>
      <c r="AH23" s="774"/>
      <c r="AI23" s="774"/>
      <c r="AJ23" s="774"/>
      <c r="AK23" s="774"/>
      <c r="AL23" s="774"/>
      <c r="AM23" s="774"/>
      <c r="AN23" s="774"/>
      <c r="AO23" s="774"/>
      <c r="AP23" s="774"/>
      <c r="AQ23" s="774"/>
      <c r="AR23" s="774"/>
      <c r="AS23" s="774"/>
      <c r="AT23" s="774"/>
      <c r="AU23" s="689">
        <v>-2569306.8768191999</v>
      </c>
      <c r="AV23" s="689">
        <v>0</v>
      </c>
      <c r="AW23" s="689">
        <v>0</v>
      </c>
      <c r="AX23" s="687">
        <v>0</v>
      </c>
      <c r="AY23" s="687">
        <v>0</v>
      </c>
      <c r="AZ23" s="214"/>
      <c r="BA23" s="602"/>
      <c r="BB23" s="602"/>
      <c r="BC23" s="685"/>
      <c r="BD23" s="23"/>
    </row>
    <row r="24" spans="1:56" x14ac:dyDescent="0.2">
      <c r="A24" s="602"/>
      <c r="B24" s="214"/>
      <c r="C24" s="543">
        <v>1</v>
      </c>
      <c r="D24" s="596"/>
      <c r="E24" s="596"/>
      <c r="F24" s="597"/>
      <c r="G24" s="598"/>
      <c r="H24" s="597"/>
      <c r="I24" s="598"/>
      <c r="J24" s="597"/>
      <c r="K24" s="598"/>
      <c r="L24" s="598"/>
      <c r="M24" s="598"/>
      <c r="N24" s="597"/>
      <c r="O24" s="599"/>
      <c r="P24" s="597"/>
      <c r="Q24" s="599"/>
      <c r="R24" s="597"/>
      <c r="S24" s="599"/>
      <c r="T24" s="597"/>
      <c r="U24" s="599"/>
      <c r="V24" s="774"/>
      <c r="W24" s="774"/>
      <c r="X24" s="774"/>
      <c r="Y24" s="774"/>
      <c r="Z24" s="774"/>
      <c r="AA24" s="774"/>
      <c r="AB24" s="774"/>
      <c r="AC24" s="774"/>
      <c r="AD24" s="774"/>
      <c r="AE24" s="774"/>
      <c r="AF24" s="774"/>
      <c r="AG24" s="774"/>
      <c r="AH24" s="774"/>
      <c r="AI24" s="774"/>
      <c r="AJ24" s="774"/>
      <c r="AK24" s="774"/>
      <c r="AL24" s="774"/>
      <c r="AM24" s="774"/>
      <c r="AN24" s="774"/>
      <c r="AO24" s="774"/>
      <c r="AP24" s="774"/>
      <c r="AQ24" s="774"/>
      <c r="AR24" s="774"/>
      <c r="AS24" s="774"/>
      <c r="AT24" s="774"/>
      <c r="AU24" s="600"/>
      <c r="AV24" s="600"/>
      <c r="AW24" s="600"/>
      <c r="AX24" s="597"/>
      <c r="AY24" s="597"/>
      <c r="AZ24" s="214"/>
      <c r="BA24" s="490" t="str">
        <f t="shared" ref="BA24:BA87" si="0">EUconst_SumCO2</f>
        <v>SUM_CO2</v>
      </c>
      <c r="BB24" s="581" t="str">
        <f t="shared" ref="BB24:BB87" si="1">EUconst_SumEnergyIN</f>
        <v>SUM_EnergyIN</v>
      </c>
      <c r="BC24" s="602"/>
      <c r="BD24" s="23"/>
    </row>
    <row r="25" spans="1:56" x14ac:dyDescent="0.2">
      <c r="A25" s="602"/>
      <c r="B25" s="214"/>
      <c r="C25" s="544">
        <v>2</v>
      </c>
      <c r="D25" s="596"/>
      <c r="E25" s="596"/>
      <c r="F25" s="597"/>
      <c r="G25" s="598"/>
      <c r="H25" s="597"/>
      <c r="I25" s="598"/>
      <c r="J25" s="597"/>
      <c r="K25" s="598"/>
      <c r="L25" s="598"/>
      <c r="M25" s="598"/>
      <c r="N25" s="597"/>
      <c r="O25" s="599"/>
      <c r="P25" s="597"/>
      <c r="Q25" s="599"/>
      <c r="R25" s="597"/>
      <c r="S25" s="599"/>
      <c r="T25" s="597"/>
      <c r="U25" s="599"/>
      <c r="V25" s="774"/>
      <c r="W25" s="774"/>
      <c r="X25" s="774"/>
      <c r="Y25" s="774"/>
      <c r="Z25" s="774"/>
      <c r="AA25" s="774"/>
      <c r="AB25" s="774"/>
      <c r="AC25" s="774"/>
      <c r="AD25" s="774"/>
      <c r="AE25" s="774"/>
      <c r="AF25" s="774"/>
      <c r="AG25" s="774"/>
      <c r="AH25" s="774"/>
      <c r="AI25" s="774"/>
      <c r="AJ25" s="774"/>
      <c r="AK25" s="774"/>
      <c r="AL25" s="774"/>
      <c r="AM25" s="774"/>
      <c r="AN25" s="774"/>
      <c r="AO25" s="774"/>
      <c r="AP25" s="774"/>
      <c r="AQ25" s="774"/>
      <c r="AR25" s="774"/>
      <c r="AS25" s="774"/>
      <c r="AT25" s="774"/>
      <c r="AU25" s="600"/>
      <c r="AV25" s="600"/>
      <c r="AW25" s="600"/>
      <c r="AX25" s="597"/>
      <c r="AY25" s="597"/>
      <c r="AZ25" s="214"/>
      <c r="BA25" s="490" t="str">
        <f t="shared" si="0"/>
        <v>SUM_CO2</v>
      </c>
      <c r="BB25" s="581" t="str">
        <f t="shared" si="1"/>
        <v>SUM_EnergyIN</v>
      </c>
      <c r="BC25" s="602"/>
      <c r="BD25" s="23"/>
    </row>
    <row r="26" spans="1:56" x14ac:dyDescent="0.2">
      <c r="A26" s="602"/>
      <c r="B26" s="214"/>
      <c r="C26" s="544">
        <v>3</v>
      </c>
      <c r="D26" s="596"/>
      <c r="E26" s="596"/>
      <c r="F26" s="597"/>
      <c r="G26" s="598"/>
      <c r="H26" s="597"/>
      <c r="I26" s="598"/>
      <c r="J26" s="597"/>
      <c r="K26" s="598"/>
      <c r="L26" s="598"/>
      <c r="M26" s="598"/>
      <c r="N26" s="597"/>
      <c r="O26" s="599"/>
      <c r="P26" s="597"/>
      <c r="Q26" s="599"/>
      <c r="R26" s="597"/>
      <c r="S26" s="599"/>
      <c r="T26" s="597"/>
      <c r="U26" s="599"/>
      <c r="V26" s="774"/>
      <c r="W26" s="774"/>
      <c r="X26" s="774"/>
      <c r="Y26" s="774"/>
      <c r="Z26" s="774"/>
      <c r="AA26" s="774"/>
      <c r="AB26" s="774"/>
      <c r="AC26" s="774"/>
      <c r="AD26" s="774"/>
      <c r="AE26" s="774"/>
      <c r="AF26" s="774"/>
      <c r="AG26" s="774"/>
      <c r="AH26" s="774"/>
      <c r="AI26" s="774"/>
      <c r="AJ26" s="774"/>
      <c r="AK26" s="774"/>
      <c r="AL26" s="774"/>
      <c r="AM26" s="774"/>
      <c r="AN26" s="774"/>
      <c r="AO26" s="774"/>
      <c r="AP26" s="774"/>
      <c r="AQ26" s="774"/>
      <c r="AR26" s="774"/>
      <c r="AS26" s="774"/>
      <c r="AT26" s="774"/>
      <c r="AU26" s="600"/>
      <c r="AV26" s="600"/>
      <c r="AW26" s="600"/>
      <c r="AX26" s="597"/>
      <c r="AY26" s="597"/>
      <c r="AZ26" s="214"/>
      <c r="BA26" s="490" t="str">
        <f t="shared" si="0"/>
        <v>SUM_CO2</v>
      </c>
      <c r="BB26" s="581" t="str">
        <f t="shared" si="1"/>
        <v>SUM_EnergyIN</v>
      </c>
      <c r="BC26" s="602"/>
      <c r="BD26" s="23"/>
    </row>
    <row r="27" spans="1:56" x14ac:dyDescent="0.2">
      <c r="A27" s="602"/>
      <c r="B27" s="214"/>
      <c r="C27" s="544">
        <v>4</v>
      </c>
      <c r="D27" s="596"/>
      <c r="E27" s="596"/>
      <c r="F27" s="597"/>
      <c r="G27" s="598"/>
      <c r="H27" s="597"/>
      <c r="I27" s="598"/>
      <c r="J27" s="597"/>
      <c r="K27" s="598"/>
      <c r="L27" s="598"/>
      <c r="M27" s="598"/>
      <c r="N27" s="597"/>
      <c r="O27" s="599"/>
      <c r="P27" s="597"/>
      <c r="Q27" s="599"/>
      <c r="R27" s="597"/>
      <c r="S27" s="599"/>
      <c r="T27" s="597"/>
      <c r="U27" s="599"/>
      <c r="V27" s="774"/>
      <c r="W27" s="774"/>
      <c r="X27" s="774"/>
      <c r="Y27" s="774"/>
      <c r="Z27" s="774"/>
      <c r="AA27" s="774"/>
      <c r="AB27" s="774"/>
      <c r="AC27" s="774"/>
      <c r="AD27" s="774"/>
      <c r="AE27" s="774"/>
      <c r="AF27" s="774"/>
      <c r="AG27" s="774"/>
      <c r="AH27" s="774"/>
      <c r="AI27" s="774"/>
      <c r="AJ27" s="774"/>
      <c r="AK27" s="774"/>
      <c r="AL27" s="774"/>
      <c r="AM27" s="774"/>
      <c r="AN27" s="774"/>
      <c r="AO27" s="774"/>
      <c r="AP27" s="774"/>
      <c r="AQ27" s="774"/>
      <c r="AR27" s="774"/>
      <c r="AS27" s="774"/>
      <c r="AT27" s="774"/>
      <c r="AU27" s="600"/>
      <c r="AV27" s="600"/>
      <c r="AW27" s="600"/>
      <c r="AX27" s="597"/>
      <c r="AY27" s="597"/>
      <c r="AZ27" s="214"/>
      <c r="BA27" s="490" t="str">
        <f t="shared" si="0"/>
        <v>SUM_CO2</v>
      </c>
      <c r="BB27" s="581" t="str">
        <f t="shared" si="1"/>
        <v>SUM_EnergyIN</v>
      </c>
      <c r="BC27" s="602"/>
      <c r="BD27" s="23"/>
    </row>
    <row r="28" spans="1:56" x14ac:dyDescent="0.2">
      <c r="A28" s="602"/>
      <c r="B28" s="214"/>
      <c r="C28" s="544">
        <v>5</v>
      </c>
      <c r="D28" s="596"/>
      <c r="E28" s="596"/>
      <c r="F28" s="597"/>
      <c r="G28" s="598"/>
      <c r="H28" s="597"/>
      <c r="I28" s="598"/>
      <c r="J28" s="597"/>
      <c r="K28" s="598"/>
      <c r="L28" s="598"/>
      <c r="M28" s="598"/>
      <c r="N28" s="597"/>
      <c r="O28" s="599"/>
      <c r="P28" s="597"/>
      <c r="Q28" s="599"/>
      <c r="R28" s="597"/>
      <c r="S28" s="599"/>
      <c r="T28" s="597"/>
      <c r="U28" s="599"/>
      <c r="V28" s="774"/>
      <c r="W28" s="774"/>
      <c r="X28" s="774"/>
      <c r="Y28" s="774"/>
      <c r="Z28" s="774"/>
      <c r="AA28" s="774"/>
      <c r="AB28" s="774"/>
      <c r="AC28" s="774"/>
      <c r="AD28" s="774"/>
      <c r="AE28" s="774"/>
      <c r="AF28" s="774"/>
      <c r="AG28" s="774"/>
      <c r="AH28" s="774"/>
      <c r="AI28" s="774"/>
      <c r="AJ28" s="774"/>
      <c r="AK28" s="774"/>
      <c r="AL28" s="774"/>
      <c r="AM28" s="774"/>
      <c r="AN28" s="774"/>
      <c r="AO28" s="774"/>
      <c r="AP28" s="774"/>
      <c r="AQ28" s="774"/>
      <c r="AR28" s="774"/>
      <c r="AS28" s="774"/>
      <c r="AT28" s="774"/>
      <c r="AU28" s="600"/>
      <c r="AV28" s="600"/>
      <c r="AW28" s="600"/>
      <c r="AX28" s="597"/>
      <c r="AY28" s="597"/>
      <c r="AZ28" s="214"/>
      <c r="BA28" s="490" t="str">
        <f t="shared" si="0"/>
        <v>SUM_CO2</v>
      </c>
      <c r="BB28" s="581" t="str">
        <f t="shared" si="1"/>
        <v>SUM_EnergyIN</v>
      </c>
      <c r="BC28" s="602"/>
      <c r="BD28" s="23"/>
    </row>
    <row r="29" spans="1:56" x14ac:dyDescent="0.2">
      <c r="A29" s="602"/>
      <c r="B29" s="214"/>
      <c r="C29" s="544">
        <v>6</v>
      </c>
      <c r="D29" s="596"/>
      <c r="E29" s="596"/>
      <c r="F29" s="597"/>
      <c r="G29" s="598"/>
      <c r="H29" s="597"/>
      <c r="I29" s="598"/>
      <c r="J29" s="597"/>
      <c r="K29" s="598"/>
      <c r="L29" s="598"/>
      <c r="M29" s="598"/>
      <c r="N29" s="597"/>
      <c r="O29" s="599"/>
      <c r="P29" s="597"/>
      <c r="Q29" s="599"/>
      <c r="R29" s="597"/>
      <c r="S29" s="599"/>
      <c r="T29" s="597"/>
      <c r="U29" s="599"/>
      <c r="V29" s="774"/>
      <c r="W29" s="774"/>
      <c r="X29" s="774"/>
      <c r="Y29" s="774"/>
      <c r="Z29" s="774"/>
      <c r="AA29" s="774"/>
      <c r="AB29" s="774"/>
      <c r="AC29" s="774"/>
      <c r="AD29" s="774"/>
      <c r="AE29" s="774"/>
      <c r="AF29" s="774"/>
      <c r="AG29" s="774"/>
      <c r="AH29" s="774"/>
      <c r="AI29" s="774"/>
      <c r="AJ29" s="774"/>
      <c r="AK29" s="774"/>
      <c r="AL29" s="774"/>
      <c r="AM29" s="774"/>
      <c r="AN29" s="774"/>
      <c r="AO29" s="774"/>
      <c r="AP29" s="774"/>
      <c r="AQ29" s="774"/>
      <c r="AR29" s="774"/>
      <c r="AS29" s="774"/>
      <c r="AT29" s="774"/>
      <c r="AU29" s="600"/>
      <c r="AV29" s="600"/>
      <c r="AW29" s="600"/>
      <c r="AX29" s="597"/>
      <c r="AY29" s="597"/>
      <c r="AZ29" s="214"/>
      <c r="BA29" s="490" t="str">
        <f t="shared" si="0"/>
        <v>SUM_CO2</v>
      </c>
      <c r="BB29" s="581" t="str">
        <f t="shared" si="1"/>
        <v>SUM_EnergyIN</v>
      </c>
      <c r="BC29" s="602"/>
      <c r="BD29" s="23"/>
    </row>
    <row r="30" spans="1:56" x14ac:dyDescent="0.2">
      <c r="A30" s="602"/>
      <c r="B30" s="214"/>
      <c r="C30" s="544">
        <v>7</v>
      </c>
      <c r="D30" s="596"/>
      <c r="E30" s="596"/>
      <c r="F30" s="597"/>
      <c r="G30" s="598"/>
      <c r="H30" s="597"/>
      <c r="I30" s="598"/>
      <c r="J30" s="597"/>
      <c r="K30" s="598"/>
      <c r="L30" s="598"/>
      <c r="M30" s="598"/>
      <c r="N30" s="597"/>
      <c r="O30" s="599"/>
      <c r="P30" s="597"/>
      <c r="Q30" s="599"/>
      <c r="R30" s="597"/>
      <c r="S30" s="599"/>
      <c r="T30" s="597"/>
      <c r="U30" s="599"/>
      <c r="V30" s="774"/>
      <c r="W30" s="774"/>
      <c r="X30" s="774"/>
      <c r="Y30" s="774"/>
      <c r="Z30" s="774"/>
      <c r="AA30" s="774"/>
      <c r="AB30" s="774"/>
      <c r="AC30" s="774"/>
      <c r="AD30" s="774"/>
      <c r="AE30" s="774"/>
      <c r="AF30" s="774"/>
      <c r="AG30" s="774"/>
      <c r="AH30" s="774"/>
      <c r="AI30" s="774"/>
      <c r="AJ30" s="774"/>
      <c r="AK30" s="774"/>
      <c r="AL30" s="774"/>
      <c r="AM30" s="774"/>
      <c r="AN30" s="774"/>
      <c r="AO30" s="774"/>
      <c r="AP30" s="774"/>
      <c r="AQ30" s="774"/>
      <c r="AR30" s="774"/>
      <c r="AS30" s="774"/>
      <c r="AT30" s="774"/>
      <c r="AU30" s="600"/>
      <c r="AV30" s="600"/>
      <c r="AW30" s="600"/>
      <c r="AX30" s="597"/>
      <c r="AY30" s="597"/>
      <c r="AZ30" s="214"/>
      <c r="BA30" s="490" t="str">
        <f t="shared" si="0"/>
        <v>SUM_CO2</v>
      </c>
      <c r="BB30" s="581" t="str">
        <f t="shared" si="1"/>
        <v>SUM_EnergyIN</v>
      </c>
      <c r="BC30" s="602"/>
      <c r="BD30" s="23"/>
    </row>
    <row r="31" spans="1:56" x14ac:dyDescent="0.2">
      <c r="A31" s="602"/>
      <c r="B31" s="214"/>
      <c r="C31" s="544">
        <v>8</v>
      </c>
      <c r="D31" s="596"/>
      <c r="E31" s="596"/>
      <c r="F31" s="597"/>
      <c r="G31" s="598"/>
      <c r="H31" s="597"/>
      <c r="I31" s="598"/>
      <c r="J31" s="597"/>
      <c r="K31" s="598"/>
      <c r="L31" s="598"/>
      <c r="M31" s="598"/>
      <c r="N31" s="597"/>
      <c r="O31" s="599"/>
      <c r="P31" s="597"/>
      <c r="Q31" s="599"/>
      <c r="R31" s="597"/>
      <c r="S31" s="599"/>
      <c r="T31" s="597"/>
      <c r="U31" s="599"/>
      <c r="V31" s="774"/>
      <c r="W31" s="774"/>
      <c r="X31" s="774"/>
      <c r="Y31" s="774"/>
      <c r="Z31" s="774"/>
      <c r="AA31" s="774"/>
      <c r="AB31" s="774"/>
      <c r="AC31" s="774"/>
      <c r="AD31" s="774"/>
      <c r="AE31" s="774"/>
      <c r="AF31" s="774"/>
      <c r="AG31" s="774"/>
      <c r="AH31" s="774"/>
      <c r="AI31" s="774"/>
      <c r="AJ31" s="774"/>
      <c r="AK31" s="774"/>
      <c r="AL31" s="774"/>
      <c r="AM31" s="774"/>
      <c r="AN31" s="774"/>
      <c r="AO31" s="774"/>
      <c r="AP31" s="774"/>
      <c r="AQ31" s="774"/>
      <c r="AR31" s="774"/>
      <c r="AS31" s="774"/>
      <c r="AT31" s="774"/>
      <c r="AU31" s="600"/>
      <c r="AV31" s="600"/>
      <c r="AW31" s="600"/>
      <c r="AX31" s="597"/>
      <c r="AY31" s="597"/>
      <c r="AZ31" s="214"/>
      <c r="BA31" s="490" t="str">
        <f t="shared" si="0"/>
        <v>SUM_CO2</v>
      </c>
      <c r="BB31" s="581" t="str">
        <f t="shared" si="1"/>
        <v>SUM_EnergyIN</v>
      </c>
      <c r="BC31" s="602"/>
      <c r="BD31" s="23"/>
    </row>
    <row r="32" spans="1:56" x14ac:dyDescent="0.2">
      <c r="A32" s="602"/>
      <c r="B32" s="214"/>
      <c r="C32" s="544">
        <v>9</v>
      </c>
      <c r="D32" s="596"/>
      <c r="E32" s="596"/>
      <c r="F32" s="597"/>
      <c r="G32" s="598"/>
      <c r="H32" s="597"/>
      <c r="I32" s="598"/>
      <c r="J32" s="597"/>
      <c r="K32" s="598"/>
      <c r="L32" s="598"/>
      <c r="M32" s="598"/>
      <c r="N32" s="597"/>
      <c r="O32" s="599"/>
      <c r="P32" s="597"/>
      <c r="Q32" s="599"/>
      <c r="R32" s="597"/>
      <c r="S32" s="599"/>
      <c r="T32" s="597"/>
      <c r="U32" s="599"/>
      <c r="V32" s="774"/>
      <c r="W32" s="774"/>
      <c r="X32" s="774"/>
      <c r="Y32" s="774"/>
      <c r="Z32" s="774"/>
      <c r="AA32" s="774"/>
      <c r="AB32" s="774"/>
      <c r="AC32" s="774"/>
      <c r="AD32" s="774"/>
      <c r="AE32" s="774"/>
      <c r="AF32" s="774"/>
      <c r="AG32" s="774"/>
      <c r="AH32" s="774"/>
      <c r="AI32" s="774"/>
      <c r="AJ32" s="774"/>
      <c r="AK32" s="774"/>
      <c r="AL32" s="774"/>
      <c r="AM32" s="774"/>
      <c r="AN32" s="774"/>
      <c r="AO32" s="774"/>
      <c r="AP32" s="774"/>
      <c r="AQ32" s="774"/>
      <c r="AR32" s="774"/>
      <c r="AS32" s="774"/>
      <c r="AT32" s="774"/>
      <c r="AU32" s="600"/>
      <c r="AV32" s="600"/>
      <c r="AW32" s="600"/>
      <c r="AX32" s="597"/>
      <c r="AY32" s="597"/>
      <c r="AZ32" s="214"/>
      <c r="BA32" s="490" t="str">
        <f t="shared" si="0"/>
        <v>SUM_CO2</v>
      </c>
      <c r="BB32" s="581" t="str">
        <f t="shared" si="1"/>
        <v>SUM_EnergyIN</v>
      </c>
      <c r="BC32" s="602"/>
      <c r="BD32" s="23"/>
    </row>
    <row r="33" spans="1:56" x14ac:dyDescent="0.2">
      <c r="A33" s="602"/>
      <c r="B33" s="214"/>
      <c r="C33" s="544">
        <v>10</v>
      </c>
      <c r="D33" s="596"/>
      <c r="E33" s="596"/>
      <c r="F33" s="597"/>
      <c r="G33" s="598"/>
      <c r="H33" s="597"/>
      <c r="I33" s="598"/>
      <c r="J33" s="597"/>
      <c r="K33" s="598"/>
      <c r="L33" s="598"/>
      <c r="M33" s="598"/>
      <c r="N33" s="597"/>
      <c r="O33" s="599"/>
      <c r="P33" s="597"/>
      <c r="Q33" s="599"/>
      <c r="R33" s="597"/>
      <c r="S33" s="599"/>
      <c r="T33" s="597"/>
      <c r="U33" s="599"/>
      <c r="V33" s="774"/>
      <c r="W33" s="774"/>
      <c r="X33" s="774"/>
      <c r="Y33" s="774"/>
      <c r="Z33" s="774"/>
      <c r="AA33" s="774"/>
      <c r="AB33" s="774"/>
      <c r="AC33" s="774"/>
      <c r="AD33" s="774"/>
      <c r="AE33" s="774"/>
      <c r="AF33" s="774"/>
      <c r="AG33" s="774"/>
      <c r="AH33" s="774"/>
      <c r="AI33" s="774"/>
      <c r="AJ33" s="774"/>
      <c r="AK33" s="774"/>
      <c r="AL33" s="774"/>
      <c r="AM33" s="774"/>
      <c r="AN33" s="774"/>
      <c r="AO33" s="774"/>
      <c r="AP33" s="774"/>
      <c r="AQ33" s="774"/>
      <c r="AR33" s="774"/>
      <c r="AS33" s="774"/>
      <c r="AT33" s="774"/>
      <c r="AU33" s="600"/>
      <c r="AV33" s="600"/>
      <c r="AW33" s="600"/>
      <c r="AX33" s="597"/>
      <c r="AY33" s="597"/>
      <c r="AZ33" s="214"/>
      <c r="BA33" s="490" t="str">
        <f t="shared" si="0"/>
        <v>SUM_CO2</v>
      </c>
      <c r="BB33" s="581" t="str">
        <f t="shared" si="1"/>
        <v>SUM_EnergyIN</v>
      </c>
      <c r="BC33" s="602"/>
      <c r="BD33" s="23"/>
    </row>
    <row r="34" spans="1:56" x14ac:dyDescent="0.2">
      <c r="A34" s="602"/>
      <c r="B34" s="214"/>
      <c r="C34" s="544">
        <v>11</v>
      </c>
      <c r="D34" s="596"/>
      <c r="E34" s="596"/>
      <c r="F34" s="597"/>
      <c r="G34" s="598"/>
      <c r="H34" s="597"/>
      <c r="I34" s="598"/>
      <c r="J34" s="597"/>
      <c r="K34" s="598"/>
      <c r="L34" s="598"/>
      <c r="M34" s="598"/>
      <c r="N34" s="597"/>
      <c r="O34" s="599"/>
      <c r="P34" s="597"/>
      <c r="Q34" s="599"/>
      <c r="R34" s="597"/>
      <c r="S34" s="599"/>
      <c r="T34" s="597"/>
      <c r="U34" s="599"/>
      <c r="V34" s="774"/>
      <c r="W34" s="774"/>
      <c r="X34" s="774"/>
      <c r="Y34" s="774"/>
      <c r="Z34" s="774"/>
      <c r="AA34" s="774"/>
      <c r="AB34" s="774"/>
      <c r="AC34" s="774"/>
      <c r="AD34" s="774"/>
      <c r="AE34" s="774"/>
      <c r="AF34" s="774"/>
      <c r="AG34" s="774"/>
      <c r="AH34" s="774"/>
      <c r="AI34" s="774"/>
      <c r="AJ34" s="774"/>
      <c r="AK34" s="774"/>
      <c r="AL34" s="774"/>
      <c r="AM34" s="774"/>
      <c r="AN34" s="774"/>
      <c r="AO34" s="774"/>
      <c r="AP34" s="774"/>
      <c r="AQ34" s="774"/>
      <c r="AR34" s="774"/>
      <c r="AS34" s="774"/>
      <c r="AT34" s="774"/>
      <c r="AU34" s="600"/>
      <c r="AV34" s="600"/>
      <c r="AW34" s="600"/>
      <c r="AX34" s="597"/>
      <c r="AY34" s="597"/>
      <c r="AZ34" s="214"/>
      <c r="BA34" s="490" t="str">
        <f t="shared" si="0"/>
        <v>SUM_CO2</v>
      </c>
      <c r="BB34" s="581" t="str">
        <f t="shared" si="1"/>
        <v>SUM_EnergyIN</v>
      </c>
      <c r="BC34" s="602"/>
      <c r="BD34" s="23"/>
    </row>
    <row r="35" spans="1:56" x14ac:dyDescent="0.2">
      <c r="A35" s="602"/>
      <c r="B35" s="214"/>
      <c r="C35" s="544">
        <v>12</v>
      </c>
      <c r="D35" s="596"/>
      <c r="E35" s="596"/>
      <c r="F35" s="597"/>
      <c r="G35" s="598"/>
      <c r="H35" s="597"/>
      <c r="I35" s="598"/>
      <c r="J35" s="597"/>
      <c r="K35" s="598"/>
      <c r="L35" s="598"/>
      <c r="M35" s="598"/>
      <c r="N35" s="597"/>
      <c r="O35" s="599"/>
      <c r="P35" s="597"/>
      <c r="Q35" s="599"/>
      <c r="R35" s="597"/>
      <c r="S35" s="599"/>
      <c r="T35" s="597"/>
      <c r="U35" s="599"/>
      <c r="V35" s="774"/>
      <c r="W35" s="774"/>
      <c r="X35" s="774"/>
      <c r="Y35" s="774"/>
      <c r="Z35" s="774"/>
      <c r="AA35" s="774"/>
      <c r="AB35" s="774"/>
      <c r="AC35" s="774"/>
      <c r="AD35" s="774"/>
      <c r="AE35" s="774"/>
      <c r="AF35" s="774"/>
      <c r="AG35" s="774"/>
      <c r="AH35" s="774"/>
      <c r="AI35" s="774"/>
      <c r="AJ35" s="774"/>
      <c r="AK35" s="774"/>
      <c r="AL35" s="774"/>
      <c r="AM35" s="774"/>
      <c r="AN35" s="774"/>
      <c r="AO35" s="774"/>
      <c r="AP35" s="774"/>
      <c r="AQ35" s="774"/>
      <c r="AR35" s="774"/>
      <c r="AS35" s="774"/>
      <c r="AT35" s="774"/>
      <c r="AU35" s="600"/>
      <c r="AV35" s="600"/>
      <c r="AW35" s="600"/>
      <c r="AX35" s="597"/>
      <c r="AY35" s="597"/>
      <c r="AZ35" s="214"/>
      <c r="BA35" s="490" t="str">
        <f t="shared" si="0"/>
        <v>SUM_CO2</v>
      </c>
      <c r="BB35" s="581" t="str">
        <f t="shared" si="1"/>
        <v>SUM_EnergyIN</v>
      </c>
      <c r="BC35" s="602"/>
      <c r="BD35" s="23"/>
    </row>
    <row r="36" spans="1:56" x14ac:dyDescent="0.2">
      <c r="A36" s="602"/>
      <c r="B36" s="214"/>
      <c r="C36" s="544">
        <v>13</v>
      </c>
      <c r="D36" s="596"/>
      <c r="E36" s="596"/>
      <c r="F36" s="597"/>
      <c r="G36" s="598"/>
      <c r="H36" s="597"/>
      <c r="I36" s="598"/>
      <c r="J36" s="597"/>
      <c r="K36" s="598"/>
      <c r="L36" s="598"/>
      <c r="M36" s="598"/>
      <c r="N36" s="597"/>
      <c r="O36" s="599"/>
      <c r="P36" s="597"/>
      <c r="Q36" s="599"/>
      <c r="R36" s="597"/>
      <c r="S36" s="599"/>
      <c r="T36" s="597"/>
      <c r="U36" s="599"/>
      <c r="V36" s="774"/>
      <c r="W36" s="774"/>
      <c r="X36" s="774"/>
      <c r="Y36" s="774"/>
      <c r="Z36" s="774"/>
      <c r="AA36" s="774"/>
      <c r="AB36" s="774"/>
      <c r="AC36" s="774"/>
      <c r="AD36" s="774"/>
      <c r="AE36" s="774"/>
      <c r="AF36" s="774"/>
      <c r="AG36" s="774"/>
      <c r="AH36" s="774"/>
      <c r="AI36" s="774"/>
      <c r="AJ36" s="774"/>
      <c r="AK36" s="774"/>
      <c r="AL36" s="774"/>
      <c r="AM36" s="774"/>
      <c r="AN36" s="774"/>
      <c r="AO36" s="774"/>
      <c r="AP36" s="774"/>
      <c r="AQ36" s="774"/>
      <c r="AR36" s="774"/>
      <c r="AS36" s="774"/>
      <c r="AT36" s="774"/>
      <c r="AU36" s="600"/>
      <c r="AV36" s="600"/>
      <c r="AW36" s="600"/>
      <c r="AX36" s="597"/>
      <c r="AY36" s="597"/>
      <c r="AZ36" s="214"/>
      <c r="BA36" s="490" t="str">
        <f t="shared" si="0"/>
        <v>SUM_CO2</v>
      </c>
      <c r="BB36" s="581" t="str">
        <f t="shared" si="1"/>
        <v>SUM_EnergyIN</v>
      </c>
      <c r="BC36" s="602"/>
      <c r="BD36" s="23"/>
    </row>
    <row r="37" spans="1:56" x14ac:dyDescent="0.2">
      <c r="A37" s="602"/>
      <c r="B37" s="214"/>
      <c r="C37" s="544">
        <v>14</v>
      </c>
      <c r="D37" s="596"/>
      <c r="E37" s="596"/>
      <c r="F37" s="597"/>
      <c r="G37" s="598"/>
      <c r="H37" s="597"/>
      <c r="I37" s="598"/>
      <c r="J37" s="597"/>
      <c r="K37" s="598"/>
      <c r="L37" s="598"/>
      <c r="M37" s="598"/>
      <c r="N37" s="597"/>
      <c r="O37" s="599"/>
      <c r="P37" s="597"/>
      <c r="Q37" s="599"/>
      <c r="R37" s="597"/>
      <c r="S37" s="599"/>
      <c r="T37" s="597"/>
      <c r="U37" s="599"/>
      <c r="V37" s="774"/>
      <c r="W37" s="774"/>
      <c r="X37" s="774"/>
      <c r="Y37" s="774"/>
      <c r="Z37" s="774"/>
      <c r="AA37" s="774"/>
      <c r="AB37" s="774"/>
      <c r="AC37" s="774"/>
      <c r="AD37" s="774"/>
      <c r="AE37" s="774"/>
      <c r="AF37" s="774"/>
      <c r="AG37" s="774"/>
      <c r="AH37" s="774"/>
      <c r="AI37" s="774"/>
      <c r="AJ37" s="774"/>
      <c r="AK37" s="774"/>
      <c r="AL37" s="774"/>
      <c r="AM37" s="774"/>
      <c r="AN37" s="774"/>
      <c r="AO37" s="774"/>
      <c r="AP37" s="774"/>
      <c r="AQ37" s="774"/>
      <c r="AR37" s="774"/>
      <c r="AS37" s="774"/>
      <c r="AT37" s="774"/>
      <c r="AU37" s="600"/>
      <c r="AV37" s="600"/>
      <c r="AW37" s="600"/>
      <c r="AX37" s="597"/>
      <c r="AY37" s="597"/>
      <c r="AZ37" s="214"/>
      <c r="BA37" s="490" t="str">
        <f t="shared" si="0"/>
        <v>SUM_CO2</v>
      </c>
      <c r="BB37" s="581" t="str">
        <f t="shared" si="1"/>
        <v>SUM_EnergyIN</v>
      </c>
      <c r="BC37" s="602"/>
      <c r="BD37" s="23"/>
    </row>
    <row r="38" spans="1:56" x14ac:dyDescent="0.2">
      <c r="A38" s="602"/>
      <c r="B38" s="214"/>
      <c r="C38" s="544">
        <v>15</v>
      </c>
      <c r="D38" s="596"/>
      <c r="E38" s="596"/>
      <c r="F38" s="597"/>
      <c r="G38" s="598"/>
      <c r="H38" s="597"/>
      <c r="I38" s="598"/>
      <c r="J38" s="597"/>
      <c r="K38" s="598"/>
      <c r="L38" s="598"/>
      <c r="M38" s="598"/>
      <c r="N38" s="597"/>
      <c r="O38" s="599"/>
      <c r="P38" s="597"/>
      <c r="Q38" s="599"/>
      <c r="R38" s="597"/>
      <c r="S38" s="599"/>
      <c r="T38" s="597"/>
      <c r="U38" s="599"/>
      <c r="V38" s="774"/>
      <c r="W38" s="774"/>
      <c r="X38" s="774"/>
      <c r="Y38" s="774"/>
      <c r="Z38" s="774"/>
      <c r="AA38" s="774"/>
      <c r="AB38" s="774"/>
      <c r="AC38" s="774"/>
      <c r="AD38" s="774"/>
      <c r="AE38" s="774"/>
      <c r="AF38" s="774"/>
      <c r="AG38" s="774"/>
      <c r="AH38" s="774"/>
      <c r="AI38" s="774"/>
      <c r="AJ38" s="774"/>
      <c r="AK38" s="774"/>
      <c r="AL38" s="774"/>
      <c r="AM38" s="774"/>
      <c r="AN38" s="774"/>
      <c r="AO38" s="774"/>
      <c r="AP38" s="774"/>
      <c r="AQ38" s="774"/>
      <c r="AR38" s="774"/>
      <c r="AS38" s="774"/>
      <c r="AT38" s="774"/>
      <c r="AU38" s="600"/>
      <c r="AV38" s="600"/>
      <c r="AW38" s="600"/>
      <c r="AX38" s="597"/>
      <c r="AY38" s="597"/>
      <c r="AZ38" s="214"/>
      <c r="BA38" s="490" t="str">
        <f t="shared" si="0"/>
        <v>SUM_CO2</v>
      </c>
      <c r="BB38" s="581" t="str">
        <f t="shared" si="1"/>
        <v>SUM_EnergyIN</v>
      </c>
      <c r="BC38" s="602"/>
      <c r="BD38" s="23"/>
    </row>
    <row r="39" spans="1:56" x14ac:dyDescent="0.2">
      <c r="A39" s="602"/>
      <c r="B39" s="214"/>
      <c r="C39" s="544">
        <v>16</v>
      </c>
      <c r="D39" s="596"/>
      <c r="E39" s="596"/>
      <c r="F39" s="597"/>
      <c r="G39" s="598"/>
      <c r="H39" s="597"/>
      <c r="I39" s="598"/>
      <c r="J39" s="597"/>
      <c r="K39" s="598"/>
      <c r="L39" s="598"/>
      <c r="M39" s="598"/>
      <c r="N39" s="597"/>
      <c r="O39" s="599"/>
      <c r="P39" s="597"/>
      <c r="Q39" s="599"/>
      <c r="R39" s="597"/>
      <c r="S39" s="599"/>
      <c r="T39" s="597"/>
      <c r="U39" s="599"/>
      <c r="V39" s="774"/>
      <c r="W39" s="774"/>
      <c r="X39" s="774"/>
      <c r="Y39" s="774"/>
      <c r="Z39" s="774"/>
      <c r="AA39" s="774"/>
      <c r="AB39" s="774"/>
      <c r="AC39" s="774"/>
      <c r="AD39" s="774"/>
      <c r="AE39" s="774"/>
      <c r="AF39" s="774"/>
      <c r="AG39" s="774"/>
      <c r="AH39" s="774"/>
      <c r="AI39" s="774"/>
      <c r="AJ39" s="774"/>
      <c r="AK39" s="774"/>
      <c r="AL39" s="774"/>
      <c r="AM39" s="774"/>
      <c r="AN39" s="774"/>
      <c r="AO39" s="774"/>
      <c r="AP39" s="774"/>
      <c r="AQ39" s="774"/>
      <c r="AR39" s="774"/>
      <c r="AS39" s="774"/>
      <c r="AT39" s="774"/>
      <c r="AU39" s="600"/>
      <c r="AV39" s="600"/>
      <c r="AW39" s="600"/>
      <c r="AX39" s="597"/>
      <c r="AY39" s="597"/>
      <c r="AZ39" s="214"/>
      <c r="BA39" s="490" t="str">
        <f t="shared" si="0"/>
        <v>SUM_CO2</v>
      </c>
      <c r="BB39" s="581" t="str">
        <f t="shared" si="1"/>
        <v>SUM_EnergyIN</v>
      </c>
      <c r="BC39" s="602"/>
      <c r="BD39" s="23"/>
    </row>
    <row r="40" spans="1:56" x14ac:dyDescent="0.2">
      <c r="A40" s="602"/>
      <c r="B40" s="214"/>
      <c r="C40" s="544">
        <v>17</v>
      </c>
      <c r="D40" s="596"/>
      <c r="E40" s="596"/>
      <c r="F40" s="597"/>
      <c r="G40" s="598"/>
      <c r="H40" s="597"/>
      <c r="I40" s="598"/>
      <c r="J40" s="597"/>
      <c r="K40" s="598"/>
      <c r="L40" s="598"/>
      <c r="M40" s="598"/>
      <c r="N40" s="597"/>
      <c r="O40" s="599"/>
      <c r="P40" s="597"/>
      <c r="Q40" s="599"/>
      <c r="R40" s="597"/>
      <c r="S40" s="599"/>
      <c r="T40" s="597"/>
      <c r="U40" s="599"/>
      <c r="V40" s="774"/>
      <c r="W40" s="774"/>
      <c r="X40" s="774"/>
      <c r="Y40" s="774"/>
      <c r="Z40" s="774"/>
      <c r="AA40" s="774"/>
      <c r="AB40" s="774"/>
      <c r="AC40" s="774"/>
      <c r="AD40" s="774"/>
      <c r="AE40" s="774"/>
      <c r="AF40" s="774"/>
      <c r="AG40" s="774"/>
      <c r="AH40" s="774"/>
      <c r="AI40" s="774"/>
      <c r="AJ40" s="774"/>
      <c r="AK40" s="774"/>
      <c r="AL40" s="774"/>
      <c r="AM40" s="774"/>
      <c r="AN40" s="774"/>
      <c r="AO40" s="774"/>
      <c r="AP40" s="774"/>
      <c r="AQ40" s="774"/>
      <c r="AR40" s="774"/>
      <c r="AS40" s="774"/>
      <c r="AT40" s="774"/>
      <c r="AU40" s="600"/>
      <c r="AV40" s="600"/>
      <c r="AW40" s="600"/>
      <c r="AX40" s="597"/>
      <c r="AY40" s="597"/>
      <c r="AZ40" s="214"/>
      <c r="BA40" s="490" t="str">
        <f t="shared" si="0"/>
        <v>SUM_CO2</v>
      </c>
      <c r="BB40" s="581" t="str">
        <f t="shared" si="1"/>
        <v>SUM_EnergyIN</v>
      </c>
      <c r="BC40" s="602"/>
      <c r="BD40" s="23"/>
    </row>
    <row r="41" spans="1:56" x14ac:dyDescent="0.2">
      <c r="A41" s="602"/>
      <c r="B41" s="214"/>
      <c r="C41" s="544">
        <v>18</v>
      </c>
      <c r="D41" s="596"/>
      <c r="E41" s="596"/>
      <c r="F41" s="597"/>
      <c r="G41" s="598"/>
      <c r="H41" s="597"/>
      <c r="I41" s="598"/>
      <c r="J41" s="597"/>
      <c r="K41" s="598"/>
      <c r="L41" s="598"/>
      <c r="M41" s="598"/>
      <c r="N41" s="597"/>
      <c r="O41" s="599"/>
      <c r="P41" s="597"/>
      <c r="Q41" s="599"/>
      <c r="R41" s="597"/>
      <c r="S41" s="599"/>
      <c r="T41" s="597"/>
      <c r="U41" s="599"/>
      <c r="V41" s="774"/>
      <c r="W41" s="774"/>
      <c r="X41" s="774"/>
      <c r="Y41" s="774"/>
      <c r="Z41" s="774"/>
      <c r="AA41" s="774"/>
      <c r="AB41" s="774"/>
      <c r="AC41" s="774"/>
      <c r="AD41" s="774"/>
      <c r="AE41" s="774"/>
      <c r="AF41" s="774"/>
      <c r="AG41" s="774"/>
      <c r="AH41" s="774"/>
      <c r="AI41" s="774"/>
      <c r="AJ41" s="774"/>
      <c r="AK41" s="774"/>
      <c r="AL41" s="774"/>
      <c r="AM41" s="774"/>
      <c r="AN41" s="774"/>
      <c r="AO41" s="774"/>
      <c r="AP41" s="774"/>
      <c r="AQ41" s="774"/>
      <c r="AR41" s="774"/>
      <c r="AS41" s="774"/>
      <c r="AT41" s="774"/>
      <c r="AU41" s="600"/>
      <c r="AV41" s="600"/>
      <c r="AW41" s="600"/>
      <c r="AX41" s="597"/>
      <c r="AY41" s="597"/>
      <c r="AZ41" s="214"/>
      <c r="BA41" s="490" t="str">
        <f t="shared" si="0"/>
        <v>SUM_CO2</v>
      </c>
      <c r="BB41" s="581" t="str">
        <f t="shared" si="1"/>
        <v>SUM_EnergyIN</v>
      </c>
      <c r="BC41" s="602"/>
      <c r="BD41" s="23"/>
    </row>
    <row r="42" spans="1:56" x14ac:dyDescent="0.2">
      <c r="A42" s="602"/>
      <c r="B42" s="214"/>
      <c r="C42" s="544">
        <v>19</v>
      </c>
      <c r="D42" s="596"/>
      <c r="E42" s="596"/>
      <c r="F42" s="597"/>
      <c r="G42" s="598"/>
      <c r="H42" s="597"/>
      <c r="I42" s="598"/>
      <c r="J42" s="597"/>
      <c r="K42" s="598"/>
      <c r="L42" s="598"/>
      <c r="M42" s="598"/>
      <c r="N42" s="597"/>
      <c r="O42" s="599"/>
      <c r="P42" s="597"/>
      <c r="Q42" s="599"/>
      <c r="R42" s="597"/>
      <c r="S42" s="599"/>
      <c r="T42" s="597"/>
      <c r="U42" s="599"/>
      <c r="V42" s="774"/>
      <c r="W42" s="774"/>
      <c r="X42" s="774"/>
      <c r="Y42" s="774"/>
      <c r="Z42" s="774"/>
      <c r="AA42" s="774"/>
      <c r="AB42" s="774"/>
      <c r="AC42" s="774"/>
      <c r="AD42" s="774"/>
      <c r="AE42" s="774"/>
      <c r="AF42" s="774"/>
      <c r="AG42" s="774"/>
      <c r="AH42" s="774"/>
      <c r="AI42" s="774"/>
      <c r="AJ42" s="774"/>
      <c r="AK42" s="774"/>
      <c r="AL42" s="774"/>
      <c r="AM42" s="774"/>
      <c r="AN42" s="774"/>
      <c r="AO42" s="774"/>
      <c r="AP42" s="774"/>
      <c r="AQ42" s="774"/>
      <c r="AR42" s="774"/>
      <c r="AS42" s="774"/>
      <c r="AT42" s="774"/>
      <c r="AU42" s="600"/>
      <c r="AV42" s="600"/>
      <c r="AW42" s="600"/>
      <c r="AX42" s="597"/>
      <c r="AY42" s="597"/>
      <c r="AZ42" s="214"/>
      <c r="BA42" s="490" t="str">
        <f t="shared" si="0"/>
        <v>SUM_CO2</v>
      </c>
      <c r="BB42" s="581" t="str">
        <f t="shared" si="1"/>
        <v>SUM_EnergyIN</v>
      </c>
      <c r="BC42" s="602"/>
      <c r="BD42" s="23"/>
    </row>
    <row r="43" spans="1:56" x14ac:dyDescent="0.2">
      <c r="A43" s="602"/>
      <c r="B43" s="214"/>
      <c r="C43" s="544">
        <v>20</v>
      </c>
      <c r="D43" s="596"/>
      <c r="E43" s="596"/>
      <c r="F43" s="597"/>
      <c r="G43" s="598"/>
      <c r="H43" s="597"/>
      <c r="I43" s="598"/>
      <c r="J43" s="597"/>
      <c r="K43" s="598"/>
      <c r="L43" s="598"/>
      <c r="M43" s="598"/>
      <c r="N43" s="597"/>
      <c r="O43" s="599"/>
      <c r="P43" s="597"/>
      <c r="Q43" s="599"/>
      <c r="R43" s="597"/>
      <c r="S43" s="599"/>
      <c r="T43" s="597"/>
      <c r="U43" s="599"/>
      <c r="V43" s="774"/>
      <c r="W43" s="774"/>
      <c r="X43" s="774"/>
      <c r="Y43" s="774"/>
      <c r="Z43" s="774"/>
      <c r="AA43" s="774"/>
      <c r="AB43" s="774"/>
      <c r="AC43" s="774"/>
      <c r="AD43" s="774"/>
      <c r="AE43" s="774"/>
      <c r="AF43" s="774"/>
      <c r="AG43" s="774"/>
      <c r="AH43" s="774"/>
      <c r="AI43" s="774"/>
      <c r="AJ43" s="774"/>
      <c r="AK43" s="774"/>
      <c r="AL43" s="774"/>
      <c r="AM43" s="774"/>
      <c r="AN43" s="774"/>
      <c r="AO43" s="774"/>
      <c r="AP43" s="774"/>
      <c r="AQ43" s="774"/>
      <c r="AR43" s="774"/>
      <c r="AS43" s="774"/>
      <c r="AT43" s="774"/>
      <c r="AU43" s="600"/>
      <c r="AV43" s="600"/>
      <c r="AW43" s="600"/>
      <c r="AX43" s="597"/>
      <c r="AY43" s="597"/>
      <c r="AZ43" s="214"/>
      <c r="BA43" s="490" t="str">
        <f t="shared" si="0"/>
        <v>SUM_CO2</v>
      </c>
      <c r="BB43" s="581" t="str">
        <f t="shared" si="1"/>
        <v>SUM_EnergyIN</v>
      </c>
      <c r="BC43" s="602"/>
      <c r="BD43" s="23"/>
    </row>
    <row r="44" spans="1:56" x14ac:dyDescent="0.2">
      <c r="A44" s="602"/>
      <c r="B44" s="214"/>
      <c r="C44" s="544">
        <v>21</v>
      </c>
      <c r="D44" s="596"/>
      <c r="E44" s="596"/>
      <c r="F44" s="597"/>
      <c r="G44" s="598"/>
      <c r="H44" s="597"/>
      <c r="I44" s="598"/>
      <c r="J44" s="597"/>
      <c r="K44" s="598"/>
      <c r="L44" s="598"/>
      <c r="M44" s="598"/>
      <c r="N44" s="597"/>
      <c r="O44" s="599"/>
      <c r="P44" s="597"/>
      <c r="Q44" s="599"/>
      <c r="R44" s="597"/>
      <c r="S44" s="599"/>
      <c r="T44" s="597"/>
      <c r="U44" s="599"/>
      <c r="V44" s="774"/>
      <c r="W44" s="774"/>
      <c r="X44" s="774"/>
      <c r="Y44" s="774"/>
      <c r="Z44" s="774"/>
      <c r="AA44" s="774"/>
      <c r="AB44" s="774"/>
      <c r="AC44" s="774"/>
      <c r="AD44" s="774"/>
      <c r="AE44" s="774"/>
      <c r="AF44" s="774"/>
      <c r="AG44" s="774"/>
      <c r="AH44" s="774"/>
      <c r="AI44" s="774"/>
      <c r="AJ44" s="774"/>
      <c r="AK44" s="774"/>
      <c r="AL44" s="774"/>
      <c r="AM44" s="774"/>
      <c r="AN44" s="774"/>
      <c r="AO44" s="774"/>
      <c r="AP44" s="774"/>
      <c r="AQ44" s="774"/>
      <c r="AR44" s="774"/>
      <c r="AS44" s="774"/>
      <c r="AT44" s="774"/>
      <c r="AU44" s="600"/>
      <c r="AV44" s="600"/>
      <c r="AW44" s="600"/>
      <c r="AX44" s="597"/>
      <c r="AY44" s="597"/>
      <c r="AZ44" s="214"/>
      <c r="BA44" s="490" t="str">
        <f t="shared" si="0"/>
        <v>SUM_CO2</v>
      </c>
      <c r="BB44" s="581" t="str">
        <f t="shared" si="1"/>
        <v>SUM_EnergyIN</v>
      </c>
      <c r="BC44" s="602"/>
      <c r="BD44" s="23"/>
    </row>
    <row r="45" spans="1:56" x14ac:dyDescent="0.2">
      <c r="A45" s="602"/>
      <c r="B45" s="214"/>
      <c r="C45" s="544">
        <v>22</v>
      </c>
      <c r="D45" s="596"/>
      <c r="E45" s="596"/>
      <c r="F45" s="597"/>
      <c r="G45" s="598"/>
      <c r="H45" s="597"/>
      <c r="I45" s="598"/>
      <c r="J45" s="597"/>
      <c r="K45" s="598"/>
      <c r="L45" s="598"/>
      <c r="M45" s="598"/>
      <c r="N45" s="597"/>
      <c r="O45" s="599"/>
      <c r="P45" s="597"/>
      <c r="Q45" s="599"/>
      <c r="R45" s="597"/>
      <c r="S45" s="599"/>
      <c r="T45" s="597"/>
      <c r="U45" s="599"/>
      <c r="V45" s="774"/>
      <c r="W45" s="774"/>
      <c r="X45" s="774"/>
      <c r="Y45" s="774"/>
      <c r="Z45" s="774"/>
      <c r="AA45" s="774"/>
      <c r="AB45" s="774"/>
      <c r="AC45" s="774"/>
      <c r="AD45" s="774"/>
      <c r="AE45" s="774"/>
      <c r="AF45" s="774"/>
      <c r="AG45" s="774"/>
      <c r="AH45" s="774"/>
      <c r="AI45" s="774"/>
      <c r="AJ45" s="774"/>
      <c r="AK45" s="774"/>
      <c r="AL45" s="774"/>
      <c r="AM45" s="774"/>
      <c r="AN45" s="774"/>
      <c r="AO45" s="774"/>
      <c r="AP45" s="774"/>
      <c r="AQ45" s="774"/>
      <c r="AR45" s="774"/>
      <c r="AS45" s="774"/>
      <c r="AT45" s="774"/>
      <c r="AU45" s="600"/>
      <c r="AV45" s="600"/>
      <c r="AW45" s="600"/>
      <c r="AX45" s="597"/>
      <c r="AY45" s="597"/>
      <c r="AZ45" s="214"/>
      <c r="BA45" s="490" t="str">
        <f t="shared" si="0"/>
        <v>SUM_CO2</v>
      </c>
      <c r="BB45" s="581" t="str">
        <f t="shared" si="1"/>
        <v>SUM_EnergyIN</v>
      </c>
      <c r="BC45" s="602"/>
      <c r="BD45" s="23"/>
    </row>
    <row r="46" spans="1:56" x14ac:dyDescent="0.2">
      <c r="A46" s="602"/>
      <c r="B46" s="214"/>
      <c r="C46" s="544">
        <v>23</v>
      </c>
      <c r="D46" s="596"/>
      <c r="E46" s="596"/>
      <c r="F46" s="597"/>
      <c r="G46" s="598"/>
      <c r="H46" s="597"/>
      <c r="I46" s="598"/>
      <c r="J46" s="597"/>
      <c r="K46" s="598"/>
      <c r="L46" s="598"/>
      <c r="M46" s="598"/>
      <c r="N46" s="597"/>
      <c r="O46" s="599"/>
      <c r="P46" s="597"/>
      <c r="Q46" s="599"/>
      <c r="R46" s="597"/>
      <c r="S46" s="599"/>
      <c r="T46" s="597"/>
      <c r="U46" s="599"/>
      <c r="V46" s="774"/>
      <c r="W46" s="774"/>
      <c r="X46" s="774"/>
      <c r="Y46" s="774"/>
      <c r="Z46" s="774"/>
      <c r="AA46" s="774"/>
      <c r="AB46" s="774"/>
      <c r="AC46" s="774"/>
      <c r="AD46" s="774"/>
      <c r="AE46" s="774"/>
      <c r="AF46" s="774"/>
      <c r="AG46" s="774"/>
      <c r="AH46" s="774"/>
      <c r="AI46" s="774"/>
      <c r="AJ46" s="774"/>
      <c r="AK46" s="774"/>
      <c r="AL46" s="774"/>
      <c r="AM46" s="774"/>
      <c r="AN46" s="774"/>
      <c r="AO46" s="774"/>
      <c r="AP46" s="774"/>
      <c r="AQ46" s="774"/>
      <c r="AR46" s="774"/>
      <c r="AS46" s="774"/>
      <c r="AT46" s="774"/>
      <c r="AU46" s="600"/>
      <c r="AV46" s="600"/>
      <c r="AW46" s="600"/>
      <c r="AX46" s="597"/>
      <c r="AY46" s="597"/>
      <c r="AZ46" s="214"/>
      <c r="BA46" s="490" t="str">
        <f t="shared" si="0"/>
        <v>SUM_CO2</v>
      </c>
      <c r="BB46" s="581" t="str">
        <f t="shared" si="1"/>
        <v>SUM_EnergyIN</v>
      </c>
      <c r="BC46" s="602"/>
      <c r="BD46" s="23"/>
    </row>
    <row r="47" spans="1:56" x14ac:dyDescent="0.2">
      <c r="A47" s="602"/>
      <c r="B47" s="214"/>
      <c r="C47" s="544">
        <v>24</v>
      </c>
      <c r="D47" s="596"/>
      <c r="E47" s="596"/>
      <c r="F47" s="597"/>
      <c r="G47" s="598"/>
      <c r="H47" s="597"/>
      <c r="I47" s="598"/>
      <c r="J47" s="597"/>
      <c r="K47" s="598"/>
      <c r="L47" s="598"/>
      <c r="M47" s="598"/>
      <c r="N47" s="597"/>
      <c r="O47" s="599"/>
      <c r="P47" s="597"/>
      <c r="Q47" s="599"/>
      <c r="R47" s="597"/>
      <c r="S47" s="599"/>
      <c r="T47" s="597"/>
      <c r="U47" s="599"/>
      <c r="V47" s="774"/>
      <c r="W47" s="774"/>
      <c r="X47" s="774"/>
      <c r="Y47" s="774"/>
      <c r="Z47" s="774"/>
      <c r="AA47" s="774"/>
      <c r="AB47" s="774"/>
      <c r="AC47" s="774"/>
      <c r="AD47" s="774"/>
      <c r="AE47" s="774"/>
      <c r="AF47" s="774"/>
      <c r="AG47" s="774"/>
      <c r="AH47" s="774"/>
      <c r="AI47" s="774"/>
      <c r="AJ47" s="774"/>
      <c r="AK47" s="774"/>
      <c r="AL47" s="774"/>
      <c r="AM47" s="774"/>
      <c r="AN47" s="774"/>
      <c r="AO47" s="774"/>
      <c r="AP47" s="774"/>
      <c r="AQ47" s="774"/>
      <c r="AR47" s="774"/>
      <c r="AS47" s="774"/>
      <c r="AT47" s="774"/>
      <c r="AU47" s="600"/>
      <c r="AV47" s="600"/>
      <c r="AW47" s="600"/>
      <c r="AX47" s="597"/>
      <c r="AY47" s="597"/>
      <c r="AZ47" s="214"/>
      <c r="BA47" s="490" t="str">
        <f t="shared" si="0"/>
        <v>SUM_CO2</v>
      </c>
      <c r="BB47" s="581" t="str">
        <f t="shared" si="1"/>
        <v>SUM_EnergyIN</v>
      </c>
      <c r="BC47" s="602"/>
      <c r="BD47" s="23"/>
    </row>
    <row r="48" spans="1:56" x14ac:dyDescent="0.2">
      <c r="A48" s="602"/>
      <c r="B48" s="214"/>
      <c r="C48" s="544">
        <v>25</v>
      </c>
      <c r="D48" s="596"/>
      <c r="E48" s="596"/>
      <c r="F48" s="597"/>
      <c r="G48" s="598"/>
      <c r="H48" s="597"/>
      <c r="I48" s="598"/>
      <c r="J48" s="597"/>
      <c r="K48" s="598"/>
      <c r="L48" s="598"/>
      <c r="M48" s="598"/>
      <c r="N48" s="597"/>
      <c r="O48" s="599"/>
      <c r="P48" s="597"/>
      <c r="Q48" s="599"/>
      <c r="R48" s="597"/>
      <c r="S48" s="599"/>
      <c r="T48" s="597"/>
      <c r="U48" s="599"/>
      <c r="V48" s="774"/>
      <c r="W48" s="774"/>
      <c r="X48" s="774"/>
      <c r="Y48" s="774"/>
      <c r="Z48" s="774"/>
      <c r="AA48" s="774"/>
      <c r="AB48" s="774"/>
      <c r="AC48" s="774"/>
      <c r="AD48" s="774"/>
      <c r="AE48" s="774"/>
      <c r="AF48" s="774"/>
      <c r="AG48" s="774"/>
      <c r="AH48" s="774"/>
      <c r="AI48" s="774"/>
      <c r="AJ48" s="774"/>
      <c r="AK48" s="774"/>
      <c r="AL48" s="774"/>
      <c r="AM48" s="774"/>
      <c r="AN48" s="774"/>
      <c r="AO48" s="774"/>
      <c r="AP48" s="774"/>
      <c r="AQ48" s="774"/>
      <c r="AR48" s="774"/>
      <c r="AS48" s="774"/>
      <c r="AT48" s="774"/>
      <c r="AU48" s="600"/>
      <c r="AV48" s="600"/>
      <c r="AW48" s="600"/>
      <c r="AX48" s="597"/>
      <c r="AY48" s="597"/>
      <c r="AZ48" s="214"/>
      <c r="BA48" s="490" t="str">
        <f t="shared" si="0"/>
        <v>SUM_CO2</v>
      </c>
      <c r="BB48" s="581" t="str">
        <f t="shared" si="1"/>
        <v>SUM_EnergyIN</v>
      </c>
      <c r="BC48" s="602"/>
      <c r="BD48" s="23"/>
    </row>
    <row r="49" spans="1:56" x14ac:dyDescent="0.2">
      <c r="A49" s="602"/>
      <c r="B49" s="214"/>
      <c r="C49" s="544">
        <v>26</v>
      </c>
      <c r="D49" s="596"/>
      <c r="E49" s="596"/>
      <c r="F49" s="597"/>
      <c r="G49" s="598"/>
      <c r="H49" s="597"/>
      <c r="I49" s="598"/>
      <c r="J49" s="597"/>
      <c r="K49" s="598"/>
      <c r="L49" s="598"/>
      <c r="M49" s="598"/>
      <c r="N49" s="597"/>
      <c r="O49" s="599"/>
      <c r="P49" s="597"/>
      <c r="Q49" s="599"/>
      <c r="R49" s="597"/>
      <c r="S49" s="599"/>
      <c r="T49" s="597"/>
      <c r="U49" s="599"/>
      <c r="V49" s="774"/>
      <c r="W49" s="774"/>
      <c r="X49" s="774"/>
      <c r="Y49" s="774"/>
      <c r="Z49" s="774"/>
      <c r="AA49" s="774"/>
      <c r="AB49" s="774"/>
      <c r="AC49" s="774"/>
      <c r="AD49" s="774"/>
      <c r="AE49" s="774"/>
      <c r="AF49" s="774"/>
      <c r="AG49" s="774"/>
      <c r="AH49" s="774"/>
      <c r="AI49" s="774"/>
      <c r="AJ49" s="774"/>
      <c r="AK49" s="774"/>
      <c r="AL49" s="774"/>
      <c r="AM49" s="774"/>
      <c r="AN49" s="774"/>
      <c r="AO49" s="774"/>
      <c r="AP49" s="774"/>
      <c r="AQ49" s="774"/>
      <c r="AR49" s="774"/>
      <c r="AS49" s="774"/>
      <c r="AT49" s="774"/>
      <c r="AU49" s="600"/>
      <c r="AV49" s="600"/>
      <c r="AW49" s="600"/>
      <c r="AX49" s="597"/>
      <c r="AY49" s="597"/>
      <c r="AZ49" s="214"/>
      <c r="BA49" s="490" t="str">
        <f t="shared" si="0"/>
        <v>SUM_CO2</v>
      </c>
      <c r="BB49" s="581" t="str">
        <f t="shared" si="1"/>
        <v>SUM_EnergyIN</v>
      </c>
      <c r="BC49" s="602"/>
      <c r="BD49" s="23"/>
    </row>
    <row r="50" spans="1:56" x14ac:dyDescent="0.2">
      <c r="A50" s="602"/>
      <c r="B50" s="214"/>
      <c r="C50" s="544">
        <v>27</v>
      </c>
      <c r="D50" s="596"/>
      <c r="E50" s="596"/>
      <c r="F50" s="597"/>
      <c r="G50" s="598"/>
      <c r="H50" s="597"/>
      <c r="I50" s="598"/>
      <c r="J50" s="597"/>
      <c r="K50" s="598"/>
      <c r="L50" s="598"/>
      <c r="M50" s="598"/>
      <c r="N50" s="597"/>
      <c r="O50" s="599"/>
      <c r="P50" s="597"/>
      <c r="Q50" s="599"/>
      <c r="R50" s="597"/>
      <c r="S50" s="599"/>
      <c r="T50" s="597"/>
      <c r="U50" s="599"/>
      <c r="V50" s="774"/>
      <c r="W50" s="774"/>
      <c r="X50" s="774"/>
      <c r="Y50" s="774"/>
      <c r="Z50" s="774"/>
      <c r="AA50" s="774"/>
      <c r="AB50" s="774"/>
      <c r="AC50" s="774"/>
      <c r="AD50" s="774"/>
      <c r="AE50" s="774"/>
      <c r="AF50" s="774"/>
      <c r="AG50" s="774"/>
      <c r="AH50" s="774"/>
      <c r="AI50" s="774"/>
      <c r="AJ50" s="774"/>
      <c r="AK50" s="774"/>
      <c r="AL50" s="774"/>
      <c r="AM50" s="774"/>
      <c r="AN50" s="774"/>
      <c r="AO50" s="774"/>
      <c r="AP50" s="774"/>
      <c r="AQ50" s="774"/>
      <c r="AR50" s="774"/>
      <c r="AS50" s="774"/>
      <c r="AT50" s="774"/>
      <c r="AU50" s="600"/>
      <c r="AV50" s="600"/>
      <c r="AW50" s="600"/>
      <c r="AX50" s="597"/>
      <c r="AY50" s="597"/>
      <c r="AZ50" s="214"/>
      <c r="BA50" s="490" t="str">
        <f t="shared" si="0"/>
        <v>SUM_CO2</v>
      </c>
      <c r="BB50" s="581" t="str">
        <f t="shared" si="1"/>
        <v>SUM_EnergyIN</v>
      </c>
      <c r="BC50" s="602"/>
      <c r="BD50" s="23"/>
    </row>
    <row r="51" spans="1:56" x14ac:dyDescent="0.2">
      <c r="A51" s="602"/>
      <c r="B51" s="214"/>
      <c r="C51" s="544">
        <v>28</v>
      </c>
      <c r="D51" s="596"/>
      <c r="E51" s="596"/>
      <c r="F51" s="597"/>
      <c r="G51" s="598"/>
      <c r="H51" s="597"/>
      <c r="I51" s="598"/>
      <c r="J51" s="597"/>
      <c r="K51" s="598"/>
      <c r="L51" s="598"/>
      <c r="M51" s="598"/>
      <c r="N51" s="597"/>
      <c r="O51" s="599"/>
      <c r="P51" s="597"/>
      <c r="Q51" s="599"/>
      <c r="R51" s="597"/>
      <c r="S51" s="599"/>
      <c r="T51" s="597"/>
      <c r="U51" s="599"/>
      <c r="V51" s="774"/>
      <c r="W51" s="774"/>
      <c r="X51" s="774"/>
      <c r="Y51" s="774"/>
      <c r="Z51" s="774"/>
      <c r="AA51" s="774"/>
      <c r="AB51" s="774"/>
      <c r="AC51" s="774"/>
      <c r="AD51" s="774"/>
      <c r="AE51" s="774"/>
      <c r="AF51" s="774"/>
      <c r="AG51" s="774"/>
      <c r="AH51" s="774"/>
      <c r="AI51" s="774"/>
      <c r="AJ51" s="774"/>
      <c r="AK51" s="774"/>
      <c r="AL51" s="774"/>
      <c r="AM51" s="774"/>
      <c r="AN51" s="774"/>
      <c r="AO51" s="774"/>
      <c r="AP51" s="774"/>
      <c r="AQ51" s="774"/>
      <c r="AR51" s="774"/>
      <c r="AS51" s="774"/>
      <c r="AT51" s="774"/>
      <c r="AU51" s="600"/>
      <c r="AV51" s="600"/>
      <c r="AW51" s="600"/>
      <c r="AX51" s="597"/>
      <c r="AY51" s="597"/>
      <c r="AZ51" s="214"/>
      <c r="BA51" s="490" t="str">
        <f t="shared" si="0"/>
        <v>SUM_CO2</v>
      </c>
      <c r="BB51" s="581" t="str">
        <f t="shared" si="1"/>
        <v>SUM_EnergyIN</v>
      </c>
      <c r="BC51" s="602"/>
      <c r="BD51" s="23"/>
    </row>
    <row r="52" spans="1:56" x14ac:dyDescent="0.2">
      <c r="A52" s="602"/>
      <c r="B52" s="214"/>
      <c r="C52" s="544">
        <v>29</v>
      </c>
      <c r="D52" s="596"/>
      <c r="E52" s="596"/>
      <c r="F52" s="597"/>
      <c r="G52" s="598"/>
      <c r="H52" s="597"/>
      <c r="I52" s="598"/>
      <c r="J52" s="597"/>
      <c r="K52" s="598"/>
      <c r="L52" s="598"/>
      <c r="M52" s="598"/>
      <c r="N52" s="597"/>
      <c r="O52" s="599"/>
      <c r="P52" s="597"/>
      <c r="Q52" s="599"/>
      <c r="R52" s="597"/>
      <c r="S52" s="599"/>
      <c r="T52" s="597"/>
      <c r="U52" s="599"/>
      <c r="V52" s="774"/>
      <c r="W52" s="774"/>
      <c r="X52" s="774"/>
      <c r="Y52" s="774"/>
      <c r="Z52" s="774"/>
      <c r="AA52" s="774"/>
      <c r="AB52" s="774"/>
      <c r="AC52" s="774"/>
      <c r="AD52" s="774"/>
      <c r="AE52" s="774"/>
      <c r="AF52" s="774"/>
      <c r="AG52" s="774"/>
      <c r="AH52" s="774"/>
      <c r="AI52" s="774"/>
      <c r="AJ52" s="774"/>
      <c r="AK52" s="774"/>
      <c r="AL52" s="774"/>
      <c r="AM52" s="774"/>
      <c r="AN52" s="774"/>
      <c r="AO52" s="774"/>
      <c r="AP52" s="774"/>
      <c r="AQ52" s="774"/>
      <c r="AR52" s="774"/>
      <c r="AS52" s="774"/>
      <c r="AT52" s="774"/>
      <c r="AU52" s="600"/>
      <c r="AV52" s="600"/>
      <c r="AW52" s="600"/>
      <c r="AX52" s="597"/>
      <c r="AY52" s="597"/>
      <c r="AZ52" s="214"/>
      <c r="BA52" s="490" t="str">
        <f t="shared" si="0"/>
        <v>SUM_CO2</v>
      </c>
      <c r="BB52" s="581" t="str">
        <f t="shared" si="1"/>
        <v>SUM_EnergyIN</v>
      </c>
      <c r="BC52" s="602"/>
      <c r="BD52" s="23"/>
    </row>
    <row r="53" spans="1:56" x14ac:dyDescent="0.2">
      <c r="A53" s="602"/>
      <c r="B53" s="214"/>
      <c r="C53" s="544">
        <v>30</v>
      </c>
      <c r="D53" s="596"/>
      <c r="E53" s="596"/>
      <c r="F53" s="597"/>
      <c r="G53" s="598"/>
      <c r="H53" s="597"/>
      <c r="I53" s="598"/>
      <c r="J53" s="597"/>
      <c r="K53" s="598"/>
      <c r="L53" s="598"/>
      <c r="M53" s="598"/>
      <c r="N53" s="597"/>
      <c r="O53" s="599"/>
      <c r="P53" s="597"/>
      <c r="Q53" s="599"/>
      <c r="R53" s="597"/>
      <c r="S53" s="599"/>
      <c r="T53" s="597"/>
      <c r="U53" s="599"/>
      <c r="V53" s="774"/>
      <c r="W53" s="774"/>
      <c r="X53" s="774"/>
      <c r="Y53" s="774"/>
      <c r="Z53" s="774"/>
      <c r="AA53" s="774"/>
      <c r="AB53" s="774"/>
      <c r="AC53" s="774"/>
      <c r="AD53" s="774"/>
      <c r="AE53" s="774"/>
      <c r="AF53" s="774"/>
      <c r="AG53" s="774"/>
      <c r="AH53" s="774"/>
      <c r="AI53" s="774"/>
      <c r="AJ53" s="774"/>
      <c r="AK53" s="774"/>
      <c r="AL53" s="774"/>
      <c r="AM53" s="774"/>
      <c r="AN53" s="774"/>
      <c r="AO53" s="774"/>
      <c r="AP53" s="774"/>
      <c r="AQ53" s="774"/>
      <c r="AR53" s="774"/>
      <c r="AS53" s="774"/>
      <c r="AT53" s="774"/>
      <c r="AU53" s="600"/>
      <c r="AV53" s="600"/>
      <c r="AW53" s="600"/>
      <c r="AX53" s="597"/>
      <c r="AY53" s="597"/>
      <c r="AZ53" s="214"/>
      <c r="BA53" s="490" t="str">
        <f t="shared" si="0"/>
        <v>SUM_CO2</v>
      </c>
      <c r="BB53" s="581" t="str">
        <f t="shared" si="1"/>
        <v>SUM_EnergyIN</v>
      </c>
      <c r="BC53" s="602"/>
      <c r="BD53" s="23"/>
    </row>
    <row r="54" spans="1:56" x14ac:dyDescent="0.2">
      <c r="A54" s="602"/>
      <c r="B54" s="214"/>
      <c r="C54" s="544">
        <v>31</v>
      </c>
      <c r="D54" s="596"/>
      <c r="E54" s="596"/>
      <c r="F54" s="597"/>
      <c r="G54" s="598"/>
      <c r="H54" s="597"/>
      <c r="I54" s="598"/>
      <c r="J54" s="597"/>
      <c r="K54" s="598"/>
      <c r="L54" s="598"/>
      <c r="M54" s="598"/>
      <c r="N54" s="597"/>
      <c r="O54" s="599"/>
      <c r="P54" s="597"/>
      <c r="Q54" s="599"/>
      <c r="R54" s="597"/>
      <c r="S54" s="599"/>
      <c r="T54" s="597"/>
      <c r="U54" s="599"/>
      <c r="V54" s="774"/>
      <c r="W54" s="774"/>
      <c r="X54" s="774"/>
      <c r="Y54" s="774"/>
      <c r="Z54" s="774"/>
      <c r="AA54" s="774"/>
      <c r="AB54" s="774"/>
      <c r="AC54" s="774"/>
      <c r="AD54" s="774"/>
      <c r="AE54" s="774"/>
      <c r="AF54" s="774"/>
      <c r="AG54" s="774"/>
      <c r="AH54" s="774"/>
      <c r="AI54" s="774"/>
      <c r="AJ54" s="774"/>
      <c r="AK54" s="774"/>
      <c r="AL54" s="774"/>
      <c r="AM54" s="774"/>
      <c r="AN54" s="774"/>
      <c r="AO54" s="774"/>
      <c r="AP54" s="774"/>
      <c r="AQ54" s="774"/>
      <c r="AR54" s="774"/>
      <c r="AS54" s="774"/>
      <c r="AT54" s="774"/>
      <c r="AU54" s="600"/>
      <c r="AV54" s="600"/>
      <c r="AW54" s="600"/>
      <c r="AX54" s="597"/>
      <c r="AY54" s="597"/>
      <c r="AZ54" s="214"/>
      <c r="BA54" s="490" t="str">
        <f t="shared" si="0"/>
        <v>SUM_CO2</v>
      </c>
      <c r="BB54" s="581" t="str">
        <f t="shared" si="1"/>
        <v>SUM_EnergyIN</v>
      </c>
      <c r="BC54" s="602"/>
      <c r="BD54" s="23"/>
    </row>
    <row r="55" spans="1:56" x14ac:dyDescent="0.2">
      <c r="A55" s="602"/>
      <c r="B55" s="214"/>
      <c r="C55" s="544">
        <v>32</v>
      </c>
      <c r="D55" s="596"/>
      <c r="E55" s="596"/>
      <c r="F55" s="597"/>
      <c r="G55" s="598"/>
      <c r="H55" s="597"/>
      <c r="I55" s="598"/>
      <c r="J55" s="597"/>
      <c r="K55" s="598"/>
      <c r="L55" s="598"/>
      <c r="M55" s="598"/>
      <c r="N55" s="597"/>
      <c r="O55" s="599"/>
      <c r="P55" s="597"/>
      <c r="Q55" s="599"/>
      <c r="R55" s="597"/>
      <c r="S55" s="599"/>
      <c r="T55" s="597"/>
      <c r="U55" s="599"/>
      <c r="V55" s="774"/>
      <c r="W55" s="774"/>
      <c r="X55" s="774"/>
      <c r="Y55" s="774"/>
      <c r="Z55" s="774"/>
      <c r="AA55" s="774"/>
      <c r="AB55" s="774"/>
      <c r="AC55" s="774"/>
      <c r="AD55" s="774"/>
      <c r="AE55" s="774"/>
      <c r="AF55" s="774"/>
      <c r="AG55" s="774"/>
      <c r="AH55" s="774"/>
      <c r="AI55" s="774"/>
      <c r="AJ55" s="774"/>
      <c r="AK55" s="774"/>
      <c r="AL55" s="774"/>
      <c r="AM55" s="774"/>
      <c r="AN55" s="774"/>
      <c r="AO55" s="774"/>
      <c r="AP55" s="774"/>
      <c r="AQ55" s="774"/>
      <c r="AR55" s="774"/>
      <c r="AS55" s="774"/>
      <c r="AT55" s="774"/>
      <c r="AU55" s="600"/>
      <c r="AV55" s="600"/>
      <c r="AW55" s="600"/>
      <c r="AX55" s="597"/>
      <c r="AY55" s="597"/>
      <c r="AZ55" s="214"/>
      <c r="BA55" s="490" t="str">
        <f t="shared" si="0"/>
        <v>SUM_CO2</v>
      </c>
      <c r="BB55" s="581" t="str">
        <f t="shared" si="1"/>
        <v>SUM_EnergyIN</v>
      </c>
      <c r="BC55" s="602"/>
      <c r="BD55" s="23"/>
    </row>
    <row r="56" spans="1:56" x14ac:dyDescent="0.2">
      <c r="A56" s="602"/>
      <c r="B56" s="214"/>
      <c r="C56" s="544">
        <v>33</v>
      </c>
      <c r="D56" s="596"/>
      <c r="E56" s="596"/>
      <c r="F56" s="597"/>
      <c r="G56" s="598"/>
      <c r="H56" s="597"/>
      <c r="I56" s="598"/>
      <c r="J56" s="597"/>
      <c r="K56" s="598"/>
      <c r="L56" s="598"/>
      <c r="M56" s="598"/>
      <c r="N56" s="597"/>
      <c r="O56" s="599"/>
      <c r="P56" s="597"/>
      <c r="Q56" s="599"/>
      <c r="R56" s="597"/>
      <c r="S56" s="599"/>
      <c r="T56" s="597"/>
      <c r="U56" s="599"/>
      <c r="V56" s="774"/>
      <c r="W56" s="774"/>
      <c r="X56" s="774"/>
      <c r="Y56" s="774"/>
      <c r="Z56" s="774"/>
      <c r="AA56" s="774"/>
      <c r="AB56" s="774"/>
      <c r="AC56" s="774"/>
      <c r="AD56" s="774"/>
      <c r="AE56" s="774"/>
      <c r="AF56" s="774"/>
      <c r="AG56" s="774"/>
      <c r="AH56" s="774"/>
      <c r="AI56" s="774"/>
      <c r="AJ56" s="774"/>
      <c r="AK56" s="774"/>
      <c r="AL56" s="774"/>
      <c r="AM56" s="774"/>
      <c r="AN56" s="774"/>
      <c r="AO56" s="774"/>
      <c r="AP56" s="774"/>
      <c r="AQ56" s="774"/>
      <c r="AR56" s="774"/>
      <c r="AS56" s="774"/>
      <c r="AT56" s="774"/>
      <c r="AU56" s="600"/>
      <c r="AV56" s="600"/>
      <c r="AW56" s="600"/>
      <c r="AX56" s="597"/>
      <c r="AY56" s="597"/>
      <c r="AZ56" s="214"/>
      <c r="BA56" s="490" t="str">
        <f t="shared" si="0"/>
        <v>SUM_CO2</v>
      </c>
      <c r="BB56" s="581" t="str">
        <f t="shared" si="1"/>
        <v>SUM_EnergyIN</v>
      </c>
      <c r="BC56" s="602"/>
      <c r="BD56" s="23"/>
    </row>
    <row r="57" spans="1:56" x14ac:dyDescent="0.2">
      <c r="A57" s="602"/>
      <c r="B57" s="214"/>
      <c r="C57" s="544">
        <v>34</v>
      </c>
      <c r="D57" s="596"/>
      <c r="E57" s="596"/>
      <c r="F57" s="597"/>
      <c r="G57" s="598"/>
      <c r="H57" s="597"/>
      <c r="I57" s="598"/>
      <c r="J57" s="597"/>
      <c r="K57" s="598"/>
      <c r="L57" s="598"/>
      <c r="M57" s="598"/>
      <c r="N57" s="597"/>
      <c r="O57" s="599"/>
      <c r="P57" s="597"/>
      <c r="Q57" s="599"/>
      <c r="R57" s="597"/>
      <c r="S57" s="599"/>
      <c r="T57" s="597"/>
      <c r="U57" s="599"/>
      <c r="V57" s="774"/>
      <c r="W57" s="774"/>
      <c r="X57" s="774"/>
      <c r="Y57" s="774"/>
      <c r="Z57" s="774"/>
      <c r="AA57" s="774"/>
      <c r="AB57" s="774"/>
      <c r="AC57" s="774"/>
      <c r="AD57" s="774"/>
      <c r="AE57" s="774"/>
      <c r="AF57" s="774"/>
      <c r="AG57" s="774"/>
      <c r="AH57" s="774"/>
      <c r="AI57" s="774"/>
      <c r="AJ57" s="774"/>
      <c r="AK57" s="774"/>
      <c r="AL57" s="774"/>
      <c r="AM57" s="774"/>
      <c r="AN57" s="774"/>
      <c r="AO57" s="774"/>
      <c r="AP57" s="774"/>
      <c r="AQ57" s="774"/>
      <c r="AR57" s="774"/>
      <c r="AS57" s="774"/>
      <c r="AT57" s="774"/>
      <c r="AU57" s="600"/>
      <c r="AV57" s="600"/>
      <c r="AW57" s="600"/>
      <c r="AX57" s="597"/>
      <c r="AY57" s="597"/>
      <c r="AZ57" s="214"/>
      <c r="BA57" s="490" t="str">
        <f t="shared" si="0"/>
        <v>SUM_CO2</v>
      </c>
      <c r="BB57" s="581" t="str">
        <f t="shared" si="1"/>
        <v>SUM_EnergyIN</v>
      </c>
      <c r="BC57" s="602"/>
      <c r="BD57" s="23"/>
    </row>
    <row r="58" spans="1:56" x14ac:dyDescent="0.2">
      <c r="A58" s="602"/>
      <c r="B58" s="214"/>
      <c r="C58" s="544">
        <v>35</v>
      </c>
      <c r="D58" s="596"/>
      <c r="E58" s="596"/>
      <c r="F58" s="597"/>
      <c r="G58" s="598"/>
      <c r="H58" s="597"/>
      <c r="I58" s="598"/>
      <c r="J58" s="597"/>
      <c r="K58" s="598"/>
      <c r="L58" s="598"/>
      <c r="M58" s="598"/>
      <c r="N58" s="597"/>
      <c r="O58" s="599"/>
      <c r="P58" s="597"/>
      <c r="Q58" s="599"/>
      <c r="R58" s="597"/>
      <c r="S58" s="599"/>
      <c r="T58" s="597"/>
      <c r="U58" s="599"/>
      <c r="V58" s="774"/>
      <c r="W58" s="774"/>
      <c r="X58" s="774"/>
      <c r="Y58" s="774"/>
      <c r="Z58" s="774"/>
      <c r="AA58" s="774"/>
      <c r="AB58" s="774"/>
      <c r="AC58" s="774"/>
      <c r="AD58" s="774"/>
      <c r="AE58" s="774"/>
      <c r="AF58" s="774"/>
      <c r="AG58" s="774"/>
      <c r="AH58" s="774"/>
      <c r="AI58" s="774"/>
      <c r="AJ58" s="774"/>
      <c r="AK58" s="774"/>
      <c r="AL58" s="774"/>
      <c r="AM58" s="774"/>
      <c r="AN58" s="774"/>
      <c r="AO58" s="774"/>
      <c r="AP58" s="774"/>
      <c r="AQ58" s="774"/>
      <c r="AR58" s="774"/>
      <c r="AS58" s="774"/>
      <c r="AT58" s="774"/>
      <c r="AU58" s="600"/>
      <c r="AV58" s="600"/>
      <c r="AW58" s="600"/>
      <c r="AX58" s="597"/>
      <c r="AY58" s="597"/>
      <c r="AZ58" s="214"/>
      <c r="BA58" s="490" t="str">
        <f t="shared" si="0"/>
        <v>SUM_CO2</v>
      </c>
      <c r="BB58" s="581" t="str">
        <f t="shared" si="1"/>
        <v>SUM_EnergyIN</v>
      </c>
      <c r="BC58" s="602"/>
      <c r="BD58" s="23"/>
    </row>
    <row r="59" spans="1:56" x14ac:dyDescent="0.2">
      <c r="A59" s="602"/>
      <c r="B59" s="214"/>
      <c r="C59" s="544">
        <v>36</v>
      </c>
      <c r="D59" s="596"/>
      <c r="E59" s="596"/>
      <c r="F59" s="597"/>
      <c r="G59" s="598"/>
      <c r="H59" s="597"/>
      <c r="I59" s="598"/>
      <c r="J59" s="597"/>
      <c r="K59" s="598"/>
      <c r="L59" s="598"/>
      <c r="M59" s="598"/>
      <c r="N59" s="597"/>
      <c r="O59" s="599"/>
      <c r="P59" s="597"/>
      <c r="Q59" s="599"/>
      <c r="R59" s="597"/>
      <c r="S59" s="599"/>
      <c r="T59" s="597"/>
      <c r="U59" s="599"/>
      <c r="V59" s="774"/>
      <c r="W59" s="774"/>
      <c r="X59" s="774"/>
      <c r="Y59" s="774"/>
      <c r="Z59" s="774"/>
      <c r="AA59" s="774"/>
      <c r="AB59" s="774"/>
      <c r="AC59" s="774"/>
      <c r="AD59" s="774"/>
      <c r="AE59" s="774"/>
      <c r="AF59" s="774"/>
      <c r="AG59" s="774"/>
      <c r="AH59" s="774"/>
      <c r="AI59" s="774"/>
      <c r="AJ59" s="774"/>
      <c r="AK59" s="774"/>
      <c r="AL59" s="774"/>
      <c r="AM59" s="774"/>
      <c r="AN59" s="774"/>
      <c r="AO59" s="774"/>
      <c r="AP59" s="774"/>
      <c r="AQ59" s="774"/>
      <c r="AR59" s="774"/>
      <c r="AS59" s="774"/>
      <c r="AT59" s="774"/>
      <c r="AU59" s="600"/>
      <c r="AV59" s="600"/>
      <c r="AW59" s="600"/>
      <c r="AX59" s="597"/>
      <c r="AY59" s="597"/>
      <c r="AZ59" s="214"/>
      <c r="BA59" s="490" t="str">
        <f t="shared" si="0"/>
        <v>SUM_CO2</v>
      </c>
      <c r="BB59" s="581" t="str">
        <f t="shared" si="1"/>
        <v>SUM_EnergyIN</v>
      </c>
      <c r="BC59" s="602"/>
      <c r="BD59" s="23"/>
    </row>
    <row r="60" spans="1:56" x14ac:dyDescent="0.2">
      <c r="A60" s="602"/>
      <c r="B60" s="214"/>
      <c r="C60" s="544">
        <v>37</v>
      </c>
      <c r="D60" s="596"/>
      <c r="E60" s="596"/>
      <c r="F60" s="597"/>
      <c r="G60" s="598"/>
      <c r="H60" s="597"/>
      <c r="I60" s="598"/>
      <c r="J60" s="597"/>
      <c r="K60" s="598"/>
      <c r="L60" s="598"/>
      <c r="M60" s="598"/>
      <c r="N60" s="597"/>
      <c r="O60" s="599"/>
      <c r="P60" s="597"/>
      <c r="Q60" s="599"/>
      <c r="R60" s="597"/>
      <c r="S60" s="599"/>
      <c r="T60" s="597"/>
      <c r="U60" s="599"/>
      <c r="V60" s="774"/>
      <c r="W60" s="774"/>
      <c r="X60" s="774"/>
      <c r="Y60" s="774"/>
      <c r="Z60" s="774"/>
      <c r="AA60" s="774"/>
      <c r="AB60" s="774"/>
      <c r="AC60" s="774"/>
      <c r="AD60" s="774"/>
      <c r="AE60" s="774"/>
      <c r="AF60" s="774"/>
      <c r="AG60" s="774"/>
      <c r="AH60" s="774"/>
      <c r="AI60" s="774"/>
      <c r="AJ60" s="774"/>
      <c r="AK60" s="774"/>
      <c r="AL60" s="774"/>
      <c r="AM60" s="774"/>
      <c r="AN60" s="774"/>
      <c r="AO60" s="774"/>
      <c r="AP60" s="774"/>
      <c r="AQ60" s="774"/>
      <c r="AR60" s="774"/>
      <c r="AS60" s="774"/>
      <c r="AT60" s="774"/>
      <c r="AU60" s="600"/>
      <c r="AV60" s="600"/>
      <c r="AW60" s="600"/>
      <c r="AX60" s="597"/>
      <c r="AY60" s="597"/>
      <c r="AZ60" s="214"/>
      <c r="BA60" s="490" t="str">
        <f t="shared" si="0"/>
        <v>SUM_CO2</v>
      </c>
      <c r="BB60" s="581" t="str">
        <f t="shared" si="1"/>
        <v>SUM_EnergyIN</v>
      </c>
      <c r="BC60" s="602"/>
      <c r="BD60" s="23"/>
    </row>
    <row r="61" spans="1:56" x14ac:dyDescent="0.2">
      <c r="A61" s="602"/>
      <c r="B61" s="214"/>
      <c r="C61" s="544">
        <v>38</v>
      </c>
      <c r="D61" s="596"/>
      <c r="E61" s="596"/>
      <c r="F61" s="597"/>
      <c r="G61" s="598"/>
      <c r="H61" s="597"/>
      <c r="I61" s="598"/>
      <c r="J61" s="597"/>
      <c r="K61" s="598"/>
      <c r="L61" s="598"/>
      <c r="M61" s="598"/>
      <c r="N61" s="597"/>
      <c r="O61" s="599"/>
      <c r="P61" s="597"/>
      <c r="Q61" s="599"/>
      <c r="R61" s="597"/>
      <c r="S61" s="599"/>
      <c r="T61" s="597"/>
      <c r="U61" s="599"/>
      <c r="V61" s="774"/>
      <c r="W61" s="774"/>
      <c r="X61" s="774"/>
      <c r="Y61" s="774"/>
      <c r="Z61" s="774"/>
      <c r="AA61" s="774"/>
      <c r="AB61" s="774"/>
      <c r="AC61" s="774"/>
      <c r="AD61" s="774"/>
      <c r="AE61" s="774"/>
      <c r="AF61" s="774"/>
      <c r="AG61" s="774"/>
      <c r="AH61" s="774"/>
      <c r="AI61" s="774"/>
      <c r="AJ61" s="774"/>
      <c r="AK61" s="774"/>
      <c r="AL61" s="774"/>
      <c r="AM61" s="774"/>
      <c r="AN61" s="774"/>
      <c r="AO61" s="774"/>
      <c r="AP61" s="774"/>
      <c r="AQ61" s="774"/>
      <c r="AR61" s="774"/>
      <c r="AS61" s="774"/>
      <c r="AT61" s="774"/>
      <c r="AU61" s="600"/>
      <c r="AV61" s="600"/>
      <c r="AW61" s="600"/>
      <c r="AX61" s="597"/>
      <c r="AY61" s="597"/>
      <c r="AZ61" s="214"/>
      <c r="BA61" s="490" t="str">
        <f t="shared" si="0"/>
        <v>SUM_CO2</v>
      </c>
      <c r="BB61" s="581" t="str">
        <f t="shared" si="1"/>
        <v>SUM_EnergyIN</v>
      </c>
      <c r="BC61" s="602"/>
      <c r="BD61" s="23"/>
    </row>
    <row r="62" spans="1:56" x14ac:dyDescent="0.2">
      <c r="A62" s="602"/>
      <c r="B62" s="214"/>
      <c r="C62" s="544">
        <v>39</v>
      </c>
      <c r="D62" s="596"/>
      <c r="E62" s="596"/>
      <c r="F62" s="597"/>
      <c r="G62" s="598"/>
      <c r="H62" s="597"/>
      <c r="I62" s="598"/>
      <c r="J62" s="597"/>
      <c r="K62" s="598"/>
      <c r="L62" s="598"/>
      <c r="M62" s="598"/>
      <c r="N62" s="597"/>
      <c r="O62" s="599"/>
      <c r="P62" s="597"/>
      <c r="Q62" s="599"/>
      <c r="R62" s="597"/>
      <c r="S62" s="599"/>
      <c r="T62" s="597"/>
      <c r="U62" s="599"/>
      <c r="V62" s="774"/>
      <c r="W62" s="774"/>
      <c r="X62" s="774"/>
      <c r="Y62" s="774"/>
      <c r="Z62" s="774"/>
      <c r="AA62" s="774"/>
      <c r="AB62" s="774"/>
      <c r="AC62" s="774"/>
      <c r="AD62" s="774"/>
      <c r="AE62" s="774"/>
      <c r="AF62" s="774"/>
      <c r="AG62" s="774"/>
      <c r="AH62" s="774"/>
      <c r="AI62" s="774"/>
      <c r="AJ62" s="774"/>
      <c r="AK62" s="774"/>
      <c r="AL62" s="774"/>
      <c r="AM62" s="774"/>
      <c r="AN62" s="774"/>
      <c r="AO62" s="774"/>
      <c r="AP62" s="774"/>
      <c r="AQ62" s="774"/>
      <c r="AR62" s="774"/>
      <c r="AS62" s="774"/>
      <c r="AT62" s="774"/>
      <c r="AU62" s="600"/>
      <c r="AV62" s="600"/>
      <c r="AW62" s="600"/>
      <c r="AX62" s="597"/>
      <c r="AY62" s="597"/>
      <c r="AZ62" s="214"/>
      <c r="BA62" s="490" t="str">
        <f t="shared" si="0"/>
        <v>SUM_CO2</v>
      </c>
      <c r="BB62" s="581" t="str">
        <f t="shared" si="1"/>
        <v>SUM_EnergyIN</v>
      </c>
      <c r="BC62" s="602"/>
      <c r="BD62" s="23"/>
    </row>
    <row r="63" spans="1:56" x14ac:dyDescent="0.2">
      <c r="A63" s="602"/>
      <c r="B63" s="214"/>
      <c r="C63" s="544">
        <v>40</v>
      </c>
      <c r="D63" s="596"/>
      <c r="E63" s="596"/>
      <c r="F63" s="597"/>
      <c r="G63" s="598"/>
      <c r="H63" s="597"/>
      <c r="I63" s="598"/>
      <c r="J63" s="597"/>
      <c r="K63" s="598"/>
      <c r="L63" s="598"/>
      <c r="M63" s="598"/>
      <c r="N63" s="597"/>
      <c r="O63" s="599"/>
      <c r="P63" s="597"/>
      <c r="Q63" s="599"/>
      <c r="R63" s="597"/>
      <c r="S63" s="599"/>
      <c r="T63" s="597"/>
      <c r="U63" s="599"/>
      <c r="V63" s="774"/>
      <c r="W63" s="774"/>
      <c r="X63" s="774"/>
      <c r="Y63" s="774"/>
      <c r="Z63" s="774"/>
      <c r="AA63" s="774"/>
      <c r="AB63" s="774"/>
      <c r="AC63" s="774"/>
      <c r="AD63" s="774"/>
      <c r="AE63" s="774"/>
      <c r="AF63" s="774"/>
      <c r="AG63" s="774"/>
      <c r="AH63" s="774"/>
      <c r="AI63" s="774"/>
      <c r="AJ63" s="774"/>
      <c r="AK63" s="774"/>
      <c r="AL63" s="774"/>
      <c r="AM63" s="774"/>
      <c r="AN63" s="774"/>
      <c r="AO63" s="774"/>
      <c r="AP63" s="774"/>
      <c r="AQ63" s="774"/>
      <c r="AR63" s="774"/>
      <c r="AS63" s="774"/>
      <c r="AT63" s="774"/>
      <c r="AU63" s="600"/>
      <c r="AV63" s="600"/>
      <c r="AW63" s="600"/>
      <c r="AX63" s="597"/>
      <c r="AY63" s="597"/>
      <c r="AZ63" s="214"/>
      <c r="BA63" s="490" t="str">
        <f t="shared" si="0"/>
        <v>SUM_CO2</v>
      </c>
      <c r="BB63" s="581" t="str">
        <f t="shared" si="1"/>
        <v>SUM_EnergyIN</v>
      </c>
      <c r="BC63" s="602"/>
      <c r="BD63" s="23"/>
    </row>
    <row r="64" spans="1:56" x14ac:dyDescent="0.2">
      <c r="A64" s="602"/>
      <c r="B64" s="214"/>
      <c r="C64" s="544">
        <v>41</v>
      </c>
      <c r="D64" s="596"/>
      <c r="E64" s="596"/>
      <c r="F64" s="597"/>
      <c r="G64" s="598"/>
      <c r="H64" s="597"/>
      <c r="I64" s="598"/>
      <c r="J64" s="597"/>
      <c r="K64" s="598"/>
      <c r="L64" s="598"/>
      <c r="M64" s="598"/>
      <c r="N64" s="597"/>
      <c r="O64" s="599"/>
      <c r="P64" s="597"/>
      <c r="Q64" s="599"/>
      <c r="R64" s="597"/>
      <c r="S64" s="599"/>
      <c r="T64" s="597"/>
      <c r="U64" s="599"/>
      <c r="V64" s="774"/>
      <c r="W64" s="774"/>
      <c r="X64" s="774"/>
      <c r="Y64" s="774"/>
      <c r="Z64" s="774"/>
      <c r="AA64" s="774"/>
      <c r="AB64" s="774"/>
      <c r="AC64" s="774"/>
      <c r="AD64" s="774"/>
      <c r="AE64" s="774"/>
      <c r="AF64" s="774"/>
      <c r="AG64" s="774"/>
      <c r="AH64" s="774"/>
      <c r="AI64" s="774"/>
      <c r="AJ64" s="774"/>
      <c r="AK64" s="774"/>
      <c r="AL64" s="774"/>
      <c r="AM64" s="774"/>
      <c r="AN64" s="774"/>
      <c r="AO64" s="774"/>
      <c r="AP64" s="774"/>
      <c r="AQ64" s="774"/>
      <c r="AR64" s="774"/>
      <c r="AS64" s="774"/>
      <c r="AT64" s="774"/>
      <c r="AU64" s="600"/>
      <c r="AV64" s="600"/>
      <c r="AW64" s="600"/>
      <c r="AX64" s="597"/>
      <c r="AY64" s="597"/>
      <c r="AZ64" s="214"/>
      <c r="BA64" s="490" t="str">
        <f t="shared" si="0"/>
        <v>SUM_CO2</v>
      </c>
      <c r="BB64" s="581" t="str">
        <f t="shared" si="1"/>
        <v>SUM_EnergyIN</v>
      </c>
      <c r="BC64" s="602"/>
      <c r="BD64" s="23"/>
    </row>
    <row r="65" spans="1:56" x14ac:dyDescent="0.2">
      <c r="A65" s="602"/>
      <c r="B65" s="214"/>
      <c r="C65" s="544">
        <v>42</v>
      </c>
      <c r="D65" s="596"/>
      <c r="E65" s="596"/>
      <c r="F65" s="597"/>
      <c r="G65" s="598"/>
      <c r="H65" s="597"/>
      <c r="I65" s="598"/>
      <c r="J65" s="597"/>
      <c r="K65" s="598"/>
      <c r="L65" s="598"/>
      <c r="M65" s="598"/>
      <c r="N65" s="597"/>
      <c r="O65" s="599"/>
      <c r="P65" s="597"/>
      <c r="Q65" s="599"/>
      <c r="R65" s="597"/>
      <c r="S65" s="599"/>
      <c r="T65" s="597"/>
      <c r="U65" s="599"/>
      <c r="V65" s="774"/>
      <c r="W65" s="774"/>
      <c r="X65" s="774"/>
      <c r="Y65" s="774"/>
      <c r="Z65" s="774"/>
      <c r="AA65" s="774"/>
      <c r="AB65" s="774"/>
      <c r="AC65" s="774"/>
      <c r="AD65" s="774"/>
      <c r="AE65" s="774"/>
      <c r="AF65" s="774"/>
      <c r="AG65" s="774"/>
      <c r="AH65" s="774"/>
      <c r="AI65" s="774"/>
      <c r="AJ65" s="774"/>
      <c r="AK65" s="774"/>
      <c r="AL65" s="774"/>
      <c r="AM65" s="774"/>
      <c r="AN65" s="774"/>
      <c r="AO65" s="774"/>
      <c r="AP65" s="774"/>
      <c r="AQ65" s="774"/>
      <c r="AR65" s="774"/>
      <c r="AS65" s="774"/>
      <c r="AT65" s="774"/>
      <c r="AU65" s="600"/>
      <c r="AV65" s="600"/>
      <c r="AW65" s="600"/>
      <c r="AX65" s="597"/>
      <c r="AY65" s="597"/>
      <c r="AZ65" s="214"/>
      <c r="BA65" s="490" t="str">
        <f t="shared" si="0"/>
        <v>SUM_CO2</v>
      </c>
      <c r="BB65" s="581" t="str">
        <f t="shared" si="1"/>
        <v>SUM_EnergyIN</v>
      </c>
      <c r="BC65" s="602"/>
      <c r="BD65" s="23"/>
    </row>
    <row r="66" spans="1:56" x14ac:dyDescent="0.2">
      <c r="A66" s="602"/>
      <c r="B66" s="214"/>
      <c r="C66" s="544">
        <v>43</v>
      </c>
      <c r="D66" s="596"/>
      <c r="E66" s="596"/>
      <c r="F66" s="597"/>
      <c r="G66" s="598"/>
      <c r="H66" s="597"/>
      <c r="I66" s="598"/>
      <c r="J66" s="597"/>
      <c r="K66" s="598"/>
      <c r="L66" s="598"/>
      <c r="M66" s="598"/>
      <c r="N66" s="597"/>
      <c r="O66" s="599"/>
      <c r="P66" s="597"/>
      <c r="Q66" s="599"/>
      <c r="R66" s="597"/>
      <c r="S66" s="599"/>
      <c r="T66" s="597"/>
      <c r="U66" s="599"/>
      <c r="V66" s="774"/>
      <c r="W66" s="774"/>
      <c r="X66" s="774"/>
      <c r="Y66" s="774"/>
      <c r="Z66" s="774"/>
      <c r="AA66" s="774"/>
      <c r="AB66" s="774"/>
      <c r="AC66" s="774"/>
      <c r="AD66" s="774"/>
      <c r="AE66" s="774"/>
      <c r="AF66" s="774"/>
      <c r="AG66" s="774"/>
      <c r="AH66" s="774"/>
      <c r="AI66" s="774"/>
      <c r="AJ66" s="774"/>
      <c r="AK66" s="774"/>
      <c r="AL66" s="774"/>
      <c r="AM66" s="774"/>
      <c r="AN66" s="774"/>
      <c r="AO66" s="774"/>
      <c r="AP66" s="774"/>
      <c r="AQ66" s="774"/>
      <c r="AR66" s="774"/>
      <c r="AS66" s="774"/>
      <c r="AT66" s="774"/>
      <c r="AU66" s="600"/>
      <c r="AV66" s="600"/>
      <c r="AW66" s="600"/>
      <c r="AX66" s="597"/>
      <c r="AY66" s="597"/>
      <c r="AZ66" s="214"/>
      <c r="BA66" s="490" t="str">
        <f t="shared" si="0"/>
        <v>SUM_CO2</v>
      </c>
      <c r="BB66" s="581" t="str">
        <f t="shared" si="1"/>
        <v>SUM_EnergyIN</v>
      </c>
      <c r="BC66" s="602"/>
      <c r="BD66" s="23"/>
    </row>
    <row r="67" spans="1:56" x14ac:dyDescent="0.2">
      <c r="A67" s="602"/>
      <c r="B67" s="214"/>
      <c r="C67" s="544">
        <v>44</v>
      </c>
      <c r="D67" s="596"/>
      <c r="E67" s="596"/>
      <c r="F67" s="597"/>
      <c r="G67" s="598"/>
      <c r="H67" s="597"/>
      <c r="I67" s="598"/>
      <c r="J67" s="597"/>
      <c r="K67" s="598"/>
      <c r="L67" s="598"/>
      <c r="M67" s="598"/>
      <c r="N67" s="597"/>
      <c r="O67" s="599"/>
      <c r="P67" s="597"/>
      <c r="Q67" s="599"/>
      <c r="R67" s="597"/>
      <c r="S67" s="599"/>
      <c r="T67" s="597"/>
      <c r="U67" s="599"/>
      <c r="V67" s="774"/>
      <c r="W67" s="774"/>
      <c r="X67" s="774"/>
      <c r="Y67" s="774"/>
      <c r="Z67" s="774"/>
      <c r="AA67" s="774"/>
      <c r="AB67" s="774"/>
      <c r="AC67" s="774"/>
      <c r="AD67" s="774"/>
      <c r="AE67" s="774"/>
      <c r="AF67" s="774"/>
      <c r="AG67" s="774"/>
      <c r="AH67" s="774"/>
      <c r="AI67" s="774"/>
      <c r="AJ67" s="774"/>
      <c r="AK67" s="774"/>
      <c r="AL67" s="774"/>
      <c r="AM67" s="774"/>
      <c r="AN67" s="774"/>
      <c r="AO67" s="774"/>
      <c r="AP67" s="774"/>
      <c r="AQ67" s="774"/>
      <c r="AR67" s="774"/>
      <c r="AS67" s="774"/>
      <c r="AT67" s="774"/>
      <c r="AU67" s="600"/>
      <c r="AV67" s="600"/>
      <c r="AW67" s="600"/>
      <c r="AX67" s="597"/>
      <c r="AY67" s="597"/>
      <c r="AZ67" s="214"/>
      <c r="BA67" s="490" t="str">
        <f t="shared" si="0"/>
        <v>SUM_CO2</v>
      </c>
      <c r="BB67" s="581" t="str">
        <f t="shared" si="1"/>
        <v>SUM_EnergyIN</v>
      </c>
      <c r="BC67" s="602"/>
      <c r="BD67" s="23"/>
    </row>
    <row r="68" spans="1:56" x14ac:dyDescent="0.2">
      <c r="A68" s="602"/>
      <c r="B68" s="214"/>
      <c r="C68" s="544">
        <v>45</v>
      </c>
      <c r="D68" s="596"/>
      <c r="E68" s="596"/>
      <c r="F68" s="597"/>
      <c r="G68" s="598"/>
      <c r="H68" s="597"/>
      <c r="I68" s="598"/>
      <c r="J68" s="597"/>
      <c r="K68" s="598"/>
      <c r="L68" s="598"/>
      <c r="M68" s="598"/>
      <c r="N68" s="597"/>
      <c r="O68" s="599"/>
      <c r="P68" s="597"/>
      <c r="Q68" s="599"/>
      <c r="R68" s="597"/>
      <c r="S68" s="599"/>
      <c r="T68" s="597"/>
      <c r="U68" s="599"/>
      <c r="V68" s="774"/>
      <c r="W68" s="774"/>
      <c r="X68" s="774"/>
      <c r="Y68" s="774"/>
      <c r="Z68" s="774"/>
      <c r="AA68" s="774"/>
      <c r="AB68" s="774"/>
      <c r="AC68" s="774"/>
      <c r="AD68" s="774"/>
      <c r="AE68" s="774"/>
      <c r="AF68" s="774"/>
      <c r="AG68" s="774"/>
      <c r="AH68" s="774"/>
      <c r="AI68" s="774"/>
      <c r="AJ68" s="774"/>
      <c r="AK68" s="774"/>
      <c r="AL68" s="774"/>
      <c r="AM68" s="774"/>
      <c r="AN68" s="774"/>
      <c r="AO68" s="774"/>
      <c r="AP68" s="774"/>
      <c r="AQ68" s="774"/>
      <c r="AR68" s="774"/>
      <c r="AS68" s="774"/>
      <c r="AT68" s="774"/>
      <c r="AU68" s="600"/>
      <c r="AV68" s="600"/>
      <c r="AW68" s="600"/>
      <c r="AX68" s="597"/>
      <c r="AY68" s="597"/>
      <c r="AZ68" s="214"/>
      <c r="BA68" s="490" t="str">
        <f t="shared" si="0"/>
        <v>SUM_CO2</v>
      </c>
      <c r="BB68" s="581" t="str">
        <f t="shared" si="1"/>
        <v>SUM_EnergyIN</v>
      </c>
      <c r="BC68" s="602"/>
      <c r="BD68" s="23"/>
    </row>
    <row r="69" spans="1:56" x14ac:dyDescent="0.2">
      <c r="A69" s="602"/>
      <c r="B69" s="214"/>
      <c r="C69" s="544">
        <v>46</v>
      </c>
      <c r="D69" s="596"/>
      <c r="E69" s="596"/>
      <c r="F69" s="597"/>
      <c r="G69" s="598"/>
      <c r="H69" s="597"/>
      <c r="I69" s="598"/>
      <c r="J69" s="597"/>
      <c r="K69" s="598"/>
      <c r="L69" s="598"/>
      <c r="M69" s="598"/>
      <c r="N69" s="597"/>
      <c r="O69" s="599"/>
      <c r="P69" s="597"/>
      <c r="Q69" s="599"/>
      <c r="R69" s="597"/>
      <c r="S69" s="599"/>
      <c r="T69" s="597"/>
      <c r="U69" s="599"/>
      <c r="V69" s="774"/>
      <c r="W69" s="774"/>
      <c r="X69" s="774"/>
      <c r="Y69" s="774"/>
      <c r="Z69" s="774"/>
      <c r="AA69" s="774"/>
      <c r="AB69" s="774"/>
      <c r="AC69" s="774"/>
      <c r="AD69" s="774"/>
      <c r="AE69" s="774"/>
      <c r="AF69" s="774"/>
      <c r="AG69" s="774"/>
      <c r="AH69" s="774"/>
      <c r="AI69" s="774"/>
      <c r="AJ69" s="774"/>
      <c r="AK69" s="774"/>
      <c r="AL69" s="774"/>
      <c r="AM69" s="774"/>
      <c r="AN69" s="774"/>
      <c r="AO69" s="774"/>
      <c r="AP69" s="774"/>
      <c r="AQ69" s="774"/>
      <c r="AR69" s="774"/>
      <c r="AS69" s="774"/>
      <c r="AT69" s="774"/>
      <c r="AU69" s="600"/>
      <c r="AV69" s="600"/>
      <c r="AW69" s="600"/>
      <c r="AX69" s="597"/>
      <c r="AY69" s="597"/>
      <c r="AZ69" s="214"/>
      <c r="BA69" s="490" t="str">
        <f t="shared" si="0"/>
        <v>SUM_CO2</v>
      </c>
      <c r="BB69" s="581" t="str">
        <f t="shared" si="1"/>
        <v>SUM_EnergyIN</v>
      </c>
      <c r="BC69" s="602"/>
      <c r="BD69" s="23"/>
    </row>
    <row r="70" spans="1:56" x14ac:dyDescent="0.2">
      <c r="A70" s="602"/>
      <c r="B70" s="214"/>
      <c r="C70" s="544">
        <v>47</v>
      </c>
      <c r="D70" s="596"/>
      <c r="E70" s="596"/>
      <c r="F70" s="597"/>
      <c r="G70" s="598"/>
      <c r="H70" s="597"/>
      <c r="I70" s="598"/>
      <c r="J70" s="597"/>
      <c r="K70" s="598"/>
      <c r="L70" s="598"/>
      <c r="M70" s="598"/>
      <c r="N70" s="597"/>
      <c r="O70" s="599"/>
      <c r="P70" s="597"/>
      <c r="Q70" s="599"/>
      <c r="R70" s="597"/>
      <c r="S70" s="599"/>
      <c r="T70" s="597"/>
      <c r="U70" s="599"/>
      <c r="V70" s="774"/>
      <c r="W70" s="774"/>
      <c r="X70" s="774"/>
      <c r="Y70" s="774"/>
      <c r="Z70" s="774"/>
      <c r="AA70" s="774"/>
      <c r="AB70" s="774"/>
      <c r="AC70" s="774"/>
      <c r="AD70" s="774"/>
      <c r="AE70" s="774"/>
      <c r="AF70" s="774"/>
      <c r="AG70" s="774"/>
      <c r="AH70" s="774"/>
      <c r="AI70" s="774"/>
      <c r="AJ70" s="774"/>
      <c r="AK70" s="774"/>
      <c r="AL70" s="774"/>
      <c r="AM70" s="774"/>
      <c r="AN70" s="774"/>
      <c r="AO70" s="774"/>
      <c r="AP70" s="774"/>
      <c r="AQ70" s="774"/>
      <c r="AR70" s="774"/>
      <c r="AS70" s="774"/>
      <c r="AT70" s="774"/>
      <c r="AU70" s="600"/>
      <c r="AV70" s="600"/>
      <c r="AW70" s="600"/>
      <c r="AX70" s="597"/>
      <c r="AY70" s="597"/>
      <c r="AZ70" s="214"/>
      <c r="BA70" s="490" t="str">
        <f t="shared" si="0"/>
        <v>SUM_CO2</v>
      </c>
      <c r="BB70" s="581" t="str">
        <f t="shared" si="1"/>
        <v>SUM_EnergyIN</v>
      </c>
      <c r="BC70" s="602"/>
      <c r="BD70" s="23"/>
    </row>
    <row r="71" spans="1:56" x14ac:dyDescent="0.2">
      <c r="A71" s="602"/>
      <c r="B71" s="214"/>
      <c r="C71" s="544">
        <v>48</v>
      </c>
      <c r="D71" s="596"/>
      <c r="E71" s="596"/>
      <c r="F71" s="597"/>
      <c r="G71" s="598"/>
      <c r="H71" s="597"/>
      <c r="I71" s="598"/>
      <c r="J71" s="597"/>
      <c r="K71" s="598"/>
      <c r="L71" s="598"/>
      <c r="M71" s="598"/>
      <c r="N71" s="597"/>
      <c r="O71" s="599"/>
      <c r="P71" s="597"/>
      <c r="Q71" s="599"/>
      <c r="R71" s="597"/>
      <c r="S71" s="599"/>
      <c r="T71" s="597"/>
      <c r="U71" s="599"/>
      <c r="V71" s="774"/>
      <c r="W71" s="774"/>
      <c r="X71" s="774"/>
      <c r="Y71" s="774"/>
      <c r="Z71" s="774"/>
      <c r="AA71" s="774"/>
      <c r="AB71" s="774"/>
      <c r="AC71" s="774"/>
      <c r="AD71" s="774"/>
      <c r="AE71" s="774"/>
      <c r="AF71" s="774"/>
      <c r="AG71" s="774"/>
      <c r="AH71" s="774"/>
      <c r="AI71" s="774"/>
      <c r="AJ71" s="774"/>
      <c r="AK71" s="774"/>
      <c r="AL71" s="774"/>
      <c r="AM71" s="774"/>
      <c r="AN71" s="774"/>
      <c r="AO71" s="774"/>
      <c r="AP71" s="774"/>
      <c r="AQ71" s="774"/>
      <c r="AR71" s="774"/>
      <c r="AS71" s="774"/>
      <c r="AT71" s="774"/>
      <c r="AU71" s="600"/>
      <c r="AV71" s="600"/>
      <c r="AW71" s="600"/>
      <c r="AX71" s="597"/>
      <c r="AY71" s="597"/>
      <c r="AZ71" s="214"/>
      <c r="BA71" s="490" t="str">
        <f t="shared" si="0"/>
        <v>SUM_CO2</v>
      </c>
      <c r="BB71" s="581" t="str">
        <f t="shared" si="1"/>
        <v>SUM_EnergyIN</v>
      </c>
      <c r="BC71" s="602"/>
      <c r="BD71" s="23"/>
    </row>
    <row r="72" spans="1:56" x14ac:dyDescent="0.2">
      <c r="A72" s="602"/>
      <c r="B72" s="214"/>
      <c r="C72" s="544">
        <v>49</v>
      </c>
      <c r="D72" s="596"/>
      <c r="E72" s="596"/>
      <c r="F72" s="597"/>
      <c r="G72" s="598"/>
      <c r="H72" s="597"/>
      <c r="I72" s="598"/>
      <c r="J72" s="597"/>
      <c r="K72" s="598"/>
      <c r="L72" s="598"/>
      <c r="M72" s="598"/>
      <c r="N72" s="597"/>
      <c r="O72" s="599"/>
      <c r="P72" s="597"/>
      <c r="Q72" s="599"/>
      <c r="R72" s="597"/>
      <c r="S72" s="599"/>
      <c r="T72" s="597"/>
      <c r="U72" s="599"/>
      <c r="V72" s="774"/>
      <c r="W72" s="774"/>
      <c r="X72" s="774"/>
      <c r="Y72" s="774"/>
      <c r="Z72" s="774"/>
      <c r="AA72" s="774"/>
      <c r="AB72" s="774"/>
      <c r="AC72" s="774"/>
      <c r="AD72" s="774"/>
      <c r="AE72" s="774"/>
      <c r="AF72" s="774"/>
      <c r="AG72" s="774"/>
      <c r="AH72" s="774"/>
      <c r="AI72" s="774"/>
      <c r="AJ72" s="774"/>
      <c r="AK72" s="774"/>
      <c r="AL72" s="774"/>
      <c r="AM72" s="774"/>
      <c r="AN72" s="774"/>
      <c r="AO72" s="774"/>
      <c r="AP72" s="774"/>
      <c r="AQ72" s="774"/>
      <c r="AR72" s="774"/>
      <c r="AS72" s="774"/>
      <c r="AT72" s="774"/>
      <c r="AU72" s="600"/>
      <c r="AV72" s="600"/>
      <c r="AW72" s="600"/>
      <c r="AX72" s="597"/>
      <c r="AY72" s="597"/>
      <c r="AZ72" s="214"/>
      <c r="BA72" s="490" t="str">
        <f t="shared" si="0"/>
        <v>SUM_CO2</v>
      </c>
      <c r="BB72" s="581" t="str">
        <f t="shared" si="1"/>
        <v>SUM_EnergyIN</v>
      </c>
      <c r="BC72" s="602"/>
      <c r="BD72" s="23"/>
    </row>
    <row r="73" spans="1:56" x14ac:dyDescent="0.2">
      <c r="A73" s="602"/>
      <c r="B73" s="214"/>
      <c r="C73" s="544">
        <v>50</v>
      </c>
      <c r="D73" s="596"/>
      <c r="E73" s="596"/>
      <c r="F73" s="597"/>
      <c r="G73" s="598"/>
      <c r="H73" s="597"/>
      <c r="I73" s="598"/>
      <c r="J73" s="597"/>
      <c r="K73" s="598"/>
      <c r="L73" s="598"/>
      <c r="M73" s="598"/>
      <c r="N73" s="597"/>
      <c r="O73" s="599"/>
      <c r="P73" s="597"/>
      <c r="Q73" s="599"/>
      <c r="R73" s="597"/>
      <c r="S73" s="599"/>
      <c r="T73" s="597"/>
      <c r="U73" s="599"/>
      <c r="V73" s="774"/>
      <c r="W73" s="774"/>
      <c r="X73" s="774"/>
      <c r="Y73" s="774"/>
      <c r="Z73" s="774"/>
      <c r="AA73" s="774"/>
      <c r="AB73" s="774"/>
      <c r="AC73" s="774"/>
      <c r="AD73" s="774"/>
      <c r="AE73" s="774"/>
      <c r="AF73" s="774"/>
      <c r="AG73" s="774"/>
      <c r="AH73" s="774"/>
      <c r="AI73" s="774"/>
      <c r="AJ73" s="774"/>
      <c r="AK73" s="774"/>
      <c r="AL73" s="774"/>
      <c r="AM73" s="774"/>
      <c r="AN73" s="774"/>
      <c r="AO73" s="774"/>
      <c r="AP73" s="774"/>
      <c r="AQ73" s="774"/>
      <c r="AR73" s="774"/>
      <c r="AS73" s="774"/>
      <c r="AT73" s="774"/>
      <c r="AU73" s="600"/>
      <c r="AV73" s="600"/>
      <c r="AW73" s="600"/>
      <c r="AX73" s="597"/>
      <c r="AY73" s="597"/>
      <c r="AZ73" s="214"/>
      <c r="BA73" s="490" t="str">
        <f t="shared" si="0"/>
        <v>SUM_CO2</v>
      </c>
      <c r="BB73" s="581" t="str">
        <f t="shared" si="1"/>
        <v>SUM_EnergyIN</v>
      </c>
      <c r="BC73" s="602"/>
      <c r="BD73" s="23"/>
    </row>
    <row r="74" spans="1:56" x14ac:dyDescent="0.2">
      <c r="A74" s="602"/>
      <c r="B74" s="214"/>
      <c r="C74" s="544">
        <v>51</v>
      </c>
      <c r="D74" s="596"/>
      <c r="E74" s="596"/>
      <c r="F74" s="597"/>
      <c r="G74" s="598"/>
      <c r="H74" s="597"/>
      <c r="I74" s="598"/>
      <c r="J74" s="597"/>
      <c r="K74" s="598"/>
      <c r="L74" s="598"/>
      <c r="M74" s="598"/>
      <c r="N74" s="597"/>
      <c r="O74" s="599"/>
      <c r="P74" s="597"/>
      <c r="Q74" s="599"/>
      <c r="R74" s="597"/>
      <c r="S74" s="599"/>
      <c r="T74" s="597"/>
      <c r="U74" s="599"/>
      <c r="V74" s="774"/>
      <c r="W74" s="774"/>
      <c r="X74" s="774"/>
      <c r="Y74" s="774"/>
      <c r="Z74" s="774"/>
      <c r="AA74" s="774"/>
      <c r="AB74" s="774"/>
      <c r="AC74" s="774"/>
      <c r="AD74" s="774"/>
      <c r="AE74" s="774"/>
      <c r="AF74" s="774"/>
      <c r="AG74" s="774"/>
      <c r="AH74" s="774"/>
      <c r="AI74" s="774"/>
      <c r="AJ74" s="774"/>
      <c r="AK74" s="774"/>
      <c r="AL74" s="774"/>
      <c r="AM74" s="774"/>
      <c r="AN74" s="774"/>
      <c r="AO74" s="774"/>
      <c r="AP74" s="774"/>
      <c r="AQ74" s="774"/>
      <c r="AR74" s="774"/>
      <c r="AS74" s="774"/>
      <c r="AT74" s="774"/>
      <c r="AU74" s="600"/>
      <c r="AV74" s="600"/>
      <c r="AW74" s="600"/>
      <c r="AX74" s="597"/>
      <c r="AY74" s="597"/>
      <c r="AZ74" s="214"/>
      <c r="BA74" s="490" t="str">
        <f t="shared" si="0"/>
        <v>SUM_CO2</v>
      </c>
      <c r="BB74" s="581" t="str">
        <f t="shared" si="1"/>
        <v>SUM_EnergyIN</v>
      </c>
      <c r="BC74" s="602"/>
      <c r="BD74" s="23"/>
    </row>
    <row r="75" spans="1:56" x14ac:dyDescent="0.2">
      <c r="A75" s="602"/>
      <c r="B75" s="214"/>
      <c r="C75" s="544">
        <v>52</v>
      </c>
      <c r="D75" s="596"/>
      <c r="E75" s="596"/>
      <c r="F75" s="597"/>
      <c r="G75" s="598"/>
      <c r="H75" s="597"/>
      <c r="I75" s="598"/>
      <c r="J75" s="597"/>
      <c r="K75" s="598"/>
      <c r="L75" s="598"/>
      <c r="M75" s="598"/>
      <c r="N75" s="597"/>
      <c r="O75" s="599"/>
      <c r="P75" s="597"/>
      <c r="Q75" s="599"/>
      <c r="R75" s="597"/>
      <c r="S75" s="599"/>
      <c r="T75" s="597"/>
      <c r="U75" s="599"/>
      <c r="V75" s="774"/>
      <c r="W75" s="774"/>
      <c r="X75" s="774"/>
      <c r="Y75" s="774"/>
      <c r="Z75" s="774"/>
      <c r="AA75" s="774"/>
      <c r="AB75" s="774"/>
      <c r="AC75" s="774"/>
      <c r="AD75" s="774"/>
      <c r="AE75" s="774"/>
      <c r="AF75" s="774"/>
      <c r="AG75" s="774"/>
      <c r="AH75" s="774"/>
      <c r="AI75" s="774"/>
      <c r="AJ75" s="774"/>
      <c r="AK75" s="774"/>
      <c r="AL75" s="774"/>
      <c r="AM75" s="774"/>
      <c r="AN75" s="774"/>
      <c r="AO75" s="774"/>
      <c r="AP75" s="774"/>
      <c r="AQ75" s="774"/>
      <c r="AR75" s="774"/>
      <c r="AS75" s="774"/>
      <c r="AT75" s="774"/>
      <c r="AU75" s="600"/>
      <c r="AV75" s="600"/>
      <c r="AW75" s="600"/>
      <c r="AX75" s="597"/>
      <c r="AY75" s="597"/>
      <c r="AZ75" s="214"/>
      <c r="BA75" s="490" t="str">
        <f t="shared" si="0"/>
        <v>SUM_CO2</v>
      </c>
      <c r="BB75" s="581" t="str">
        <f t="shared" si="1"/>
        <v>SUM_EnergyIN</v>
      </c>
      <c r="BC75" s="602"/>
      <c r="BD75" s="23"/>
    </row>
    <row r="76" spans="1:56" x14ac:dyDescent="0.2">
      <c r="A76" s="602"/>
      <c r="B76" s="214"/>
      <c r="C76" s="544">
        <v>53</v>
      </c>
      <c r="D76" s="596"/>
      <c r="E76" s="596"/>
      <c r="F76" s="597"/>
      <c r="G76" s="598"/>
      <c r="H76" s="597"/>
      <c r="I76" s="598"/>
      <c r="J76" s="597"/>
      <c r="K76" s="598"/>
      <c r="L76" s="598"/>
      <c r="M76" s="598"/>
      <c r="N76" s="597"/>
      <c r="O76" s="599"/>
      <c r="P76" s="597"/>
      <c r="Q76" s="599"/>
      <c r="R76" s="597"/>
      <c r="S76" s="599"/>
      <c r="T76" s="597"/>
      <c r="U76" s="599"/>
      <c r="V76" s="774"/>
      <c r="W76" s="774"/>
      <c r="X76" s="774"/>
      <c r="Y76" s="774"/>
      <c r="Z76" s="774"/>
      <c r="AA76" s="774"/>
      <c r="AB76" s="774"/>
      <c r="AC76" s="774"/>
      <c r="AD76" s="774"/>
      <c r="AE76" s="774"/>
      <c r="AF76" s="774"/>
      <c r="AG76" s="774"/>
      <c r="AH76" s="774"/>
      <c r="AI76" s="774"/>
      <c r="AJ76" s="774"/>
      <c r="AK76" s="774"/>
      <c r="AL76" s="774"/>
      <c r="AM76" s="774"/>
      <c r="AN76" s="774"/>
      <c r="AO76" s="774"/>
      <c r="AP76" s="774"/>
      <c r="AQ76" s="774"/>
      <c r="AR76" s="774"/>
      <c r="AS76" s="774"/>
      <c r="AT76" s="774"/>
      <c r="AU76" s="600"/>
      <c r="AV76" s="600"/>
      <c r="AW76" s="600"/>
      <c r="AX76" s="597"/>
      <c r="AY76" s="597"/>
      <c r="AZ76" s="214"/>
      <c r="BA76" s="490" t="str">
        <f t="shared" si="0"/>
        <v>SUM_CO2</v>
      </c>
      <c r="BB76" s="581" t="str">
        <f t="shared" si="1"/>
        <v>SUM_EnergyIN</v>
      </c>
      <c r="BC76" s="602"/>
      <c r="BD76" s="23"/>
    </row>
    <row r="77" spans="1:56" x14ac:dyDescent="0.2">
      <c r="A77" s="602"/>
      <c r="B77" s="214"/>
      <c r="C77" s="544">
        <v>54</v>
      </c>
      <c r="D77" s="596"/>
      <c r="E77" s="596"/>
      <c r="F77" s="597"/>
      <c r="G77" s="598"/>
      <c r="H77" s="597"/>
      <c r="I77" s="598"/>
      <c r="J77" s="597"/>
      <c r="K77" s="598"/>
      <c r="L77" s="598"/>
      <c r="M77" s="598"/>
      <c r="N77" s="597"/>
      <c r="O77" s="599"/>
      <c r="P77" s="597"/>
      <c r="Q77" s="599"/>
      <c r="R77" s="597"/>
      <c r="S77" s="599"/>
      <c r="T77" s="597"/>
      <c r="U77" s="599"/>
      <c r="V77" s="774"/>
      <c r="W77" s="774"/>
      <c r="X77" s="774"/>
      <c r="Y77" s="774"/>
      <c r="Z77" s="774"/>
      <c r="AA77" s="774"/>
      <c r="AB77" s="774"/>
      <c r="AC77" s="774"/>
      <c r="AD77" s="774"/>
      <c r="AE77" s="774"/>
      <c r="AF77" s="774"/>
      <c r="AG77" s="774"/>
      <c r="AH77" s="774"/>
      <c r="AI77" s="774"/>
      <c r="AJ77" s="774"/>
      <c r="AK77" s="774"/>
      <c r="AL77" s="774"/>
      <c r="AM77" s="774"/>
      <c r="AN77" s="774"/>
      <c r="AO77" s="774"/>
      <c r="AP77" s="774"/>
      <c r="AQ77" s="774"/>
      <c r="AR77" s="774"/>
      <c r="AS77" s="774"/>
      <c r="AT77" s="774"/>
      <c r="AU77" s="600"/>
      <c r="AV77" s="600"/>
      <c r="AW77" s="600"/>
      <c r="AX77" s="597"/>
      <c r="AY77" s="597"/>
      <c r="AZ77" s="214"/>
      <c r="BA77" s="490" t="str">
        <f t="shared" si="0"/>
        <v>SUM_CO2</v>
      </c>
      <c r="BB77" s="581" t="str">
        <f t="shared" si="1"/>
        <v>SUM_EnergyIN</v>
      </c>
      <c r="BC77" s="602"/>
      <c r="BD77" s="23"/>
    </row>
    <row r="78" spans="1:56" x14ac:dyDescent="0.2">
      <c r="A78" s="602"/>
      <c r="B78" s="214"/>
      <c r="C78" s="544">
        <v>55</v>
      </c>
      <c r="D78" s="596"/>
      <c r="E78" s="596"/>
      <c r="F78" s="597"/>
      <c r="G78" s="598"/>
      <c r="H78" s="597"/>
      <c r="I78" s="598"/>
      <c r="J78" s="597"/>
      <c r="K78" s="598"/>
      <c r="L78" s="598"/>
      <c r="M78" s="598"/>
      <c r="N78" s="597"/>
      <c r="O78" s="599"/>
      <c r="P78" s="597"/>
      <c r="Q78" s="599"/>
      <c r="R78" s="597"/>
      <c r="S78" s="599"/>
      <c r="T78" s="597"/>
      <c r="U78" s="599"/>
      <c r="V78" s="774"/>
      <c r="W78" s="774"/>
      <c r="X78" s="774"/>
      <c r="Y78" s="774"/>
      <c r="Z78" s="774"/>
      <c r="AA78" s="774"/>
      <c r="AB78" s="774"/>
      <c r="AC78" s="774"/>
      <c r="AD78" s="774"/>
      <c r="AE78" s="774"/>
      <c r="AF78" s="774"/>
      <c r="AG78" s="774"/>
      <c r="AH78" s="774"/>
      <c r="AI78" s="774"/>
      <c r="AJ78" s="774"/>
      <c r="AK78" s="774"/>
      <c r="AL78" s="774"/>
      <c r="AM78" s="774"/>
      <c r="AN78" s="774"/>
      <c r="AO78" s="774"/>
      <c r="AP78" s="774"/>
      <c r="AQ78" s="774"/>
      <c r="AR78" s="774"/>
      <c r="AS78" s="774"/>
      <c r="AT78" s="774"/>
      <c r="AU78" s="600"/>
      <c r="AV78" s="600"/>
      <c r="AW78" s="600"/>
      <c r="AX78" s="597"/>
      <c r="AY78" s="597"/>
      <c r="AZ78" s="214"/>
      <c r="BA78" s="490" t="str">
        <f t="shared" si="0"/>
        <v>SUM_CO2</v>
      </c>
      <c r="BB78" s="581" t="str">
        <f t="shared" si="1"/>
        <v>SUM_EnergyIN</v>
      </c>
      <c r="BC78" s="602"/>
      <c r="BD78" s="23"/>
    </row>
    <row r="79" spans="1:56" x14ac:dyDescent="0.2">
      <c r="A79" s="602"/>
      <c r="B79" s="214"/>
      <c r="C79" s="544">
        <v>56</v>
      </c>
      <c r="D79" s="596"/>
      <c r="E79" s="596"/>
      <c r="F79" s="597"/>
      <c r="G79" s="598"/>
      <c r="H79" s="597"/>
      <c r="I79" s="598"/>
      <c r="J79" s="597"/>
      <c r="K79" s="598"/>
      <c r="L79" s="598"/>
      <c r="M79" s="598"/>
      <c r="N79" s="597"/>
      <c r="O79" s="599"/>
      <c r="P79" s="597"/>
      <c r="Q79" s="599"/>
      <c r="R79" s="597"/>
      <c r="S79" s="599"/>
      <c r="T79" s="597"/>
      <c r="U79" s="599"/>
      <c r="V79" s="774"/>
      <c r="W79" s="774"/>
      <c r="X79" s="774"/>
      <c r="Y79" s="774"/>
      <c r="Z79" s="774"/>
      <c r="AA79" s="774"/>
      <c r="AB79" s="774"/>
      <c r="AC79" s="774"/>
      <c r="AD79" s="774"/>
      <c r="AE79" s="774"/>
      <c r="AF79" s="774"/>
      <c r="AG79" s="774"/>
      <c r="AH79" s="774"/>
      <c r="AI79" s="774"/>
      <c r="AJ79" s="774"/>
      <c r="AK79" s="774"/>
      <c r="AL79" s="774"/>
      <c r="AM79" s="774"/>
      <c r="AN79" s="774"/>
      <c r="AO79" s="774"/>
      <c r="AP79" s="774"/>
      <c r="AQ79" s="774"/>
      <c r="AR79" s="774"/>
      <c r="AS79" s="774"/>
      <c r="AT79" s="774"/>
      <c r="AU79" s="600"/>
      <c r="AV79" s="600"/>
      <c r="AW79" s="600"/>
      <c r="AX79" s="597"/>
      <c r="AY79" s="597"/>
      <c r="AZ79" s="214"/>
      <c r="BA79" s="490" t="str">
        <f t="shared" si="0"/>
        <v>SUM_CO2</v>
      </c>
      <c r="BB79" s="581" t="str">
        <f t="shared" si="1"/>
        <v>SUM_EnergyIN</v>
      </c>
      <c r="BC79" s="602"/>
      <c r="BD79" s="23"/>
    </row>
    <row r="80" spans="1:56" x14ac:dyDescent="0.2">
      <c r="A80" s="602"/>
      <c r="B80" s="214"/>
      <c r="C80" s="544">
        <v>57</v>
      </c>
      <c r="D80" s="596"/>
      <c r="E80" s="596"/>
      <c r="F80" s="597"/>
      <c r="G80" s="598"/>
      <c r="H80" s="597"/>
      <c r="I80" s="598"/>
      <c r="J80" s="597"/>
      <c r="K80" s="598"/>
      <c r="L80" s="598"/>
      <c r="M80" s="598"/>
      <c r="N80" s="597"/>
      <c r="O80" s="599"/>
      <c r="P80" s="597"/>
      <c r="Q80" s="599"/>
      <c r="R80" s="597"/>
      <c r="S80" s="599"/>
      <c r="T80" s="597"/>
      <c r="U80" s="599"/>
      <c r="V80" s="774"/>
      <c r="W80" s="774"/>
      <c r="X80" s="774"/>
      <c r="Y80" s="774"/>
      <c r="Z80" s="774"/>
      <c r="AA80" s="774"/>
      <c r="AB80" s="774"/>
      <c r="AC80" s="774"/>
      <c r="AD80" s="774"/>
      <c r="AE80" s="774"/>
      <c r="AF80" s="774"/>
      <c r="AG80" s="774"/>
      <c r="AH80" s="774"/>
      <c r="AI80" s="774"/>
      <c r="AJ80" s="774"/>
      <c r="AK80" s="774"/>
      <c r="AL80" s="774"/>
      <c r="AM80" s="774"/>
      <c r="AN80" s="774"/>
      <c r="AO80" s="774"/>
      <c r="AP80" s="774"/>
      <c r="AQ80" s="774"/>
      <c r="AR80" s="774"/>
      <c r="AS80" s="774"/>
      <c r="AT80" s="774"/>
      <c r="AU80" s="600"/>
      <c r="AV80" s="600"/>
      <c r="AW80" s="600"/>
      <c r="AX80" s="597"/>
      <c r="AY80" s="597"/>
      <c r="AZ80" s="214"/>
      <c r="BA80" s="490" t="str">
        <f t="shared" si="0"/>
        <v>SUM_CO2</v>
      </c>
      <c r="BB80" s="581" t="str">
        <f t="shared" si="1"/>
        <v>SUM_EnergyIN</v>
      </c>
      <c r="BC80" s="602"/>
      <c r="BD80" s="23"/>
    </row>
    <row r="81" spans="1:56" x14ac:dyDescent="0.2">
      <c r="A81" s="602"/>
      <c r="B81" s="214"/>
      <c r="C81" s="544">
        <v>58</v>
      </c>
      <c r="D81" s="596"/>
      <c r="E81" s="596"/>
      <c r="F81" s="597"/>
      <c r="G81" s="598"/>
      <c r="H81" s="597"/>
      <c r="I81" s="598"/>
      <c r="J81" s="597"/>
      <c r="K81" s="598"/>
      <c r="L81" s="598"/>
      <c r="M81" s="598"/>
      <c r="N81" s="597"/>
      <c r="O81" s="599"/>
      <c r="P81" s="597"/>
      <c r="Q81" s="599"/>
      <c r="R81" s="597"/>
      <c r="S81" s="599"/>
      <c r="T81" s="597"/>
      <c r="U81" s="599"/>
      <c r="V81" s="774"/>
      <c r="W81" s="774"/>
      <c r="X81" s="774"/>
      <c r="Y81" s="774"/>
      <c r="Z81" s="774"/>
      <c r="AA81" s="774"/>
      <c r="AB81" s="774"/>
      <c r="AC81" s="774"/>
      <c r="AD81" s="774"/>
      <c r="AE81" s="774"/>
      <c r="AF81" s="774"/>
      <c r="AG81" s="774"/>
      <c r="AH81" s="774"/>
      <c r="AI81" s="774"/>
      <c r="AJ81" s="774"/>
      <c r="AK81" s="774"/>
      <c r="AL81" s="774"/>
      <c r="AM81" s="774"/>
      <c r="AN81" s="774"/>
      <c r="AO81" s="774"/>
      <c r="AP81" s="774"/>
      <c r="AQ81" s="774"/>
      <c r="AR81" s="774"/>
      <c r="AS81" s="774"/>
      <c r="AT81" s="774"/>
      <c r="AU81" s="600"/>
      <c r="AV81" s="600"/>
      <c r="AW81" s="600"/>
      <c r="AX81" s="597"/>
      <c r="AY81" s="597"/>
      <c r="AZ81" s="214"/>
      <c r="BA81" s="490" t="str">
        <f t="shared" si="0"/>
        <v>SUM_CO2</v>
      </c>
      <c r="BB81" s="581" t="str">
        <f t="shared" si="1"/>
        <v>SUM_EnergyIN</v>
      </c>
      <c r="BC81" s="602"/>
      <c r="BD81" s="23"/>
    </row>
    <row r="82" spans="1:56" x14ac:dyDescent="0.2">
      <c r="A82" s="602"/>
      <c r="B82" s="214"/>
      <c r="C82" s="544">
        <v>59</v>
      </c>
      <c r="D82" s="596"/>
      <c r="E82" s="596"/>
      <c r="F82" s="597"/>
      <c r="G82" s="598"/>
      <c r="H82" s="597"/>
      <c r="I82" s="598"/>
      <c r="J82" s="597"/>
      <c r="K82" s="598"/>
      <c r="L82" s="598"/>
      <c r="M82" s="598"/>
      <c r="N82" s="597"/>
      <c r="O82" s="599"/>
      <c r="P82" s="597"/>
      <c r="Q82" s="599"/>
      <c r="R82" s="597"/>
      <c r="S82" s="599"/>
      <c r="T82" s="597"/>
      <c r="U82" s="599"/>
      <c r="V82" s="774"/>
      <c r="W82" s="774"/>
      <c r="X82" s="774"/>
      <c r="Y82" s="774"/>
      <c r="Z82" s="774"/>
      <c r="AA82" s="774"/>
      <c r="AB82" s="774"/>
      <c r="AC82" s="774"/>
      <c r="AD82" s="774"/>
      <c r="AE82" s="774"/>
      <c r="AF82" s="774"/>
      <c r="AG82" s="774"/>
      <c r="AH82" s="774"/>
      <c r="AI82" s="774"/>
      <c r="AJ82" s="774"/>
      <c r="AK82" s="774"/>
      <c r="AL82" s="774"/>
      <c r="AM82" s="774"/>
      <c r="AN82" s="774"/>
      <c r="AO82" s="774"/>
      <c r="AP82" s="774"/>
      <c r="AQ82" s="774"/>
      <c r="AR82" s="774"/>
      <c r="AS82" s="774"/>
      <c r="AT82" s="774"/>
      <c r="AU82" s="600"/>
      <c r="AV82" s="600"/>
      <c r="AW82" s="600"/>
      <c r="AX82" s="597"/>
      <c r="AY82" s="597"/>
      <c r="AZ82" s="214"/>
      <c r="BA82" s="490" t="str">
        <f t="shared" si="0"/>
        <v>SUM_CO2</v>
      </c>
      <c r="BB82" s="581" t="str">
        <f t="shared" si="1"/>
        <v>SUM_EnergyIN</v>
      </c>
      <c r="BC82" s="602"/>
      <c r="BD82" s="23"/>
    </row>
    <row r="83" spans="1:56" x14ac:dyDescent="0.2">
      <c r="A83" s="602"/>
      <c r="B83" s="214"/>
      <c r="C83" s="544">
        <v>60</v>
      </c>
      <c r="D83" s="596"/>
      <c r="E83" s="596"/>
      <c r="F83" s="597"/>
      <c r="G83" s="598"/>
      <c r="H83" s="597"/>
      <c r="I83" s="598"/>
      <c r="J83" s="597"/>
      <c r="K83" s="598"/>
      <c r="L83" s="598"/>
      <c r="M83" s="598"/>
      <c r="N83" s="597"/>
      <c r="O83" s="599"/>
      <c r="P83" s="597"/>
      <c r="Q83" s="599"/>
      <c r="R83" s="597"/>
      <c r="S83" s="599"/>
      <c r="T83" s="597"/>
      <c r="U83" s="599"/>
      <c r="V83" s="774"/>
      <c r="W83" s="774"/>
      <c r="X83" s="774"/>
      <c r="Y83" s="774"/>
      <c r="Z83" s="774"/>
      <c r="AA83" s="774"/>
      <c r="AB83" s="774"/>
      <c r="AC83" s="774"/>
      <c r="AD83" s="774"/>
      <c r="AE83" s="774"/>
      <c r="AF83" s="774"/>
      <c r="AG83" s="774"/>
      <c r="AH83" s="774"/>
      <c r="AI83" s="774"/>
      <c r="AJ83" s="774"/>
      <c r="AK83" s="774"/>
      <c r="AL83" s="774"/>
      <c r="AM83" s="774"/>
      <c r="AN83" s="774"/>
      <c r="AO83" s="774"/>
      <c r="AP83" s="774"/>
      <c r="AQ83" s="774"/>
      <c r="AR83" s="774"/>
      <c r="AS83" s="774"/>
      <c r="AT83" s="774"/>
      <c r="AU83" s="600"/>
      <c r="AV83" s="600"/>
      <c r="AW83" s="600"/>
      <c r="AX83" s="597"/>
      <c r="AY83" s="597"/>
      <c r="AZ83" s="214"/>
      <c r="BA83" s="490" t="str">
        <f t="shared" si="0"/>
        <v>SUM_CO2</v>
      </c>
      <c r="BB83" s="581" t="str">
        <f t="shared" si="1"/>
        <v>SUM_EnergyIN</v>
      </c>
      <c r="BC83" s="602"/>
      <c r="BD83" s="23"/>
    </row>
    <row r="84" spans="1:56" x14ac:dyDescent="0.2">
      <c r="A84" s="602"/>
      <c r="B84" s="214"/>
      <c r="C84" s="544">
        <v>61</v>
      </c>
      <c r="D84" s="596"/>
      <c r="E84" s="596"/>
      <c r="F84" s="597"/>
      <c r="G84" s="598"/>
      <c r="H84" s="597"/>
      <c r="I84" s="598"/>
      <c r="J84" s="597"/>
      <c r="K84" s="598"/>
      <c r="L84" s="598"/>
      <c r="M84" s="598"/>
      <c r="N84" s="597"/>
      <c r="O84" s="599"/>
      <c r="P84" s="597"/>
      <c r="Q84" s="599"/>
      <c r="R84" s="597"/>
      <c r="S84" s="599"/>
      <c r="T84" s="597"/>
      <c r="U84" s="599"/>
      <c r="V84" s="774"/>
      <c r="W84" s="774"/>
      <c r="X84" s="774"/>
      <c r="Y84" s="774"/>
      <c r="Z84" s="774"/>
      <c r="AA84" s="774"/>
      <c r="AB84" s="774"/>
      <c r="AC84" s="774"/>
      <c r="AD84" s="774"/>
      <c r="AE84" s="774"/>
      <c r="AF84" s="774"/>
      <c r="AG84" s="774"/>
      <c r="AH84" s="774"/>
      <c r="AI84" s="774"/>
      <c r="AJ84" s="774"/>
      <c r="AK84" s="774"/>
      <c r="AL84" s="774"/>
      <c r="AM84" s="774"/>
      <c r="AN84" s="774"/>
      <c r="AO84" s="774"/>
      <c r="AP84" s="774"/>
      <c r="AQ84" s="774"/>
      <c r="AR84" s="774"/>
      <c r="AS84" s="774"/>
      <c r="AT84" s="774"/>
      <c r="AU84" s="600"/>
      <c r="AV84" s="600"/>
      <c r="AW84" s="600"/>
      <c r="AX84" s="597"/>
      <c r="AY84" s="597"/>
      <c r="AZ84" s="214"/>
      <c r="BA84" s="490" t="str">
        <f t="shared" si="0"/>
        <v>SUM_CO2</v>
      </c>
      <c r="BB84" s="581" t="str">
        <f t="shared" si="1"/>
        <v>SUM_EnergyIN</v>
      </c>
      <c r="BC84" s="602"/>
      <c r="BD84" s="23"/>
    </row>
    <row r="85" spans="1:56" x14ac:dyDescent="0.2">
      <c r="A85" s="602"/>
      <c r="B85" s="214"/>
      <c r="C85" s="544">
        <v>62</v>
      </c>
      <c r="D85" s="596"/>
      <c r="E85" s="596"/>
      <c r="F85" s="597"/>
      <c r="G85" s="598"/>
      <c r="H85" s="597"/>
      <c r="I85" s="598"/>
      <c r="J85" s="597"/>
      <c r="K85" s="598"/>
      <c r="L85" s="598"/>
      <c r="M85" s="598"/>
      <c r="N85" s="597"/>
      <c r="O85" s="599"/>
      <c r="P85" s="597"/>
      <c r="Q85" s="599"/>
      <c r="R85" s="597"/>
      <c r="S85" s="599"/>
      <c r="T85" s="597"/>
      <c r="U85" s="599"/>
      <c r="V85" s="774"/>
      <c r="W85" s="774"/>
      <c r="X85" s="774"/>
      <c r="Y85" s="774"/>
      <c r="Z85" s="774"/>
      <c r="AA85" s="774"/>
      <c r="AB85" s="774"/>
      <c r="AC85" s="774"/>
      <c r="AD85" s="774"/>
      <c r="AE85" s="774"/>
      <c r="AF85" s="774"/>
      <c r="AG85" s="774"/>
      <c r="AH85" s="774"/>
      <c r="AI85" s="774"/>
      <c r="AJ85" s="774"/>
      <c r="AK85" s="774"/>
      <c r="AL85" s="774"/>
      <c r="AM85" s="774"/>
      <c r="AN85" s="774"/>
      <c r="AO85" s="774"/>
      <c r="AP85" s="774"/>
      <c r="AQ85" s="774"/>
      <c r="AR85" s="774"/>
      <c r="AS85" s="774"/>
      <c r="AT85" s="774"/>
      <c r="AU85" s="600"/>
      <c r="AV85" s="600"/>
      <c r="AW85" s="600"/>
      <c r="AX85" s="597"/>
      <c r="AY85" s="597"/>
      <c r="AZ85" s="214"/>
      <c r="BA85" s="490" t="str">
        <f t="shared" si="0"/>
        <v>SUM_CO2</v>
      </c>
      <c r="BB85" s="581" t="str">
        <f t="shared" si="1"/>
        <v>SUM_EnergyIN</v>
      </c>
      <c r="BC85" s="602"/>
      <c r="BD85" s="23"/>
    </row>
    <row r="86" spans="1:56" x14ac:dyDescent="0.2">
      <c r="A86" s="602"/>
      <c r="B86" s="214"/>
      <c r="C86" s="544">
        <v>63</v>
      </c>
      <c r="D86" s="596"/>
      <c r="E86" s="596"/>
      <c r="F86" s="597"/>
      <c r="G86" s="598"/>
      <c r="H86" s="597"/>
      <c r="I86" s="598"/>
      <c r="J86" s="597"/>
      <c r="K86" s="598"/>
      <c r="L86" s="598"/>
      <c r="M86" s="598"/>
      <c r="N86" s="597"/>
      <c r="O86" s="599"/>
      <c r="P86" s="597"/>
      <c r="Q86" s="599"/>
      <c r="R86" s="597"/>
      <c r="S86" s="599"/>
      <c r="T86" s="597"/>
      <c r="U86" s="599"/>
      <c r="V86" s="774"/>
      <c r="W86" s="774"/>
      <c r="X86" s="774"/>
      <c r="Y86" s="774"/>
      <c r="Z86" s="774"/>
      <c r="AA86" s="774"/>
      <c r="AB86" s="774"/>
      <c r="AC86" s="774"/>
      <c r="AD86" s="774"/>
      <c r="AE86" s="774"/>
      <c r="AF86" s="774"/>
      <c r="AG86" s="774"/>
      <c r="AH86" s="774"/>
      <c r="AI86" s="774"/>
      <c r="AJ86" s="774"/>
      <c r="AK86" s="774"/>
      <c r="AL86" s="774"/>
      <c r="AM86" s="774"/>
      <c r="AN86" s="774"/>
      <c r="AO86" s="774"/>
      <c r="AP86" s="774"/>
      <c r="AQ86" s="774"/>
      <c r="AR86" s="774"/>
      <c r="AS86" s="774"/>
      <c r="AT86" s="774"/>
      <c r="AU86" s="600"/>
      <c r="AV86" s="600"/>
      <c r="AW86" s="600"/>
      <c r="AX86" s="597"/>
      <c r="AY86" s="597"/>
      <c r="AZ86" s="214"/>
      <c r="BA86" s="490" t="str">
        <f t="shared" si="0"/>
        <v>SUM_CO2</v>
      </c>
      <c r="BB86" s="581" t="str">
        <f t="shared" si="1"/>
        <v>SUM_EnergyIN</v>
      </c>
      <c r="BC86" s="602"/>
      <c r="BD86" s="23"/>
    </row>
    <row r="87" spans="1:56" x14ac:dyDescent="0.2">
      <c r="A87" s="602"/>
      <c r="B87" s="214"/>
      <c r="C87" s="544">
        <v>64</v>
      </c>
      <c r="D87" s="596"/>
      <c r="E87" s="596"/>
      <c r="F87" s="597"/>
      <c r="G87" s="598"/>
      <c r="H87" s="597"/>
      <c r="I87" s="598"/>
      <c r="J87" s="597"/>
      <c r="K87" s="598"/>
      <c r="L87" s="598"/>
      <c r="M87" s="598"/>
      <c r="N87" s="597"/>
      <c r="O87" s="599"/>
      <c r="P87" s="597"/>
      <c r="Q87" s="599"/>
      <c r="R87" s="597"/>
      <c r="S87" s="599"/>
      <c r="T87" s="597"/>
      <c r="U87" s="599"/>
      <c r="V87" s="774"/>
      <c r="W87" s="774"/>
      <c r="X87" s="774"/>
      <c r="Y87" s="774"/>
      <c r="Z87" s="774"/>
      <c r="AA87" s="774"/>
      <c r="AB87" s="774"/>
      <c r="AC87" s="774"/>
      <c r="AD87" s="774"/>
      <c r="AE87" s="774"/>
      <c r="AF87" s="774"/>
      <c r="AG87" s="774"/>
      <c r="AH87" s="774"/>
      <c r="AI87" s="774"/>
      <c r="AJ87" s="774"/>
      <c r="AK87" s="774"/>
      <c r="AL87" s="774"/>
      <c r="AM87" s="774"/>
      <c r="AN87" s="774"/>
      <c r="AO87" s="774"/>
      <c r="AP87" s="774"/>
      <c r="AQ87" s="774"/>
      <c r="AR87" s="774"/>
      <c r="AS87" s="774"/>
      <c r="AT87" s="774"/>
      <c r="AU87" s="600"/>
      <c r="AV87" s="600"/>
      <c r="AW87" s="600"/>
      <c r="AX87" s="597"/>
      <c r="AY87" s="597"/>
      <c r="AZ87" s="214"/>
      <c r="BA87" s="490" t="str">
        <f t="shared" si="0"/>
        <v>SUM_CO2</v>
      </c>
      <c r="BB87" s="581" t="str">
        <f t="shared" si="1"/>
        <v>SUM_EnergyIN</v>
      </c>
      <c r="BC87" s="602"/>
      <c r="BD87" s="23"/>
    </row>
    <row r="88" spans="1:56" x14ac:dyDescent="0.2">
      <c r="A88" s="602"/>
      <c r="B88" s="214"/>
      <c r="C88" s="544">
        <v>65</v>
      </c>
      <c r="D88" s="596"/>
      <c r="E88" s="596"/>
      <c r="F88" s="597"/>
      <c r="G88" s="598"/>
      <c r="H88" s="597"/>
      <c r="I88" s="598"/>
      <c r="J88" s="597"/>
      <c r="K88" s="598"/>
      <c r="L88" s="598"/>
      <c r="M88" s="598"/>
      <c r="N88" s="597"/>
      <c r="O88" s="599"/>
      <c r="P88" s="597"/>
      <c r="Q88" s="599"/>
      <c r="R88" s="597"/>
      <c r="S88" s="599"/>
      <c r="T88" s="597"/>
      <c r="U88" s="599"/>
      <c r="V88" s="774"/>
      <c r="W88" s="774"/>
      <c r="X88" s="774"/>
      <c r="Y88" s="774"/>
      <c r="Z88" s="774"/>
      <c r="AA88" s="774"/>
      <c r="AB88" s="774"/>
      <c r="AC88" s="774"/>
      <c r="AD88" s="774"/>
      <c r="AE88" s="774"/>
      <c r="AF88" s="774"/>
      <c r="AG88" s="774"/>
      <c r="AH88" s="774"/>
      <c r="AI88" s="774"/>
      <c r="AJ88" s="774"/>
      <c r="AK88" s="774"/>
      <c r="AL88" s="774"/>
      <c r="AM88" s="774"/>
      <c r="AN88" s="774"/>
      <c r="AO88" s="774"/>
      <c r="AP88" s="774"/>
      <c r="AQ88" s="774"/>
      <c r="AR88" s="774"/>
      <c r="AS88" s="774"/>
      <c r="AT88" s="774"/>
      <c r="AU88" s="600"/>
      <c r="AV88" s="600"/>
      <c r="AW88" s="600"/>
      <c r="AX88" s="597"/>
      <c r="AY88" s="597"/>
      <c r="AZ88" s="214"/>
      <c r="BA88" s="490" t="str">
        <f t="shared" ref="BA88:BA98" si="2">EUconst_SumCO2</f>
        <v>SUM_CO2</v>
      </c>
      <c r="BB88" s="581" t="str">
        <f t="shared" ref="BB88:BB98" si="3">EUconst_SumEnergyIN</f>
        <v>SUM_EnergyIN</v>
      </c>
      <c r="BC88" s="602"/>
      <c r="BD88" s="23"/>
    </row>
    <row r="89" spans="1:56" x14ac:dyDescent="0.2">
      <c r="A89" s="602"/>
      <c r="B89" s="214"/>
      <c r="C89" s="544">
        <v>66</v>
      </c>
      <c r="D89" s="596"/>
      <c r="E89" s="596"/>
      <c r="F89" s="597"/>
      <c r="G89" s="598"/>
      <c r="H89" s="597"/>
      <c r="I89" s="598"/>
      <c r="J89" s="597"/>
      <c r="K89" s="598"/>
      <c r="L89" s="598"/>
      <c r="M89" s="598"/>
      <c r="N89" s="597"/>
      <c r="O89" s="599"/>
      <c r="P89" s="597"/>
      <c r="Q89" s="599"/>
      <c r="R89" s="597"/>
      <c r="S89" s="599"/>
      <c r="T89" s="597"/>
      <c r="U89" s="599"/>
      <c r="V89" s="774"/>
      <c r="W89" s="774"/>
      <c r="X89" s="774"/>
      <c r="Y89" s="774"/>
      <c r="Z89" s="774"/>
      <c r="AA89" s="774"/>
      <c r="AB89" s="774"/>
      <c r="AC89" s="774"/>
      <c r="AD89" s="774"/>
      <c r="AE89" s="774"/>
      <c r="AF89" s="774"/>
      <c r="AG89" s="774"/>
      <c r="AH89" s="774"/>
      <c r="AI89" s="774"/>
      <c r="AJ89" s="774"/>
      <c r="AK89" s="774"/>
      <c r="AL89" s="774"/>
      <c r="AM89" s="774"/>
      <c r="AN89" s="774"/>
      <c r="AO89" s="774"/>
      <c r="AP89" s="774"/>
      <c r="AQ89" s="774"/>
      <c r="AR89" s="774"/>
      <c r="AS89" s="774"/>
      <c r="AT89" s="774"/>
      <c r="AU89" s="600"/>
      <c r="AV89" s="600"/>
      <c r="AW89" s="600"/>
      <c r="AX89" s="597"/>
      <c r="AY89" s="597"/>
      <c r="AZ89" s="214"/>
      <c r="BA89" s="490" t="str">
        <f t="shared" si="2"/>
        <v>SUM_CO2</v>
      </c>
      <c r="BB89" s="581" t="str">
        <f t="shared" si="3"/>
        <v>SUM_EnergyIN</v>
      </c>
      <c r="BC89" s="602"/>
      <c r="BD89" s="23"/>
    </row>
    <row r="90" spans="1:56" x14ac:dyDescent="0.2">
      <c r="A90" s="602"/>
      <c r="B90" s="214"/>
      <c r="C90" s="544">
        <v>67</v>
      </c>
      <c r="D90" s="596"/>
      <c r="E90" s="596"/>
      <c r="F90" s="597"/>
      <c r="G90" s="598"/>
      <c r="H90" s="597"/>
      <c r="I90" s="598"/>
      <c r="J90" s="597"/>
      <c r="K90" s="598"/>
      <c r="L90" s="598"/>
      <c r="M90" s="598"/>
      <c r="N90" s="597"/>
      <c r="O90" s="599"/>
      <c r="P90" s="597"/>
      <c r="Q90" s="599"/>
      <c r="R90" s="597"/>
      <c r="S90" s="599"/>
      <c r="T90" s="597"/>
      <c r="U90" s="599"/>
      <c r="V90" s="774"/>
      <c r="W90" s="774"/>
      <c r="X90" s="774"/>
      <c r="Y90" s="774"/>
      <c r="Z90" s="774"/>
      <c r="AA90" s="774"/>
      <c r="AB90" s="774"/>
      <c r="AC90" s="774"/>
      <c r="AD90" s="774"/>
      <c r="AE90" s="774"/>
      <c r="AF90" s="774"/>
      <c r="AG90" s="774"/>
      <c r="AH90" s="774"/>
      <c r="AI90" s="774"/>
      <c r="AJ90" s="774"/>
      <c r="AK90" s="774"/>
      <c r="AL90" s="774"/>
      <c r="AM90" s="774"/>
      <c r="AN90" s="774"/>
      <c r="AO90" s="774"/>
      <c r="AP90" s="774"/>
      <c r="AQ90" s="774"/>
      <c r="AR90" s="774"/>
      <c r="AS90" s="774"/>
      <c r="AT90" s="774"/>
      <c r="AU90" s="600"/>
      <c r="AV90" s="600"/>
      <c r="AW90" s="600"/>
      <c r="AX90" s="597"/>
      <c r="AY90" s="597"/>
      <c r="AZ90" s="214"/>
      <c r="BA90" s="490" t="str">
        <f t="shared" si="2"/>
        <v>SUM_CO2</v>
      </c>
      <c r="BB90" s="581" t="str">
        <f t="shared" si="3"/>
        <v>SUM_EnergyIN</v>
      </c>
      <c r="BC90" s="602"/>
      <c r="BD90" s="23"/>
    </row>
    <row r="91" spans="1:56" x14ac:dyDescent="0.2">
      <c r="A91" s="602"/>
      <c r="B91" s="214"/>
      <c r="C91" s="544">
        <v>68</v>
      </c>
      <c r="D91" s="596"/>
      <c r="E91" s="596"/>
      <c r="F91" s="597"/>
      <c r="G91" s="598"/>
      <c r="H91" s="597"/>
      <c r="I91" s="598"/>
      <c r="J91" s="597"/>
      <c r="K91" s="598"/>
      <c r="L91" s="598"/>
      <c r="M91" s="598"/>
      <c r="N91" s="597"/>
      <c r="O91" s="599"/>
      <c r="P91" s="597"/>
      <c r="Q91" s="599"/>
      <c r="R91" s="597"/>
      <c r="S91" s="599"/>
      <c r="T91" s="597"/>
      <c r="U91" s="599"/>
      <c r="V91" s="774"/>
      <c r="W91" s="774"/>
      <c r="X91" s="774"/>
      <c r="Y91" s="774"/>
      <c r="Z91" s="774"/>
      <c r="AA91" s="774"/>
      <c r="AB91" s="774"/>
      <c r="AC91" s="774"/>
      <c r="AD91" s="774"/>
      <c r="AE91" s="774"/>
      <c r="AF91" s="774"/>
      <c r="AG91" s="774"/>
      <c r="AH91" s="774"/>
      <c r="AI91" s="774"/>
      <c r="AJ91" s="774"/>
      <c r="AK91" s="774"/>
      <c r="AL91" s="774"/>
      <c r="AM91" s="774"/>
      <c r="AN91" s="774"/>
      <c r="AO91" s="774"/>
      <c r="AP91" s="774"/>
      <c r="AQ91" s="774"/>
      <c r="AR91" s="774"/>
      <c r="AS91" s="774"/>
      <c r="AT91" s="774"/>
      <c r="AU91" s="600"/>
      <c r="AV91" s="600"/>
      <c r="AW91" s="600"/>
      <c r="AX91" s="597"/>
      <c r="AY91" s="597"/>
      <c r="AZ91" s="214"/>
      <c r="BA91" s="490" t="str">
        <f t="shared" si="2"/>
        <v>SUM_CO2</v>
      </c>
      <c r="BB91" s="581" t="str">
        <f t="shared" si="3"/>
        <v>SUM_EnergyIN</v>
      </c>
      <c r="BC91" s="602"/>
      <c r="BD91" s="23"/>
    </row>
    <row r="92" spans="1:56" x14ac:dyDescent="0.2">
      <c r="A92" s="602"/>
      <c r="B92" s="214"/>
      <c r="C92" s="544">
        <v>69</v>
      </c>
      <c r="D92" s="596"/>
      <c r="E92" s="596"/>
      <c r="F92" s="597"/>
      <c r="G92" s="598"/>
      <c r="H92" s="597"/>
      <c r="I92" s="598"/>
      <c r="J92" s="597"/>
      <c r="K92" s="598"/>
      <c r="L92" s="598"/>
      <c r="M92" s="598"/>
      <c r="N92" s="597"/>
      <c r="O92" s="599"/>
      <c r="P92" s="597"/>
      <c r="Q92" s="599"/>
      <c r="R92" s="597"/>
      <c r="S92" s="599"/>
      <c r="T92" s="597"/>
      <c r="U92" s="599"/>
      <c r="V92" s="774"/>
      <c r="W92" s="774"/>
      <c r="X92" s="774"/>
      <c r="Y92" s="774"/>
      <c r="Z92" s="774"/>
      <c r="AA92" s="774"/>
      <c r="AB92" s="774"/>
      <c r="AC92" s="774"/>
      <c r="AD92" s="774"/>
      <c r="AE92" s="774"/>
      <c r="AF92" s="774"/>
      <c r="AG92" s="774"/>
      <c r="AH92" s="774"/>
      <c r="AI92" s="774"/>
      <c r="AJ92" s="774"/>
      <c r="AK92" s="774"/>
      <c r="AL92" s="774"/>
      <c r="AM92" s="774"/>
      <c r="AN92" s="774"/>
      <c r="AO92" s="774"/>
      <c r="AP92" s="774"/>
      <c r="AQ92" s="774"/>
      <c r="AR92" s="774"/>
      <c r="AS92" s="774"/>
      <c r="AT92" s="774"/>
      <c r="AU92" s="600"/>
      <c r="AV92" s="600"/>
      <c r="AW92" s="600"/>
      <c r="AX92" s="597"/>
      <c r="AY92" s="597"/>
      <c r="AZ92" s="214"/>
      <c r="BA92" s="490" t="str">
        <f t="shared" si="2"/>
        <v>SUM_CO2</v>
      </c>
      <c r="BB92" s="581" t="str">
        <f t="shared" si="3"/>
        <v>SUM_EnergyIN</v>
      </c>
      <c r="BC92" s="602"/>
      <c r="BD92" s="23"/>
    </row>
    <row r="93" spans="1:56" x14ac:dyDescent="0.2">
      <c r="A93" s="602"/>
      <c r="B93" s="214"/>
      <c r="C93" s="544">
        <v>70</v>
      </c>
      <c r="D93" s="596"/>
      <c r="E93" s="596"/>
      <c r="F93" s="597"/>
      <c r="G93" s="598"/>
      <c r="H93" s="597"/>
      <c r="I93" s="598"/>
      <c r="J93" s="597"/>
      <c r="K93" s="598"/>
      <c r="L93" s="598"/>
      <c r="M93" s="598"/>
      <c r="N93" s="597"/>
      <c r="O93" s="599"/>
      <c r="P93" s="597"/>
      <c r="Q93" s="599"/>
      <c r="R93" s="597"/>
      <c r="S93" s="599"/>
      <c r="T93" s="597"/>
      <c r="U93" s="599"/>
      <c r="V93" s="774"/>
      <c r="W93" s="774"/>
      <c r="X93" s="774"/>
      <c r="Y93" s="774"/>
      <c r="Z93" s="774"/>
      <c r="AA93" s="774"/>
      <c r="AB93" s="774"/>
      <c r="AC93" s="774"/>
      <c r="AD93" s="774"/>
      <c r="AE93" s="774"/>
      <c r="AF93" s="774"/>
      <c r="AG93" s="774"/>
      <c r="AH93" s="774"/>
      <c r="AI93" s="774"/>
      <c r="AJ93" s="774"/>
      <c r="AK93" s="774"/>
      <c r="AL93" s="774"/>
      <c r="AM93" s="774"/>
      <c r="AN93" s="774"/>
      <c r="AO93" s="774"/>
      <c r="AP93" s="774"/>
      <c r="AQ93" s="774"/>
      <c r="AR93" s="774"/>
      <c r="AS93" s="774"/>
      <c r="AT93" s="774"/>
      <c r="AU93" s="600"/>
      <c r="AV93" s="600"/>
      <c r="AW93" s="600"/>
      <c r="AX93" s="597"/>
      <c r="AY93" s="597"/>
      <c r="AZ93" s="214"/>
      <c r="BA93" s="490" t="str">
        <f t="shared" si="2"/>
        <v>SUM_CO2</v>
      </c>
      <c r="BB93" s="581" t="str">
        <f t="shared" si="3"/>
        <v>SUM_EnergyIN</v>
      </c>
      <c r="BC93" s="602"/>
      <c r="BD93" s="23"/>
    </row>
    <row r="94" spans="1:56" x14ac:dyDescent="0.2">
      <c r="A94" s="602"/>
      <c r="B94" s="214"/>
      <c r="C94" s="544">
        <v>71</v>
      </c>
      <c r="D94" s="596"/>
      <c r="E94" s="596"/>
      <c r="F94" s="597"/>
      <c r="G94" s="598"/>
      <c r="H94" s="597"/>
      <c r="I94" s="598"/>
      <c r="J94" s="597"/>
      <c r="K94" s="598"/>
      <c r="L94" s="598"/>
      <c r="M94" s="598"/>
      <c r="N94" s="597"/>
      <c r="O94" s="599"/>
      <c r="P94" s="597"/>
      <c r="Q94" s="599"/>
      <c r="R94" s="597"/>
      <c r="S94" s="599"/>
      <c r="T94" s="597"/>
      <c r="U94" s="599"/>
      <c r="V94" s="774"/>
      <c r="W94" s="774"/>
      <c r="X94" s="774"/>
      <c r="Y94" s="774"/>
      <c r="Z94" s="774"/>
      <c r="AA94" s="774"/>
      <c r="AB94" s="774"/>
      <c r="AC94" s="774"/>
      <c r="AD94" s="774"/>
      <c r="AE94" s="774"/>
      <c r="AF94" s="774"/>
      <c r="AG94" s="774"/>
      <c r="AH94" s="774"/>
      <c r="AI94" s="774"/>
      <c r="AJ94" s="774"/>
      <c r="AK94" s="774"/>
      <c r="AL94" s="774"/>
      <c r="AM94" s="774"/>
      <c r="AN94" s="774"/>
      <c r="AO94" s="774"/>
      <c r="AP94" s="774"/>
      <c r="AQ94" s="774"/>
      <c r="AR94" s="774"/>
      <c r="AS94" s="774"/>
      <c r="AT94" s="774"/>
      <c r="AU94" s="600"/>
      <c r="AV94" s="600"/>
      <c r="AW94" s="600"/>
      <c r="AX94" s="597"/>
      <c r="AY94" s="597"/>
      <c r="AZ94" s="214"/>
      <c r="BA94" s="490" t="str">
        <f t="shared" si="2"/>
        <v>SUM_CO2</v>
      </c>
      <c r="BB94" s="581" t="str">
        <f t="shared" si="3"/>
        <v>SUM_EnergyIN</v>
      </c>
      <c r="BC94" s="602"/>
      <c r="BD94" s="23"/>
    </row>
    <row r="95" spans="1:56" x14ac:dyDescent="0.2">
      <c r="A95" s="602"/>
      <c r="B95" s="214"/>
      <c r="C95" s="544">
        <v>72</v>
      </c>
      <c r="D95" s="596"/>
      <c r="E95" s="596"/>
      <c r="F95" s="597"/>
      <c r="G95" s="598"/>
      <c r="H95" s="597"/>
      <c r="I95" s="598"/>
      <c r="J95" s="597"/>
      <c r="K95" s="598"/>
      <c r="L95" s="598"/>
      <c r="M95" s="598"/>
      <c r="N95" s="597"/>
      <c r="O95" s="599"/>
      <c r="P95" s="597"/>
      <c r="Q95" s="599"/>
      <c r="R95" s="597"/>
      <c r="S95" s="599"/>
      <c r="T95" s="597"/>
      <c r="U95" s="599"/>
      <c r="V95" s="774"/>
      <c r="W95" s="774"/>
      <c r="X95" s="774"/>
      <c r="Y95" s="774"/>
      <c r="Z95" s="774"/>
      <c r="AA95" s="774"/>
      <c r="AB95" s="774"/>
      <c r="AC95" s="774"/>
      <c r="AD95" s="774"/>
      <c r="AE95" s="774"/>
      <c r="AF95" s="774"/>
      <c r="AG95" s="774"/>
      <c r="AH95" s="774"/>
      <c r="AI95" s="774"/>
      <c r="AJ95" s="774"/>
      <c r="AK95" s="774"/>
      <c r="AL95" s="774"/>
      <c r="AM95" s="774"/>
      <c r="AN95" s="774"/>
      <c r="AO95" s="774"/>
      <c r="AP95" s="774"/>
      <c r="AQ95" s="774"/>
      <c r="AR95" s="774"/>
      <c r="AS95" s="774"/>
      <c r="AT95" s="774"/>
      <c r="AU95" s="600"/>
      <c r="AV95" s="600"/>
      <c r="AW95" s="600"/>
      <c r="AX95" s="597"/>
      <c r="AY95" s="597"/>
      <c r="AZ95" s="214"/>
      <c r="BA95" s="490" t="str">
        <f t="shared" si="2"/>
        <v>SUM_CO2</v>
      </c>
      <c r="BB95" s="581" t="str">
        <f t="shared" si="3"/>
        <v>SUM_EnergyIN</v>
      </c>
      <c r="BC95" s="602"/>
      <c r="BD95" s="23"/>
    </row>
    <row r="96" spans="1:56" x14ac:dyDescent="0.2">
      <c r="A96" s="602"/>
      <c r="B96" s="214"/>
      <c r="C96" s="544">
        <v>73</v>
      </c>
      <c r="D96" s="596"/>
      <c r="E96" s="596"/>
      <c r="F96" s="597"/>
      <c r="G96" s="598"/>
      <c r="H96" s="597"/>
      <c r="I96" s="598"/>
      <c r="J96" s="597"/>
      <c r="K96" s="598"/>
      <c r="L96" s="598"/>
      <c r="M96" s="598"/>
      <c r="N96" s="597"/>
      <c r="O96" s="599"/>
      <c r="P96" s="597"/>
      <c r="Q96" s="599"/>
      <c r="R96" s="597"/>
      <c r="S96" s="599"/>
      <c r="T96" s="597"/>
      <c r="U96" s="599"/>
      <c r="V96" s="774"/>
      <c r="W96" s="774"/>
      <c r="X96" s="774"/>
      <c r="Y96" s="774"/>
      <c r="Z96" s="774"/>
      <c r="AA96" s="774"/>
      <c r="AB96" s="774"/>
      <c r="AC96" s="774"/>
      <c r="AD96" s="774"/>
      <c r="AE96" s="774"/>
      <c r="AF96" s="774"/>
      <c r="AG96" s="774"/>
      <c r="AH96" s="774"/>
      <c r="AI96" s="774"/>
      <c r="AJ96" s="774"/>
      <c r="AK96" s="774"/>
      <c r="AL96" s="774"/>
      <c r="AM96" s="774"/>
      <c r="AN96" s="774"/>
      <c r="AO96" s="774"/>
      <c r="AP96" s="774"/>
      <c r="AQ96" s="774"/>
      <c r="AR96" s="774"/>
      <c r="AS96" s="774"/>
      <c r="AT96" s="774"/>
      <c r="AU96" s="600"/>
      <c r="AV96" s="600"/>
      <c r="AW96" s="600"/>
      <c r="AX96" s="597"/>
      <c r="AY96" s="597"/>
      <c r="AZ96" s="214"/>
      <c r="BA96" s="490" t="str">
        <f t="shared" si="2"/>
        <v>SUM_CO2</v>
      </c>
      <c r="BB96" s="581" t="str">
        <f t="shared" si="3"/>
        <v>SUM_EnergyIN</v>
      </c>
      <c r="BC96" s="602"/>
      <c r="BD96" s="23"/>
    </row>
    <row r="97" spans="1:56" x14ac:dyDescent="0.2">
      <c r="A97" s="602"/>
      <c r="B97" s="214"/>
      <c r="C97" s="544">
        <v>74</v>
      </c>
      <c r="D97" s="596"/>
      <c r="E97" s="596"/>
      <c r="F97" s="597"/>
      <c r="G97" s="598"/>
      <c r="H97" s="597"/>
      <c r="I97" s="598"/>
      <c r="J97" s="597"/>
      <c r="K97" s="598"/>
      <c r="L97" s="598"/>
      <c r="M97" s="598"/>
      <c r="N97" s="597"/>
      <c r="O97" s="599"/>
      <c r="P97" s="597"/>
      <c r="Q97" s="599"/>
      <c r="R97" s="597"/>
      <c r="S97" s="599"/>
      <c r="T97" s="597"/>
      <c r="U97" s="599"/>
      <c r="V97" s="774"/>
      <c r="W97" s="774"/>
      <c r="X97" s="774"/>
      <c r="Y97" s="774"/>
      <c r="Z97" s="774"/>
      <c r="AA97" s="774"/>
      <c r="AB97" s="774"/>
      <c r="AC97" s="774"/>
      <c r="AD97" s="774"/>
      <c r="AE97" s="774"/>
      <c r="AF97" s="774"/>
      <c r="AG97" s="774"/>
      <c r="AH97" s="774"/>
      <c r="AI97" s="774"/>
      <c r="AJ97" s="774"/>
      <c r="AK97" s="774"/>
      <c r="AL97" s="774"/>
      <c r="AM97" s="774"/>
      <c r="AN97" s="774"/>
      <c r="AO97" s="774"/>
      <c r="AP97" s="774"/>
      <c r="AQ97" s="774"/>
      <c r="AR97" s="774"/>
      <c r="AS97" s="774"/>
      <c r="AT97" s="774"/>
      <c r="AU97" s="600"/>
      <c r="AV97" s="600"/>
      <c r="AW97" s="600"/>
      <c r="AX97" s="597"/>
      <c r="AY97" s="597"/>
      <c r="AZ97" s="214"/>
      <c r="BA97" s="490" t="str">
        <f t="shared" si="2"/>
        <v>SUM_CO2</v>
      </c>
      <c r="BB97" s="581" t="str">
        <f t="shared" si="3"/>
        <v>SUM_EnergyIN</v>
      </c>
      <c r="BC97" s="602"/>
      <c r="BD97" s="23"/>
    </row>
    <row r="98" spans="1:56" x14ac:dyDescent="0.2">
      <c r="A98" s="602"/>
      <c r="B98" s="214"/>
      <c r="C98" s="544">
        <v>75</v>
      </c>
      <c r="D98" s="596"/>
      <c r="E98" s="596"/>
      <c r="F98" s="597"/>
      <c r="G98" s="598"/>
      <c r="H98" s="597"/>
      <c r="I98" s="598"/>
      <c r="J98" s="597"/>
      <c r="K98" s="598"/>
      <c r="L98" s="598"/>
      <c r="M98" s="598"/>
      <c r="N98" s="597"/>
      <c r="O98" s="599"/>
      <c r="P98" s="597"/>
      <c r="Q98" s="599"/>
      <c r="R98" s="597"/>
      <c r="S98" s="599"/>
      <c r="T98" s="597"/>
      <c r="U98" s="599"/>
      <c r="V98" s="774"/>
      <c r="W98" s="774"/>
      <c r="X98" s="774"/>
      <c r="Y98" s="774"/>
      <c r="Z98" s="774"/>
      <c r="AA98" s="774"/>
      <c r="AB98" s="774"/>
      <c r="AC98" s="774"/>
      <c r="AD98" s="774"/>
      <c r="AE98" s="774"/>
      <c r="AF98" s="774"/>
      <c r="AG98" s="774"/>
      <c r="AH98" s="774"/>
      <c r="AI98" s="774"/>
      <c r="AJ98" s="774"/>
      <c r="AK98" s="774"/>
      <c r="AL98" s="774"/>
      <c r="AM98" s="774"/>
      <c r="AN98" s="774"/>
      <c r="AO98" s="774"/>
      <c r="AP98" s="774"/>
      <c r="AQ98" s="774"/>
      <c r="AR98" s="774"/>
      <c r="AS98" s="774"/>
      <c r="AT98" s="774"/>
      <c r="AU98" s="600"/>
      <c r="AV98" s="600"/>
      <c r="AW98" s="600"/>
      <c r="AX98" s="597"/>
      <c r="AY98" s="597"/>
      <c r="AZ98" s="214"/>
      <c r="BA98" s="490" t="str">
        <f t="shared" si="2"/>
        <v>SUM_CO2</v>
      </c>
      <c r="BB98" s="581" t="str">
        <f t="shared" si="3"/>
        <v>SUM_EnergyIN</v>
      </c>
      <c r="BC98" s="602"/>
      <c r="BD98" s="23"/>
    </row>
    <row r="99" spans="1:56" x14ac:dyDescent="0.2">
      <c r="A99" s="602"/>
      <c r="B99" s="214"/>
      <c r="C99" s="95"/>
      <c r="D99" s="214"/>
      <c r="E99" s="214"/>
      <c r="F99" s="214"/>
      <c r="G99" s="214"/>
      <c r="H99" s="214"/>
      <c r="I99" s="214"/>
      <c r="J99" s="214"/>
      <c r="K99" s="214"/>
      <c r="L99" s="214"/>
      <c r="N99" s="214"/>
      <c r="O99" s="214"/>
      <c r="P99" s="214"/>
      <c r="Q99" s="214"/>
      <c r="R99" s="214"/>
      <c r="S99" s="214"/>
      <c r="T99" s="214"/>
      <c r="U99" s="214"/>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602"/>
      <c r="BB99" s="602"/>
      <c r="BC99" s="602"/>
      <c r="BD99" s="23"/>
    </row>
    <row r="100" spans="1:56" ht="50.1" customHeight="1" thickBot="1" x14ac:dyDescent="0.45">
      <c r="A100" s="602"/>
      <c r="B100" s="214"/>
      <c r="C100" s="95"/>
      <c r="D100" s="532" t="str">
        <f>Translations!$B$339</f>
        <v>PFC avota plūsmas</v>
      </c>
      <c r="E100" s="214"/>
      <c r="F100" s="214"/>
      <c r="G100" s="214"/>
      <c r="H100" s="214"/>
      <c r="I100" s="214"/>
      <c r="J100" s="214"/>
      <c r="K100" s="214"/>
      <c r="L100" s="214"/>
      <c r="N100" s="214"/>
      <c r="O100" s="214"/>
      <c r="P100" s="214"/>
      <c r="Q100" s="214"/>
      <c r="R100" s="214"/>
      <c r="S100" s="214"/>
      <c r="T100" s="214"/>
      <c r="U100" s="214"/>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602"/>
      <c r="BB100" s="602"/>
      <c r="BC100" s="602"/>
      <c r="BD100" s="23"/>
    </row>
    <row r="101" spans="1:56" ht="50.1" customHeight="1" thickBot="1" x14ac:dyDescent="0.25">
      <c r="A101" s="602"/>
      <c r="B101" s="214"/>
      <c r="C101" s="533" t="s">
        <v>466</v>
      </c>
      <c r="D101" s="534" t="str">
        <f>Translations!$B$282</f>
        <v>Metode</v>
      </c>
      <c r="E101" s="534" t="str">
        <f>Translations!$B$340</f>
        <v>Nosaukums</v>
      </c>
      <c r="F101" s="535" t="str">
        <f>Translations!$B$284</f>
        <v>Darbības dati</v>
      </c>
      <c r="G101" s="535" t="str">
        <f>Translations!$B$285</f>
        <v>DD vienība</v>
      </c>
      <c r="H101" s="535" t="str">
        <f>Translations!$B$286</f>
        <v>NCV</v>
      </c>
      <c r="I101" s="535" t="str">
        <f>Translations!$B$287</f>
        <v>NCV vienība</v>
      </c>
      <c r="J101" s="535" t="str">
        <f>Translations!$B$288</f>
        <v>EF</v>
      </c>
      <c r="K101" s="535" t="str">
        <f>Translations!$B$289</f>
        <v>EF vienība</v>
      </c>
      <c r="L101" s="535" t="str">
        <f>Translations!$B$290</f>
        <v>C saturs</v>
      </c>
      <c r="M101" s="535" t="str">
        <f>Translations!$B$291</f>
        <v>C satura vienība</v>
      </c>
      <c r="N101" s="535" t="str">
        <f>Translations!$B$292</f>
        <v>Oksid. koef.</v>
      </c>
      <c r="O101" s="535" t="str">
        <f>Translations!$B$293</f>
        <v>OK vienība</v>
      </c>
      <c r="P101" s="535" t="str">
        <f>Translations!$B$294</f>
        <v>Pārrēķina koef.</v>
      </c>
      <c r="Q101" s="535" t="str">
        <f>Translations!$B$295</f>
        <v>PK vienība</v>
      </c>
      <c r="R101" s="535" t="str">
        <f>Translations!$B$296</f>
        <v>Biomasas saturs</v>
      </c>
      <c r="S101" s="535" t="str">
        <f>Translations!$B$297</f>
        <v>BS vienība</v>
      </c>
      <c r="T101" s="535" t="str">
        <f>Translations!$B$298</f>
        <v>ilgtnesp. BS</v>
      </c>
      <c r="U101" s="535" t="str">
        <f>Translations!$B$299</f>
        <v>ilgtnesp. BS vienība</v>
      </c>
      <c r="V101" s="535" t="str">
        <f>Translations!$B$300</f>
        <v>SEG konc. vidējā vērtība h</v>
      </c>
      <c r="W101" s="535" t="str">
        <f>Translations!$B$301</f>
        <v>SEG konc. h vienība</v>
      </c>
      <c r="X101" s="535" t="str">
        <f>Translations!$B$302</f>
        <v>ekspluatācijas stundas</v>
      </c>
      <c r="Y101" s="535" t="str">
        <f>Translations!$B$303</f>
        <v>ekspluatācijas stundu vienība</v>
      </c>
      <c r="Z101" s="535" t="str">
        <f>Translations!$B$304</f>
        <v>Dūmgāzes (vidēji)</v>
      </c>
      <c r="AA101" s="535" t="str">
        <f>Translations!$B$305</f>
        <v>Dūmgāzes (vidēji), vienība</v>
      </c>
      <c r="AB101" s="535" t="str">
        <f>Translations!$B$306</f>
        <v>Dūmgāzes (kopā)</v>
      </c>
      <c r="AC101" s="535" t="str">
        <f>Translations!$B$307</f>
        <v>Dūmgāzes (kopā), vienība</v>
      </c>
      <c r="AD101" s="535" t="str">
        <f>Translations!$B$308</f>
        <v>SEG daudzums gadā</v>
      </c>
      <c r="AE101" s="535" t="str">
        <f>Translations!$B$309</f>
        <v>SEG daudzums gadā, vienība</v>
      </c>
      <c r="AF101" s="535" t="str">
        <f>Translations!$B$310</f>
        <v>GWP (t CO2 e/t)</v>
      </c>
      <c r="AG101" s="535" t="str">
        <f>Translations!$B$311</f>
        <v>A: biežums</v>
      </c>
      <c r="AH101" s="535" t="str">
        <f>Translations!$B$312</f>
        <v>A: ilgums</v>
      </c>
      <c r="AI101" s="535" t="str">
        <f>Translations!$B$313</f>
        <v>A: SEF (CF4)</v>
      </c>
      <c r="AJ101" s="535" t="str">
        <f>Translations!$B$314</f>
        <v>B: AEO</v>
      </c>
      <c r="AK101" s="535" t="str">
        <f>Translations!$B$315</f>
        <v>B: CE</v>
      </c>
      <c r="AL101" s="535" t="str">
        <f>Translations!$B$316</f>
        <v>B: OVC</v>
      </c>
      <c r="AM101" s="535" t="str">
        <f>Translations!$B$317</f>
        <v>F (C2F6)</v>
      </c>
      <c r="AN101" s="535" t="str">
        <f>Translations!$B$318</f>
        <v>CF4 emisijas (t CF4)</v>
      </c>
      <c r="AO101" s="535" t="str">
        <f>Translations!$B$319</f>
        <v>C2F6 emisijas (t C2F6)</v>
      </c>
      <c r="AP101" s="535" t="str">
        <f>Translations!$B$320</f>
        <v>GWP (CF4) (t CO2 e/t)</v>
      </c>
      <c r="AQ101" s="535" t="str">
        <f>Translations!$B$321</f>
        <v>GWP (C2F6) (t CO2 e/t)</v>
      </c>
      <c r="AR101" s="535" t="str">
        <f>Translations!$B$322</f>
        <v>CF4 emisijas (t CO2e)</v>
      </c>
      <c r="AS101" s="535" t="str">
        <f>Translations!$B$323</f>
        <v>C2F6 emisijas (t CO2 e)</v>
      </c>
      <c r="AT101" s="535" t="str">
        <f>Translations!$B$324</f>
        <v>Uztveršanas efektivitāte, %</v>
      </c>
      <c r="AU101" s="535" t="str">
        <f>Translations!$B$325</f>
        <v>CO2 e, fosilie avoti (t)</v>
      </c>
      <c r="AV101" s="535" t="str">
        <f>Translations!$B$326</f>
        <v>CO2 e bio (t)</v>
      </c>
      <c r="AW101" s="535" t="str">
        <f>Translations!$B$327</f>
        <v>CO2 e, ilgtnesp. biomasa (t)</v>
      </c>
      <c r="AX101" s="536" t="str">
        <f>Translations!$B$328</f>
        <v>Enerģētiskais saturs (fosilie avoti), TJ</v>
      </c>
      <c r="AY101" s="537" t="str">
        <f>Translations!$B$329</f>
        <v>Enerģētiskais saturs (biomasa), TJ</v>
      </c>
      <c r="AZ101" s="214"/>
      <c r="BA101" s="602"/>
      <c r="BB101" s="602"/>
      <c r="BC101" s="602"/>
      <c r="BD101" s="23"/>
    </row>
    <row r="102" spans="1:56" ht="12.75" customHeight="1" x14ac:dyDescent="0.2">
      <c r="A102" s="602"/>
      <c r="B102" s="214"/>
      <c r="C102" s="543" t="str">
        <f>Translations!$B$341</f>
        <v>Piem.</v>
      </c>
      <c r="D102" s="686" t="str">
        <f>Translations!$B$342</f>
        <v>PFC emisijas</v>
      </c>
      <c r="E102" s="686" t="str">
        <f>Translations!$B$343</f>
        <v>Centriska priekšdedzināšana (CWPB); A tipa anodi</v>
      </c>
      <c r="F102" s="687">
        <v>5000</v>
      </c>
      <c r="G102" s="538" t="s">
        <v>205</v>
      </c>
      <c r="H102" s="775"/>
      <c r="I102" s="776"/>
      <c r="J102" s="775"/>
      <c r="K102" s="776"/>
      <c r="L102" s="776"/>
      <c r="M102" s="776"/>
      <c r="N102" s="775"/>
      <c r="O102" s="774"/>
      <c r="P102" s="775"/>
      <c r="Q102" s="774"/>
      <c r="R102" s="775"/>
      <c r="S102" s="774"/>
      <c r="T102" s="775"/>
      <c r="U102" s="774"/>
      <c r="V102" s="774"/>
      <c r="W102" s="774"/>
      <c r="X102" s="774"/>
      <c r="Y102" s="774"/>
      <c r="Z102" s="774"/>
      <c r="AA102" s="774"/>
      <c r="AB102" s="774"/>
      <c r="AC102" s="774"/>
      <c r="AD102" s="774"/>
      <c r="AE102" s="774"/>
      <c r="AF102" s="774"/>
      <c r="AG102" s="687">
        <v>300</v>
      </c>
      <c r="AH102" s="687">
        <v>2</v>
      </c>
      <c r="AI102" s="687">
        <v>0.14599999999999999</v>
      </c>
      <c r="AJ102" s="687">
        <v>0</v>
      </c>
      <c r="AK102" s="687">
        <v>0</v>
      </c>
      <c r="AL102" s="687">
        <v>0</v>
      </c>
      <c r="AM102" s="687">
        <v>0.122</v>
      </c>
      <c r="AN102" s="687">
        <v>4.38</v>
      </c>
      <c r="AO102" s="687">
        <v>0.53435999999999995</v>
      </c>
      <c r="AP102" s="691">
        <v>7390</v>
      </c>
      <c r="AQ102" s="691">
        <v>12200</v>
      </c>
      <c r="AR102" s="691">
        <v>32368.2</v>
      </c>
      <c r="AS102" s="691">
        <v>6519.1919999999991</v>
      </c>
      <c r="AT102" s="687">
        <v>98</v>
      </c>
      <c r="AU102" s="689">
        <v>39681.01224489796</v>
      </c>
      <c r="AV102" s="689"/>
      <c r="AW102" s="689"/>
      <c r="AX102" s="687"/>
      <c r="AY102" s="687"/>
      <c r="AZ102" s="214"/>
      <c r="BA102" s="602"/>
      <c r="BB102" s="602"/>
      <c r="BC102" s="602"/>
      <c r="BD102" s="23"/>
    </row>
    <row r="103" spans="1:56" x14ac:dyDescent="0.2">
      <c r="A103" s="602"/>
      <c r="B103" s="214"/>
      <c r="C103" s="538">
        <v>1</v>
      </c>
      <c r="D103" s="671"/>
      <c r="E103" s="596"/>
      <c r="F103" s="597"/>
      <c r="G103" s="598"/>
      <c r="H103" s="775"/>
      <c r="I103" s="776"/>
      <c r="J103" s="775"/>
      <c r="K103" s="776"/>
      <c r="L103" s="776"/>
      <c r="M103" s="776"/>
      <c r="N103" s="775"/>
      <c r="O103" s="774"/>
      <c r="P103" s="775"/>
      <c r="Q103" s="774"/>
      <c r="R103" s="775"/>
      <c r="S103" s="774"/>
      <c r="T103" s="775"/>
      <c r="U103" s="774"/>
      <c r="V103" s="774"/>
      <c r="W103" s="774"/>
      <c r="X103" s="774"/>
      <c r="Y103" s="774"/>
      <c r="Z103" s="774"/>
      <c r="AA103" s="774"/>
      <c r="AB103" s="774"/>
      <c r="AC103" s="774"/>
      <c r="AD103" s="774"/>
      <c r="AE103" s="774"/>
      <c r="AF103" s="774"/>
      <c r="AG103" s="597"/>
      <c r="AH103" s="597"/>
      <c r="AI103" s="597"/>
      <c r="AJ103" s="597"/>
      <c r="AK103" s="597"/>
      <c r="AL103" s="597"/>
      <c r="AM103" s="597"/>
      <c r="AN103" s="597"/>
      <c r="AO103" s="597"/>
      <c r="AP103" s="601"/>
      <c r="AQ103" s="601"/>
      <c r="AR103" s="601"/>
      <c r="AS103" s="601"/>
      <c r="AT103" s="597"/>
      <c r="AU103" s="600"/>
      <c r="AV103" s="600"/>
      <c r="AW103" s="600"/>
      <c r="AX103" s="597"/>
      <c r="AY103" s="597"/>
      <c r="AZ103" s="214"/>
      <c r="BA103" s="490" t="str">
        <f t="shared" ref="BA103:BA112" si="4">EUconst_SumPFC</f>
        <v>SUM_PFC</v>
      </c>
      <c r="BB103" s="581" t="str">
        <f t="shared" ref="BB103:BB112" si="5">EUconst_SumEnergyIN</f>
        <v>SUM_EnergyIN</v>
      </c>
      <c r="BC103" s="602"/>
      <c r="BD103" s="23"/>
    </row>
    <row r="104" spans="1:56" x14ac:dyDescent="0.2">
      <c r="A104" s="602"/>
      <c r="B104" s="214"/>
      <c r="C104" s="539">
        <v>2</v>
      </c>
      <c r="D104" s="671"/>
      <c r="E104" s="596"/>
      <c r="F104" s="597"/>
      <c r="G104" s="598"/>
      <c r="H104" s="775"/>
      <c r="I104" s="776"/>
      <c r="J104" s="775"/>
      <c r="K104" s="776"/>
      <c r="L104" s="776"/>
      <c r="M104" s="776"/>
      <c r="N104" s="775"/>
      <c r="O104" s="774"/>
      <c r="P104" s="775"/>
      <c r="Q104" s="774"/>
      <c r="R104" s="775"/>
      <c r="S104" s="774"/>
      <c r="T104" s="775"/>
      <c r="U104" s="774"/>
      <c r="V104" s="774"/>
      <c r="W104" s="774"/>
      <c r="X104" s="774"/>
      <c r="Y104" s="774"/>
      <c r="Z104" s="774"/>
      <c r="AA104" s="774"/>
      <c r="AB104" s="774"/>
      <c r="AC104" s="774"/>
      <c r="AD104" s="774"/>
      <c r="AE104" s="774"/>
      <c r="AF104" s="774"/>
      <c r="AG104" s="597"/>
      <c r="AH104" s="597"/>
      <c r="AI104" s="597"/>
      <c r="AJ104" s="597"/>
      <c r="AK104" s="597"/>
      <c r="AL104" s="597"/>
      <c r="AM104" s="597"/>
      <c r="AN104" s="597"/>
      <c r="AO104" s="597"/>
      <c r="AP104" s="601"/>
      <c r="AQ104" s="601"/>
      <c r="AR104" s="601"/>
      <c r="AS104" s="601"/>
      <c r="AT104" s="597"/>
      <c r="AU104" s="600"/>
      <c r="AV104" s="600"/>
      <c r="AW104" s="600"/>
      <c r="AX104" s="597"/>
      <c r="AY104" s="597"/>
      <c r="AZ104" s="214"/>
      <c r="BA104" s="490" t="str">
        <f t="shared" si="4"/>
        <v>SUM_PFC</v>
      </c>
      <c r="BB104" s="581" t="str">
        <f t="shared" si="5"/>
        <v>SUM_EnergyIN</v>
      </c>
      <c r="BC104" s="602"/>
      <c r="BD104" s="23"/>
    </row>
    <row r="105" spans="1:56" x14ac:dyDescent="0.2">
      <c r="A105" s="602"/>
      <c r="B105" s="214"/>
      <c r="C105" s="539">
        <v>3</v>
      </c>
      <c r="D105" s="671"/>
      <c r="E105" s="596"/>
      <c r="F105" s="597"/>
      <c r="G105" s="598"/>
      <c r="H105" s="775"/>
      <c r="I105" s="776"/>
      <c r="J105" s="775"/>
      <c r="K105" s="776"/>
      <c r="L105" s="776"/>
      <c r="M105" s="776"/>
      <c r="N105" s="775"/>
      <c r="O105" s="774"/>
      <c r="P105" s="775"/>
      <c r="Q105" s="774"/>
      <c r="R105" s="775"/>
      <c r="S105" s="774"/>
      <c r="T105" s="775"/>
      <c r="U105" s="774"/>
      <c r="V105" s="774"/>
      <c r="W105" s="774"/>
      <c r="X105" s="774"/>
      <c r="Y105" s="774"/>
      <c r="Z105" s="774"/>
      <c r="AA105" s="774"/>
      <c r="AB105" s="774"/>
      <c r="AC105" s="774"/>
      <c r="AD105" s="774"/>
      <c r="AE105" s="774"/>
      <c r="AF105" s="774"/>
      <c r="AG105" s="597"/>
      <c r="AH105" s="597"/>
      <c r="AI105" s="597"/>
      <c r="AJ105" s="597"/>
      <c r="AK105" s="597"/>
      <c r="AL105" s="597"/>
      <c r="AM105" s="597"/>
      <c r="AN105" s="597"/>
      <c r="AO105" s="597"/>
      <c r="AP105" s="601"/>
      <c r="AQ105" s="601"/>
      <c r="AR105" s="601"/>
      <c r="AS105" s="601"/>
      <c r="AT105" s="597"/>
      <c r="AU105" s="600"/>
      <c r="AV105" s="600"/>
      <c r="AW105" s="600"/>
      <c r="AX105" s="597"/>
      <c r="AY105" s="597"/>
      <c r="AZ105" s="214"/>
      <c r="BA105" s="490" t="str">
        <f t="shared" si="4"/>
        <v>SUM_PFC</v>
      </c>
      <c r="BB105" s="581" t="str">
        <f t="shared" si="5"/>
        <v>SUM_EnergyIN</v>
      </c>
      <c r="BC105" s="602"/>
      <c r="BD105" s="23"/>
    </row>
    <row r="106" spans="1:56" x14ac:dyDescent="0.2">
      <c r="A106" s="602"/>
      <c r="B106" s="214"/>
      <c r="C106" s="539">
        <v>4</v>
      </c>
      <c r="D106" s="671"/>
      <c r="E106" s="596"/>
      <c r="F106" s="597"/>
      <c r="G106" s="598"/>
      <c r="H106" s="775"/>
      <c r="I106" s="776"/>
      <c r="J106" s="775"/>
      <c r="K106" s="776"/>
      <c r="L106" s="776"/>
      <c r="M106" s="776"/>
      <c r="N106" s="775"/>
      <c r="O106" s="774"/>
      <c r="P106" s="775"/>
      <c r="Q106" s="774"/>
      <c r="R106" s="775"/>
      <c r="S106" s="774"/>
      <c r="T106" s="775"/>
      <c r="U106" s="774"/>
      <c r="V106" s="774"/>
      <c r="W106" s="774"/>
      <c r="X106" s="774"/>
      <c r="Y106" s="774"/>
      <c r="Z106" s="774"/>
      <c r="AA106" s="774"/>
      <c r="AB106" s="774"/>
      <c r="AC106" s="774"/>
      <c r="AD106" s="774"/>
      <c r="AE106" s="774"/>
      <c r="AF106" s="774"/>
      <c r="AG106" s="597"/>
      <c r="AH106" s="597"/>
      <c r="AI106" s="597"/>
      <c r="AJ106" s="597"/>
      <c r="AK106" s="597"/>
      <c r="AL106" s="597"/>
      <c r="AM106" s="597"/>
      <c r="AN106" s="597"/>
      <c r="AO106" s="597"/>
      <c r="AP106" s="601"/>
      <c r="AQ106" s="601"/>
      <c r="AR106" s="601"/>
      <c r="AS106" s="601"/>
      <c r="AT106" s="597"/>
      <c r="AU106" s="600"/>
      <c r="AV106" s="600"/>
      <c r="AW106" s="600"/>
      <c r="AX106" s="597"/>
      <c r="AY106" s="597"/>
      <c r="AZ106" s="214"/>
      <c r="BA106" s="490" t="str">
        <f t="shared" si="4"/>
        <v>SUM_PFC</v>
      </c>
      <c r="BB106" s="581" t="str">
        <f t="shared" si="5"/>
        <v>SUM_EnergyIN</v>
      </c>
      <c r="BC106" s="602"/>
      <c r="BD106" s="23"/>
    </row>
    <row r="107" spans="1:56" x14ac:dyDescent="0.2">
      <c r="A107" s="602"/>
      <c r="B107" s="214"/>
      <c r="C107" s="539">
        <v>5</v>
      </c>
      <c r="D107" s="671"/>
      <c r="E107" s="596"/>
      <c r="F107" s="597"/>
      <c r="G107" s="598"/>
      <c r="H107" s="775"/>
      <c r="I107" s="776"/>
      <c r="J107" s="775"/>
      <c r="K107" s="776"/>
      <c r="L107" s="776"/>
      <c r="M107" s="776"/>
      <c r="N107" s="775"/>
      <c r="O107" s="774"/>
      <c r="P107" s="775"/>
      <c r="Q107" s="774"/>
      <c r="R107" s="775"/>
      <c r="S107" s="774"/>
      <c r="T107" s="775"/>
      <c r="U107" s="774"/>
      <c r="V107" s="774"/>
      <c r="W107" s="774"/>
      <c r="X107" s="774"/>
      <c r="Y107" s="774"/>
      <c r="Z107" s="774"/>
      <c r="AA107" s="774"/>
      <c r="AB107" s="774"/>
      <c r="AC107" s="774"/>
      <c r="AD107" s="774"/>
      <c r="AE107" s="774"/>
      <c r="AF107" s="774"/>
      <c r="AG107" s="597"/>
      <c r="AH107" s="597"/>
      <c r="AI107" s="597"/>
      <c r="AJ107" s="597"/>
      <c r="AK107" s="597"/>
      <c r="AL107" s="597"/>
      <c r="AM107" s="597"/>
      <c r="AN107" s="597"/>
      <c r="AO107" s="597"/>
      <c r="AP107" s="601"/>
      <c r="AQ107" s="601"/>
      <c r="AR107" s="601"/>
      <c r="AS107" s="601"/>
      <c r="AT107" s="597"/>
      <c r="AU107" s="600"/>
      <c r="AV107" s="600"/>
      <c r="AW107" s="600"/>
      <c r="AX107" s="597"/>
      <c r="AY107" s="597"/>
      <c r="AZ107" s="214"/>
      <c r="BA107" s="490" t="str">
        <f t="shared" si="4"/>
        <v>SUM_PFC</v>
      </c>
      <c r="BB107" s="581" t="str">
        <f t="shared" si="5"/>
        <v>SUM_EnergyIN</v>
      </c>
      <c r="BC107" s="602"/>
      <c r="BD107" s="23"/>
    </row>
    <row r="108" spans="1:56" x14ac:dyDescent="0.2">
      <c r="A108" s="602"/>
      <c r="B108" s="214"/>
      <c r="C108" s="539">
        <v>6</v>
      </c>
      <c r="D108" s="671"/>
      <c r="E108" s="596"/>
      <c r="F108" s="597"/>
      <c r="G108" s="598"/>
      <c r="H108" s="775"/>
      <c r="I108" s="776"/>
      <c r="J108" s="775"/>
      <c r="K108" s="776"/>
      <c r="L108" s="776"/>
      <c r="M108" s="776"/>
      <c r="N108" s="775"/>
      <c r="O108" s="774"/>
      <c r="P108" s="775"/>
      <c r="Q108" s="774"/>
      <c r="R108" s="775"/>
      <c r="S108" s="774"/>
      <c r="T108" s="775"/>
      <c r="U108" s="774"/>
      <c r="V108" s="774"/>
      <c r="W108" s="774"/>
      <c r="X108" s="774"/>
      <c r="Y108" s="774"/>
      <c r="Z108" s="774"/>
      <c r="AA108" s="774"/>
      <c r="AB108" s="774"/>
      <c r="AC108" s="774"/>
      <c r="AD108" s="774"/>
      <c r="AE108" s="774"/>
      <c r="AF108" s="774"/>
      <c r="AG108" s="597"/>
      <c r="AH108" s="597"/>
      <c r="AI108" s="597"/>
      <c r="AJ108" s="597"/>
      <c r="AK108" s="597"/>
      <c r="AL108" s="597"/>
      <c r="AM108" s="597"/>
      <c r="AN108" s="597"/>
      <c r="AO108" s="597"/>
      <c r="AP108" s="601"/>
      <c r="AQ108" s="601"/>
      <c r="AR108" s="601"/>
      <c r="AS108" s="601"/>
      <c r="AT108" s="597"/>
      <c r="AU108" s="600"/>
      <c r="AV108" s="600"/>
      <c r="AW108" s="600"/>
      <c r="AX108" s="597"/>
      <c r="AY108" s="597"/>
      <c r="AZ108" s="214"/>
      <c r="BA108" s="490" t="str">
        <f t="shared" si="4"/>
        <v>SUM_PFC</v>
      </c>
      <c r="BB108" s="581" t="str">
        <f t="shared" si="5"/>
        <v>SUM_EnergyIN</v>
      </c>
      <c r="BC108" s="602"/>
      <c r="BD108" s="23"/>
    </row>
    <row r="109" spans="1:56" x14ac:dyDescent="0.2">
      <c r="A109" s="602"/>
      <c r="B109" s="214"/>
      <c r="C109" s="539">
        <v>7</v>
      </c>
      <c r="D109" s="671"/>
      <c r="E109" s="596"/>
      <c r="F109" s="597"/>
      <c r="G109" s="598"/>
      <c r="H109" s="775"/>
      <c r="I109" s="776"/>
      <c r="J109" s="775"/>
      <c r="K109" s="776"/>
      <c r="L109" s="776"/>
      <c r="M109" s="776"/>
      <c r="N109" s="775"/>
      <c r="O109" s="774"/>
      <c r="P109" s="775"/>
      <c r="Q109" s="774"/>
      <c r="R109" s="775"/>
      <c r="S109" s="774"/>
      <c r="T109" s="775"/>
      <c r="U109" s="774"/>
      <c r="V109" s="774"/>
      <c r="W109" s="774"/>
      <c r="X109" s="774"/>
      <c r="Y109" s="774"/>
      <c r="Z109" s="774"/>
      <c r="AA109" s="774"/>
      <c r="AB109" s="774"/>
      <c r="AC109" s="774"/>
      <c r="AD109" s="774"/>
      <c r="AE109" s="774"/>
      <c r="AF109" s="774"/>
      <c r="AG109" s="597"/>
      <c r="AH109" s="597"/>
      <c r="AI109" s="597"/>
      <c r="AJ109" s="597"/>
      <c r="AK109" s="597"/>
      <c r="AL109" s="597"/>
      <c r="AM109" s="597"/>
      <c r="AN109" s="597"/>
      <c r="AO109" s="597"/>
      <c r="AP109" s="601"/>
      <c r="AQ109" s="601"/>
      <c r="AR109" s="601"/>
      <c r="AS109" s="601"/>
      <c r="AT109" s="597"/>
      <c r="AU109" s="600"/>
      <c r="AV109" s="600"/>
      <c r="AW109" s="600"/>
      <c r="AX109" s="597"/>
      <c r="AY109" s="597"/>
      <c r="AZ109" s="214"/>
      <c r="BA109" s="490" t="str">
        <f t="shared" si="4"/>
        <v>SUM_PFC</v>
      </c>
      <c r="BB109" s="581" t="str">
        <f t="shared" si="5"/>
        <v>SUM_EnergyIN</v>
      </c>
      <c r="BC109" s="602"/>
      <c r="BD109" s="23"/>
    </row>
    <row r="110" spans="1:56" x14ac:dyDescent="0.2">
      <c r="A110" s="602"/>
      <c r="B110" s="214"/>
      <c r="C110" s="539">
        <v>8</v>
      </c>
      <c r="D110" s="671"/>
      <c r="E110" s="596"/>
      <c r="F110" s="597"/>
      <c r="G110" s="598"/>
      <c r="H110" s="775"/>
      <c r="I110" s="776"/>
      <c r="J110" s="775"/>
      <c r="K110" s="776"/>
      <c r="L110" s="776"/>
      <c r="M110" s="776"/>
      <c r="N110" s="775"/>
      <c r="O110" s="774"/>
      <c r="P110" s="775"/>
      <c r="Q110" s="774"/>
      <c r="R110" s="775"/>
      <c r="S110" s="774"/>
      <c r="T110" s="775"/>
      <c r="U110" s="774"/>
      <c r="V110" s="774"/>
      <c r="W110" s="774"/>
      <c r="X110" s="774"/>
      <c r="Y110" s="774"/>
      <c r="Z110" s="774"/>
      <c r="AA110" s="774"/>
      <c r="AB110" s="774"/>
      <c r="AC110" s="774"/>
      <c r="AD110" s="774"/>
      <c r="AE110" s="774"/>
      <c r="AF110" s="774"/>
      <c r="AG110" s="597"/>
      <c r="AH110" s="597"/>
      <c r="AI110" s="597"/>
      <c r="AJ110" s="597"/>
      <c r="AK110" s="597"/>
      <c r="AL110" s="597"/>
      <c r="AM110" s="597"/>
      <c r="AN110" s="597"/>
      <c r="AO110" s="597"/>
      <c r="AP110" s="601"/>
      <c r="AQ110" s="601"/>
      <c r="AR110" s="601"/>
      <c r="AS110" s="601"/>
      <c r="AT110" s="597"/>
      <c r="AU110" s="600"/>
      <c r="AV110" s="600"/>
      <c r="AW110" s="600"/>
      <c r="AX110" s="597"/>
      <c r="AY110" s="597"/>
      <c r="AZ110" s="214"/>
      <c r="BA110" s="490" t="str">
        <f t="shared" si="4"/>
        <v>SUM_PFC</v>
      </c>
      <c r="BB110" s="581" t="str">
        <f t="shared" si="5"/>
        <v>SUM_EnergyIN</v>
      </c>
      <c r="BC110" s="602"/>
      <c r="BD110" s="23"/>
    </row>
    <row r="111" spans="1:56" x14ac:dyDescent="0.2">
      <c r="A111" s="602"/>
      <c r="B111" s="214"/>
      <c r="C111" s="539">
        <v>9</v>
      </c>
      <c r="D111" s="671"/>
      <c r="E111" s="596"/>
      <c r="F111" s="597"/>
      <c r="G111" s="598"/>
      <c r="H111" s="775"/>
      <c r="I111" s="776"/>
      <c r="J111" s="775"/>
      <c r="K111" s="776"/>
      <c r="L111" s="776"/>
      <c r="M111" s="776"/>
      <c r="N111" s="775"/>
      <c r="O111" s="774"/>
      <c r="P111" s="775"/>
      <c r="Q111" s="774"/>
      <c r="R111" s="775"/>
      <c r="S111" s="774"/>
      <c r="T111" s="775"/>
      <c r="U111" s="774"/>
      <c r="V111" s="774"/>
      <c r="W111" s="774"/>
      <c r="X111" s="774"/>
      <c r="Y111" s="774"/>
      <c r="Z111" s="774"/>
      <c r="AA111" s="774"/>
      <c r="AB111" s="774"/>
      <c r="AC111" s="774"/>
      <c r="AD111" s="774"/>
      <c r="AE111" s="774"/>
      <c r="AF111" s="774"/>
      <c r="AG111" s="597"/>
      <c r="AH111" s="597"/>
      <c r="AI111" s="597"/>
      <c r="AJ111" s="597"/>
      <c r="AK111" s="597"/>
      <c r="AL111" s="597"/>
      <c r="AM111" s="597"/>
      <c r="AN111" s="597"/>
      <c r="AO111" s="597"/>
      <c r="AP111" s="601"/>
      <c r="AQ111" s="601"/>
      <c r="AR111" s="601"/>
      <c r="AS111" s="601"/>
      <c r="AT111" s="597"/>
      <c r="AU111" s="600"/>
      <c r="AV111" s="600"/>
      <c r="AW111" s="600"/>
      <c r="AX111" s="597"/>
      <c r="AY111" s="597"/>
      <c r="AZ111" s="214"/>
      <c r="BA111" s="490" t="str">
        <f t="shared" si="4"/>
        <v>SUM_PFC</v>
      </c>
      <c r="BB111" s="581" t="str">
        <f t="shared" si="5"/>
        <v>SUM_EnergyIN</v>
      </c>
      <c r="BC111" s="602"/>
      <c r="BD111" s="23"/>
    </row>
    <row r="112" spans="1:56" x14ac:dyDescent="0.2">
      <c r="A112" s="602"/>
      <c r="B112" s="214"/>
      <c r="C112" s="539">
        <v>10</v>
      </c>
      <c r="D112" s="671"/>
      <c r="E112" s="596"/>
      <c r="F112" s="597"/>
      <c r="G112" s="598"/>
      <c r="H112" s="775"/>
      <c r="I112" s="776"/>
      <c r="J112" s="775"/>
      <c r="K112" s="776"/>
      <c r="L112" s="776"/>
      <c r="M112" s="776"/>
      <c r="N112" s="775"/>
      <c r="O112" s="774"/>
      <c r="P112" s="775"/>
      <c r="Q112" s="774"/>
      <c r="R112" s="775"/>
      <c r="S112" s="774"/>
      <c r="T112" s="775"/>
      <c r="U112" s="774"/>
      <c r="V112" s="774"/>
      <c r="W112" s="774"/>
      <c r="X112" s="774"/>
      <c r="Y112" s="774"/>
      <c r="Z112" s="774"/>
      <c r="AA112" s="774"/>
      <c r="AB112" s="774"/>
      <c r="AC112" s="774"/>
      <c r="AD112" s="774"/>
      <c r="AE112" s="774"/>
      <c r="AF112" s="774"/>
      <c r="AG112" s="597"/>
      <c r="AH112" s="597"/>
      <c r="AI112" s="597"/>
      <c r="AJ112" s="597"/>
      <c r="AK112" s="597"/>
      <c r="AL112" s="597"/>
      <c r="AM112" s="597"/>
      <c r="AN112" s="597"/>
      <c r="AO112" s="597"/>
      <c r="AP112" s="601"/>
      <c r="AQ112" s="601"/>
      <c r="AR112" s="601"/>
      <c r="AS112" s="601"/>
      <c r="AT112" s="597"/>
      <c r="AU112" s="600"/>
      <c r="AV112" s="600"/>
      <c r="AW112" s="600"/>
      <c r="AX112" s="597"/>
      <c r="AY112" s="597"/>
      <c r="AZ112" s="214"/>
      <c r="BA112" s="490" t="str">
        <f t="shared" si="4"/>
        <v>SUM_PFC</v>
      </c>
      <c r="BB112" s="581" t="str">
        <f t="shared" si="5"/>
        <v>SUM_EnergyIN</v>
      </c>
      <c r="BC112" s="602"/>
      <c r="BD112" s="23"/>
    </row>
    <row r="113" spans="1:56" x14ac:dyDescent="0.2">
      <c r="A113" s="602"/>
      <c r="B113" s="214"/>
      <c r="F113" s="540"/>
      <c r="G113" s="24"/>
      <c r="H113" s="540"/>
      <c r="I113" s="24"/>
      <c r="J113" s="540"/>
      <c r="K113" s="24"/>
      <c r="L113" s="24"/>
      <c r="M113" s="24"/>
      <c r="N113" s="540"/>
      <c r="O113" s="541"/>
      <c r="P113" s="540"/>
      <c r="Q113" s="541"/>
      <c r="R113" s="540"/>
      <c r="S113" s="541"/>
      <c r="T113" s="540"/>
      <c r="U113" s="541"/>
      <c r="V113" s="541"/>
      <c r="W113" s="541"/>
      <c r="X113" s="541"/>
      <c r="Y113" s="541"/>
      <c r="Z113" s="541"/>
      <c r="AA113" s="541"/>
      <c r="AB113" s="541"/>
      <c r="AC113" s="541"/>
      <c r="AD113" s="541"/>
      <c r="AE113" s="541"/>
      <c r="AF113" s="541"/>
      <c r="AG113" s="541"/>
      <c r="AH113" s="541"/>
      <c r="AI113" s="541"/>
      <c r="AJ113" s="541"/>
      <c r="AK113" s="541"/>
      <c r="AL113" s="541"/>
      <c r="AM113" s="541"/>
      <c r="AN113" s="541"/>
      <c r="AO113" s="541"/>
      <c r="AP113" s="541"/>
      <c r="AQ113" s="541"/>
      <c r="AR113" s="541"/>
      <c r="AS113" s="541"/>
      <c r="AT113" s="541"/>
      <c r="AU113" s="542"/>
      <c r="AV113" s="542"/>
      <c r="AW113" s="542"/>
      <c r="AX113" s="540"/>
      <c r="AY113" s="540"/>
      <c r="AZ113" s="214"/>
      <c r="BA113" s="602"/>
      <c r="BB113" s="602"/>
      <c r="BC113" s="602"/>
      <c r="BD113" s="23"/>
    </row>
    <row r="114" spans="1:56" ht="50.1" customHeight="1" thickBot="1" x14ac:dyDescent="0.45">
      <c r="A114" s="602"/>
      <c r="B114" s="214"/>
      <c r="C114" s="95"/>
      <c r="D114" s="532" t="str">
        <f>Translations!$B$344</f>
        <v>Emisiju avoti (mērījumos balstītas pieejas)</v>
      </c>
      <c r="E114" s="214"/>
      <c r="F114" s="214"/>
      <c r="G114" s="214"/>
      <c r="H114" s="214"/>
      <c r="I114" s="214"/>
      <c r="J114" s="214"/>
      <c r="K114" s="214"/>
      <c r="L114" s="214"/>
      <c r="N114" s="214"/>
      <c r="O114" s="214"/>
      <c r="P114" s="214"/>
      <c r="Q114" s="214"/>
      <c r="R114" s="214"/>
      <c r="S114" s="214"/>
      <c r="T114" s="214"/>
      <c r="U114" s="214"/>
      <c r="V114" s="214"/>
      <c r="W114" s="214"/>
      <c r="X114" s="214"/>
      <c r="Y114" s="214"/>
      <c r="Z114" s="214"/>
      <c r="AA114" s="214"/>
      <c r="AB114" s="214"/>
      <c r="AC114" s="214"/>
      <c r="AD114" s="214"/>
      <c r="AE114" s="214"/>
      <c r="AF114" s="673"/>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602"/>
      <c r="BB114" s="602"/>
      <c r="BC114" s="602"/>
      <c r="BD114" s="23"/>
    </row>
    <row r="115" spans="1:56" ht="50.1" customHeight="1" thickBot="1" x14ac:dyDescent="0.25">
      <c r="A115" s="602"/>
      <c r="B115" s="214"/>
      <c r="C115" s="533" t="s">
        <v>466</v>
      </c>
      <c r="D115" s="534" t="str">
        <f>Translations!$B$282</f>
        <v>Metode</v>
      </c>
      <c r="E115" s="534" t="str">
        <f>Translations!$B$340</f>
        <v>Nosaukums</v>
      </c>
      <c r="F115" s="535" t="str">
        <f>Translations!$B$284</f>
        <v>Darbības dati</v>
      </c>
      <c r="G115" s="535" t="str">
        <f>Translations!$B$285</f>
        <v>DD vienība</v>
      </c>
      <c r="H115" s="535" t="str">
        <f>Translations!$B$286</f>
        <v>NCV</v>
      </c>
      <c r="I115" s="535" t="str">
        <f>Translations!$B$287</f>
        <v>NCV vienība</v>
      </c>
      <c r="J115" s="535" t="str">
        <f>Translations!$B$288</f>
        <v>EF</v>
      </c>
      <c r="K115" s="535" t="str">
        <f>Translations!$B$289</f>
        <v>EF vienība</v>
      </c>
      <c r="L115" s="535" t="str">
        <f>Translations!$B$290</f>
        <v>C saturs</v>
      </c>
      <c r="M115" s="535" t="str">
        <f>Translations!$B$291</f>
        <v>C satura vienība</v>
      </c>
      <c r="N115" s="535" t="str">
        <f>Translations!$B$292</f>
        <v>Oksid. koef.</v>
      </c>
      <c r="O115" s="535" t="str">
        <f>Translations!$B$293</f>
        <v>OK vienība</v>
      </c>
      <c r="P115" s="535" t="str">
        <f>Translations!$B$294</f>
        <v>Pārrēķina koef.</v>
      </c>
      <c r="Q115" s="535" t="str">
        <f>Translations!$B$295</f>
        <v>PK vienība</v>
      </c>
      <c r="R115" s="535" t="str">
        <f>Translations!$B$296</f>
        <v>Biomasas saturs</v>
      </c>
      <c r="S115" s="535" t="str">
        <f>Translations!$B$297</f>
        <v>BS vienība</v>
      </c>
      <c r="T115" s="535" t="str">
        <f>Translations!$B$298</f>
        <v>ilgtnesp. BS</v>
      </c>
      <c r="U115" s="535" t="str">
        <f>Translations!$B$299</f>
        <v>ilgtnesp. BS vienība</v>
      </c>
      <c r="V115" s="535" t="str">
        <f>Translations!$B$300</f>
        <v>SEG konc. vidējā vērtība h</v>
      </c>
      <c r="W115" s="535" t="str">
        <f>Translations!$B$301</f>
        <v>SEG konc. h vienība</v>
      </c>
      <c r="X115" s="535" t="str">
        <f>Translations!$B$302</f>
        <v>ekspluatācijas stundas</v>
      </c>
      <c r="Y115" s="535" t="str">
        <f>Translations!$B$303</f>
        <v>ekspluatācijas stundu vienība</v>
      </c>
      <c r="Z115" s="535" t="str">
        <f>Translations!$B$304</f>
        <v>Dūmgāzes (vidēji)</v>
      </c>
      <c r="AA115" s="535" t="str">
        <f>Translations!$B$305</f>
        <v>Dūmgāzes (vidēji), vienība</v>
      </c>
      <c r="AB115" s="535" t="str">
        <f>Translations!$B$306</f>
        <v>Dūmgāzes (kopā)</v>
      </c>
      <c r="AC115" s="535" t="str">
        <f>Translations!$B$307</f>
        <v>Dūmgāzes (kopā), vienība</v>
      </c>
      <c r="AD115" s="535" t="str">
        <f>Translations!$B$308</f>
        <v>SEG daudzums gadā</v>
      </c>
      <c r="AE115" s="535" t="str">
        <f>Translations!$B$309</f>
        <v>SEG daudzums gadā, vienība</v>
      </c>
      <c r="AF115" s="535" t="str">
        <f>Translations!$B$310</f>
        <v>GWP (t CO2 e/t)</v>
      </c>
      <c r="AG115" s="535" t="str">
        <f>Translations!$B$311</f>
        <v>A: biežums</v>
      </c>
      <c r="AH115" s="535" t="str">
        <f>Translations!$B$312</f>
        <v>A: ilgums</v>
      </c>
      <c r="AI115" s="535" t="str">
        <f>Translations!$B$313</f>
        <v>A: SEF (CF4)</v>
      </c>
      <c r="AJ115" s="535" t="str">
        <f>Translations!$B$314</f>
        <v>B: AEO</v>
      </c>
      <c r="AK115" s="535" t="str">
        <f>Translations!$B$315</f>
        <v>B: CE</v>
      </c>
      <c r="AL115" s="535" t="str">
        <f>Translations!$B$316</f>
        <v>B: OVC</v>
      </c>
      <c r="AM115" s="535" t="str">
        <f>Translations!$B$317</f>
        <v>F (C2F6)</v>
      </c>
      <c r="AN115" s="535" t="str">
        <f>Translations!$B$318</f>
        <v>CF4 emisijas (t CF4)</v>
      </c>
      <c r="AO115" s="535" t="str">
        <f>Translations!$B$319</f>
        <v>C2F6 emisijas (t C2F6)</v>
      </c>
      <c r="AP115" s="535" t="str">
        <f>Translations!$B$320</f>
        <v>GWP (CF4) (t CO2 e/t)</v>
      </c>
      <c r="AQ115" s="535" t="str">
        <f>Translations!$B$321</f>
        <v>GWP (C2F6) (t CO2 e/t)</v>
      </c>
      <c r="AR115" s="535" t="str">
        <f>Translations!$B$322</f>
        <v>CF4 emisijas (t CO2e)</v>
      </c>
      <c r="AS115" s="535" t="str">
        <f>Translations!$B$323</f>
        <v>C2F6 emisijas (t CO2 e)</v>
      </c>
      <c r="AT115" s="535" t="str">
        <f>Translations!$B$324</f>
        <v>Uztveršanas efektivitāte, %</v>
      </c>
      <c r="AU115" s="535" t="str">
        <f>Translations!$B$325</f>
        <v>CO2 e, fosilie avoti (t)</v>
      </c>
      <c r="AV115" s="535" t="str">
        <f>Translations!$B$326</f>
        <v>CO2 e bio (t)</v>
      </c>
      <c r="AW115" s="535" t="str">
        <f>Translations!$B$327</f>
        <v>CO2 e, ilgtnesp. biomasa (t)</v>
      </c>
      <c r="AX115" s="536" t="str">
        <f>Translations!$B$328</f>
        <v>Enerģētiskais saturs (fosilie avoti), TJ</v>
      </c>
      <c r="AY115" s="537" t="str">
        <f>Translations!$B$329</f>
        <v>Enerģētiskais saturs (biomasa), TJ</v>
      </c>
      <c r="AZ115" s="214"/>
      <c r="BA115" s="602"/>
      <c r="BB115" s="602"/>
      <c r="BC115" s="602"/>
      <c r="BD115" s="23"/>
    </row>
    <row r="116" spans="1:56" ht="12.75" customHeight="1" x14ac:dyDescent="0.2">
      <c r="A116" s="602"/>
      <c r="B116" s="214"/>
      <c r="C116" s="543" t="str">
        <f>Translations!$B$330</f>
        <v>1. piem.</v>
      </c>
      <c r="D116" s="686" t="s">
        <v>372</v>
      </c>
      <c r="E116" s="686" t="str">
        <f>Translations!$B$345</f>
        <v>Slāpekļskābe, 1. līnija</v>
      </c>
      <c r="F116" s="775"/>
      <c r="G116" s="776"/>
      <c r="H116" s="775"/>
      <c r="I116" s="776"/>
      <c r="J116" s="775"/>
      <c r="K116" s="776"/>
      <c r="L116" s="776"/>
      <c r="M116" s="776"/>
      <c r="N116" s="775"/>
      <c r="O116" s="774"/>
      <c r="P116" s="775"/>
      <c r="Q116" s="774"/>
      <c r="R116" s="691">
        <v>0</v>
      </c>
      <c r="S116" s="688" t="s">
        <v>393</v>
      </c>
      <c r="T116" s="691">
        <v>0</v>
      </c>
      <c r="U116" s="688" t="s">
        <v>393</v>
      </c>
      <c r="V116" s="691">
        <v>64.292500000000004</v>
      </c>
      <c r="W116" s="688" t="s">
        <v>513</v>
      </c>
      <c r="X116" s="691">
        <v>4</v>
      </c>
      <c r="Y116" s="688" t="str">
        <f>Translations!$B$346</f>
        <v>h gadā</v>
      </c>
      <c r="Z116" s="691">
        <v>265</v>
      </c>
      <c r="AA116" s="688" t="str">
        <f>Translations!$B$347</f>
        <v>1000 Nm3/h</v>
      </c>
      <c r="AB116" s="691">
        <v>1060</v>
      </c>
      <c r="AC116" s="688" t="str">
        <f>Translations!$B$348</f>
        <v>1000 Nm3 gadā</v>
      </c>
      <c r="AD116" s="691">
        <v>68</v>
      </c>
      <c r="AE116" s="688" t="s">
        <v>205</v>
      </c>
      <c r="AF116" s="691">
        <v>298</v>
      </c>
      <c r="AG116" s="777"/>
      <c r="AH116" s="777"/>
      <c r="AI116" s="777"/>
      <c r="AJ116" s="777"/>
      <c r="AK116" s="777"/>
      <c r="AL116" s="777"/>
      <c r="AM116" s="777"/>
      <c r="AN116" s="777"/>
      <c r="AO116" s="777"/>
      <c r="AP116" s="777"/>
      <c r="AQ116" s="777"/>
      <c r="AR116" s="777"/>
      <c r="AS116" s="777"/>
      <c r="AT116" s="777"/>
      <c r="AU116" s="689">
        <v>20308.714900000003</v>
      </c>
      <c r="AV116" s="689">
        <v>0</v>
      </c>
      <c r="AW116" s="689">
        <v>0</v>
      </c>
      <c r="AX116" s="691">
        <v>0</v>
      </c>
      <c r="AY116" s="691">
        <v>0</v>
      </c>
      <c r="AZ116" s="214"/>
      <c r="BA116" s="602"/>
      <c r="BB116" s="602"/>
      <c r="BC116" s="602"/>
      <c r="BD116" s="23"/>
    </row>
    <row r="117" spans="1:56" ht="12.75" customHeight="1" x14ac:dyDescent="0.2">
      <c r="A117" s="602"/>
      <c r="B117" s="214"/>
      <c r="C117" s="543" t="str">
        <f>Translations!$B$333</f>
        <v>2. piem.</v>
      </c>
      <c r="D117" s="686" t="str">
        <f>Translations!$B$349</f>
        <v>CO2 pārvade</v>
      </c>
      <c r="E117" s="686" t="str">
        <f>Translations!$B$350</f>
        <v>Pārvade uz ES ETS iekārtu X</v>
      </c>
      <c r="F117" s="775"/>
      <c r="G117" s="776"/>
      <c r="H117" s="775"/>
      <c r="I117" s="776"/>
      <c r="J117" s="775"/>
      <c r="K117" s="776"/>
      <c r="L117" s="776"/>
      <c r="M117" s="776"/>
      <c r="N117" s="775"/>
      <c r="O117" s="774"/>
      <c r="P117" s="775"/>
      <c r="Q117" s="774"/>
      <c r="R117" s="691">
        <v>0</v>
      </c>
      <c r="S117" s="688" t="s">
        <v>393</v>
      </c>
      <c r="T117" s="691">
        <v>0</v>
      </c>
      <c r="U117" s="688" t="s">
        <v>393</v>
      </c>
      <c r="V117" s="691">
        <v>1820</v>
      </c>
      <c r="W117" s="688" t="s">
        <v>513</v>
      </c>
      <c r="X117" s="691">
        <v>5000</v>
      </c>
      <c r="Y117" s="688" t="str">
        <f>Translations!$B$346</f>
        <v>h gadā</v>
      </c>
      <c r="Z117" s="691">
        <v>50</v>
      </c>
      <c r="AA117" s="688" t="str">
        <f>Translations!$B$347</f>
        <v>1000 Nm3/h</v>
      </c>
      <c r="AB117" s="691">
        <v>250000</v>
      </c>
      <c r="AC117" s="688" t="str">
        <f>Translations!$B$348</f>
        <v>1000 Nm3 gadā</v>
      </c>
      <c r="AD117" s="691">
        <v>455000</v>
      </c>
      <c r="AE117" s="688" t="s">
        <v>205</v>
      </c>
      <c r="AF117" s="691">
        <v>1</v>
      </c>
      <c r="AG117" s="777"/>
      <c r="AH117" s="777"/>
      <c r="AI117" s="777"/>
      <c r="AJ117" s="777"/>
      <c r="AK117" s="777"/>
      <c r="AL117" s="777"/>
      <c r="AM117" s="777"/>
      <c r="AN117" s="777"/>
      <c r="AO117" s="777"/>
      <c r="AP117" s="777"/>
      <c r="AQ117" s="777"/>
      <c r="AR117" s="777"/>
      <c r="AS117" s="777"/>
      <c r="AT117" s="777"/>
      <c r="AU117" s="689">
        <v>-455000</v>
      </c>
      <c r="AV117" s="689">
        <v>0</v>
      </c>
      <c r="AW117" s="689">
        <v>0</v>
      </c>
      <c r="AX117" s="691">
        <v>0</v>
      </c>
      <c r="AY117" s="691">
        <v>0</v>
      </c>
      <c r="AZ117" s="214"/>
      <c r="BA117" s="602"/>
      <c r="BB117" s="602"/>
      <c r="BC117" s="602"/>
      <c r="BD117" s="23"/>
    </row>
    <row r="118" spans="1:56" x14ac:dyDescent="0.2">
      <c r="A118" s="602"/>
      <c r="B118" s="214"/>
      <c r="C118" s="539">
        <v>1</v>
      </c>
      <c r="D118" s="671"/>
      <c r="E118" s="596"/>
      <c r="F118" s="775"/>
      <c r="G118" s="776"/>
      <c r="H118" s="775"/>
      <c r="I118" s="776"/>
      <c r="J118" s="775"/>
      <c r="K118" s="776"/>
      <c r="L118" s="776"/>
      <c r="M118" s="776"/>
      <c r="N118" s="775"/>
      <c r="O118" s="774"/>
      <c r="P118" s="775"/>
      <c r="Q118" s="774"/>
      <c r="R118" s="601"/>
      <c r="S118" s="599"/>
      <c r="T118" s="601"/>
      <c r="U118" s="599"/>
      <c r="V118" s="601"/>
      <c r="W118" s="599"/>
      <c r="X118" s="601"/>
      <c r="Y118" s="599"/>
      <c r="Z118" s="601"/>
      <c r="AA118" s="599"/>
      <c r="AB118" s="601"/>
      <c r="AC118" s="599"/>
      <c r="AD118" s="601"/>
      <c r="AE118" s="599"/>
      <c r="AF118" s="601"/>
      <c r="AG118" s="777"/>
      <c r="AH118" s="777"/>
      <c r="AI118" s="777"/>
      <c r="AJ118" s="777"/>
      <c r="AK118" s="777"/>
      <c r="AL118" s="777"/>
      <c r="AM118" s="777"/>
      <c r="AN118" s="777"/>
      <c r="AO118" s="777"/>
      <c r="AP118" s="777"/>
      <c r="AQ118" s="777"/>
      <c r="AR118" s="777"/>
      <c r="AS118" s="777"/>
      <c r="AT118" s="777"/>
      <c r="AU118" s="600"/>
      <c r="AV118" s="600"/>
      <c r="AW118" s="600"/>
      <c r="AX118" s="601"/>
      <c r="AY118" s="601"/>
      <c r="AZ118" s="214"/>
      <c r="BA118" s="490" t="str">
        <f t="shared" ref="BA118:BA127" si="6">IF(SUM(AF118)&gt;1,EUconst_SumN2O,IF(SUM(AU118:AV118)&lt;0,EUconst_SumTransferCO2,EUconst_SumCO2))</f>
        <v>SUM_CO2</v>
      </c>
      <c r="BB118" s="581" t="str">
        <f t="shared" ref="BB118:BB127" si="7">EUconst_SumEnergyIN</f>
        <v>SUM_EnergyIN</v>
      </c>
      <c r="BC118" s="602"/>
      <c r="BD118" s="23"/>
    </row>
    <row r="119" spans="1:56" x14ac:dyDescent="0.2">
      <c r="A119" s="602"/>
      <c r="B119" s="214"/>
      <c r="C119" s="539">
        <v>2</v>
      </c>
      <c r="D119" s="671"/>
      <c r="E119" s="596"/>
      <c r="F119" s="775"/>
      <c r="G119" s="776"/>
      <c r="H119" s="775"/>
      <c r="I119" s="776"/>
      <c r="J119" s="775"/>
      <c r="K119" s="776"/>
      <c r="L119" s="776"/>
      <c r="M119" s="776"/>
      <c r="N119" s="775"/>
      <c r="O119" s="774"/>
      <c r="P119" s="775"/>
      <c r="Q119" s="774"/>
      <c r="R119" s="601"/>
      <c r="S119" s="599"/>
      <c r="T119" s="601"/>
      <c r="U119" s="599"/>
      <c r="V119" s="601"/>
      <c r="W119" s="599"/>
      <c r="X119" s="601"/>
      <c r="Y119" s="599"/>
      <c r="Z119" s="601"/>
      <c r="AA119" s="599"/>
      <c r="AB119" s="601"/>
      <c r="AC119" s="599"/>
      <c r="AD119" s="601"/>
      <c r="AE119" s="599"/>
      <c r="AF119" s="601"/>
      <c r="AG119" s="777"/>
      <c r="AH119" s="777"/>
      <c r="AI119" s="777"/>
      <c r="AJ119" s="777"/>
      <c r="AK119" s="777"/>
      <c r="AL119" s="777"/>
      <c r="AM119" s="777"/>
      <c r="AN119" s="777"/>
      <c r="AO119" s="777"/>
      <c r="AP119" s="777"/>
      <c r="AQ119" s="777"/>
      <c r="AR119" s="777"/>
      <c r="AS119" s="777"/>
      <c r="AT119" s="777"/>
      <c r="AU119" s="600"/>
      <c r="AV119" s="600"/>
      <c r="AW119" s="600"/>
      <c r="AX119" s="601"/>
      <c r="AY119" s="601"/>
      <c r="AZ119" s="214"/>
      <c r="BA119" s="490" t="str">
        <f t="shared" si="6"/>
        <v>SUM_CO2</v>
      </c>
      <c r="BB119" s="581" t="str">
        <f t="shared" si="7"/>
        <v>SUM_EnergyIN</v>
      </c>
      <c r="BC119" s="602"/>
      <c r="BD119" s="23"/>
    </row>
    <row r="120" spans="1:56" x14ac:dyDescent="0.2">
      <c r="A120" s="602"/>
      <c r="B120" s="214"/>
      <c r="C120" s="539">
        <v>3</v>
      </c>
      <c r="D120" s="671"/>
      <c r="E120" s="596"/>
      <c r="F120" s="775"/>
      <c r="G120" s="776"/>
      <c r="H120" s="775"/>
      <c r="I120" s="776"/>
      <c r="J120" s="775"/>
      <c r="K120" s="776"/>
      <c r="L120" s="776"/>
      <c r="M120" s="776"/>
      <c r="N120" s="775"/>
      <c r="O120" s="774"/>
      <c r="P120" s="775"/>
      <c r="Q120" s="774"/>
      <c r="R120" s="601"/>
      <c r="S120" s="599"/>
      <c r="T120" s="601"/>
      <c r="U120" s="599"/>
      <c r="V120" s="601"/>
      <c r="W120" s="599"/>
      <c r="X120" s="601"/>
      <c r="Y120" s="599"/>
      <c r="Z120" s="601"/>
      <c r="AA120" s="599"/>
      <c r="AB120" s="601"/>
      <c r="AC120" s="599"/>
      <c r="AD120" s="601"/>
      <c r="AE120" s="599"/>
      <c r="AF120" s="601"/>
      <c r="AG120" s="777"/>
      <c r="AH120" s="777"/>
      <c r="AI120" s="777"/>
      <c r="AJ120" s="777"/>
      <c r="AK120" s="777"/>
      <c r="AL120" s="777"/>
      <c r="AM120" s="777"/>
      <c r="AN120" s="777"/>
      <c r="AO120" s="777"/>
      <c r="AP120" s="777"/>
      <c r="AQ120" s="777"/>
      <c r="AR120" s="777"/>
      <c r="AS120" s="777"/>
      <c r="AT120" s="777"/>
      <c r="AU120" s="600"/>
      <c r="AV120" s="600"/>
      <c r="AW120" s="600"/>
      <c r="AX120" s="601"/>
      <c r="AY120" s="601"/>
      <c r="AZ120" s="214"/>
      <c r="BA120" s="490" t="str">
        <f t="shared" si="6"/>
        <v>SUM_CO2</v>
      </c>
      <c r="BB120" s="581" t="str">
        <f t="shared" si="7"/>
        <v>SUM_EnergyIN</v>
      </c>
      <c r="BC120" s="602"/>
      <c r="BD120" s="23"/>
    </row>
    <row r="121" spans="1:56" x14ac:dyDescent="0.2">
      <c r="A121" s="602"/>
      <c r="B121" s="214"/>
      <c r="C121" s="539">
        <v>4</v>
      </c>
      <c r="D121" s="671"/>
      <c r="E121" s="596"/>
      <c r="F121" s="775"/>
      <c r="G121" s="776"/>
      <c r="H121" s="775"/>
      <c r="I121" s="776"/>
      <c r="J121" s="775"/>
      <c r="K121" s="776"/>
      <c r="L121" s="776"/>
      <c r="M121" s="776"/>
      <c r="N121" s="775"/>
      <c r="O121" s="774"/>
      <c r="P121" s="775"/>
      <c r="Q121" s="774"/>
      <c r="R121" s="601"/>
      <c r="S121" s="599"/>
      <c r="T121" s="601"/>
      <c r="U121" s="599"/>
      <c r="V121" s="601"/>
      <c r="W121" s="599"/>
      <c r="X121" s="601"/>
      <c r="Y121" s="599"/>
      <c r="Z121" s="601"/>
      <c r="AA121" s="599"/>
      <c r="AB121" s="601"/>
      <c r="AC121" s="599"/>
      <c r="AD121" s="601"/>
      <c r="AE121" s="599"/>
      <c r="AF121" s="601"/>
      <c r="AG121" s="777"/>
      <c r="AH121" s="777"/>
      <c r="AI121" s="777"/>
      <c r="AJ121" s="777"/>
      <c r="AK121" s="777"/>
      <c r="AL121" s="777"/>
      <c r="AM121" s="777"/>
      <c r="AN121" s="777"/>
      <c r="AO121" s="777"/>
      <c r="AP121" s="777"/>
      <c r="AQ121" s="777"/>
      <c r="AR121" s="777"/>
      <c r="AS121" s="777"/>
      <c r="AT121" s="777"/>
      <c r="AU121" s="600"/>
      <c r="AV121" s="600"/>
      <c r="AW121" s="600"/>
      <c r="AX121" s="601"/>
      <c r="AY121" s="601"/>
      <c r="AZ121" s="214"/>
      <c r="BA121" s="490" t="str">
        <f t="shared" si="6"/>
        <v>SUM_CO2</v>
      </c>
      <c r="BB121" s="581" t="str">
        <f t="shared" si="7"/>
        <v>SUM_EnergyIN</v>
      </c>
      <c r="BC121" s="602"/>
      <c r="BD121" s="23"/>
    </row>
    <row r="122" spans="1:56" x14ac:dyDescent="0.2">
      <c r="A122" s="602"/>
      <c r="B122" s="214"/>
      <c r="C122" s="539">
        <v>5</v>
      </c>
      <c r="D122" s="671"/>
      <c r="E122" s="596"/>
      <c r="F122" s="775"/>
      <c r="G122" s="776"/>
      <c r="H122" s="775"/>
      <c r="I122" s="776"/>
      <c r="J122" s="775"/>
      <c r="K122" s="776"/>
      <c r="L122" s="776"/>
      <c r="M122" s="776"/>
      <c r="N122" s="775"/>
      <c r="O122" s="774"/>
      <c r="P122" s="775"/>
      <c r="Q122" s="774"/>
      <c r="R122" s="601"/>
      <c r="S122" s="599"/>
      <c r="T122" s="601"/>
      <c r="U122" s="599"/>
      <c r="V122" s="601"/>
      <c r="W122" s="599"/>
      <c r="X122" s="601"/>
      <c r="Y122" s="599"/>
      <c r="Z122" s="601"/>
      <c r="AA122" s="599"/>
      <c r="AB122" s="601"/>
      <c r="AC122" s="599"/>
      <c r="AD122" s="601"/>
      <c r="AE122" s="599"/>
      <c r="AF122" s="601"/>
      <c r="AG122" s="777"/>
      <c r="AH122" s="777"/>
      <c r="AI122" s="777"/>
      <c r="AJ122" s="777"/>
      <c r="AK122" s="777"/>
      <c r="AL122" s="777"/>
      <c r="AM122" s="777"/>
      <c r="AN122" s="777"/>
      <c r="AO122" s="777"/>
      <c r="AP122" s="777"/>
      <c r="AQ122" s="777"/>
      <c r="AR122" s="777"/>
      <c r="AS122" s="777"/>
      <c r="AT122" s="777"/>
      <c r="AU122" s="600"/>
      <c r="AV122" s="600"/>
      <c r="AW122" s="600"/>
      <c r="AX122" s="601"/>
      <c r="AY122" s="601"/>
      <c r="AZ122" s="214"/>
      <c r="BA122" s="490" t="str">
        <f t="shared" si="6"/>
        <v>SUM_CO2</v>
      </c>
      <c r="BB122" s="581" t="str">
        <f t="shared" si="7"/>
        <v>SUM_EnergyIN</v>
      </c>
      <c r="BC122" s="602"/>
      <c r="BD122" s="23"/>
    </row>
    <row r="123" spans="1:56" x14ac:dyDescent="0.2">
      <c r="A123" s="602"/>
      <c r="B123" s="214"/>
      <c r="C123" s="539">
        <v>6</v>
      </c>
      <c r="D123" s="671"/>
      <c r="E123" s="596"/>
      <c r="F123" s="775"/>
      <c r="G123" s="776"/>
      <c r="H123" s="775"/>
      <c r="I123" s="776"/>
      <c r="J123" s="775"/>
      <c r="K123" s="776"/>
      <c r="L123" s="776"/>
      <c r="M123" s="776"/>
      <c r="N123" s="775"/>
      <c r="O123" s="774"/>
      <c r="P123" s="775"/>
      <c r="Q123" s="774"/>
      <c r="R123" s="601"/>
      <c r="S123" s="599"/>
      <c r="T123" s="601"/>
      <c r="U123" s="599"/>
      <c r="V123" s="601"/>
      <c r="W123" s="599"/>
      <c r="X123" s="601"/>
      <c r="Y123" s="599"/>
      <c r="Z123" s="601"/>
      <c r="AA123" s="599"/>
      <c r="AB123" s="601"/>
      <c r="AC123" s="599"/>
      <c r="AD123" s="601"/>
      <c r="AE123" s="599"/>
      <c r="AF123" s="601"/>
      <c r="AG123" s="777"/>
      <c r="AH123" s="777"/>
      <c r="AI123" s="777"/>
      <c r="AJ123" s="777"/>
      <c r="AK123" s="777"/>
      <c r="AL123" s="777"/>
      <c r="AM123" s="777"/>
      <c r="AN123" s="777"/>
      <c r="AO123" s="777"/>
      <c r="AP123" s="777"/>
      <c r="AQ123" s="777"/>
      <c r="AR123" s="777"/>
      <c r="AS123" s="777"/>
      <c r="AT123" s="777"/>
      <c r="AU123" s="600"/>
      <c r="AV123" s="600"/>
      <c r="AW123" s="600"/>
      <c r="AX123" s="601"/>
      <c r="AY123" s="601"/>
      <c r="AZ123" s="214"/>
      <c r="BA123" s="490" t="str">
        <f t="shared" si="6"/>
        <v>SUM_CO2</v>
      </c>
      <c r="BB123" s="581" t="str">
        <f t="shared" si="7"/>
        <v>SUM_EnergyIN</v>
      </c>
      <c r="BC123" s="602"/>
      <c r="BD123" s="23"/>
    </row>
    <row r="124" spans="1:56" x14ac:dyDescent="0.2">
      <c r="A124" s="602"/>
      <c r="B124" s="214"/>
      <c r="C124" s="539">
        <v>7</v>
      </c>
      <c r="D124" s="671"/>
      <c r="E124" s="596"/>
      <c r="F124" s="775"/>
      <c r="G124" s="776"/>
      <c r="H124" s="775"/>
      <c r="I124" s="776"/>
      <c r="J124" s="775"/>
      <c r="K124" s="776"/>
      <c r="L124" s="776"/>
      <c r="M124" s="776"/>
      <c r="N124" s="775"/>
      <c r="O124" s="774"/>
      <c r="P124" s="775"/>
      <c r="Q124" s="774"/>
      <c r="R124" s="601"/>
      <c r="S124" s="599"/>
      <c r="T124" s="601"/>
      <c r="U124" s="599"/>
      <c r="V124" s="601"/>
      <c r="W124" s="599"/>
      <c r="X124" s="601"/>
      <c r="Y124" s="599"/>
      <c r="Z124" s="601"/>
      <c r="AA124" s="599"/>
      <c r="AB124" s="601"/>
      <c r="AC124" s="599"/>
      <c r="AD124" s="601"/>
      <c r="AE124" s="599"/>
      <c r="AF124" s="601"/>
      <c r="AG124" s="777"/>
      <c r="AH124" s="777"/>
      <c r="AI124" s="777"/>
      <c r="AJ124" s="777"/>
      <c r="AK124" s="777"/>
      <c r="AL124" s="777"/>
      <c r="AM124" s="777"/>
      <c r="AN124" s="777"/>
      <c r="AO124" s="777"/>
      <c r="AP124" s="777"/>
      <c r="AQ124" s="777"/>
      <c r="AR124" s="777"/>
      <c r="AS124" s="777"/>
      <c r="AT124" s="777"/>
      <c r="AU124" s="600"/>
      <c r="AV124" s="600"/>
      <c r="AW124" s="600"/>
      <c r="AX124" s="601"/>
      <c r="AY124" s="601"/>
      <c r="AZ124" s="214"/>
      <c r="BA124" s="490" t="str">
        <f t="shared" si="6"/>
        <v>SUM_CO2</v>
      </c>
      <c r="BB124" s="581" t="str">
        <f t="shared" si="7"/>
        <v>SUM_EnergyIN</v>
      </c>
      <c r="BC124" s="602"/>
      <c r="BD124" s="23"/>
    </row>
    <row r="125" spans="1:56" x14ac:dyDescent="0.2">
      <c r="A125" s="602"/>
      <c r="B125" s="214"/>
      <c r="C125" s="539">
        <v>8</v>
      </c>
      <c r="D125" s="671"/>
      <c r="E125" s="596"/>
      <c r="F125" s="775"/>
      <c r="G125" s="776"/>
      <c r="H125" s="775"/>
      <c r="I125" s="776"/>
      <c r="J125" s="775"/>
      <c r="K125" s="776"/>
      <c r="L125" s="776"/>
      <c r="M125" s="776"/>
      <c r="N125" s="775"/>
      <c r="O125" s="774"/>
      <c r="P125" s="775"/>
      <c r="Q125" s="774"/>
      <c r="R125" s="601"/>
      <c r="S125" s="599"/>
      <c r="T125" s="601"/>
      <c r="U125" s="599"/>
      <c r="V125" s="601"/>
      <c r="W125" s="599"/>
      <c r="X125" s="601"/>
      <c r="Y125" s="599"/>
      <c r="Z125" s="601"/>
      <c r="AA125" s="599"/>
      <c r="AB125" s="601"/>
      <c r="AC125" s="599"/>
      <c r="AD125" s="601"/>
      <c r="AE125" s="599"/>
      <c r="AF125" s="601"/>
      <c r="AG125" s="777"/>
      <c r="AH125" s="777"/>
      <c r="AI125" s="777"/>
      <c r="AJ125" s="777"/>
      <c r="AK125" s="777"/>
      <c r="AL125" s="777"/>
      <c r="AM125" s="777"/>
      <c r="AN125" s="777"/>
      <c r="AO125" s="777"/>
      <c r="AP125" s="777"/>
      <c r="AQ125" s="777"/>
      <c r="AR125" s="777"/>
      <c r="AS125" s="777"/>
      <c r="AT125" s="777"/>
      <c r="AU125" s="600"/>
      <c r="AV125" s="600"/>
      <c r="AW125" s="600"/>
      <c r="AX125" s="601"/>
      <c r="AY125" s="601"/>
      <c r="AZ125" s="214"/>
      <c r="BA125" s="490" t="str">
        <f t="shared" si="6"/>
        <v>SUM_CO2</v>
      </c>
      <c r="BB125" s="581" t="str">
        <f t="shared" si="7"/>
        <v>SUM_EnergyIN</v>
      </c>
      <c r="BC125" s="602"/>
      <c r="BD125" s="23"/>
    </row>
    <row r="126" spans="1:56" x14ac:dyDescent="0.2">
      <c r="A126" s="602"/>
      <c r="B126" s="214"/>
      <c r="C126" s="539">
        <v>9</v>
      </c>
      <c r="D126" s="671"/>
      <c r="E126" s="596"/>
      <c r="F126" s="775"/>
      <c r="G126" s="776"/>
      <c r="H126" s="775"/>
      <c r="I126" s="776"/>
      <c r="J126" s="775"/>
      <c r="K126" s="776"/>
      <c r="L126" s="776"/>
      <c r="M126" s="776"/>
      <c r="N126" s="775"/>
      <c r="O126" s="774"/>
      <c r="P126" s="775"/>
      <c r="Q126" s="774"/>
      <c r="R126" s="601"/>
      <c r="S126" s="599"/>
      <c r="T126" s="601"/>
      <c r="U126" s="599"/>
      <c r="V126" s="601"/>
      <c r="W126" s="599"/>
      <c r="X126" s="601"/>
      <c r="Y126" s="599"/>
      <c r="Z126" s="601"/>
      <c r="AA126" s="599"/>
      <c r="AB126" s="601"/>
      <c r="AC126" s="599"/>
      <c r="AD126" s="601"/>
      <c r="AE126" s="599"/>
      <c r="AF126" s="601"/>
      <c r="AG126" s="777"/>
      <c r="AH126" s="777"/>
      <c r="AI126" s="777"/>
      <c r="AJ126" s="777"/>
      <c r="AK126" s="777"/>
      <c r="AL126" s="777"/>
      <c r="AM126" s="777"/>
      <c r="AN126" s="777"/>
      <c r="AO126" s="777"/>
      <c r="AP126" s="777"/>
      <c r="AQ126" s="777"/>
      <c r="AR126" s="777"/>
      <c r="AS126" s="777"/>
      <c r="AT126" s="777"/>
      <c r="AU126" s="600"/>
      <c r="AV126" s="600"/>
      <c r="AW126" s="600"/>
      <c r="AX126" s="601"/>
      <c r="AY126" s="601"/>
      <c r="AZ126" s="214"/>
      <c r="BA126" s="490" t="str">
        <f t="shared" si="6"/>
        <v>SUM_CO2</v>
      </c>
      <c r="BB126" s="581" t="str">
        <f t="shared" si="7"/>
        <v>SUM_EnergyIN</v>
      </c>
      <c r="BC126" s="602"/>
      <c r="BD126" s="23"/>
    </row>
    <row r="127" spans="1:56" x14ac:dyDescent="0.2">
      <c r="A127" s="602"/>
      <c r="B127" s="214"/>
      <c r="C127" s="539">
        <v>10</v>
      </c>
      <c r="D127" s="671"/>
      <c r="E127" s="596"/>
      <c r="F127" s="775"/>
      <c r="G127" s="776"/>
      <c r="H127" s="775"/>
      <c r="I127" s="776"/>
      <c r="J127" s="775"/>
      <c r="K127" s="776"/>
      <c r="L127" s="776"/>
      <c r="M127" s="776"/>
      <c r="N127" s="775"/>
      <c r="O127" s="774"/>
      <c r="P127" s="775"/>
      <c r="Q127" s="774"/>
      <c r="R127" s="601"/>
      <c r="S127" s="599"/>
      <c r="T127" s="601"/>
      <c r="U127" s="599"/>
      <c r="V127" s="601"/>
      <c r="W127" s="599"/>
      <c r="X127" s="601"/>
      <c r="Y127" s="599"/>
      <c r="Z127" s="601"/>
      <c r="AA127" s="599"/>
      <c r="AB127" s="601"/>
      <c r="AC127" s="599"/>
      <c r="AD127" s="601"/>
      <c r="AE127" s="599"/>
      <c r="AF127" s="601"/>
      <c r="AG127" s="777"/>
      <c r="AH127" s="777"/>
      <c r="AI127" s="777"/>
      <c r="AJ127" s="777"/>
      <c r="AK127" s="777"/>
      <c r="AL127" s="777"/>
      <c r="AM127" s="777"/>
      <c r="AN127" s="777"/>
      <c r="AO127" s="777"/>
      <c r="AP127" s="777"/>
      <c r="AQ127" s="777"/>
      <c r="AR127" s="777"/>
      <c r="AS127" s="777"/>
      <c r="AT127" s="777"/>
      <c r="AU127" s="600"/>
      <c r="AV127" s="600"/>
      <c r="AW127" s="600"/>
      <c r="AX127" s="601"/>
      <c r="AY127" s="601"/>
      <c r="AZ127" s="214"/>
      <c r="BA127" s="490" t="str">
        <f t="shared" si="6"/>
        <v>SUM_CO2</v>
      </c>
      <c r="BB127" s="581" t="str">
        <f t="shared" si="7"/>
        <v>SUM_EnergyIN</v>
      </c>
      <c r="BC127" s="602"/>
      <c r="BD127" s="23"/>
    </row>
    <row r="128" spans="1:56" x14ac:dyDescent="0.2">
      <c r="A128" s="602"/>
      <c r="B128" s="214"/>
      <c r="C128" s="95"/>
      <c r="D128" s="214"/>
      <c r="E128" s="214"/>
      <c r="F128" s="214"/>
      <c r="G128" s="214"/>
      <c r="H128" s="214"/>
      <c r="I128" s="214"/>
      <c r="J128" s="214"/>
      <c r="K128" s="214"/>
      <c r="L128" s="214"/>
      <c r="N128" s="214"/>
      <c r="O128" s="214"/>
      <c r="P128" s="214"/>
      <c r="Q128" s="214"/>
      <c r="R128" s="214"/>
      <c r="S128" s="214"/>
      <c r="T128" s="214"/>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4"/>
      <c r="AP128" s="214"/>
      <c r="AQ128" s="214"/>
      <c r="AR128" s="214"/>
      <c r="AS128" s="214"/>
      <c r="AT128" s="214"/>
      <c r="AU128" s="214"/>
      <c r="AV128" s="214"/>
      <c r="AW128" s="214"/>
      <c r="AX128" s="214"/>
      <c r="AY128" s="214"/>
      <c r="AZ128" s="214"/>
      <c r="BA128" s="602"/>
      <c r="BB128" s="602"/>
      <c r="BC128" s="602"/>
      <c r="BD128" s="23"/>
    </row>
    <row r="129" spans="1:56" ht="50.1" customHeight="1" thickBot="1" x14ac:dyDescent="0.45">
      <c r="A129" s="602"/>
      <c r="B129" s="214"/>
      <c r="C129" s="95"/>
      <c r="D129" s="532" t="str">
        <f>Translations!$B$271</f>
        <v>Alternatīvās pieejas</v>
      </c>
      <c r="E129" s="214"/>
      <c r="F129" s="214"/>
      <c r="G129" s="214"/>
      <c r="H129" s="214"/>
      <c r="I129" s="214"/>
      <c r="J129" s="214"/>
      <c r="K129" s="214"/>
      <c r="L129" s="214"/>
      <c r="N129" s="214"/>
      <c r="O129" s="214"/>
      <c r="P129" s="214"/>
      <c r="Q129" s="214"/>
      <c r="R129" s="214"/>
      <c r="S129" s="214"/>
      <c r="T129" s="214"/>
      <c r="U129" s="214"/>
      <c r="V129" s="214"/>
      <c r="W129" s="214"/>
      <c r="X129" s="214"/>
      <c r="Y129" s="214"/>
      <c r="Z129" s="214"/>
      <c r="AA129" s="214"/>
      <c r="AB129" s="214"/>
      <c r="AC129" s="214"/>
      <c r="AD129" s="214"/>
      <c r="AE129" s="214"/>
      <c r="AF129" s="214"/>
      <c r="AG129" s="214"/>
      <c r="AH129" s="214"/>
      <c r="AI129" s="214"/>
      <c r="AJ129" s="214"/>
      <c r="AK129" s="214"/>
      <c r="AL129" s="214"/>
      <c r="AM129" s="214"/>
      <c r="AN129" s="214"/>
      <c r="AO129" s="214"/>
      <c r="AP129" s="214"/>
      <c r="AQ129" s="214"/>
      <c r="AR129" s="214"/>
      <c r="AS129" s="214"/>
      <c r="AT129" s="214"/>
      <c r="AU129" s="214"/>
      <c r="AV129" s="214"/>
      <c r="AW129" s="214"/>
      <c r="AX129" s="214"/>
      <c r="AY129" s="214"/>
      <c r="AZ129" s="214"/>
      <c r="BA129" s="602"/>
      <c r="BB129" s="602"/>
      <c r="BC129" s="602"/>
      <c r="BD129" s="23"/>
    </row>
    <row r="130" spans="1:56" ht="50.1" customHeight="1" thickBot="1" x14ac:dyDescent="0.25">
      <c r="A130" s="602"/>
      <c r="B130" s="214"/>
      <c r="C130" s="533" t="s">
        <v>466</v>
      </c>
      <c r="D130" s="534" t="str">
        <f>Translations!$B$282</f>
        <v>Metode</v>
      </c>
      <c r="E130" s="534" t="str">
        <f>Translations!$B$340</f>
        <v>Nosaukums</v>
      </c>
      <c r="F130" s="535" t="str">
        <f>Translations!$B$284</f>
        <v>Darbības dati</v>
      </c>
      <c r="G130" s="535" t="str">
        <f>Translations!$B$285</f>
        <v>DD vienība</v>
      </c>
      <c r="H130" s="535" t="str">
        <f>Translations!$B$286</f>
        <v>NCV</v>
      </c>
      <c r="I130" s="535" t="str">
        <f>Translations!$B$287</f>
        <v>NCV vienība</v>
      </c>
      <c r="J130" s="535" t="str">
        <f>Translations!$B$288</f>
        <v>EF</v>
      </c>
      <c r="K130" s="535" t="str">
        <f>Translations!$B$289</f>
        <v>EF vienība</v>
      </c>
      <c r="L130" s="535" t="str">
        <f>Translations!$B$290</f>
        <v>C saturs</v>
      </c>
      <c r="M130" s="535" t="str">
        <f>Translations!$B$291</f>
        <v>C satura vienība</v>
      </c>
      <c r="N130" s="535" t="str">
        <f>Translations!$B$292</f>
        <v>Oksid. koef.</v>
      </c>
      <c r="O130" s="535" t="str">
        <f>Translations!$B$293</f>
        <v>OK vienība</v>
      </c>
      <c r="P130" s="535" t="str">
        <f>Translations!$B$294</f>
        <v>Pārrēķina koef.</v>
      </c>
      <c r="Q130" s="535" t="str">
        <f>Translations!$B$295</f>
        <v>PK vienība</v>
      </c>
      <c r="R130" s="535" t="str">
        <f>Translations!$B$296</f>
        <v>Biomasas saturs</v>
      </c>
      <c r="S130" s="535" t="str">
        <f>Translations!$B$297</f>
        <v>BS vienība</v>
      </c>
      <c r="T130" s="535" t="str">
        <f>Translations!$B$298</f>
        <v>ilgtnesp. BS</v>
      </c>
      <c r="U130" s="535" t="str">
        <f>Translations!$B$299</f>
        <v>ilgtnesp. BS vienība</v>
      </c>
      <c r="V130" s="535" t="str">
        <f>Translations!$B$300</f>
        <v>SEG konc. vidējā vērtība h</v>
      </c>
      <c r="W130" s="535" t="str">
        <f>Translations!$B$301</f>
        <v>SEG konc. h vienība</v>
      </c>
      <c r="X130" s="535" t="str">
        <f>Translations!$B$302</f>
        <v>ekspluatācijas stundas</v>
      </c>
      <c r="Y130" s="535" t="str">
        <f>Translations!$B$303</f>
        <v>ekspluatācijas stundu vienība</v>
      </c>
      <c r="Z130" s="535" t="str">
        <f>Translations!$B$304</f>
        <v>Dūmgāzes (vidēji)</v>
      </c>
      <c r="AA130" s="535" t="str">
        <f>Translations!$B$305</f>
        <v>Dūmgāzes (vidēji), vienība</v>
      </c>
      <c r="AB130" s="535" t="str">
        <f>Translations!$B$306</f>
        <v>Dūmgāzes (kopā)</v>
      </c>
      <c r="AC130" s="535" t="str">
        <f>Translations!$B$307</f>
        <v>Dūmgāzes (kopā), vienība</v>
      </c>
      <c r="AD130" s="535" t="str">
        <f>Translations!$B$308</f>
        <v>SEG daudzums gadā</v>
      </c>
      <c r="AE130" s="535" t="str">
        <f>Translations!$B$309</f>
        <v>SEG daudzums gadā, vienība</v>
      </c>
      <c r="AF130" s="535" t="str">
        <f>Translations!$B$310</f>
        <v>GWP (t CO2 e/t)</v>
      </c>
      <c r="AG130" s="535" t="str">
        <f>Translations!$B$311</f>
        <v>A: biežums</v>
      </c>
      <c r="AH130" s="535" t="str">
        <f>Translations!$B$312</f>
        <v>A: ilgums</v>
      </c>
      <c r="AI130" s="535" t="str">
        <f>Translations!$B$313</f>
        <v>A: SEF (CF4)</v>
      </c>
      <c r="AJ130" s="535" t="str">
        <f>Translations!$B$314</f>
        <v>B: AEO</v>
      </c>
      <c r="AK130" s="535" t="str">
        <f>Translations!$B$315</f>
        <v>B: CE</v>
      </c>
      <c r="AL130" s="535" t="str">
        <f>Translations!$B$316</f>
        <v>B: OVC</v>
      </c>
      <c r="AM130" s="535" t="str">
        <f>Translations!$B$317</f>
        <v>F (C2F6)</v>
      </c>
      <c r="AN130" s="535" t="str">
        <f>Translations!$B$318</f>
        <v>CF4 emisijas (t CF4)</v>
      </c>
      <c r="AO130" s="535" t="str">
        <f>Translations!$B$319</f>
        <v>C2F6 emisijas (t C2F6)</v>
      </c>
      <c r="AP130" s="535" t="str">
        <f>Translations!$B$320</f>
        <v>GWP (CF4) (t CO2 e/t)</v>
      </c>
      <c r="AQ130" s="535" t="str">
        <f>Translations!$B$321</f>
        <v>GWP (C2F6) (t CO2 e/t)</v>
      </c>
      <c r="AR130" s="535" t="str">
        <f>Translations!$B$322</f>
        <v>CF4 emisijas (t CO2e)</v>
      </c>
      <c r="AS130" s="535" t="str">
        <f>Translations!$B$323</f>
        <v>C2F6 emisijas (t CO2 e)</v>
      </c>
      <c r="AT130" s="535" t="str">
        <f>Translations!$B$324</f>
        <v>Uztveršanas efektivitāte, %</v>
      </c>
      <c r="AU130" s="535" t="str">
        <f>Translations!$B$325</f>
        <v>CO2 e, fosilie avoti (t)</v>
      </c>
      <c r="AV130" s="535" t="str">
        <f>Translations!$B$326</f>
        <v>CO2 e bio (t)</v>
      </c>
      <c r="AW130" s="535" t="str">
        <f>Translations!$B$327</f>
        <v>CO2 e, ilgtnesp. biomasa (t)</v>
      </c>
      <c r="AX130" s="536" t="str">
        <f>Translations!$B$328</f>
        <v>Enerģētiskais saturs (fosilie avoti), TJ</v>
      </c>
      <c r="AY130" s="537" t="str">
        <f>Translations!$B$329</f>
        <v>Enerģētiskais saturs (biomasa), TJ</v>
      </c>
      <c r="AZ130" s="214"/>
      <c r="BA130" s="602"/>
      <c r="BB130" s="602"/>
      <c r="BC130" s="602"/>
      <c r="BD130" s="23"/>
    </row>
    <row r="131" spans="1:56" ht="12.75" customHeight="1" x14ac:dyDescent="0.2">
      <c r="A131" s="602"/>
      <c r="B131" s="214"/>
      <c r="C131" s="692" t="str">
        <f>Translations!$B$341</f>
        <v>Piem.</v>
      </c>
      <c r="D131" s="669" t="str">
        <f>Translations!$B$271</f>
        <v>Alternatīvās pieejas</v>
      </c>
      <c r="E131" s="778"/>
      <c r="F131" s="779"/>
      <c r="G131" s="780"/>
      <c r="H131" s="779"/>
      <c r="I131" s="780"/>
      <c r="J131" s="779"/>
      <c r="K131" s="780"/>
      <c r="L131" s="780"/>
      <c r="M131" s="780"/>
      <c r="N131" s="779"/>
      <c r="O131" s="781"/>
      <c r="P131" s="779"/>
      <c r="Q131" s="781"/>
      <c r="R131" s="779"/>
      <c r="S131" s="781"/>
      <c r="T131" s="779"/>
      <c r="U131" s="781"/>
      <c r="V131" s="781"/>
      <c r="W131" s="781"/>
      <c r="X131" s="781"/>
      <c r="Y131" s="781"/>
      <c r="Z131" s="781"/>
      <c r="AA131" s="781"/>
      <c r="AB131" s="781"/>
      <c r="AC131" s="781"/>
      <c r="AD131" s="781"/>
      <c r="AE131" s="781"/>
      <c r="AF131" s="781"/>
      <c r="AG131" s="781"/>
      <c r="AH131" s="781"/>
      <c r="AI131" s="781"/>
      <c r="AJ131" s="781"/>
      <c r="AK131" s="781"/>
      <c r="AL131" s="781"/>
      <c r="AM131" s="781"/>
      <c r="AN131" s="781"/>
      <c r="AO131" s="781"/>
      <c r="AP131" s="781"/>
      <c r="AQ131" s="781"/>
      <c r="AR131" s="781"/>
      <c r="AS131" s="781"/>
      <c r="AT131" s="781"/>
      <c r="AU131" s="693">
        <v>2850</v>
      </c>
      <c r="AV131" s="693">
        <v>340</v>
      </c>
      <c r="AW131" s="693">
        <v>0</v>
      </c>
      <c r="AX131" s="694">
        <v>45</v>
      </c>
      <c r="AY131" s="694">
        <v>5</v>
      </c>
      <c r="AZ131" s="214"/>
      <c r="BA131" s="602"/>
      <c r="BB131" s="602"/>
      <c r="BC131" s="602"/>
      <c r="BD131" s="23"/>
    </row>
    <row r="132" spans="1:56" x14ac:dyDescent="0.2">
      <c r="A132" s="602"/>
      <c r="B132" s="214"/>
      <c r="C132" s="538">
        <v>1</v>
      </c>
      <c r="D132" s="686" t="str">
        <f>Translations!$B$271</f>
        <v>Alternatīvās pieejas</v>
      </c>
      <c r="E132" s="782"/>
      <c r="F132" s="775"/>
      <c r="G132" s="776"/>
      <c r="H132" s="775"/>
      <c r="I132" s="776"/>
      <c r="J132" s="775"/>
      <c r="K132" s="776"/>
      <c r="L132" s="776"/>
      <c r="M132" s="776"/>
      <c r="N132" s="775"/>
      <c r="O132" s="774"/>
      <c r="P132" s="775"/>
      <c r="Q132" s="774"/>
      <c r="R132" s="775"/>
      <c r="S132" s="774"/>
      <c r="T132" s="775"/>
      <c r="U132" s="774"/>
      <c r="V132" s="774"/>
      <c r="W132" s="774"/>
      <c r="X132" s="774"/>
      <c r="Y132" s="774"/>
      <c r="Z132" s="774"/>
      <c r="AA132" s="774"/>
      <c r="AB132" s="774"/>
      <c r="AC132" s="774"/>
      <c r="AD132" s="774"/>
      <c r="AE132" s="774"/>
      <c r="AF132" s="774"/>
      <c r="AG132" s="774"/>
      <c r="AH132" s="774"/>
      <c r="AI132" s="774"/>
      <c r="AJ132" s="774"/>
      <c r="AK132" s="774"/>
      <c r="AL132" s="774"/>
      <c r="AM132" s="774"/>
      <c r="AN132" s="774"/>
      <c r="AO132" s="774"/>
      <c r="AP132" s="774"/>
      <c r="AQ132" s="774"/>
      <c r="AR132" s="774"/>
      <c r="AS132" s="774"/>
      <c r="AT132" s="774"/>
      <c r="AU132" s="600"/>
      <c r="AV132" s="600"/>
      <c r="AW132" s="600"/>
      <c r="AX132" s="601"/>
      <c r="AY132" s="601"/>
      <c r="AZ132" s="214"/>
      <c r="BA132" s="490" t="str">
        <f>EUconst_SumCO2</f>
        <v>SUM_CO2</v>
      </c>
      <c r="BB132" s="581" t="str">
        <f>EUconst_SumEnergyIN</f>
        <v>SUM_EnergyIN</v>
      </c>
      <c r="BC132" s="602"/>
      <c r="BD132" s="23"/>
    </row>
    <row r="133" spans="1:56" x14ac:dyDescent="0.2">
      <c r="AZ133" s="668"/>
      <c r="BC133" s="670"/>
      <c r="BD133" s="23"/>
    </row>
    <row r="134" spans="1:56" s="20" customFormat="1" hidden="1" x14ac:dyDescent="0.2">
      <c r="A134" s="20" t="s">
        <v>93</v>
      </c>
      <c r="B134" s="20" t="s">
        <v>336</v>
      </c>
      <c r="C134" s="20" t="s">
        <v>336</v>
      </c>
      <c r="D134" s="20" t="s">
        <v>336</v>
      </c>
      <c r="E134" s="20" t="s">
        <v>336</v>
      </c>
      <c r="F134" s="20" t="s">
        <v>336</v>
      </c>
      <c r="G134" s="20" t="s">
        <v>336</v>
      </c>
      <c r="H134" s="20" t="s">
        <v>336</v>
      </c>
      <c r="I134" s="20" t="s">
        <v>336</v>
      </c>
      <c r="J134" s="20" t="s">
        <v>336</v>
      </c>
      <c r="K134" s="20" t="s">
        <v>336</v>
      </c>
      <c r="L134" s="20" t="s">
        <v>336</v>
      </c>
      <c r="M134" s="20" t="s">
        <v>336</v>
      </c>
      <c r="N134" s="20" t="s">
        <v>336</v>
      </c>
      <c r="O134" s="20" t="s">
        <v>336</v>
      </c>
      <c r="P134" s="20" t="s">
        <v>336</v>
      </c>
      <c r="Q134" s="20" t="s">
        <v>336</v>
      </c>
      <c r="R134" s="20" t="s">
        <v>336</v>
      </c>
      <c r="S134" s="20" t="s">
        <v>336</v>
      </c>
      <c r="T134" s="20" t="s">
        <v>336</v>
      </c>
      <c r="U134" s="20" t="s">
        <v>336</v>
      </c>
      <c r="V134" s="20" t="s">
        <v>336</v>
      </c>
      <c r="W134" s="20" t="s">
        <v>336</v>
      </c>
      <c r="X134" s="20" t="s">
        <v>336</v>
      </c>
      <c r="Y134" s="20" t="s">
        <v>336</v>
      </c>
      <c r="Z134" s="20" t="s">
        <v>336</v>
      </c>
      <c r="AA134" s="20" t="s">
        <v>336</v>
      </c>
      <c r="AB134" s="20" t="s">
        <v>336</v>
      </c>
      <c r="AC134" s="20" t="s">
        <v>336</v>
      </c>
      <c r="AD134" s="20" t="s">
        <v>336</v>
      </c>
      <c r="AE134" s="20" t="s">
        <v>336</v>
      </c>
      <c r="AF134" s="20" t="s">
        <v>336</v>
      </c>
      <c r="AG134" s="20" t="s">
        <v>336</v>
      </c>
      <c r="AH134" s="20" t="s">
        <v>336</v>
      </c>
      <c r="AI134" s="20" t="s">
        <v>336</v>
      </c>
      <c r="AJ134" s="20" t="s">
        <v>336</v>
      </c>
      <c r="AK134" s="20" t="s">
        <v>336</v>
      </c>
      <c r="AL134" s="20" t="s">
        <v>336</v>
      </c>
      <c r="AM134" s="20" t="s">
        <v>336</v>
      </c>
      <c r="AN134" s="20" t="s">
        <v>336</v>
      </c>
      <c r="AO134" s="20" t="s">
        <v>336</v>
      </c>
      <c r="AP134" s="20" t="s">
        <v>336</v>
      </c>
      <c r="AQ134" s="20" t="s">
        <v>336</v>
      </c>
      <c r="AR134" s="20" t="s">
        <v>336</v>
      </c>
      <c r="AS134" s="20" t="s">
        <v>336</v>
      </c>
      <c r="AT134" s="20" t="s">
        <v>336</v>
      </c>
      <c r="AU134" s="20" t="s">
        <v>336</v>
      </c>
      <c r="AV134" s="20" t="s">
        <v>336</v>
      </c>
      <c r="AW134" s="20" t="s">
        <v>336</v>
      </c>
      <c r="AX134" s="20" t="s">
        <v>336</v>
      </c>
      <c r="AY134" s="20" t="s">
        <v>336</v>
      </c>
      <c r="AZ134" s="20" t="s">
        <v>336</v>
      </c>
      <c r="BA134" s="20" t="s">
        <v>336</v>
      </c>
      <c r="BB134" s="20" t="s">
        <v>336</v>
      </c>
      <c r="BC134" s="445"/>
    </row>
    <row r="135" spans="1:56" x14ac:dyDescent="0.2">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670"/>
      <c r="BB135" s="670"/>
      <c r="BC135" s="670"/>
      <c r="BD135" s="23"/>
    </row>
    <row r="136" spans="1:56" x14ac:dyDescent="0.2">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670"/>
      <c r="BB136" s="670"/>
      <c r="BC136" s="670"/>
      <c r="BD136" s="23"/>
    </row>
  </sheetData>
  <sheetProtection sheet="1" objects="1" scenarios="1" formatCells="0" formatColumns="0" formatRows="0"/>
  <mergeCells count="26">
    <mergeCell ref="D15:K15"/>
    <mergeCell ref="D16:K16"/>
    <mergeCell ref="D17:K17"/>
    <mergeCell ref="D18:K18"/>
    <mergeCell ref="D8:N8"/>
    <mergeCell ref="D10:I10"/>
    <mergeCell ref="J10:K10"/>
    <mergeCell ref="D11:K11"/>
    <mergeCell ref="D12:K12"/>
    <mergeCell ref="D14:N14"/>
    <mergeCell ref="B4:D4"/>
    <mergeCell ref="F4:G4"/>
    <mergeCell ref="H4:I4"/>
    <mergeCell ref="J4:K4"/>
    <mergeCell ref="L4:M4"/>
    <mergeCell ref="D6:I6"/>
    <mergeCell ref="J6:K6"/>
    <mergeCell ref="B2:D3"/>
    <mergeCell ref="F2:G2"/>
    <mergeCell ref="H2:I2"/>
    <mergeCell ref="J2:K2"/>
    <mergeCell ref="L2:M2"/>
    <mergeCell ref="F3:G3"/>
    <mergeCell ref="H3:I3"/>
    <mergeCell ref="J3:K3"/>
    <mergeCell ref="L3:M3"/>
  </mergeCells>
  <conditionalFormatting sqref="D24:U98 AU24:AY98 AG103:AY112 D103:G112 D118:E127 R118:AF127 AU118:AY127 AU132:AY132">
    <cfRule type="expression" dxfId="323" priority="1" stopIfTrue="1">
      <formula>MSconst_AllowInstEmmisionTotals</formula>
    </cfRule>
  </conditionalFormatting>
  <hyperlinks>
    <hyperlink ref="F2:G2" location="JUMP_TOC_Home" display="Table of contents"/>
    <hyperlink ref="L2:M2" location="JUMP_K_I" display="Summary"/>
    <hyperlink ref="J2:K2" location="JUMP_D_Top" display="JUMP_D_Top"/>
    <hyperlink ref="H2:I2" location="JUMP_BY4_Top" display="JUMP_BY4_Top"/>
    <hyperlink ref="E3" location="JUMP_BY5_Top" display="JUMP_BY5_Top"/>
    <hyperlink ref="F3:G3" location="JUMP_BY5_Source" display="Source streams (excl. PFC)"/>
    <hyperlink ref="H3:I3" location="JUMP_BY5_PFC" display="PFC source streams"/>
    <hyperlink ref="J3:K3" location="JUMP_BY5_Emissions" display="Emission Sources (CEMS)"/>
    <hyperlink ref="L3:M3" location="JUMP_BY5_Fallback" display="Fall-back"/>
  </hyperlinks>
  <pageMargins left="0.70866141732283472" right="0.70866141732283472" top="0.78740157480314965" bottom="0.78740157480314965" header="0.31496062992125984" footer="0.31496062992125984"/>
  <pageSetup paperSize="9" scale="13" orientation="portrait" r:id="rId1"/>
  <headerFooter>
    <oddFooter>&amp;L&amp;F; &amp;A&amp;C&amp;P / &amp;N&amp;R&amp;D; &amp;T</oddFooter>
  </headerFooter>
  <colBreaks count="1" manualBreakCount="1">
    <brk id="51" min="4" max="13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indexed="52"/>
    <pageSetUpPr fitToPage="1"/>
  </sheetPr>
  <dimension ref="A1:X321"/>
  <sheetViews>
    <sheetView zoomScaleNormal="100" workbookViewId="0">
      <pane ySplit="4" topLeftCell="A5" activePane="bottomLeft" state="frozen"/>
      <selection sqref="B2:D4"/>
      <selection pane="bottomLeft" sqref="B2:D4"/>
    </sheetView>
  </sheetViews>
  <sheetFormatPr defaultColWidth="11.42578125" defaultRowHeight="12.75" x14ac:dyDescent="0.2"/>
  <cols>
    <col min="1" max="1" width="3.7109375" style="20" hidden="1" customWidth="1"/>
    <col min="2" max="2" width="2.7109375" style="19" customWidth="1"/>
    <col min="3" max="4" width="4.7109375" style="19" customWidth="1"/>
    <col min="5" max="6" width="12.7109375" style="19" customWidth="1"/>
    <col min="7" max="8" width="14.7109375" style="19" customWidth="1"/>
    <col min="9" max="14" width="13.7109375" style="19" customWidth="1"/>
    <col min="15" max="15" width="4.7109375" style="19" customWidth="1"/>
    <col min="16" max="16" width="12.7109375" style="20" hidden="1" customWidth="1"/>
    <col min="17" max="24" width="11.42578125" style="20" hidden="1" customWidth="1"/>
    <col min="25" max="16384" width="11.42578125" style="696"/>
  </cols>
  <sheetData>
    <row r="1" spans="1:24" s="20" customFormat="1" ht="13.5" hidden="1" thickBot="1" x14ac:dyDescent="0.25">
      <c r="A1" s="20" t="s">
        <v>93</v>
      </c>
      <c r="P1" s="20" t="s">
        <v>93</v>
      </c>
      <c r="Q1" s="20" t="s">
        <v>93</v>
      </c>
      <c r="R1" s="20" t="s">
        <v>93</v>
      </c>
      <c r="S1" s="20" t="s">
        <v>93</v>
      </c>
      <c r="T1" s="20" t="s">
        <v>93</v>
      </c>
      <c r="U1" s="20" t="s">
        <v>93</v>
      </c>
      <c r="V1" s="20" t="s">
        <v>93</v>
      </c>
      <c r="W1" s="20" t="s">
        <v>93</v>
      </c>
      <c r="X1" s="20" t="s">
        <v>93</v>
      </c>
    </row>
    <row r="2" spans="1:24" ht="13.5" thickBot="1" x14ac:dyDescent="0.25">
      <c r="B2" s="1405" t="str">
        <f>Translations!$B$351</f>
        <v>D. Emisijas</v>
      </c>
      <c r="C2" s="1406"/>
      <c r="D2" s="1407"/>
      <c r="E2" s="786" t="str">
        <f>Translations!$B$2</f>
        <v>Navigācijas josla:</v>
      </c>
      <c r="F2" s="787"/>
      <c r="G2" s="1388" t="str">
        <f>Translations!$B$18</f>
        <v>Saturs</v>
      </c>
      <c r="H2" s="7"/>
      <c r="I2" s="7" t="str">
        <f>Translations!$B$19</f>
        <v>Iepriekšējā lapa</v>
      </c>
      <c r="J2" s="7"/>
      <c r="K2" s="7" t="str">
        <f>Translations!$B$3</f>
        <v>Nākamā lapa</v>
      </c>
      <c r="L2" s="7"/>
      <c r="M2" s="7" t="str">
        <f>Translations!$B$4</f>
        <v>Kopsavilkums</v>
      </c>
      <c r="N2" s="7"/>
      <c r="O2" s="25"/>
      <c r="P2" s="26"/>
      <c r="Q2" s="26"/>
      <c r="R2" s="26"/>
      <c r="S2" s="26"/>
      <c r="T2" s="26"/>
      <c r="U2" s="26"/>
      <c r="V2" s="26"/>
      <c r="W2" s="26"/>
      <c r="X2" s="26"/>
    </row>
    <row r="3" spans="1:24" ht="13.5" thickBot="1" x14ac:dyDescent="0.25">
      <c r="B3" s="1408"/>
      <c r="C3" s="1409"/>
      <c r="D3" s="1410"/>
      <c r="E3" s="7" t="str">
        <f>Translations!$B$5</f>
        <v>Lapas sākums</v>
      </c>
      <c r="F3" s="1392"/>
      <c r="G3" s="1414" t="str">
        <f>Translations!$B$352</f>
        <v>Emisijas un enerģijas ielaide</v>
      </c>
      <c r="H3" s="1393"/>
      <c r="I3" s="1393" t="str">
        <f>Translations!$B$353</f>
        <v>Emisiju attiecināšana</v>
      </c>
      <c r="J3" s="1393"/>
      <c r="K3" s="1393" t="str">
        <f>Translations!$B$354</f>
        <v>Koģenerācija (1)</v>
      </c>
      <c r="L3" s="1393"/>
      <c r="M3" s="1393" t="str">
        <f>Translations!$B$355</f>
        <v>Koģenerācija (2)</v>
      </c>
      <c r="N3" s="1393"/>
      <c r="O3" s="25"/>
      <c r="P3" s="26"/>
      <c r="Q3" s="26"/>
      <c r="R3" s="26"/>
      <c r="S3" s="26"/>
      <c r="T3" s="26"/>
      <c r="U3" s="26"/>
      <c r="V3" s="26"/>
      <c r="W3" s="26"/>
      <c r="X3" s="26"/>
    </row>
    <row r="4" spans="1:24" ht="13.5" thickBot="1" x14ac:dyDescent="0.25">
      <c r="B4" s="1411"/>
      <c r="C4" s="1412"/>
      <c r="D4" s="1413"/>
      <c r="E4" s="7" t="str">
        <f>Translations!$B$6</f>
        <v>Lapas beigas</v>
      </c>
      <c r="F4" s="7"/>
      <c r="G4" s="1394" t="str">
        <f>Translations!$B$356</f>
        <v>Atlikumgāzes (1)</v>
      </c>
      <c r="H4" s="1395"/>
      <c r="I4" s="1395" t="str">
        <f>Translations!$B$357</f>
        <v>Atlikumgāzes (2)</v>
      </c>
      <c r="J4" s="1395"/>
      <c r="K4" s="1395"/>
      <c r="L4" s="1395"/>
      <c r="M4" s="1395"/>
      <c r="N4" s="1395"/>
      <c r="O4" s="25"/>
      <c r="P4" s="26"/>
      <c r="Q4" s="26"/>
      <c r="R4" s="26"/>
      <c r="S4" s="26"/>
      <c r="T4" s="26"/>
      <c r="U4" s="26"/>
      <c r="V4" s="26"/>
      <c r="W4" s="26"/>
      <c r="X4" s="26"/>
    </row>
    <row r="5" spans="1:24" x14ac:dyDescent="0.2">
      <c r="B5" s="21"/>
      <c r="C5" s="22"/>
      <c r="D5" s="23"/>
      <c r="E5" s="23"/>
      <c r="F5" s="24"/>
      <c r="G5" s="24"/>
      <c r="H5" s="24"/>
      <c r="I5" s="21"/>
      <c r="J5" s="21"/>
      <c r="K5" s="21"/>
      <c r="L5" s="21"/>
      <c r="M5" s="25"/>
      <c r="N5" s="25"/>
      <c r="O5" s="25"/>
      <c r="P5" s="26"/>
      <c r="Q5" s="26"/>
      <c r="R5" s="26"/>
      <c r="S5" s="26"/>
      <c r="T5" s="26"/>
      <c r="U5" s="26"/>
      <c r="V5" s="26"/>
      <c r="W5" s="26"/>
      <c r="X5" s="26"/>
    </row>
    <row r="6" spans="1:24" ht="23.25" customHeight="1" x14ac:dyDescent="0.2">
      <c r="B6" s="21"/>
      <c r="C6" s="27" t="s">
        <v>253</v>
      </c>
      <c r="D6" s="1281" t="str">
        <f>Translations!$B$358</f>
        <v>Lapa “Emissions” — EMISIJU ATTIECINĀŠANA</v>
      </c>
      <c r="E6" s="1251"/>
      <c r="F6" s="1251"/>
      <c r="G6" s="1251"/>
      <c r="H6" s="1251"/>
      <c r="I6" s="1251"/>
      <c r="J6" s="1251"/>
      <c r="K6" s="1251"/>
      <c r="L6" s="1251"/>
      <c r="M6" s="1251"/>
      <c r="N6" s="1251"/>
      <c r="O6" s="25"/>
      <c r="P6" s="28" t="s">
        <v>73</v>
      </c>
      <c r="Q6" s="28" t="s">
        <v>73</v>
      </c>
      <c r="R6" s="28" t="s">
        <v>73</v>
      </c>
      <c r="S6" s="28" t="s">
        <v>73</v>
      </c>
      <c r="T6" s="28" t="s">
        <v>73</v>
      </c>
      <c r="U6" s="28" t="s">
        <v>73</v>
      </c>
      <c r="V6" s="28" t="s">
        <v>73</v>
      </c>
      <c r="W6" s="28" t="s">
        <v>73</v>
      </c>
      <c r="X6" s="28" t="s">
        <v>73</v>
      </c>
    </row>
    <row r="7" spans="1:24" x14ac:dyDescent="0.2">
      <c r="B7" s="38"/>
      <c r="C7" s="142"/>
      <c r="D7" s="142"/>
      <c r="E7" s="142"/>
      <c r="F7" s="142"/>
      <c r="G7" s="142"/>
      <c r="H7" s="142"/>
      <c r="I7" s="142"/>
      <c r="J7" s="142"/>
      <c r="K7" s="142"/>
      <c r="L7" s="142"/>
      <c r="M7" s="142"/>
      <c r="N7" s="142"/>
      <c r="O7" s="25"/>
      <c r="P7" s="29" t="s">
        <v>265</v>
      </c>
      <c r="Q7" s="29" t="s">
        <v>265</v>
      </c>
      <c r="R7" s="29" t="s">
        <v>265</v>
      </c>
      <c r="S7" s="29" t="s">
        <v>265</v>
      </c>
      <c r="T7" s="29" t="s">
        <v>265</v>
      </c>
      <c r="U7" s="29" t="s">
        <v>265</v>
      </c>
      <c r="V7" s="29" t="s">
        <v>265</v>
      </c>
      <c r="W7" s="29" t="s">
        <v>265</v>
      </c>
      <c r="X7" s="29" t="s">
        <v>265</v>
      </c>
    </row>
    <row r="8" spans="1:24" ht="15.75" x14ac:dyDescent="0.25">
      <c r="B8" s="21"/>
      <c r="C8" s="30" t="s">
        <v>391</v>
      </c>
      <c r="D8" s="1249" t="str">
        <f>Translations!$B$359</f>
        <v>Kopējās tiešās siltumnīcefekta gāzu emisijas un enerģijas ielaide ar kurināmajiem</v>
      </c>
      <c r="E8" s="1249"/>
      <c r="F8" s="1249"/>
      <c r="G8" s="1249"/>
      <c r="H8" s="1249"/>
      <c r="I8" s="1249"/>
      <c r="J8" s="1249"/>
      <c r="K8" s="1249"/>
      <c r="L8" s="1249"/>
      <c r="M8" s="1249"/>
      <c r="N8" s="1249"/>
      <c r="O8" s="25"/>
      <c r="P8" s="26"/>
      <c r="Q8" s="26"/>
      <c r="R8" s="26"/>
      <c r="S8" s="26"/>
      <c r="T8" s="26"/>
      <c r="U8" s="26"/>
      <c r="X8" s="26"/>
    </row>
    <row r="9" spans="1:24" ht="5.0999999999999996" customHeight="1" x14ac:dyDescent="0.2">
      <c r="B9" s="21"/>
      <c r="C9" s="21"/>
      <c r="D9" s="21"/>
      <c r="E9" s="21"/>
      <c r="F9" s="21"/>
      <c r="G9" s="21"/>
      <c r="H9" s="21"/>
      <c r="I9" s="21"/>
      <c r="J9" s="21"/>
      <c r="K9" s="21"/>
      <c r="L9" s="21"/>
      <c r="M9" s="25"/>
      <c r="N9" s="25"/>
      <c r="O9" s="25"/>
      <c r="P9" s="26"/>
      <c r="Q9" s="26"/>
    </row>
    <row r="10" spans="1:24" ht="39.950000000000003" customHeight="1" x14ac:dyDescent="0.2">
      <c r="B10" s="38"/>
      <c r="C10" s="142"/>
      <c r="D10" s="1548" t="str">
        <f>Translations!$B$360</f>
        <v>Šajā sadaļā ir emisiju un enerģētiskā satura datu kopsavilkums no piecām lapām no “B+C_Emissions_Y1” līdz “B+C_Emissions_Y5”. Gadījumos, kad dalībvalsts atļauj ievadīt agregētus datus, nevis aizpildīt šīs piecas lapas, attiecīgie ieraksti jāizdara šeit 2. sadaļā.</v>
      </c>
      <c r="E10" s="1548"/>
      <c r="F10" s="1548"/>
      <c r="G10" s="1548"/>
      <c r="H10" s="1548"/>
      <c r="I10" s="1548"/>
      <c r="J10" s="1548"/>
      <c r="K10" s="1548"/>
      <c r="L10" s="1548"/>
      <c r="M10" s="1548"/>
      <c r="N10" s="1548"/>
      <c r="O10" s="25"/>
      <c r="P10" s="26"/>
    </row>
    <row r="11" spans="1:24" x14ac:dyDescent="0.2">
      <c r="B11" s="38"/>
      <c r="C11" s="142"/>
      <c r="D11" s="1549" t="str">
        <f>Translations!$B$361</f>
        <v>Sīkākai informācijai sk. vispārīgās piezīmes B lapas sākumā.</v>
      </c>
      <c r="E11" s="1549"/>
      <c r="F11" s="1549"/>
      <c r="G11" s="1549"/>
      <c r="H11" s="1549"/>
      <c r="I11" s="1549"/>
      <c r="J11" s="1549"/>
      <c r="K11" s="1549"/>
      <c r="L11" s="1549"/>
      <c r="M11" s="1549"/>
      <c r="N11" s="1549"/>
      <c r="O11" s="25"/>
      <c r="P11" s="26"/>
    </row>
    <row r="12" spans="1:24" x14ac:dyDescent="0.2">
      <c r="B12" s="38"/>
      <c r="C12" s="38"/>
      <c r="D12" s="38"/>
      <c r="E12" s="38"/>
      <c r="F12" s="38"/>
      <c r="G12" s="38"/>
      <c r="H12" s="38"/>
      <c r="I12" s="38"/>
      <c r="J12" s="38"/>
      <c r="K12" s="38"/>
      <c r="L12" s="38"/>
      <c r="M12" s="38"/>
      <c r="N12" s="38"/>
      <c r="O12" s="25"/>
      <c r="P12" s="26"/>
      <c r="Q12" s="26"/>
    </row>
    <row r="13" spans="1:24" ht="15" x14ac:dyDescent="0.25">
      <c r="B13" s="21"/>
      <c r="C13" s="36">
        <v>1</v>
      </c>
      <c r="D13" s="1318" t="str">
        <f>Translations!$B$362</f>
        <v>Automātiski aprēķinātie dati iekārtas līmenī</v>
      </c>
      <c r="E13" s="1251"/>
      <c r="F13" s="1251"/>
      <c r="G13" s="1251"/>
      <c r="H13" s="1251"/>
      <c r="I13" s="1251"/>
      <c r="J13" s="1251"/>
      <c r="K13" s="1251"/>
      <c r="L13" s="1251"/>
      <c r="M13" s="1251"/>
      <c r="N13" s="1251"/>
      <c r="O13" s="25"/>
      <c r="P13" s="26"/>
      <c r="Q13" s="26"/>
    </row>
    <row r="14" spans="1:24" x14ac:dyDescent="0.2">
      <c r="B14" s="38"/>
      <c r="C14" s="38"/>
      <c r="D14" s="38"/>
      <c r="E14" s="1319" t="str">
        <f>Translations!$B$363</f>
        <v>Šeit redzamie dati ir B+C lapās ievadīto datu automātisks kopsavilkums.</v>
      </c>
      <c r="F14" s="1546"/>
      <c r="G14" s="1546"/>
      <c r="H14" s="1546"/>
      <c r="I14" s="1546"/>
      <c r="J14" s="1546"/>
      <c r="K14" s="1546"/>
      <c r="L14" s="1546"/>
      <c r="M14" s="1546"/>
      <c r="N14" s="1546"/>
      <c r="O14" s="25"/>
    </row>
    <row r="15" spans="1:24" ht="5.0999999999999996" customHeight="1" thickBot="1" x14ac:dyDescent="0.25">
      <c r="B15" s="21"/>
      <c r="C15" s="21"/>
      <c r="D15" s="21"/>
      <c r="E15" s="21"/>
      <c r="F15" s="21"/>
      <c r="G15" s="21"/>
      <c r="H15" s="21"/>
      <c r="I15" s="21"/>
      <c r="J15" s="21"/>
      <c r="K15" s="21"/>
      <c r="L15" s="21"/>
      <c r="M15" s="25"/>
      <c r="N15" s="25"/>
      <c r="O15" s="25"/>
      <c r="P15" s="26"/>
      <c r="Q15" s="26"/>
    </row>
    <row r="16" spans="1:24" ht="13.5" thickBot="1" x14ac:dyDescent="0.25">
      <c r="B16" s="21"/>
      <c r="C16" s="21"/>
      <c r="D16" s="32"/>
      <c r="E16" s="1320" t="str">
        <f>Translations!$B$364</f>
        <v>Iekārtas līmeņa dati:</v>
      </c>
      <c r="F16" s="1320"/>
      <c r="G16" s="1320"/>
      <c r="H16" s="53" t="str">
        <f>EUconst_Unit</f>
        <v>Vienība</v>
      </c>
      <c r="I16" s="412">
        <f>I$312</f>
        <v>2019</v>
      </c>
      <c r="J16" s="412">
        <f>J$312</f>
        <v>2020</v>
      </c>
      <c r="K16" s="412">
        <f>K$312</f>
        <v>2021</v>
      </c>
      <c r="L16" s="412">
        <f>L$312</f>
        <v>2022</v>
      </c>
      <c r="M16" s="412">
        <f>M$312</f>
        <v>2023</v>
      </c>
      <c r="N16" s="38"/>
      <c r="O16" s="25"/>
      <c r="P16" s="26"/>
      <c r="Q16" s="193"/>
      <c r="R16" s="705">
        <f>I16</f>
        <v>2019</v>
      </c>
      <c r="S16" s="771">
        <f>J16</f>
        <v>2020</v>
      </c>
      <c r="T16" s="771">
        <f>K16</f>
        <v>2021</v>
      </c>
      <c r="U16" s="771">
        <f>L16</f>
        <v>2022</v>
      </c>
      <c r="V16" s="772">
        <f>M16</f>
        <v>2023</v>
      </c>
    </row>
    <row r="17" spans="1:24" x14ac:dyDescent="0.2">
      <c r="B17" s="38"/>
      <c r="C17" s="38"/>
      <c r="D17" s="38"/>
      <c r="E17" s="1541" t="str">
        <f>Translations!$B$365</f>
        <v>Kopējās CO2 emisijas</v>
      </c>
      <c r="F17" s="1541"/>
      <c r="G17" s="1541"/>
      <c r="H17" s="55" t="str">
        <f>EUconst_tCO2pa</f>
        <v>t CO2 / gads</v>
      </c>
      <c r="I17" s="1026" t="str">
        <f t="shared" ref="I17:M20" si="0">IF(R17&gt;0,R17,"")</f>
        <v/>
      </c>
      <c r="J17" s="1026" t="str">
        <f t="shared" si="0"/>
        <v/>
      </c>
      <c r="K17" s="1026" t="str">
        <f t="shared" si="0"/>
        <v/>
      </c>
      <c r="L17" s="1026" t="str">
        <f t="shared" si="0"/>
        <v/>
      </c>
      <c r="M17" s="1026" t="str">
        <f t="shared" si="0"/>
        <v/>
      </c>
      <c r="N17" s="38"/>
      <c r="O17" s="25"/>
      <c r="P17" s="181" t="str">
        <f>EUconst_SumCO2</f>
        <v>SUM_CO2</v>
      </c>
      <c r="Q17" s="193"/>
      <c r="R17" s="768">
        <f>SUMIF('B+C_Emissions_Y1'!$BA$20:$BA$133,$P17,'B+C_Emissions_Y1'!$AU$20:$AU$133)</f>
        <v>0</v>
      </c>
      <c r="S17" s="769">
        <f>SUMIF('B+C_Emissions_Y2'!$BA$20:$BA$133,$P17,'B+C_Emissions_Y2'!$AU$20:$AU$133)</f>
        <v>0</v>
      </c>
      <c r="T17" s="769">
        <f>SUMIF('B+C_Emissions_Y3'!$BA$20:$BA$133,$P17,'B+C_Emissions_Y3'!$AU$20:$AU$133)</f>
        <v>0</v>
      </c>
      <c r="U17" s="769">
        <f>SUMIF('B+C_Emissions_Y4'!$BA$20:$BA$133,$P17,'B+C_Emissions_Y4'!$AU$20:$AU$133)</f>
        <v>0</v>
      </c>
      <c r="V17" s="770">
        <f>SUMIF('B+C_Emissions_Y5'!$BA$20:$BA$133,$P17,'B+C_Emissions_Y5'!$AU$20:$AU$133)</f>
        <v>0</v>
      </c>
    </row>
    <row r="18" spans="1:24" x14ac:dyDescent="0.2">
      <c r="B18" s="38"/>
      <c r="C18" s="38"/>
      <c r="D18" s="38"/>
      <c r="E18" s="1545" t="str">
        <f>Translations!$B$1617</f>
        <v>Nulles faktora biomasas emisijas</v>
      </c>
      <c r="F18" s="1545"/>
      <c r="G18" s="1545"/>
      <c r="H18" s="201" t="str">
        <f>EUconst_tCO2pa</f>
        <v>t CO2 / gads</v>
      </c>
      <c r="I18" s="1027" t="str">
        <f t="shared" si="0"/>
        <v/>
      </c>
      <c r="J18" s="1027" t="str">
        <f t="shared" si="0"/>
        <v/>
      </c>
      <c r="K18" s="1027" t="str">
        <f t="shared" si="0"/>
        <v/>
      </c>
      <c r="L18" s="1027" t="str">
        <f t="shared" si="0"/>
        <v/>
      </c>
      <c r="M18" s="1027" t="str">
        <f t="shared" si="0"/>
        <v/>
      </c>
      <c r="N18" s="38"/>
      <c r="O18" s="25"/>
      <c r="P18" s="181" t="str">
        <f>EUconst_SumCO2</f>
        <v>SUM_CO2</v>
      </c>
      <c r="R18" s="766">
        <f>SUMIF('B+C_Emissions_Y1'!$BA$20:$BA$133,$P18,'B+C_Emissions_Y1'!$AV$20:$AV$133)</f>
        <v>0</v>
      </c>
      <c r="S18" s="134">
        <f>SUMIF('B+C_Emissions_Y2'!$BA$20:$BA$133,$P18,'B+C_Emissions_Y2'!$AV$20:$AV$133)</f>
        <v>0</v>
      </c>
      <c r="T18" s="134">
        <f>SUMIF('B+C_Emissions_Y3'!$BA$20:$BA$133,$P18,'B+C_Emissions_Y3'!$AV$20:$AV$133)</f>
        <v>0</v>
      </c>
      <c r="U18" s="134">
        <f>SUMIF('B+C_Emissions_Y4'!$BA$20:$BA$133,$P18,'B+C_Emissions_Y4'!$AV$20:$AV$133)</f>
        <v>0</v>
      </c>
      <c r="V18" s="135">
        <f>SUMIF('B+C_Emissions_Y5'!$BA$20:$BA$133,$P18,'B+C_Emissions_Y5'!$AV$20:$AV$133)</f>
        <v>0</v>
      </c>
    </row>
    <row r="19" spans="1:24" x14ac:dyDescent="0.2">
      <c r="B19" s="38"/>
      <c r="C19" s="38"/>
      <c r="D19" s="38"/>
      <c r="E19" s="1547" t="str">
        <f>Translations!$B$367</f>
        <v>Kopējās N2O emisijas</v>
      </c>
      <c r="F19" s="1547"/>
      <c r="G19" s="1547"/>
      <c r="H19" s="56" t="str">
        <f>EUconst_tCO2epa</f>
        <v>t CO2e/gads</v>
      </c>
      <c r="I19" s="1028" t="str">
        <f t="shared" si="0"/>
        <v/>
      </c>
      <c r="J19" s="1028" t="str">
        <f t="shared" si="0"/>
        <v/>
      </c>
      <c r="K19" s="1028" t="str">
        <f t="shared" si="0"/>
        <v/>
      </c>
      <c r="L19" s="1028" t="str">
        <f t="shared" si="0"/>
        <v/>
      </c>
      <c r="M19" s="1028" t="str">
        <f t="shared" si="0"/>
        <v/>
      </c>
      <c r="N19" s="38"/>
      <c r="O19" s="25"/>
      <c r="P19" s="181" t="str">
        <f>EUconst_SumN2O</f>
        <v>SUM_N2O</v>
      </c>
      <c r="R19" s="766">
        <f>SUMIF('B+C_Emissions_Y1'!$BA$20:$BA$133,$P19,'B+C_Emissions_Y1'!$AU$20:$AU$133)</f>
        <v>0</v>
      </c>
      <c r="S19" s="134">
        <f>SUMIF('B+C_Emissions_Y2'!$BA$20:$BA$133,$P19,'B+C_Emissions_Y2'!$AU$20:$AU$133)</f>
        <v>0</v>
      </c>
      <c r="T19" s="134">
        <f>SUMIF('B+C_Emissions_Y3'!$BA$20:$BA$133,$P19,'B+C_Emissions_Y3'!$AU$20:$AU$133)</f>
        <v>0</v>
      </c>
      <c r="U19" s="134">
        <f>SUMIF('B+C_Emissions_Y4'!$BA$20:$BA$133,$P19,'B+C_Emissions_Y4'!$AU$20:$AU$133)</f>
        <v>0</v>
      </c>
      <c r="V19" s="135">
        <f>SUMIF('B+C_Emissions_Y5'!$BA$20:$BA$133,$P19,'B+C_Emissions_Y5'!$AU$20:$AU$133)</f>
        <v>0</v>
      </c>
    </row>
    <row r="20" spans="1:24" ht="13.5" thickBot="1" x14ac:dyDescent="0.25">
      <c r="B20" s="38"/>
      <c r="C20" s="38"/>
      <c r="D20" s="38"/>
      <c r="E20" s="1550" t="str">
        <f>Translations!$B$368</f>
        <v>Kopējās PFC emisijas</v>
      </c>
      <c r="F20" s="1550"/>
      <c r="G20" s="1550"/>
      <c r="H20" s="59" t="str">
        <f>EUconst_tCO2epa</f>
        <v>t CO2e/gads</v>
      </c>
      <c r="I20" s="1029" t="str">
        <f t="shared" si="0"/>
        <v/>
      </c>
      <c r="J20" s="1029" t="str">
        <f t="shared" si="0"/>
        <v/>
      </c>
      <c r="K20" s="1029" t="str">
        <f t="shared" si="0"/>
        <v/>
      </c>
      <c r="L20" s="1029" t="str">
        <f t="shared" si="0"/>
        <v/>
      </c>
      <c r="M20" s="1029" t="str">
        <f t="shared" si="0"/>
        <v/>
      </c>
      <c r="N20" s="38"/>
      <c r="O20" s="25"/>
      <c r="P20" s="181" t="str">
        <f>EUconst_SumPFC</f>
        <v>SUM_PFC</v>
      </c>
      <c r="R20" s="136">
        <f>SUMIF('B+C_Emissions_Y1'!$BA$20:$BA$133,$P20,'B+C_Emissions_Y1'!$AU$20:$AU$133)</f>
        <v>0</v>
      </c>
      <c r="S20" s="137">
        <f>SUMIF('B+C_Emissions_Y2'!$BA$20:$BA$133,$P20,'B+C_Emissions_Y2'!$AU$20:$AU$133)</f>
        <v>0</v>
      </c>
      <c r="T20" s="137">
        <f>SUMIF('B+C_Emissions_Y3'!$BA$20:$BA$133,$P20,'B+C_Emissions_Y3'!$AU$20:$AU$133)</f>
        <v>0</v>
      </c>
      <c r="U20" s="137">
        <f>SUMIF('B+C_Emissions_Y4'!$BA$20:$BA$133,$P20,'B+C_Emissions_Y4'!$AU$20:$AU$133)</f>
        <v>0</v>
      </c>
      <c r="V20" s="138">
        <f>SUMIF('B+C_Emissions_Y5'!$BA$20:$BA$133,$P20,'B+C_Emissions_Y5'!$AU$20:$AU$133)</f>
        <v>0</v>
      </c>
    </row>
    <row r="21" spans="1:24" ht="13.5" thickBot="1" x14ac:dyDescent="0.25">
      <c r="B21" s="38"/>
      <c r="C21" s="38"/>
      <c r="D21" s="38"/>
      <c r="E21" s="1516" t="str">
        <f>Translations!$B$369</f>
        <v>Tiešo emisiju summa</v>
      </c>
      <c r="F21" s="1516"/>
      <c r="G21" s="1516"/>
      <c r="H21" s="149" t="str">
        <f>EUconst_tCO2epa</f>
        <v>t CO2e/gads</v>
      </c>
      <c r="I21" s="1030" t="str">
        <f>IF(COUNT(I17,I19:I20)&gt;0,SUM(I17,I19:I20),"")</f>
        <v/>
      </c>
      <c r="J21" s="1030" t="str">
        <f>IF(COUNT(J17,J19:J20)&gt;0,SUM(J17,J19:J20),"")</f>
        <v/>
      </c>
      <c r="K21" s="1030" t="str">
        <f>IF(COUNT(K17,K19:K20)&gt;0,SUM(K17,K19:K20),"")</f>
        <v/>
      </c>
      <c r="L21" s="1030" t="str">
        <f>IF(COUNT(L17,L19:L20)&gt;0,SUM(L17,L19:L20),"")</f>
        <v/>
      </c>
      <c r="M21" s="1030" t="str">
        <f>IF(COUNT(M17,M19:M20)&gt;0,SUM(M17,M19:M20),"")</f>
        <v/>
      </c>
      <c r="N21" s="38"/>
      <c r="O21" s="25"/>
      <c r="P21" s="63"/>
      <c r="R21" s="767"/>
      <c r="V21" s="288"/>
    </row>
    <row r="22" spans="1:24" ht="13.5" thickBot="1" x14ac:dyDescent="0.25">
      <c r="B22" s="38"/>
      <c r="C22" s="38"/>
      <c r="D22" s="38"/>
      <c r="E22" s="1542" t="str">
        <f>Translations!$B$370</f>
        <v>Eksportētais pārvietotais CO2</v>
      </c>
      <c r="F22" s="1542"/>
      <c r="G22" s="1542"/>
      <c r="H22" s="674" t="str">
        <f>EUconst_tCO2pa</f>
        <v>t CO2 / gads</v>
      </c>
      <c r="I22" s="1031" t="str">
        <f>IF(R22&lt;0,R22,"")</f>
        <v/>
      </c>
      <c r="J22" s="1031" t="str">
        <f>IF(S22&lt;0,S22,"")</f>
        <v/>
      </c>
      <c r="K22" s="1031" t="str">
        <f>IF(T22&lt;0,T22,"")</f>
        <v/>
      </c>
      <c r="L22" s="1031" t="str">
        <f>IF(U22&lt;0,U22,"")</f>
        <v/>
      </c>
      <c r="M22" s="1031" t="str">
        <f>IF(V22&lt;0,V22,"")</f>
        <v/>
      </c>
      <c r="N22" s="38"/>
      <c r="O22" s="25"/>
      <c r="P22" s="181" t="str">
        <f>EUconst_SumTransferCO2</f>
        <v>SUM_Tranfer_CO2</v>
      </c>
      <c r="R22" s="454">
        <f>SUMIF('B+C_Emissions_Y1'!$BA$20:$BA$133,$P22,'B+C_Emissions_Y1'!$AU$20:$AU$133)</f>
        <v>0</v>
      </c>
      <c r="S22" s="455">
        <f>SUMIF('B+C_Emissions_Y2'!$BA$20:$BA$133,$P22,'B+C_Emissions_Y2'!$AU$20:$AU$133)</f>
        <v>0</v>
      </c>
      <c r="T22" s="455">
        <f>SUMIF('B+C_Emissions_Y3'!$BA$20:$BA$133,$P22,'B+C_Emissions_Y3'!$AU$20:$AU$133)</f>
        <v>0</v>
      </c>
      <c r="U22" s="455">
        <f>SUMIF('B+C_Emissions_Y4'!$BA$20:$BA$133,$P22,'B+C_Emissions_Y4'!$AU$20:$AU$133)</f>
        <v>0</v>
      </c>
      <c r="V22" s="456">
        <f>SUMIF('B+C_Emissions_Y5'!$BA$20:$BA$133,$P22,'B+C_Emissions_Y5'!$AU$20:$AU$133)</f>
        <v>0</v>
      </c>
    </row>
    <row r="23" spans="1:24" ht="13.5" thickBot="1" x14ac:dyDescent="0.25">
      <c r="B23" s="38"/>
      <c r="C23" s="38"/>
      <c r="D23" s="38"/>
      <c r="E23" s="1543" t="str">
        <f>Translations!$B$371</f>
        <v>Iekārtas kopējās tiešās emisijas</v>
      </c>
      <c r="F23" s="1544"/>
      <c r="G23" s="1544"/>
      <c r="H23" s="675" t="str">
        <f>EUconst_tCO2epa</f>
        <v>t CO2e/gads</v>
      </c>
      <c r="I23" s="1032" t="str">
        <f>IF(COUNT(I21:I22)&gt;0,SUM(I21:I22),"")</f>
        <v/>
      </c>
      <c r="J23" s="1032" t="str">
        <f>IF(COUNT(J21:J22)&gt;0,SUM(J21:J22),"")</f>
        <v/>
      </c>
      <c r="K23" s="1032" t="str">
        <f>IF(COUNT(K21:K22)&gt;0,SUM(K21:K22),"")</f>
        <v/>
      </c>
      <c r="L23" s="1032" t="str">
        <f>IF(COUNT(L21:L22)&gt;0,SUM(L21:L22),"")</f>
        <v/>
      </c>
      <c r="M23" s="1033" t="str">
        <f>IF(COUNT(M21:M22)&gt;0,SUM(M21:M22),"")</f>
        <v/>
      </c>
      <c r="N23" s="38"/>
      <c r="O23" s="25"/>
      <c r="R23" s="767"/>
      <c r="V23" s="288"/>
    </row>
    <row r="24" spans="1:24" s="701" customFormat="1" ht="13.5" thickBot="1" x14ac:dyDescent="0.25">
      <c r="A24" s="63"/>
      <c r="B24" s="62"/>
      <c r="C24" s="62"/>
      <c r="D24" s="62"/>
      <c r="E24" s="1543" t="str">
        <f>Translations!$B$372</f>
        <v>Kopējā tiešā enerģijas ielaide ar kurināmajiem</v>
      </c>
      <c r="F24" s="1544"/>
      <c r="G24" s="1544"/>
      <c r="H24" s="675" t="str">
        <f>EUconst_TJpa</f>
        <v>TJ / gads</v>
      </c>
      <c r="I24" s="1032" t="str">
        <f>IF(R24&gt;0,R24,"")</f>
        <v/>
      </c>
      <c r="J24" s="1032" t="str">
        <f>IF(S24&gt;0,S24,"")</f>
        <v/>
      </c>
      <c r="K24" s="1032" t="str">
        <f>IF(T24&gt;0,T24,"")</f>
        <v/>
      </c>
      <c r="L24" s="1032" t="str">
        <f>IF(U24&gt;0,U24,"")</f>
        <v/>
      </c>
      <c r="M24" s="1033" t="str">
        <f>IF(V24&gt;0,V24,"")</f>
        <v/>
      </c>
      <c r="N24" s="38"/>
      <c r="O24" s="25"/>
      <c r="P24" s="181" t="str">
        <f>EUconst_SumEnergyIN</f>
        <v>SUM_EnergyIN</v>
      </c>
      <c r="Q24" s="63"/>
      <c r="R24" s="454">
        <f>SUMIF('B+C_Emissions_Y1'!$BB$20:$BB$133,$P24,'B+C_Emissions_Y1'!$AX$20:$AX$133)+SUMIF('B+C_Emissions_Y1'!$BB$20:$BB$133,$P24,'B+C_Emissions_Y1'!$AY$20:$AY$133)</f>
        <v>0</v>
      </c>
      <c r="S24" s="455">
        <f>SUMIF('B+C_Emissions_Y2'!$BB$20:$BB$133,$P24,'B+C_Emissions_Y2'!$AX$20:$AX$133)+SUMIF('B+C_Emissions_Y2'!$BB$20:$BB$133,$P24,'B+C_Emissions_Y2'!$AY$20:$AY$133)</f>
        <v>0</v>
      </c>
      <c r="T24" s="455">
        <f>SUMIF('B+C_Emissions_Y3'!$BB$20:$BB$133,$P24,'B+C_Emissions_Y3'!$AX$20:$AX$133)+SUMIF('B+C_Emissions_Y3'!$BB$20:$BB$133,$P24,'B+C_Emissions_Y3'!$AY$20:$AY$133)</f>
        <v>0</v>
      </c>
      <c r="U24" s="455">
        <f>SUMIF('B+C_Emissions_Y4'!$BB$20:$BB$133,$P24,'B+C_Emissions_Y4'!$AX$20:$AX$133)+SUMIF('B+C_Emissions_Y4'!$BB$20:$BB$133,$P24,'B+C_Emissions_Y4'!$AY$20:$AY$133)</f>
        <v>0</v>
      </c>
      <c r="V24" s="456">
        <f>SUMIF('B+C_Emissions_Y5'!$BB$20:$BB$133,$P24,'B+C_Emissions_Y5'!$AX$20:$AX$133)+SUMIF('B+C_Emissions_Y5'!$BB$20:$BB$133,$P24,'B+C_Emissions_Y5'!$AY$20:$AY$133)</f>
        <v>0</v>
      </c>
      <c r="W24" s="20"/>
      <c r="X24" s="20"/>
    </row>
    <row r="25" spans="1:24" ht="5.0999999999999996" customHeight="1" x14ac:dyDescent="0.2">
      <c r="B25" s="21"/>
      <c r="C25" s="21"/>
      <c r="D25" s="21"/>
      <c r="E25" s="21"/>
      <c r="F25" s="21"/>
      <c r="G25" s="21"/>
      <c r="H25" s="21"/>
      <c r="I25" s="21"/>
      <c r="J25" s="21"/>
      <c r="K25" s="21"/>
      <c r="L25" s="21"/>
      <c r="M25" s="25"/>
      <c r="N25" s="25"/>
      <c r="O25" s="25"/>
      <c r="P25" s="26"/>
      <c r="Q25" s="26"/>
    </row>
    <row r="26" spans="1:24" ht="15" x14ac:dyDescent="0.25">
      <c r="B26" s="21"/>
      <c r="C26" s="36">
        <v>2</v>
      </c>
      <c r="D26" s="1318" t="str">
        <f>Translations!$B$373</f>
        <v>Dati, kas ievadāmi, ja dalībvalsts atļauj ziņot iekārtas līmenī agregētus datus</v>
      </c>
      <c r="E26" s="1251"/>
      <c r="F26" s="1251"/>
      <c r="G26" s="1251"/>
      <c r="H26" s="1251"/>
      <c r="I26" s="1251"/>
      <c r="J26" s="1251"/>
      <c r="K26" s="1251"/>
      <c r="L26" s="1251"/>
      <c r="M26" s="1251"/>
      <c r="N26" s="1251"/>
      <c r="O26" s="25"/>
      <c r="P26" s="26"/>
      <c r="Q26" s="26"/>
    </row>
    <row r="27" spans="1:24" x14ac:dyDescent="0.2">
      <c r="B27" s="38"/>
      <c r="C27" s="38"/>
      <c r="D27" s="38"/>
      <c r="E27" s="1319" t="str">
        <f>Translations!$B$374</f>
        <v>Ja saskaņā ar B.I. sadaļu ir atļauts detalizētu avota plūsmu datu vietā ievadīt kopējās emisijas, tad šī sadaļa jāaizpilda obligāti.</v>
      </c>
      <c r="F27" s="1546"/>
      <c r="G27" s="1546"/>
      <c r="H27" s="1546"/>
      <c r="I27" s="1546"/>
      <c r="J27" s="1546"/>
      <c r="K27" s="1546"/>
      <c r="L27" s="1546"/>
      <c r="M27" s="1546"/>
      <c r="N27" s="1546"/>
      <c r="O27" s="25"/>
    </row>
    <row r="28" spans="1:24" x14ac:dyDescent="0.2">
      <c r="B28" s="38"/>
      <c r="C28" s="38"/>
      <c r="D28" s="38"/>
      <c r="E28" s="1319" t="str">
        <f>Translations!$B$375</f>
        <v>Tādā gadījumā norādiet tālāk prasīto saskaņā ar Monitoringa un ziņošanas regulas principiem.</v>
      </c>
      <c r="F28" s="1546"/>
      <c r="G28" s="1546"/>
      <c r="H28" s="1546"/>
      <c r="I28" s="1546"/>
      <c r="J28" s="1546"/>
      <c r="K28" s="1546"/>
      <c r="L28" s="1546"/>
      <c r="M28" s="1546"/>
      <c r="N28" s="1546"/>
      <c r="O28" s="25"/>
    </row>
    <row r="29" spans="1:24" ht="12.75" customHeight="1" x14ac:dyDescent="0.2">
      <c r="B29" s="38"/>
      <c r="C29" s="38"/>
      <c r="D29" s="38"/>
      <c r="E29" s="141" t="s">
        <v>392</v>
      </c>
      <c r="F29" s="1301" t="str">
        <f>Translations!$B$376</f>
        <v>Kopējās CO2 emisijas: verificētās CO2 emisijas no avota plūsmām un emisijas avotiem, tostarp no ilgtnespējīgi iegūtas biomasas</v>
      </c>
      <c r="G29" s="1301"/>
      <c r="H29" s="1301"/>
      <c r="I29" s="1301"/>
      <c r="J29" s="1301"/>
      <c r="K29" s="1301"/>
      <c r="L29" s="1301"/>
      <c r="M29" s="1301"/>
      <c r="N29" s="1301"/>
      <c r="O29" s="25"/>
    </row>
    <row r="30" spans="1:24" ht="12.75" customHeight="1" x14ac:dyDescent="0.2">
      <c r="B30" s="38"/>
      <c r="C30" s="38"/>
      <c r="D30" s="38"/>
      <c r="E30" s="141" t="s">
        <v>392</v>
      </c>
      <c r="F30" s="1301" t="str">
        <f>Translations!$B$377</f>
        <v>Emisijas no biomasas: emisijas no biomasas, kas vai nu iegūta ilgtspējīgi, vai kurai nav piemērojami ilgtspējas kritēriji, it kā to nominālās emisijas nebūtu nulle</v>
      </c>
      <c r="G30" s="1301"/>
      <c r="H30" s="1301"/>
      <c r="I30" s="1301"/>
      <c r="J30" s="1301"/>
      <c r="K30" s="1301"/>
      <c r="L30" s="1301"/>
      <c r="M30" s="1301"/>
      <c r="N30" s="1301"/>
      <c r="O30" s="25"/>
    </row>
    <row r="31" spans="1:24" ht="12.75" customHeight="1" x14ac:dyDescent="0.2">
      <c r="B31" s="38"/>
      <c r="C31" s="38"/>
      <c r="D31" s="38"/>
      <c r="E31" s="141" t="s">
        <v>392</v>
      </c>
      <c r="F31" s="1301" t="str">
        <f>Translations!$B$378</f>
        <v>Kopējās N2O emisijas no emisijas avotiem</v>
      </c>
      <c r="G31" s="1301"/>
      <c r="H31" s="1301"/>
      <c r="I31" s="1301"/>
      <c r="J31" s="1301"/>
      <c r="K31" s="1301"/>
      <c r="L31" s="1301"/>
      <c r="M31" s="1301"/>
      <c r="N31" s="1301"/>
      <c r="O31" s="25"/>
    </row>
    <row r="32" spans="1:24" ht="12.75" customHeight="1" x14ac:dyDescent="0.2">
      <c r="B32" s="38"/>
      <c r="C32" s="38"/>
      <c r="D32" s="38"/>
      <c r="E32" s="141" t="s">
        <v>392</v>
      </c>
      <c r="F32" s="1301" t="str">
        <f>Translations!$B$379</f>
        <v>Kopējās PFC emisijas no primārā alumīnija ražošanas</v>
      </c>
      <c r="G32" s="1301"/>
      <c r="H32" s="1301"/>
      <c r="I32" s="1301"/>
      <c r="J32" s="1301"/>
      <c r="K32" s="1301"/>
      <c r="L32" s="1301"/>
      <c r="M32" s="1301"/>
      <c r="N32" s="1301"/>
      <c r="O32" s="25"/>
    </row>
    <row r="33" spans="2:17" ht="12.75" customHeight="1" x14ac:dyDescent="0.2">
      <c r="B33" s="38"/>
      <c r="C33" s="38"/>
      <c r="D33" s="38"/>
      <c r="E33" s="141" t="s">
        <v>392</v>
      </c>
      <c r="F33" s="1301" t="str">
        <f>Translations!$B$380</f>
        <v>No iekārtas eksportētā pārvietotā CO2 daudzums, par ko ziņo negatīvās vērtībās</v>
      </c>
      <c r="G33" s="1301"/>
      <c r="H33" s="1301"/>
      <c r="I33" s="1301"/>
      <c r="J33" s="1301"/>
      <c r="K33" s="1301"/>
      <c r="L33" s="1301"/>
      <c r="M33" s="1301"/>
      <c r="N33" s="1301"/>
      <c r="O33" s="25"/>
    </row>
    <row r="34" spans="2:17" ht="12.75" customHeight="1" x14ac:dyDescent="0.2">
      <c r="B34" s="38"/>
      <c r="C34" s="38"/>
      <c r="D34" s="38"/>
      <c r="E34" s="141" t="s">
        <v>392</v>
      </c>
      <c r="F34" s="1301" t="str">
        <f>Translations!$B$381</f>
        <v>Kopējā enerģijas ielaide ar kurināmajiem, arī biomasu un atlikumgāzēm</v>
      </c>
      <c r="G34" s="1301"/>
      <c r="H34" s="1301"/>
      <c r="I34" s="1301"/>
      <c r="J34" s="1301"/>
      <c r="K34" s="1301"/>
      <c r="L34" s="1301"/>
      <c r="M34" s="1301"/>
      <c r="N34" s="1301"/>
      <c r="O34" s="25"/>
    </row>
    <row r="35" spans="2:17" ht="5.0999999999999996" customHeight="1" x14ac:dyDescent="0.2">
      <c r="B35" s="21"/>
      <c r="C35" s="21"/>
      <c r="D35" s="21"/>
      <c r="E35" s="21"/>
      <c r="F35" s="21"/>
      <c r="G35" s="21"/>
      <c r="H35" s="21"/>
      <c r="I35" s="21"/>
      <c r="J35" s="21"/>
      <c r="K35" s="21"/>
      <c r="L35" s="21"/>
      <c r="M35" s="25"/>
      <c r="N35" s="25"/>
      <c r="O35" s="25"/>
      <c r="P35" s="26"/>
      <c r="Q35" s="26"/>
    </row>
    <row r="36" spans="2:17" x14ac:dyDescent="0.2">
      <c r="B36" s="21"/>
      <c r="C36" s="21"/>
      <c r="D36" s="32"/>
      <c r="E36" s="1320" t="str">
        <f>Translations!$B$364</f>
        <v>Iekārtas līmeņa dati:</v>
      </c>
      <c r="F36" s="1320"/>
      <c r="G36" s="1320"/>
      <c r="H36" s="53" t="str">
        <f>EUconst_Unit</f>
        <v>Vienība</v>
      </c>
      <c r="I36" s="412">
        <f>I$312</f>
        <v>2019</v>
      </c>
      <c r="J36" s="412">
        <f>J$312</f>
        <v>2020</v>
      </c>
      <c r="K36" s="412">
        <f>K$312</f>
        <v>2021</v>
      </c>
      <c r="L36" s="412">
        <f>L$312</f>
        <v>2022</v>
      </c>
      <c r="M36" s="412">
        <f>M$312</f>
        <v>2023</v>
      </c>
      <c r="N36" s="38"/>
      <c r="O36" s="25"/>
      <c r="Q36" s="26"/>
    </row>
    <row r="37" spans="2:17" x14ac:dyDescent="0.2">
      <c r="B37" s="38"/>
      <c r="C37" s="38"/>
      <c r="D37" s="38"/>
      <c r="E37" s="1541" t="str">
        <f>Translations!$B$365</f>
        <v>Kopējās CO2 emisijas</v>
      </c>
      <c r="F37" s="1541"/>
      <c r="G37" s="1541"/>
      <c r="H37" s="55" t="str">
        <f>EUconst_tCO2pa</f>
        <v>t CO2 / gads</v>
      </c>
      <c r="I37" s="1034"/>
      <c r="J37" s="1034"/>
      <c r="K37" s="1034"/>
      <c r="L37" s="1034"/>
      <c r="M37" s="1034"/>
      <c r="N37" s="414"/>
      <c r="O37" s="25"/>
    </row>
    <row r="38" spans="2:17" x14ac:dyDescent="0.2">
      <c r="B38" s="38"/>
      <c r="C38" s="38"/>
      <c r="D38" s="38"/>
      <c r="E38" s="1545" t="str">
        <f>Translations!$B$1617</f>
        <v>Nulles faktora biomasas emisijas</v>
      </c>
      <c r="F38" s="1545"/>
      <c r="G38" s="1545"/>
      <c r="H38" s="201" t="str">
        <f>EUconst_tCO2pa</f>
        <v>t CO2 / gads</v>
      </c>
      <c r="I38" s="1035"/>
      <c r="J38" s="1035"/>
      <c r="K38" s="1035"/>
      <c r="L38" s="1035"/>
      <c r="M38" s="1035"/>
      <c r="N38" s="38"/>
      <c r="O38" s="25"/>
    </row>
    <row r="39" spans="2:17" x14ac:dyDescent="0.2">
      <c r="B39" s="38"/>
      <c r="C39" s="38"/>
      <c r="D39" s="38"/>
      <c r="E39" s="1547" t="str">
        <f>Translations!$B$367</f>
        <v>Kopējās N2O emisijas</v>
      </c>
      <c r="F39" s="1547"/>
      <c r="G39" s="1547"/>
      <c r="H39" s="56" t="str">
        <f>EUconst_tCO2epa</f>
        <v>t CO2e/gads</v>
      </c>
      <c r="I39" s="1036"/>
      <c r="J39" s="1036"/>
      <c r="K39" s="1036"/>
      <c r="L39" s="1036"/>
      <c r="M39" s="1036"/>
      <c r="N39" s="38"/>
      <c r="O39" s="25"/>
    </row>
    <row r="40" spans="2:17" x14ac:dyDescent="0.2">
      <c r="B40" s="38"/>
      <c r="C40" s="38"/>
      <c r="D40" s="38"/>
      <c r="E40" s="1550" t="str">
        <f>Translations!$B$368</f>
        <v>Kopējās PFC emisijas</v>
      </c>
      <c r="F40" s="1550"/>
      <c r="G40" s="1550"/>
      <c r="H40" s="59" t="str">
        <f>EUconst_tCO2epa</f>
        <v>t CO2e/gads</v>
      </c>
      <c r="I40" s="1037"/>
      <c r="J40" s="1037"/>
      <c r="K40" s="1037"/>
      <c r="L40" s="1037"/>
      <c r="M40" s="1037"/>
      <c r="N40" s="38"/>
      <c r="O40" s="25"/>
    </row>
    <row r="41" spans="2:17" x14ac:dyDescent="0.2">
      <c r="B41" s="38"/>
      <c r="C41" s="38"/>
      <c r="D41" s="38"/>
      <c r="E41" s="1516" t="str">
        <f>Translations!$B$369</f>
        <v>Tiešo emisiju summa</v>
      </c>
      <c r="F41" s="1516"/>
      <c r="G41" s="1516"/>
      <c r="H41" s="149" t="str">
        <f>EUconst_tCO2epa</f>
        <v>t CO2e/gads</v>
      </c>
      <c r="I41" s="1038" t="str">
        <f>IF(COUNT(I37,I39:I40)&gt;0,SUM(I37,I39:I40),"")</f>
        <v/>
      </c>
      <c r="J41" s="1039" t="str">
        <f>IF(COUNT(J37,J39:J40)&gt;0,SUM(J37,J39:J40),"")</f>
        <v/>
      </c>
      <c r="K41" s="1039" t="str">
        <f>IF(COUNT(K37,K39:K40)&gt;0,SUM(K37,K39:K40),"")</f>
        <v/>
      </c>
      <c r="L41" s="1039" t="str">
        <f>IF(COUNT(L37,L39:L40)&gt;0,SUM(L37,L39:L40),"")</f>
        <v/>
      </c>
      <c r="M41" s="1039" t="str">
        <f>IF(COUNT(M37,M39:M40)&gt;0,SUM(M37,M39:M40),"")</f>
        <v/>
      </c>
      <c r="N41" s="38"/>
      <c r="O41" s="25"/>
    </row>
    <row r="42" spans="2:17" ht="13.5" thickBot="1" x14ac:dyDescent="0.25">
      <c r="B42" s="38"/>
      <c r="C42" s="38"/>
      <c r="D42" s="38"/>
      <c r="E42" s="1542" t="str">
        <f>Translations!$B$370</f>
        <v>Eksportētais pārvietotais CO2</v>
      </c>
      <c r="F42" s="1542"/>
      <c r="G42" s="1542"/>
      <c r="H42" s="674" t="str">
        <f>EUconst_tCO2pa</f>
        <v>t CO2 / gads</v>
      </c>
      <c r="I42" s="1040"/>
      <c r="J42" s="1040"/>
      <c r="K42" s="1040"/>
      <c r="L42" s="1040"/>
      <c r="M42" s="1040"/>
      <c r="N42" s="38"/>
      <c r="O42" s="25"/>
    </row>
    <row r="43" spans="2:17" ht="12.75" customHeight="1" thickBot="1" x14ac:dyDescent="0.25">
      <c r="B43" s="38"/>
      <c r="C43" s="38"/>
      <c r="D43" s="38"/>
      <c r="E43" s="1543" t="str">
        <f>Translations!$B$371</f>
        <v>Iekārtas kopējās tiešās emisijas</v>
      </c>
      <c r="F43" s="1544"/>
      <c r="G43" s="1544"/>
      <c r="H43" s="675" t="str">
        <f>EUconst_tCO2epa</f>
        <v>t CO2e/gads</v>
      </c>
      <c r="I43" s="1032" t="str">
        <f>IF(COUNT(I41:I42)&gt;0,SUM(I41:I42),"")</f>
        <v/>
      </c>
      <c r="J43" s="1032" t="str">
        <f>IF(COUNT(J41:J42)&gt;0,SUM(J41:J42),"")</f>
        <v/>
      </c>
      <c r="K43" s="1032" t="str">
        <f>IF(COUNT(K41:K42)&gt;0,SUM(K41:K42),"")</f>
        <v/>
      </c>
      <c r="L43" s="1032" t="str">
        <f>IF(COUNT(L41:L42)&gt;0,SUM(L41:L42),"")</f>
        <v/>
      </c>
      <c r="M43" s="1033" t="str">
        <f>IF(COUNT(M41:M42)&gt;0,SUM(M41:M42),"")</f>
        <v/>
      </c>
      <c r="N43" s="38"/>
      <c r="O43" s="25"/>
    </row>
    <row r="44" spans="2:17" ht="12.75" customHeight="1" thickBot="1" x14ac:dyDescent="0.25">
      <c r="B44" s="38"/>
      <c r="C44" s="38"/>
      <c r="D44" s="62"/>
      <c r="E44" s="1543" t="str">
        <f>Translations!$B$372</f>
        <v>Kopējā tiešā enerģijas ielaide ar kurināmajiem</v>
      </c>
      <c r="F44" s="1544"/>
      <c r="G44" s="1544"/>
      <c r="H44" s="675" t="str">
        <f>EUconst_TJpa</f>
        <v>TJ / gads</v>
      </c>
      <c r="I44" s="1041"/>
      <c r="J44" s="1041"/>
      <c r="K44" s="1041"/>
      <c r="L44" s="1041"/>
      <c r="M44" s="1042"/>
      <c r="N44" s="414"/>
      <c r="O44" s="25"/>
    </row>
    <row r="45" spans="2:17" x14ac:dyDescent="0.2">
      <c r="B45" s="38"/>
      <c r="C45" s="38"/>
      <c r="D45" s="38"/>
      <c r="E45" s="38"/>
      <c r="F45" s="38"/>
      <c r="G45" s="38"/>
      <c r="H45" s="38"/>
      <c r="I45" s="38"/>
      <c r="J45" s="38"/>
      <c r="K45" s="38"/>
      <c r="L45" s="38"/>
      <c r="M45" s="38"/>
      <c r="N45" s="38"/>
      <c r="O45" s="25"/>
    </row>
    <row r="46" spans="2:17" ht="5.0999999999999996" customHeight="1" x14ac:dyDescent="0.2">
      <c r="B46" s="21"/>
      <c r="C46" s="21"/>
      <c r="D46" s="21"/>
      <c r="E46" s="21"/>
      <c r="F46" s="21"/>
      <c r="G46" s="21"/>
      <c r="H46" s="21"/>
      <c r="I46" s="21"/>
      <c r="J46" s="21"/>
      <c r="K46" s="21"/>
      <c r="L46" s="21"/>
      <c r="M46" s="25"/>
      <c r="N46" s="25"/>
      <c r="O46" s="25"/>
      <c r="P46" s="26"/>
      <c r="Q46" s="26"/>
    </row>
    <row r="47" spans="2:17" ht="15" x14ac:dyDescent="0.25">
      <c r="B47" s="21"/>
      <c r="C47" s="36">
        <v>3</v>
      </c>
      <c r="D47" s="1318" t="str">
        <f>Translations!$B$382</f>
        <v>Iekārtas līmeņa datu rezultāti izmantošanai lapās “D_Emissions” un “E_EnergyFlows”:</v>
      </c>
      <c r="E47" s="1251"/>
      <c r="F47" s="1251"/>
      <c r="G47" s="1251"/>
      <c r="H47" s="1251"/>
      <c r="I47" s="1251"/>
      <c r="J47" s="1251"/>
      <c r="K47" s="1251"/>
      <c r="L47" s="1251"/>
      <c r="M47" s="1251"/>
      <c r="N47" s="1251"/>
      <c r="O47" s="25"/>
      <c r="P47" s="26"/>
      <c r="Q47" s="26"/>
    </row>
    <row r="48" spans="2:17" x14ac:dyDescent="0.2">
      <c r="B48" s="38"/>
      <c r="C48" s="38"/>
      <c r="D48" s="38"/>
      <c r="E48" s="1343" t="str">
        <f>Translations!$B$383</f>
        <v>Ja attēloti ir dati gan 1., gan 2. punktā, tiks izmantoti 2. punkta dati, jo nav iespējams pārbaudīt B+C lapu datu pilnīgumu.</v>
      </c>
      <c r="F48" s="1251"/>
      <c r="G48" s="1251"/>
      <c r="H48" s="1251"/>
      <c r="I48" s="1251"/>
      <c r="J48" s="1251"/>
      <c r="K48" s="1251"/>
      <c r="L48" s="1251"/>
      <c r="M48" s="1251"/>
      <c r="N48" s="1251"/>
      <c r="O48" s="25"/>
    </row>
    <row r="49" spans="2:16" x14ac:dyDescent="0.2">
      <c r="B49" s="38"/>
      <c r="C49" s="38"/>
      <c r="D49" s="38"/>
      <c r="E49" s="1343" t="str">
        <f>Translations!$B$384</f>
        <v>Jebkādas konfliktējošas vērtības nākamajā tabulā ir atzīmētas ar sarkanu.</v>
      </c>
      <c r="F49" s="1251"/>
      <c r="G49" s="1251"/>
      <c r="H49" s="1251"/>
      <c r="I49" s="1251"/>
      <c r="J49" s="1251"/>
      <c r="K49" s="1251"/>
      <c r="L49" s="1251"/>
      <c r="M49" s="1251"/>
      <c r="N49" s="1251"/>
      <c r="O49" s="25"/>
    </row>
    <row r="50" spans="2:16" x14ac:dyDescent="0.2">
      <c r="B50" s="38"/>
      <c r="C50" s="38"/>
      <c r="D50" s="38"/>
      <c r="E50" s="1343" t="str">
        <f>Translations!$B$385</f>
        <v>Par to, lai datu ieraksti nebūtu konfliktējoši, pilnībā atbild iekārtas operators.</v>
      </c>
      <c r="F50" s="1251"/>
      <c r="G50" s="1251"/>
      <c r="H50" s="1251"/>
      <c r="I50" s="1251"/>
      <c r="J50" s="1251"/>
      <c r="K50" s="1251"/>
      <c r="L50" s="1251"/>
      <c r="M50" s="1251"/>
      <c r="N50" s="1251"/>
      <c r="O50" s="25"/>
    </row>
    <row r="51" spans="2:16" x14ac:dyDescent="0.2">
      <c r="B51" s="38"/>
      <c r="C51" s="38"/>
      <c r="D51" s="38"/>
      <c r="E51" s="1320" t="str">
        <f>Translations!$B$364</f>
        <v>Iekārtas līmeņa dati:</v>
      </c>
      <c r="F51" s="1320"/>
      <c r="G51" s="1320"/>
      <c r="H51" s="53" t="str">
        <f>EUconst_Unit</f>
        <v>Vienība</v>
      </c>
      <c r="I51" s="412">
        <f>I$312</f>
        <v>2019</v>
      </c>
      <c r="J51" s="412">
        <f>J$312</f>
        <v>2020</v>
      </c>
      <c r="K51" s="412">
        <f>K$312</f>
        <v>2021</v>
      </c>
      <c r="L51" s="412">
        <f>L$312</f>
        <v>2022</v>
      </c>
      <c r="M51" s="412">
        <f>M$312</f>
        <v>2023</v>
      </c>
      <c r="N51" s="38"/>
      <c r="O51" s="25"/>
    </row>
    <row r="52" spans="2:16" x14ac:dyDescent="0.2">
      <c r="B52" s="38"/>
      <c r="C52" s="38"/>
      <c r="D52" s="38"/>
      <c r="E52" s="1541" t="str">
        <f>Translations!$B$365</f>
        <v>Kopējās CO2 emisijas</v>
      </c>
      <c r="F52" s="1541"/>
      <c r="G52" s="1541"/>
      <c r="H52" s="55" t="str">
        <f>EUconst_tCO2pa</f>
        <v>t CO2 / gads</v>
      </c>
      <c r="I52" s="1026" t="str">
        <f t="shared" ref="I52:M55" si="1">IF(ISNUMBER(I37),I37,IF(ISNUMBER(I17),I17,""))</f>
        <v/>
      </c>
      <c r="J52" s="1026" t="str">
        <f t="shared" si="1"/>
        <v/>
      </c>
      <c r="K52" s="1026" t="str">
        <f t="shared" si="1"/>
        <v/>
      </c>
      <c r="L52" s="1026" t="str">
        <f t="shared" si="1"/>
        <v/>
      </c>
      <c r="M52" s="1026" t="str">
        <f t="shared" si="1"/>
        <v/>
      </c>
      <c r="N52" s="38"/>
      <c r="O52" s="25"/>
    </row>
    <row r="53" spans="2:16" ht="12.75" customHeight="1" x14ac:dyDescent="0.2">
      <c r="B53" s="38"/>
      <c r="C53" s="38"/>
      <c r="D53" s="38"/>
      <c r="E53" s="1545" t="str">
        <f>Translations!$B$1617</f>
        <v>Nulles faktora biomasas emisijas</v>
      </c>
      <c r="F53" s="1545"/>
      <c r="G53" s="1545"/>
      <c r="H53" s="201" t="str">
        <f>EUconst_tCO2pa</f>
        <v>t CO2 / gads</v>
      </c>
      <c r="I53" s="1027" t="str">
        <f t="shared" si="1"/>
        <v/>
      </c>
      <c r="J53" s="1027" t="str">
        <f t="shared" si="1"/>
        <v/>
      </c>
      <c r="K53" s="1027" t="str">
        <f t="shared" si="1"/>
        <v/>
      </c>
      <c r="L53" s="1027" t="str">
        <f t="shared" si="1"/>
        <v/>
      </c>
      <c r="M53" s="1027" t="str">
        <f t="shared" si="1"/>
        <v/>
      </c>
      <c r="N53" s="38"/>
      <c r="O53" s="25"/>
    </row>
    <row r="54" spans="2:16" x14ac:dyDescent="0.2">
      <c r="B54" s="38"/>
      <c r="C54" s="38"/>
      <c r="D54" s="38"/>
      <c r="E54" s="1547" t="str">
        <f>Translations!$B$367</f>
        <v>Kopējās N2O emisijas</v>
      </c>
      <c r="F54" s="1547"/>
      <c r="G54" s="1547"/>
      <c r="H54" s="56" t="str">
        <f>EUconst_tCO2epa</f>
        <v>t CO2e/gads</v>
      </c>
      <c r="I54" s="1028" t="str">
        <f t="shared" si="1"/>
        <v/>
      </c>
      <c r="J54" s="1028" t="str">
        <f t="shared" si="1"/>
        <v/>
      </c>
      <c r="K54" s="1028" t="str">
        <f t="shared" si="1"/>
        <v/>
      </c>
      <c r="L54" s="1028" t="str">
        <f t="shared" si="1"/>
        <v/>
      </c>
      <c r="M54" s="1028" t="str">
        <f t="shared" si="1"/>
        <v/>
      </c>
      <c r="N54" s="38"/>
      <c r="O54" s="25"/>
    </row>
    <row r="55" spans="2:16" ht="12.75" customHeight="1" x14ac:dyDescent="0.2">
      <c r="B55" s="38"/>
      <c r="C55" s="38"/>
      <c r="D55" s="38"/>
      <c r="E55" s="1550" t="str">
        <f>Translations!$B$368</f>
        <v>Kopējās PFC emisijas</v>
      </c>
      <c r="F55" s="1550"/>
      <c r="G55" s="1550"/>
      <c r="H55" s="59" t="str">
        <f>EUconst_tCO2epa</f>
        <v>t CO2e/gads</v>
      </c>
      <c r="I55" s="1043" t="str">
        <f t="shared" si="1"/>
        <v/>
      </c>
      <c r="J55" s="1043" t="str">
        <f t="shared" si="1"/>
        <v/>
      </c>
      <c r="K55" s="1043" t="str">
        <f t="shared" si="1"/>
        <v/>
      </c>
      <c r="L55" s="1043" t="str">
        <f t="shared" si="1"/>
        <v/>
      </c>
      <c r="M55" s="1043" t="str">
        <f t="shared" si="1"/>
        <v/>
      </c>
      <c r="N55" s="38"/>
      <c r="O55" s="25"/>
    </row>
    <row r="56" spans="2:16" ht="12.75" customHeight="1" x14ac:dyDescent="0.2">
      <c r="B56" s="38"/>
      <c r="C56" s="38"/>
      <c r="D56" s="38"/>
      <c r="E56" s="1516" t="str">
        <f>Translations!$B$369</f>
        <v>Tiešo emisiju summa</v>
      </c>
      <c r="F56" s="1516"/>
      <c r="G56" s="1516"/>
      <c r="H56" s="149" t="str">
        <f>EUconst_tCO2epa</f>
        <v>t CO2e/gads</v>
      </c>
      <c r="I56" s="1044" t="str">
        <f>IF(COUNT(I52,I54:I55)&gt;0,SUM(I52,I54:I55),"")</f>
        <v/>
      </c>
      <c r="J56" s="1045" t="str">
        <f>IF(COUNT(J52,J54:J55)&gt;0,SUM(J52,J54:J55),"")</f>
        <v/>
      </c>
      <c r="K56" s="1045" t="str">
        <f>IF(COUNT(K52,K54:K55)&gt;0,SUM(K52,K54:K55),"")</f>
        <v/>
      </c>
      <c r="L56" s="1045" t="str">
        <f>IF(COUNT(L52,L54:L55)&gt;0,SUM(L52,L54:L55),"")</f>
        <v/>
      </c>
      <c r="M56" s="1045" t="str">
        <f>IF(COUNT(M52,M54:M55)&gt;0,SUM(M52,M54:M55),"")</f>
        <v/>
      </c>
      <c r="N56" s="38"/>
      <c r="O56" s="25"/>
    </row>
    <row r="57" spans="2:16" ht="13.5" thickBot="1" x14ac:dyDescent="0.25">
      <c r="B57" s="38"/>
      <c r="C57" s="38"/>
      <c r="D57" s="38"/>
      <c r="E57" s="1542" t="str">
        <f>Translations!$B$370</f>
        <v>Eksportētais pārvietotais CO2</v>
      </c>
      <c r="F57" s="1542"/>
      <c r="G57" s="1542"/>
      <c r="H57" s="674" t="str">
        <f>EUconst_tCO2pa</f>
        <v>t CO2 / gads</v>
      </c>
      <c r="I57" s="1046" t="str">
        <f>IF(ISNUMBER(I42),I42,IF(ISNUMBER(I22),I22,""))</f>
        <v/>
      </c>
      <c r="J57" s="1047" t="str">
        <f>IF(ISNUMBER(J42),J42,IF(ISNUMBER(J22),J22,""))</f>
        <v/>
      </c>
      <c r="K57" s="1047" t="str">
        <f>IF(ISNUMBER(K42),K42,IF(ISNUMBER(K22),K22,""))</f>
        <v/>
      </c>
      <c r="L57" s="1047" t="str">
        <f>IF(ISNUMBER(L42),L42,IF(ISNUMBER(L22),L22,""))</f>
        <v/>
      </c>
      <c r="M57" s="1047" t="str">
        <f>IF(ISNUMBER(M42),M42,IF(ISNUMBER(M22),M22,""))</f>
        <v/>
      </c>
      <c r="N57" s="38"/>
      <c r="O57" s="25"/>
    </row>
    <row r="58" spans="2:16" ht="13.5" customHeight="1" thickBot="1" x14ac:dyDescent="0.25">
      <c r="B58" s="38"/>
      <c r="C58" s="38"/>
      <c r="D58" s="38"/>
      <c r="E58" s="1543" t="str">
        <f>Translations!$B$371</f>
        <v>Iekārtas kopējās tiešās emisijas</v>
      </c>
      <c r="F58" s="1544"/>
      <c r="G58" s="1544"/>
      <c r="H58" s="675" t="str">
        <f>EUconst_tCO2epa</f>
        <v>t CO2e/gads</v>
      </c>
      <c r="I58" s="1032" t="str">
        <f>IF(COUNT(I56:I57)&gt;0,SUM(I56:I57),"")</f>
        <v/>
      </c>
      <c r="J58" s="1032" t="str">
        <f>IF(COUNT(J56:J57)&gt;0,SUM(J56:J57),"")</f>
        <v/>
      </c>
      <c r="K58" s="1032" t="str">
        <f>IF(COUNT(K56:K57)&gt;0,SUM(K56:K57),"")</f>
        <v/>
      </c>
      <c r="L58" s="1032" t="str">
        <f>IF(COUNT(L56:L57)&gt;0,SUM(L56:L57),"")</f>
        <v/>
      </c>
      <c r="M58" s="1033" t="str">
        <f>IF(COUNT(M56:M57)&gt;0,SUM(M56:M57),"")</f>
        <v/>
      </c>
      <c r="N58" s="38"/>
      <c r="O58" s="25"/>
    </row>
    <row r="59" spans="2:16" ht="13.5" thickBot="1" x14ac:dyDescent="0.25">
      <c r="B59" s="38"/>
      <c r="C59" s="38"/>
      <c r="D59" s="38"/>
      <c r="E59" s="1543" t="str">
        <f>Translations!$B$372</f>
        <v>Kopējā tiešā enerģijas ielaide ar kurināmajiem</v>
      </c>
      <c r="F59" s="1544"/>
      <c r="G59" s="1544"/>
      <c r="H59" s="675" t="str">
        <f>EUconst_TJpa</f>
        <v>TJ / gads</v>
      </c>
      <c r="I59" s="1032" t="str">
        <f>IF(ISNUMBER(I44),I44,IF(ISNUMBER(I24),I24,""))</f>
        <v/>
      </c>
      <c r="J59" s="1032" t="str">
        <f>IF(ISNUMBER(J44),J44,IF(ISNUMBER(J24),J24,""))</f>
        <v/>
      </c>
      <c r="K59" s="1032" t="str">
        <f>IF(ISNUMBER(K44),K44,IF(ISNUMBER(K24),K24,""))</f>
        <v/>
      </c>
      <c r="L59" s="1032" t="str">
        <f>IF(ISNUMBER(L44),L44,IF(ISNUMBER(L24),L24,""))</f>
        <v/>
      </c>
      <c r="M59" s="1033" t="str">
        <f>IF(ISNUMBER(M44),M44,IF(ISNUMBER(M24),M24,""))</f>
        <v/>
      </c>
      <c r="N59" s="38"/>
      <c r="O59" s="25"/>
    </row>
    <row r="60" spans="2:16" ht="13.5" thickBot="1" x14ac:dyDescent="0.25">
      <c r="B60" s="38"/>
      <c r="C60" s="142"/>
      <c r="D60" s="142"/>
      <c r="E60" s="1320" t="str">
        <f>Translations!$B$1618</f>
        <v>Biomasas kopējā īpatsvara pārbaude:</v>
      </c>
      <c r="F60" s="1320"/>
      <c r="G60" s="1320"/>
      <c r="H60" s="142"/>
      <c r="I60" s="142"/>
      <c r="J60" s="142"/>
      <c r="K60" s="142"/>
      <c r="L60" s="142"/>
      <c r="M60" s="142"/>
      <c r="N60" s="1181" t="s">
        <v>497</v>
      </c>
      <c r="O60" s="25"/>
      <c r="P60" s="26"/>
    </row>
    <row r="61" spans="2:16" ht="13.5" thickBot="1" x14ac:dyDescent="0.25">
      <c r="B61" s="38"/>
      <c r="C61" s="142"/>
      <c r="D61" s="142"/>
      <c r="E61" s="1552" t="str">
        <f>Translations!$B$1557</f>
        <v>Nulles faktora biomasas īpatsvars</v>
      </c>
      <c r="F61" s="1553"/>
      <c r="G61" s="1553"/>
      <c r="H61" s="1221" t="s">
        <v>392</v>
      </c>
      <c r="I61" s="1218" t="str">
        <f>IF(I58="","",IF(I58=0,IF(SUM(I53)=0,0,1),SUM(I53)/SUM(I53,I58)))</f>
        <v/>
      </c>
      <c r="J61" s="1218" t="str">
        <f>IF(J58="","",IF(J58=0,IF(SUM(J53)=0,0,1),SUM(J53)/SUM(J53,J58)))</f>
        <v/>
      </c>
      <c r="K61" s="1218" t="str">
        <f>IF(K58="","",IF(K58=0,IF(SUM(K53)=0,0,1),SUM(K53)/SUM(K53,K58)))</f>
        <v/>
      </c>
      <c r="L61" s="1218" t="str">
        <f>IF(L58="","",IF(L58=0,IF(SUM(L53)=0,0,1),SUM(L53)/SUM(L53,L58)))</f>
        <v/>
      </c>
      <c r="M61" s="1219" t="str">
        <f>IF(M58="","",IF(M58=0,IF(SUM(M53)=0,0,1),SUM(M53)/SUM(M53,M58)))</f>
        <v/>
      </c>
      <c r="N61" s="1220" t="str">
        <f>IF(COUNT(I53:M53,I58:M58)&gt;0,IF(SUM(I53:M53)=0,0,SUM(I53:M53)/SUM(I53:M53,I58:M58)),"")</f>
        <v/>
      </c>
      <c r="O61" s="25"/>
      <c r="P61" s="26"/>
    </row>
    <row r="62" spans="2:16" x14ac:dyDescent="0.2">
      <c r="B62" s="38"/>
      <c r="C62" s="142"/>
      <c r="D62" s="142"/>
      <c r="E62" s="142"/>
      <c r="F62" s="142"/>
      <c r="G62" s="142"/>
      <c r="H62" s="142"/>
      <c r="I62" s="142"/>
      <c r="J62" s="142"/>
      <c r="K62" s="142"/>
      <c r="L62" s="142"/>
      <c r="M62" s="142"/>
      <c r="N62" s="142"/>
      <c r="O62" s="25"/>
      <c r="P62" s="26"/>
    </row>
    <row r="63" spans="2:16" ht="15.75" customHeight="1" x14ac:dyDescent="0.25">
      <c r="B63" s="21"/>
      <c r="C63" s="30" t="s">
        <v>338</v>
      </c>
      <c r="D63" s="1249" t="str">
        <f>Translations!$B$386</f>
        <v>Emisiju attiecināšana uz apakšiekārtām</v>
      </c>
      <c r="E63" s="1249"/>
      <c r="F63" s="1249"/>
      <c r="G63" s="1249"/>
      <c r="H63" s="1249"/>
      <c r="I63" s="1249"/>
      <c r="J63" s="1249"/>
      <c r="K63" s="1249"/>
      <c r="L63" s="1249"/>
      <c r="M63" s="1249"/>
      <c r="N63" s="1249"/>
      <c r="O63" s="25"/>
      <c r="P63" s="26"/>
    </row>
    <row r="64" spans="2:16" ht="5.0999999999999996" customHeight="1" x14ac:dyDescent="0.2">
      <c r="B64" s="21"/>
      <c r="C64" s="21"/>
      <c r="D64" s="21"/>
      <c r="E64" s="21"/>
      <c r="F64" s="21"/>
      <c r="G64" s="21"/>
      <c r="H64" s="21"/>
      <c r="I64" s="21"/>
      <c r="J64" s="21"/>
      <c r="K64" s="21"/>
      <c r="L64" s="21"/>
      <c r="M64" s="25"/>
      <c r="N64" s="25"/>
      <c r="O64" s="25"/>
      <c r="P64" s="26"/>
    </row>
    <row r="65" spans="2:19" ht="15" customHeight="1" x14ac:dyDescent="0.25">
      <c r="B65" s="21"/>
      <c r="C65" s="36">
        <v>1</v>
      </c>
      <c r="D65" s="1318" t="str">
        <f>Translations!$B$387</f>
        <v>Kopējās emisijas iekārtas līmenī (no D.I.3. sadaļas)</v>
      </c>
      <c r="E65" s="1318"/>
      <c r="F65" s="1318"/>
      <c r="G65" s="1318"/>
      <c r="H65" s="1318"/>
      <c r="I65" s="1318"/>
      <c r="J65" s="1318"/>
      <c r="K65" s="1318"/>
      <c r="L65" s="1318"/>
      <c r="M65" s="1318"/>
      <c r="N65" s="1318"/>
      <c r="O65" s="25"/>
      <c r="P65" s="26"/>
    </row>
    <row r="66" spans="2:19" ht="5.0999999999999996" customHeight="1" x14ac:dyDescent="0.2">
      <c r="B66" s="21"/>
      <c r="C66" s="21"/>
      <c r="D66" s="21"/>
      <c r="E66" s="21"/>
      <c r="F66" s="21"/>
      <c r="G66" s="21"/>
      <c r="H66" s="21"/>
      <c r="I66" s="21"/>
      <c r="J66" s="21"/>
      <c r="K66" s="21"/>
      <c r="L66" s="21"/>
      <c r="M66" s="25"/>
      <c r="N66" s="25"/>
      <c r="O66" s="25"/>
      <c r="P66" s="26"/>
    </row>
    <row r="67" spans="2:19" ht="12.75" customHeight="1" x14ac:dyDescent="0.2">
      <c r="B67" s="21"/>
      <c r="C67" s="21"/>
      <c r="D67" s="32"/>
      <c r="E67" s="1320" t="str">
        <f>Translations!$B$364</f>
        <v>Iekārtas līmeņa dati:</v>
      </c>
      <c r="F67" s="1320"/>
      <c r="G67" s="1320"/>
      <c r="H67" s="61" t="str">
        <f>EUconst_Unit</f>
        <v>Vienība</v>
      </c>
      <c r="I67" s="412">
        <f>I$312</f>
        <v>2019</v>
      </c>
      <c r="J67" s="412">
        <f>J$312</f>
        <v>2020</v>
      </c>
      <c r="K67" s="412">
        <f>K$312</f>
        <v>2021</v>
      </c>
      <c r="L67" s="412">
        <f>L$312</f>
        <v>2022</v>
      </c>
      <c r="M67" s="412">
        <f>M$312</f>
        <v>2023</v>
      </c>
      <c r="N67" s="25"/>
      <c r="O67" s="25"/>
      <c r="P67" s="26"/>
    </row>
    <row r="68" spans="2:19" ht="12.75" customHeight="1" x14ac:dyDescent="0.2">
      <c r="B68" s="38"/>
      <c r="C68" s="38"/>
      <c r="D68" s="38"/>
      <c r="E68" s="1516" t="str">
        <f>Translations!$B$388</f>
        <v>Iekārtas kopējās tiešās emisijas</v>
      </c>
      <c r="F68" s="1516"/>
      <c r="G68" s="1516"/>
      <c r="H68" s="149" t="str">
        <f>EUconst_tCO2epa</f>
        <v>t CO2e/gads</v>
      </c>
      <c r="I68" s="442" t="str">
        <f>IF(ISNUMBER(I$58),I$58,"")</f>
        <v/>
      </c>
      <c r="J68" s="442" t="str">
        <f>IF(ISNUMBER(J$58),J$58,"")</f>
        <v/>
      </c>
      <c r="K68" s="442" t="str">
        <f>IF(ISNUMBER(K$58),K$58,"")</f>
        <v/>
      </c>
      <c r="L68" s="442" t="str">
        <f>IF(ISNUMBER(L$58),L$58,"")</f>
        <v/>
      </c>
      <c r="M68" s="442" t="str">
        <f>IF(ISNUMBER(M$58),M$58,"")</f>
        <v/>
      </c>
      <c r="N68" s="25"/>
      <c r="O68" s="25"/>
    </row>
    <row r="69" spans="2:19" ht="5.0999999999999996" customHeight="1" x14ac:dyDescent="0.2">
      <c r="B69" s="21"/>
      <c r="C69" s="21"/>
      <c r="D69" s="21"/>
      <c r="E69" s="21"/>
      <c r="F69" s="21"/>
      <c r="G69" s="21"/>
      <c r="H69" s="21"/>
      <c r="I69" s="21"/>
      <c r="J69" s="21"/>
      <c r="K69" s="21"/>
      <c r="L69" s="21"/>
      <c r="M69" s="25"/>
      <c r="N69" s="25"/>
      <c r="O69" s="25"/>
      <c r="P69" s="26"/>
    </row>
    <row r="70" spans="2:19" ht="15" customHeight="1" x14ac:dyDescent="0.25">
      <c r="B70" s="21"/>
      <c r="C70" s="36">
        <v>2</v>
      </c>
      <c r="D70" s="1318" t="str">
        <f>Translations!$B$389</f>
        <v>Attiecināšana uz apakšiekārtām</v>
      </c>
      <c r="E70" s="1318"/>
      <c r="F70" s="1318"/>
      <c r="G70" s="1318"/>
      <c r="H70" s="1318"/>
      <c r="I70" s="1318"/>
      <c r="J70" s="1318"/>
      <c r="K70" s="1318"/>
      <c r="L70" s="1318"/>
      <c r="M70" s="1318"/>
      <c r="N70" s="1318"/>
      <c r="O70" s="25"/>
    </row>
    <row r="71" spans="2:19" ht="5.0999999999999996" customHeight="1" x14ac:dyDescent="0.2">
      <c r="B71" s="38"/>
      <c r="C71" s="23"/>
      <c r="D71" s="23"/>
      <c r="E71" s="23"/>
      <c r="F71" s="23"/>
      <c r="G71" s="23"/>
      <c r="H71" s="23"/>
      <c r="I71" s="23"/>
      <c r="J71" s="23"/>
      <c r="K71" s="23"/>
      <c r="L71" s="23"/>
      <c r="M71" s="23"/>
      <c r="N71" s="23"/>
      <c r="O71" s="25"/>
      <c r="R71" s="26"/>
      <c r="S71" s="26"/>
    </row>
    <row r="72" spans="2:19" ht="12.75" customHeight="1" x14ac:dyDescent="0.2">
      <c r="B72" s="38"/>
      <c r="C72" s="23"/>
      <c r="D72" s="23"/>
      <c r="E72" s="1319" t="str">
        <f>Translations!$B$390</f>
        <v xml:space="preserve">Emisiju attiecināšana uz katru apakšiekārtu jāveic F un G lapā. </v>
      </c>
      <c r="F72" s="1251"/>
      <c r="G72" s="1251"/>
      <c r="H72" s="1251"/>
      <c r="I72" s="1251"/>
      <c r="J72" s="1251"/>
      <c r="K72" s="1251"/>
      <c r="L72" s="1251"/>
      <c r="M72" s="1251"/>
      <c r="N72" s="1251"/>
      <c r="O72" s="25"/>
      <c r="R72" s="26"/>
      <c r="S72" s="26"/>
    </row>
    <row r="73" spans="2:19" ht="12.75" customHeight="1" x14ac:dyDescent="0.2">
      <c r="B73" s="38"/>
      <c r="C73" s="23"/>
      <c r="D73" s="23"/>
      <c r="E73" s="1319" t="str">
        <f>Translations!$B$391</f>
        <v>Attiecināto emisiju kopsavilkuma tabula ir atrodama kopsavilkuma lapā (sk. saiti tālāk).</v>
      </c>
      <c r="F73" s="1251"/>
      <c r="G73" s="1251"/>
      <c r="H73" s="1251"/>
      <c r="I73" s="1251"/>
      <c r="J73" s="1251"/>
      <c r="K73" s="1251"/>
      <c r="L73" s="1251"/>
      <c r="M73" s="1251"/>
      <c r="N73" s="1251"/>
      <c r="O73" s="25"/>
      <c r="R73" s="26"/>
      <c r="S73" s="26"/>
    </row>
    <row r="74" spans="2:19" ht="12.75" customHeight="1" x14ac:dyDescent="0.2">
      <c r="B74" s="38"/>
      <c r="C74" s="38"/>
      <c r="D74" s="38"/>
      <c r="E74" s="1551" t="str">
        <f>CONCATENATE(EUconst_MsgAttrEm," (K.III.2)")</f>
        <v>Emisiju attiecinājums uz apakšiekārtām ir atrodams kopsavilkuma lapā. (K.III.2)</v>
      </c>
      <c r="F74" s="1551"/>
      <c r="G74" s="1551"/>
      <c r="H74" s="1551"/>
      <c r="I74" s="1551"/>
      <c r="J74" s="1551"/>
      <c r="K74" s="1551"/>
      <c r="L74" s="1551"/>
      <c r="M74" s="1551"/>
      <c r="N74" s="38"/>
      <c r="O74" s="25"/>
      <c r="R74" s="26"/>
      <c r="S74" s="26"/>
    </row>
    <row r="75" spans="2:19" ht="12.75" customHeight="1" x14ac:dyDescent="0.2">
      <c r="B75" s="38"/>
      <c r="C75" s="38"/>
      <c r="D75" s="38"/>
      <c r="E75" s="38"/>
      <c r="F75" s="38"/>
      <c r="G75" s="38"/>
      <c r="H75" s="38"/>
      <c r="I75" s="38"/>
      <c r="J75" s="38"/>
      <c r="K75" s="38"/>
      <c r="L75" s="38"/>
      <c r="M75" s="38"/>
      <c r="N75" s="38"/>
      <c r="O75" s="25"/>
      <c r="R75" s="26"/>
      <c r="S75" s="26"/>
    </row>
    <row r="76" spans="2:19" ht="15.75" x14ac:dyDescent="0.25">
      <c r="B76" s="21"/>
      <c r="C76" s="30" t="s">
        <v>343</v>
      </c>
      <c r="D76" s="1249" t="str">
        <f>Translations!$B$392</f>
        <v>Koģenerācijas rīks</v>
      </c>
      <c r="E76" s="1249"/>
      <c r="F76" s="1249"/>
      <c r="G76" s="1249"/>
      <c r="H76" s="1249"/>
      <c r="I76" s="1249"/>
      <c r="J76" s="1249"/>
      <c r="K76" s="1249"/>
      <c r="L76" s="1249"/>
      <c r="M76" s="1249"/>
      <c r="N76" s="1249"/>
      <c r="O76" s="25"/>
      <c r="P76" s="26"/>
    </row>
    <row r="77" spans="2:19" ht="5.0999999999999996" customHeight="1" x14ac:dyDescent="0.2">
      <c r="B77" s="21"/>
      <c r="C77" s="21"/>
      <c r="D77" s="21"/>
      <c r="E77" s="21"/>
      <c r="F77" s="21"/>
      <c r="G77" s="21"/>
      <c r="H77" s="21"/>
      <c r="I77" s="21"/>
      <c r="J77" s="21"/>
      <c r="K77" s="21"/>
      <c r="L77" s="21"/>
      <c r="M77" s="25"/>
      <c r="N77" s="25"/>
      <c r="O77" s="25"/>
      <c r="P77" s="26"/>
    </row>
    <row r="78" spans="2:19" ht="12.75" customHeight="1" x14ac:dyDescent="0.2">
      <c r="B78" s="21"/>
      <c r="C78" s="21"/>
      <c r="D78" s="21"/>
      <c r="E78" s="1325" t="str">
        <f>Translations!$B$393</f>
        <v>Vai ir relevanti koģenerācijas (CHP) bloki?</v>
      </c>
      <c r="F78" s="1325"/>
      <c r="G78" s="1325"/>
      <c r="H78" s="1325"/>
      <c r="I78" s="1325"/>
      <c r="J78" s="1325"/>
      <c r="K78" s="1325"/>
      <c r="L78" s="1489"/>
      <c r="M78" s="527"/>
      <c r="N78" s="25"/>
      <c r="O78" s="25"/>
      <c r="P78" s="26"/>
    </row>
    <row r="79" spans="2:19" ht="12.75" customHeight="1" x14ac:dyDescent="0.2">
      <c r="B79" s="21"/>
      <c r="C79" s="21"/>
      <c r="D79" s="21"/>
      <c r="E79" s="1319" t="str">
        <f>Translations!$B$394</f>
        <v>Šis ir rīks koģenerācijas kurināmo un emisiju attiecināšanai nolūkā atjaunināt līmeņatzīmju vērtības saskaņā ar VII pielikuma 8. nodaļu.</v>
      </c>
      <c r="F79" s="1251"/>
      <c r="G79" s="1251"/>
      <c r="H79" s="1251"/>
      <c r="I79" s="1251"/>
      <c r="J79" s="1251"/>
      <c r="K79" s="1251"/>
      <c r="L79" s="1251"/>
      <c r="M79" s="1251"/>
      <c r="N79" s="1251"/>
      <c r="O79" s="25"/>
      <c r="P79" s="26"/>
    </row>
    <row r="80" spans="2:19" ht="12.75" customHeight="1" x14ac:dyDescent="0.2">
      <c r="B80" s="21"/>
      <c r="C80" s="21"/>
      <c r="D80" s="21"/>
      <c r="E80" s="1343" t="str">
        <f>Translations!$B$395</f>
        <v>Ja koģenerācija jūsu iekārtai nav relevanta, atzīmējiet “APLAMS” ("FALSE"). Tādā gadījumā viss rīks ir nerelevants un tiks iekrāsots pelēks.</v>
      </c>
      <c r="F80" s="1344"/>
      <c r="G80" s="1344"/>
      <c r="H80" s="1344"/>
      <c r="I80" s="1344"/>
      <c r="J80" s="1344"/>
      <c r="K80" s="1344"/>
      <c r="L80" s="1344"/>
      <c r="M80" s="1344"/>
      <c r="N80" s="1344"/>
      <c r="O80" s="25"/>
      <c r="P80" s="26"/>
    </row>
    <row r="81" spans="2:24" ht="25.5" customHeight="1" x14ac:dyDescent="0.2">
      <c r="B81" s="21"/>
      <c r="C81" s="21"/>
      <c r="D81" s="21"/>
      <c r="E81" s="1343" t="str">
        <f>Translations!$B$396</f>
        <v>Ņemiet vērā, ka dažām apakšiekārtām relevantas var būt ar importēto siltumu saistītās emisijas. Ja šis importētais siltums ir saražots koģenerācijā citās iekārtās, šis rīks var būt relevants, ja ir pieejami relevantie dati no piegādātāja.</v>
      </c>
      <c r="F81" s="1344"/>
      <c r="G81" s="1344"/>
      <c r="H81" s="1344"/>
      <c r="I81" s="1344"/>
      <c r="J81" s="1344"/>
      <c r="K81" s="1344"/>
      <c r="L81" s="1344"/>
      <c r="M81" s="1344"/>
      <c r="N81" s="1344"/>
      <c r="O81" s="25"/>
      <c r="P81" s="26"/>
    </row>
    <row r="82" spans="2:24" ht="12.75" customHeight="1" x14ac:dyDescent="0.2">
      <c r="B82" s="21"/>
      <c r="C82" s="21"/>
      <c r="D82" s="34"/>
      <c r="E82" s="1319" t="str">
        <f>Translations!$B$397</f>
        <v>Šis rīks šajā veidnē ir pieejams divreiz, un katrs rīks ir izmantojams tikai vienam koģenerācijas blokam. Ja relevanti ir vairāk nekā divi koģenerācijas bloki, relevantās informācijas sniegšanai var izmantot atsevišķu veidni.</v>
      </c>
      <c r="F82" s="1251"/>
      <c r="G82" s="1251"/>
      <c r="H82" s="1251"/>
      <c r="I82" s="1251"/>
      <c r="J82" s="1251"/>
      <c r="K82" s="1251"/>
      <c r="L82" s="1251"/>
      <c r="M82" s="1251"/>
      <c r="N82" s="1251"/>
      <c r="O82" s="25"/>
      <c r="P82" s="26"/>
    </row>
    <row r="83" spans="2:24" ht="25.5" customHeight="1" x14ac:dyDescent="0.2">
      <c r="B83" s="21"/>
      <c r="C83" s="21"/>
      <c r="D83" s="34"/>
      <c r="E83" s="1319" t="str">
        <f>Translations!$B$398</f>
        <v>Periodi, kuros koģenerācijas bloks darbojas tikai siltuma vai tikai elektroenerģijas ražošanas režīmā (t. i., periodi, kuros ražo tikai vienu no šiem diviem produktiem), ir jāizslēdz, un kurināmo un emisiju attiecināšana tajos jāaprēķina atsevišķi saskaņā ar VII pielikuma 10.1.2. un 10.1.3. iedaļas noteikumiem.</v>
      </c>
      <c r="F83" s="1251"/>
      <c r="G83" s="1251"/>
      <c r="H83" s="1251"/>
      <c r="I83" s="1251"/>
      <c r="J83" s="1251"/>
      <c r="K83" s="1251"/>
      <c r="L83" s="1251"/>
      <c r="M83" s="1251"/>
      <c r="N83" s="1251"/>
      <c r="O83" s="25"/>
      <c r="P83" s="26"/>
    </row>
    <row r="84" spans="2:24" ht="50.1" customHeight="1" x14ac:dyDescent="0.2">
      <c r="B84" s="21"/>
      <c r="C84" s="21"/>
      <c r="D84" s="34"/>
      <c r="E84" s="1319" t="str">
        <f>Translations!$B$1619</f>
        <v>Ja ir vairāk nekā divi koģenerācijas bloki, operatori var šos rīkus vienkārši izmantot atsevišķās veidnēs, ko iesniedz KI kā apliecinošus dokumentus derīguma apstiprināšanai. Minētos apliecinošos dokumentus ar galveno veidni var sasaistīt, norādot atsauci uz attiecīgo dokumentu J lapas I sadaļas d) punktā. Tādējādi tas kļūst par pieteikuma daļu kā ārēja datne. Galvenajā pieteikuma dokumentācijā tas nav jāiekļauj. Alternatīvi operators var divus vai vairākus koģenerācijas blokus kombinēt un atsauces efektivitātes vajadzībām izmantot vidējās svērtās vērtības, kas dotu iespēju iegūt līdzīgus rezultātus kā iepriekš minētā pieeja. Šādā gadījumā visu informāciju pārnes uz K lapu.</v>
      </c>
      <c r="F84" s="1251"/>
      <c r="G84" s="1251"/>
      <c r="H84" s="1251"/>
      <c r="I84" s="1251"/>
      <c r="J84" s="1251"/>
      <c r="K84" s="1251"/>
      <c r="L84" s="1251"/>
      <c r="M84" s="1251"/>
      <c r="N84" s="1251"/>
      <c r="O84" s="25"/>
      <c r="P84" s="26"/>
    </row>
    <row r="85" spans="2:24" ht="5.0999999999999996" customHeight="1" x14ac:dyDescent="0.2">
      <c r="B85" s="21"/>
      <c r="C85" s="21"/>
      <c r="D85" s="21"/>
      <c r="E85" s="21"/>
      <c r="F85" s="21"/>
      <c r="G85" s="21"/>
      <c r="H85" s="21"/>
      <c r="I85" s="21"/>
      <c r="J85" s="21"/>
      <c r="K85" s="21"/>
      <c r="L85" s="21"/>
      <c r="M85" s="25"/>
      <c r="N85" s="25"/>
      <c r="O85" s="25"/>
      <c r="P85" s="26"/>
    </row>
    <row r="86" spans="2:24" ht="15" x14ac:dyDescent="0.25">
      <c r="B86" s="21"/>
      <c r="C86" s="36">
        <v>1</v>
      </c>
      <c r="D86" s="1318" t="str">
        <f>Translations!$B$399</f>
        <v>Rīks, ar ko aprēķina, kādas koģenerācijas bloku emisijas attiecināmas uz siltuma ražošanu</v>
      </c>
      <c r="E86" s="1251"/>
      <c r="F86" s="1251"/>
      <c r="G86" s="1251"/>
      <c r="H86" s="1251"/>
      <c r="I86" s="1251"/>
      <c r="J86" s="1251"/>
      <c r="K86" s="1251"/>
      <c r="L86" s="1251"/>
      <c r="M86" s="1251"/>
      <c r="N86" s="1251"/>
      <c r="O86" s="25"/>
      <c r="P86" s="26"/>
    </row>
    <row r="87" spans="2:24" ht="5.0999999999999996" customHeight="1" x14ac:dyDescent="0.2">
      <c r="B87" s="21"/>
      <c r="C87" s="21"/>
      <c r="D87" s="21"/>
      <c r="E87" s="21"/>
      <c r="F87" s="21"/>
      <c r="G87" s="21"/>
      <c r="H87" s="21"/>
      <c r="I87" s="21"/>
      <c r="J87" s="21"/>
      <c r="K87" s="21"/>
      <c r="L87" s="21"/>
      <c r="M87" s="25"/>
      <c r="N87" s="25"/>
      <c r="O87" s="25"/>
      <c r="P87" s="26"/>
    </row>
    <row r="88" spans="2:24" x14ac:dyDescent="0.2">
      <c r="B88" s="21"/>
      <c r="C88" s="21"/>
      <c r="D88" s="32" t="s">
        <v>165</v>
      </c>
      <c r="E88" s="1250" t="str">
        <f>Translations!$B$400</f>
        <v>Kopējā kurināmā ielaide koģenerācijas blokos</v>
      </c>
      <c r="F88" s="1251"/>
      <c r="G88" s="1251"/>
      <c r="H88" s="1251"/>
      <c r="I88" s="1251"/>
      <c r="J88" s="1251"/>
      <c r="K88" s="1251"/>
      <c r="L88" s="1251"/>
      <c r="M88" s="1251"/>
      <c r="N88" s="1251"/>
      <c r="O88" s="25"/>
      <c r="P88" s="26"/>
    </row>
    <row r="89" spans="2:24" x14ac:dyDescent="0.2">
      <c r="B89" s="21"/>
      <c r="C89" s="21"/>
      <c r="D89" s="34"/>
      <c r="E89" s="1319" t="str">
        <f>Translations!$B$401</f>
        <v>Šeit norādiet ikgadējo kurināmā ielaidi koģenerācijas blokā.</v>
      </c>
      <c r="F89" s="1251"/>
      <c r="G89" s="1251"/>
      <c r="H89" s="1251"/>
      <c r="I89" s="1251"/>
      <c r="J89" s="1251"/>
      <c r="K89" s="1251"/>
      <c r="L89" s="1251"/>
      <c r="M89" s="1251"/>
      <c r="N89" s="1251"/>
      <c r="O89" s="25"/>
      <c r="P89" s="26"/>
    </row>
    <row r="90" spans="2:24" ht="13.5" thickBot="1" x14ac:dyDescent="0.25">
      <c r="B90" s="38"/>
      <c r="C90" s="38"/>
      <c r="D90" s="38"/>
      <c r="E90" s="1515"/>
      <c r="F90" s="1275"/>
      <c r="G90" s="1275"/>
      <c r="H90" s="53" t="str">
        <f>EUconst_Unit</f>
        <v>Vienība</v>
      </c>
      <c r="I90" s="412">
        <f>I$312</f>
        <v>2019</v>
      </c>
      <c r="J90" s="412">
        <f>J$312</f>
        <v>2020</v>
      </c>
      <c r="K90" s="412">
        <f>K$312</f>
        <v>2021</v>
      </c>
      <c r="L90" s="412">
        <f>L$312</f>
        <v>2022</v>
      </c>
      <c r="M90" s="412">
        <f>M$312</f>
        <v>2023</v>
      </c>
      <c r="N90" s="38"/>
      <c r="O90" s="25"/>
      <c r="X90" s="437" t="s">
        <v>450</v>
      </c>
    </row>
    <row r="91" spans="2:24" x14ac:dyDescent="0.2">
      <c r="B91" s="38"/>
      <c r="C91" s="38"/>
      <c r="D91" s="38"/>
      <c r="E91" s="1516" t="str">
        <f>Translations!$B$402</f>
        <v>Kurināmā ielaide koģenerācijas blokā</v>
      </c>
      <c r="F91" s="1517"/>
      <c r="G91" s="1517"/>
      <c r="H91" s="66" t="str">
        <f>EUconst_TJpa</f>
        <v>TJ / gads</v>
      </c>
      <c r="I91" s="330"/>
      <c r="J91" s="330"/>
      <c r="K91" s="330"/>
      <c r="L91" s="330"/>
      <c r="M91" s="330"/>
      <c r="N91" s="38"/>
      <c r="O91" s="25"/>
      <c r="P91" s="26"/>
      <c r="X91" s="710" t="b">
        <f>AND(M78&lt;&gt;"",M78=FALSE)</f>
        <v>0</v>
      </c>
    </row>
    <row r="92" spans="2:24" ht="5.0999999999999996" customHeight="1" x14ac:dyDescent="0.2">
      <c r="B92" s="38"/>
      <c r="C92" s="38"/>
      <c r="D92" s="38"/>
      <c r="E92" s="38"/>
      <c r="F92" s="38"/>
      <c r="G92" s="38"/>
      <c r="H92" s="38"/>
      <c r="I92" s="38"/>
      <c r="J92" s="38"/>
      <c r="K92" s="38"/>
      <c r="L92" s="38"/>
      <c r="M92" s="38"/>
      <c r="N92" s="38"/>
      <c r="O92" s="25"/>
      <c r="X92" s="607"/>
    </row>
    <row r="93" spans="2:24" x14ac:dyDescent="0.2">
      <c r="B93" s="21"/>
      <c r="C93" s="21"/>
      <c r="D93" s="32" t="s">
        <v>339</v>
      </c>
      <c r="E93" s="1250" t="str">
        <f>Translations!$B$403</f>
        <v>Koģenerācijas bloka siltuma izlaide</v>
      </c>
      <c r="F93" s="1251"/>
      <c r="G93" s="1251"/>
      <c r="H93" s="1251"/>
      <c r="I93" s="1251"/>
      <c r="J93" s="1251"/>
      <c r="K93" s="1251"/>
      <c r="L93" s="1251"/>
      <c r="M93" s="1251"/>
      <c r="N93" s="1251"/>
      <c r="O93" s="25"/>
      <c r="P93" s="26"/>
      <c r="X93" s="607"/>
    </row>
    <row r="94" spans="2:24" x14ac:dyDescent="0.2">
      <c r="B94" s="21"/>
      <c r="C94" s="21"/>
      <c r="D94" s="34"/>
      <c r="E94" s="1319" t="str">
        <f>Translations!$B$1620</f>
        <v>Šis ir kopējais koģenerācijas blokā saražotais neto siltuma daudzums.</v>
      </c>
      <c r="F94" s="1251"/>
      <c r="G94" s="1251"/>
      <c r="H94" s="1251"/>
      <c r="I94" s="1251"/>
      <c r="J94" s="1251"/>
      <c r="K94" s="1251"/>
      <c r="L94" s="1251"/>
      <c r="M94" s="1251"/>
      <c r="N94" s="1251"/>
      <c r="O94" s="25"/>
      <c r="P94" s="26"/>
      <c r="X94" s="607"/>
    </row>
    <row r="95" spans="2:24" x14ac:dyDescent="0.2">
      <c r="B95" s="21"/>
      <c r="C95" s="21"/>
      <c r="D95" s="34"/>
      <c r="E95" s="1515"/>
      <c r="F95" s="1275"/>
      <c r="G95" s="1275"/>
      <c r="H95" s="53" t="str">
        <f>EUconst_Unit</f>
        <v>Vienība</v>
      </c>
      <c r="I95" s="412">
        <f>I$312</f>
        <v>2019</v>
      </c>
      <c r="J95" s="412">
        <f>J$312</f>
        <v>2020</v>
      </c>
      <c r="K95" s="412">
        <f>K$312</f>
        <v>2021</v>
      </c>
      <c r="L95" s="412">
        <f>L$312</f>
        <v>2022</v>
      </c>
      <c r="M95" s="412">
        <f>M$312</f>
        <v>2023</v>
      </c>
      <c r="N95" s="457"/>
      <c r="O95" s="25"/>
      <c r="P95" s="26"/>
      <c r="X95" s="607"/>
    </row>
    <row r="96" spans="2:24" x14ac:dyDescent="0.2">
      <c r="B96" s="38"/>
      <c r="C96" s="38"/>
      <c r="D96" s="38"/>
      <c r="E96" s="1516" t="str">
        <f>Translations!$B$403</f>
        <v>Koģenerācijas bloka siltuma izlaide</v>
      </c>
      <c r="F96" s="1517"/>
      <c r="G96" s="1517"/>
      <c r="H96" s="66" t="str">
        <f>EUconst_TJpa</f>
        <v>TJ / gads</v>
      </c>
      <c r="I96" s="330"/>
      <c r="J96" s="330"/>
      <c r="K96" s="330"/>
      <c r="L96" s="330"/>
      <c r="M96" s="330"/>
      <c r="N96" s="38"/>
      <c r="O96" s="25"/>
      <c r="X96" s="711" t="b">
        <f>X91</f>
        <v>0</v>
      </c>
    </row>
    <row r="97" spans="2:24" ht="5.0999999999999996" customHeight="1" x14ac:dyDescent="0.2">
      <c r="B97" s="38"/>
      <c r="C97" s="38"/>
      <c r="D97" s="38"/>
      <c r="E97" s="38"/>
      <c r="F97" s="38"/>
      <c r="G97" s="38"/>
      <c r="H97" s="38"/>
      <c r="I97" s="38"/>
      <c r="J97" s="38"/>
      <c r="K97" s="38"/>
      <c r="L97" s="38"/>
      <c r="M97" s="38"/>
      <c r="N97" s="38"/>
      <c r="O97" s="25"/>
      <c r="X97" s="607"/>
    </row>
    <row r="98" spans="2:24" x14ac:dyDescent="0.2">
      <c r="B98" s="21"/>
      <c r="C98" s="21"/>
      <c r="D98" s="32" t="s">
        <v>11</v>
      </c>
      <c r="E98" s="1250" t="str">
        <f>Translations!$B$405</f>
        <v>Koģenerācijas bloka elektroenerģijas izlaide</v>
      </c>
      <c r="F98" s="1251"/>
      <c r="G98" s="1251"/>
      <c r="H98" s="1251"/>
      <c r="I98" s="1251"/>
      <c r="J98" s="1251"/>
      <c r="K98" s="1251"/>
      <c r="L98" s="1251"/>
      <c r="M98" s="1251"/>
      <c r="N98" s="1251"/>
      <c r="O98" s="25"/>
      <c r="P98" s="26"/>
      <c r="X98" s="607"/>
    </row>
    <row r="99" spans="2:24" ht="12.75" customHeight="1" x14ac:dyDescent="0.2">
      <c r="B99" s="21"/>
      <c r="C99" s="21"/>
      <c r="D99" s="34"/>
      <c r="E99" s="1319" t="str">
        <f>Translations!$B$1621</f>
        <v>Šis ir kopējais koģenerācijas blokā saražotais neto elektroenerģijas (vai attiecīgā gadījumā mehāniskās enerģijas) daudzums.</v>
      </c>
      <c r="F99" s="1251"/>
      <c r="G99" s="1251"/>
      <c r="H99" s="1251"/>
      <c r="I99" s="1251"/>
      <c r="J99" s="1251"/>
      <c r="K99" s="1251"/>
      <c r="L99" s="1251"/>
      <c r="M99" s="1251"/>
      <c r="N99" s="1251"/>
      <c r="O99" s="25"/>
      <c r="P99" s="26"/>
      <c r="X99" s="607"/>
    </row>
    <row r="100" spans="2:24" x14ac:dyDescent="0.2">
      <c r="B100" s="21"/>
      <c r="C100" s="21"/>
      <c r="D100" s="34"/>
      <c r="E100" s="1515"/>
      <c r="F100" s="1275"/>
      <c r="G100" s="1275"/>
      <c r="H100" s="53" t="str">
        <f>EUconst_Unit</f>
        <v>Vienība</v>
      </c>
      <c r="I100" s="412">
        <f>I$312</f>
        <v>2019</v>
      </c>
      <c r="J100" s="412">
        <f>J$312</f>
        <v>2020</v>
      </c>
      <c r="K100" s="412">
        <f>K$312</f>
        <v>2021</v>
      </c>
      <c r="L100" s="412">
        <f>L$312</f>
        <v>2022</v>
      </c>
      <c r="M100" s="412">
        <f>M$312</f>
        <v>2023</v>
      </c>
      <c r="N100" s="457"/>
      <c r="O100" s="25"/>
      <c r="P100" s="26"/>
      <c r="X100" s="607"/>
    </row>
    <row r="101" spans="2:24" x14ac:dyDescent="0.2">
      <c r="B101" s="21"/>
      <c r="C101" s="21"/>
      <c r="D101" s="34"/>
      <c r="E101" s="1516" t="str">
        <f>Translations!$B$407</f>
        <v>Koģenerācijas bloka elektroenerģijas izlaide</v>
      </c>
      <c r="F101" s="1517"/>
      <c r="G101" s="1517"/>
      <c r="H101" s="66" t="str">
        <f>EUconst_MWhpa</f>
        <v>MWh / gads</v>
      </c>
      <c r="I101" s="330"/>
      <c r="J101" s="330"/>
      <c r="K101" s="330"/>
      <c r="L101" s="330"/>
      <c r="M101" s="330"/>
      <c r="N101" s="38"/>
      <c r="O101" s="25"/>
      <c r="P101" s="26"/>
      <c r="X101" s="711" t="b">
        <f>X96</f>
        <v>0</v>
      </c>
    </row>
    <row r="102" spans="2:24" x14ac:dyDescent="0.2">
      <c r="B102" s="38"/>
      <c r="C102" s="38"/>
      <c r="D102" s="38"/>
      <c r="E102" s="1516" t="str">
        <f>Translations!$B$407</f>
        <v>Koģenerācijas bloka elektroenerģijas izlaide</v>
      </c>
      <c r="F102" s="1517"/>
      <c r="G102" s="1517"/>
      <c r="H102" s="66" t="str">
        <f>EUconst_TJpa</f>
        <v>TJ / gads</v>
      </c>
      <c r="I102" s="448" t="str">
        <f>IF(ISBLANK(I101),"",I101*3.6/1000)</f>
        <v/>
      </c>
      <c r="J102" s="448" t="str">
        <f>IF(ISBLANK(J101),"",J101*3.6/1000)</f>
        <v/>
      </c>
      <c r="K102" s="448" t="str">
        <f>IF(ISBLANK(K101),"",K101*3.6/1000)</f>
        <v/>
      </c>
      <c r="L102" s="448" t="str">
        <f>IF(ISBLANK(L101),"",L101*3.6/1000)</f>
        <v/>
      </c>
      <c r="M102" s="448" t="str">
        <f>IF(ISBLANK(M101),"",M101*3.6/1000)</f>
        <v/>
      </c>
      <c r="N102" s="38"/>
      <c r="O102" s="25"/>
      <c r="X102" s="711" t="b">
        <f>X96</f>
        <v>0</v>
      </c>
    </row>
    <row r="103" spans="2:24" ht="5.0999999999999996" customHeight="1" x14ac:dyDescent="0.2">
      <c r="B103" s="38"/>
      <c r="C103" s="38"/>
      <c r="D103" s="38"/>
      <c r="E103" s="38"/>
      <c r="F103" s="38"/>
      <c r="G103" s="38"/>
      <c r="H103" s="38"/>
      <c r="I103" s="38"/>
      <c r="J103" s="38"/>
      <c r="K103" s="38"/>
      <c r="L103" s="38"/>
      <c r="M103" s="38"/>
      <c r="N103" s="38"/>
      <c r="O103" s="25"/>
      <c r="X103" s="607"/>
    </row>
    <row r="104" spans="2:24" x14ac:dyDescent="0.2">
      <c r="B104" s="21"/>
      <c r="C104" s="21"/>
      <c r="D104" s="32" t="s">
        <v>342</v>
      </c>
      <c r="E104" s="1250" t="str">
        <f>Translations!$B$408</f>
        <v>Koģenerācijas bloka kopējās emisijas</v>
      </c>
      <c r="F104" s="1251"/>
      <c r="G104" s="1251"/>
      <c r="H104" s="1251"/>
      <c r="I104" s="1251"/>
      <c r="J104" s="1251"/>
      <c r="K104" s="1251"/>
      <c r="L104" s="1251"/>
      <c r="M104" s="1251"/>
      <c r="N104" s="1251"/>
      <c r="O104" s="25"/>
      <c r="P104" s="26"/>
      <c r="X104" s="607"/>
    </row>
    <row r="105" spans="2:24" x14ac:dyDescent="0.2">
      <c r="B105" s="21"/>
      <c r="C105" s="21"/>
      <c r="D105" s="34"/>
      <c r="E105" s="1319" t="str">
        <f>Translations!$B$409</f>
        <v>Ievadot vērtības, jānošķir emisijas no kurināmā ielaides un no dūmgāzu attīrīšanas.</v>
      </c>
      <c r="F105" s="1251"/>
      <c r="G105" s="1251"/>
      <c r="H105" s="1251"/>
      <c r="I105" s="1251"/>
      <c r="J105" s="1251"/>
      <c r="K105" s="1251"/>
      <c r="L105" s="1251"/>
      <c r="M105" s="1251"/>
      <c r="N105" s="1251"/>
      <c r="O105" s="25"/>
      <c r="P105" s="26"/>
      <c r="X105" s="607"/>
    </row>
    <row r="106" spans="2:24" x14ac:dyDescent="0.2">
      <c r="B106" s="21"/>
      <c r="C106" s="21"/>
      <c r="D106" s="34"/>
      <c r="E106" s="1515"/>
      <c r="F106" s="1275"/>
      <c r="G106" s="1275"/>
      <c r="H106" s="53" t="str">
        <f>EUconst_Unit</f>
        <v>Vienība</v>
      </c>
      <c r="I106" s="412">
        <f>I$312</f>
        <v>2019</v>
      </c>
      <c r="J106" s="412">
        <f>J$312</f>
        <v>2020</v>
      </c>
      <c r="K106" s="412">
        <f>K$312</f>
        <v>2021</v>
      </c>
      <c r="L106" s="412">
        <f>L$312</f>
        <v>2022</v>
      </c>
      <c r="M106" s="412">
        <f>M$312</f>
        <v>2023</v>
      </c>
      <c r="N106" s="457"/>
      <c r="O106" s="25"/>
      <c r="P106" s="26"/>
      <c r="X106" s="607"/>
    </row>
    <row r="107" spans="2:24" x14ac:dyDescent="0.2">
      <c r="B107" s="38"/>
      <c r="C107" s="38"/>
      <c r="D107" s="38"/>
      <c r="E107" s="1516" t="str">
        <f>Translations!$B$410</f>
        <v>No kurināmā ielaides koģenerācijas blokā</v>
      </c>
      <c r="F107" s="1517"/>
      <c r="G107" s="1517"/>
      <c r="H107" s="66" t="str">
        <f>EUconst_tCO2pa</f>
        <v>t CO2 / gads</v>
      </c>
      <c r="I107" s="330"/>
      <c r="J107" s="330"/>
      <c r="K107" s="330"/>
      <c r="L107" s="330"/>
      <c r="M107" s="330"/>
      <c r="N107" s="38"/>
      <c r="O107" s="25"/>
      <c r="X107" s="711" t="b">
        <f>X102</f>
        <v>0</v>
      </c>
    </row>
    <row r="108" spans="2:24" x14ac:dyDescent="0.2">
      <c r="B108" s="38"/>
      <c r="C108" s="38"/>
      <c r="D108" s="38"/>
      <c r="E108" s="1516" t="str">
        <f>Translations!$B$411</f>
        <v>No dūmgāzu attīrīšanas</v>
      </c>
      <c r="F108" s="1517"/>
      <c r="G108" s="1517"/>
      <c r="H108" s="66" t="str">
        <f>EUconst_tCO2pa</f>
        <v>t CO2 / gads</v>
      </c>
      <c r="I108" s="330"/>
      <c r="J108" s="330"/>
      <c r="K108" s="330"/>
      <c r="L108" s="330"/>
      <c r="M108" s="330"/>
      <c r="N108" s="38"/>
      <c r="O108" s="25"/>
      <c r="X108" s="711" t="b">
        <f>X107</f>
        <v>0</v>
      </c>
    </row>
    <row r="109" spans="2:24" x14ac:dyDescent="0.2">
      <c r="B109" s="38"/>
      <c r="C109" s="38"/>
      <c r="D109" s="38"/>
      <c r="E109" s="1516" t="str">
        <f>Translations!$B$412</f>
        <v>Kopējās emisijas</v>
      </c>
      <c r="F109" s="1517"/>
      <c r="G109" s="1517"/>
      <c r="H109" s="66" t="str">
        <f>EUconst_tCO2pa</f>
        <v>t CO2 / gads</v>
      </c>
      <c r="I109" s="448" t="str">
        <f>IF(COUNT(I107:I108)&gt;0,SUM(I107:I108),"")</f>
        <v/>
      </c>
      <c r="J109" s="448" t="str">
        <f>IF(COUNT(J107:J108)&gt;0,SUM(J107:J108),"")</f>
        <v/>
      </c>
      <c r="K109" s="448" t="str">
        <f>IF(COUNT(K107:K108)&gt;0,SUM(K107:K108),"")</f>
        <v/>
      </c>
      <c r="L109" s="448" t="str">
        <f>IF(COUNT(L107:L108)&gt;0,SUM(L107:L108),"")</f>
        <v/>
      </c>
      <c r="M109" s="448" t="str">
        <f>IF(COUNT(M107:M108)&gt;0,SUM(M107:M108),"")</f>
        <v/>
      </c>
      <c r="N109" s="38"/>
      <c r="O109" s="25"/>
      <c r="X109" s="607"/>
    </row>
    <row r="110" spans="2:24" ht="5.0999999999999996" customHeight="1" x14ac:dyDescent="0.2">
      <c r="B110" s="38"/>
      <c r="C110" s="38"/>
      <c r="D110" s="38"/>
      <c r="E110" s="38"/>
      <c r="F110" s="38"/>
      <c r="G110" s="38"/>
      <c r="H110" s="38"/>
      <c r="I110" s="38"/>
      <c r="J110" s="38"/>
      <c r="K110" s="38"/>
      <c r="L110" s="38"/>
      <c r="M110" s="38"/>
      <c r="N110" s="38"/>
      <c r="O110" s="25"/>
      <c r="X110" s="607"/>
    </row>
    <row r="111" spans="2:24" ht="12.75" customHeight="1" x14ac:dyDescent="0.2">
      <c r="B111" s="38"/>
      <c r="C111" s="38"/>
      <c r="D111" s="32" t="s">
        <v>12</v>
      </c>
      <c r="E111" s="1518" t="str">
        <f>Translations!$B$413</f>
        <v>Noklusējuma lietderības koeficienti:</v>
      </c>
      <c r="F111" s="1518"/>
      <c r="G111" s="1518"/>
      <c r="H111" s="1518"/>
      <c r="I111" s="703" t="str">
        <f>Translations!$B$414</f>
        <v>Siltums:</v>
      </c>
      <c r="J111" s="783">
        <v>0.55000000000000004</v>
      </c>
      <c r="K111" s="38"/>
      <c r="L111" s="703" t="str">
        <f>Translations!$B$415</f>
        <v>Elektroenerģija:</v>
      </c>
      <c r="M111" s="783">
        <v>0.25</v>
      </c>
      <c r="N111" s="696"/>
      <c r="O111" s="25"/>
      <c r="X111" s="607"/>
    </row>
    <row r="112" spans="2:24" ht="5.0999999999999996" customHeight="1" x14ac:dyDescent="0.2">
      <c r="B112" s="38"/>
      <c r="C112" s="38"/>
      <c r="D112" s="38"/>
      <c r="E112" s="38"/>
      <c r="F112" s="38"/>
      <c r="G112" s="38"/>
      <c r="H112" s="38"/>
      <c r="I112" s="38"/>
      <c r="J112" s="38"/>
      <c r="K112" s="38"/>
      <c r="L112" s="38"/>
      <c r="M112" s="38"/>
      <c r="N112" s="38"/>
      <c r="O112" s="25"/>
      <c r="X112" s="607"/>
    </row>
    <row r="113" spans="2:24" x14ac:dyDescent="0.2">
      <c r="B113" s="21"/>
      <c r="C113" s="21"/>
      <c r="D113" s="32" t="s">
        <v>13</v>
      </c>
      <c r="E113" s="1250" t="str">
        <f>Translations!$B$416</f>
        <v>Siltuma un elektroenerģijas lietderības koeficienti</v>
      </c>
      <c r="F113" s="1251"/>
      <c r="G113" s="1251"/>
      <c r="H113" s="1251"/>
      <c r="I113" s="1251"/>
      <c r="J113" s="1251"/>
      <c r="K113" s="1251"/>
      <c r="L113" s="1251"/>
      <c r="M113" s="1251"/>
      <c r="N113" s="1251"/>
      <c r="O113" s="25"/>
      <c r="P113" s="26"/>
      <c r="X113" s="607"/>
    </row>
    <row r="114" spans="2:24" ht="12.75" customHeight="1" x14ac:dyDescent="0.2">
      <c r="B114" s="21"/>
      <c r="C114" s="21"/>
      <c r="D114" s="34"/>
      <c r="E114" s="1319" t="str">
        <f>Translations!$B$417</f>
        <v>Šīs vērtības ir bezdimensionālas un tiek automātiski aprēķinātas no a) līdz c) punktā norādītajiem datiem.</v>
      </c>
      <c r="F114" s="1251"/>
      <c r="G114" s="1251"/>
      <c r="H114" s="1251"/>
      <c r="I114" s="1251"/>
      <c r="J114" s="1251"/>
      <c r="K114" s="1251"/>
      <c r="L114" s="1251"/>
      <c r="M114" s="1251"/>
      <c r="N114" s="1251"/>
      <c r="O114" s="25"/>
      <c r="P114" s="26"/>
      <c r="X114" s="607"/>
    </row>
    <row r="115" spans="2:24" ht="25.5" customHeight="1" x14ac:dyDescent="0.2">
      <c r="B115" s="21"/>
      <c r="C115" s="21"/>
      <c r="D115" s="34"/>
      <c r="E115" s="1319" t="str">
        <f>Translations!$B$418</f>
        <v>Ja nav ievadītas nekādas vērtības, tikai kopējās emisijas d) punktā, tiks izmantoti noklusējuma lietderības koeficienti no e) punkta. Ņemiet vērā, ka tā rīkoties ir atļauts tikai tad, ja sniegti pierādījumi, ka noteikt lietderības koeficientus nav tehniski iespējams vai tas radītu pārmērīgas izmaksas, turklāt nav pieejamas arī vērtības, kuru pamatā būtu iekārtas tehniskie dokumenti (projekta vērtības).</v>
      </c>
      <c r="F115" s="1251"/>
      <c r="G115" s="1251"/>
      <c r="H115" s="1251"/>
      <c r="I115" s="1251"/>
      <c r="J115" s="1251"/>
      <c r="K115" s="1251"/>
      <c r="L115" s="1251"/>
      <c r="M115" s="1251"/>
      <c r="N115" s="1251"/>
      <c r="O115" s="25"/>
      <c r="P115" s="26"/>
      <c r="X115" s="607"/>
    </row>
    <row r="116" spans="2:24" x14ac:dyDescent="0.2">
      <c r="B116" s="38"/>
      <c r="C116" s="38"/>
      <c r="D116" s="38"/>
      <c r="E116" s="1515"/>
      <c r="F116" s="1275"/>
      <c r="G116" s="1275"/>
      <c r="H116" s="53" t="str">
        <f>EUconst_Unit</f>
        <v>Vienība</v>
      </c>
      <c r="I116" s="412">
        <f>I$312</f>
        <v>2019</v>
      </c>
      <c r="J116" s="412">
        <f>J$312</f>
        <v>2020</v>
      </c>
      <c r="K116" s="412">
        <f>K$312</f>
        <v>2021</v>
      </c>
      <c r="L116" s="412">
        <f>L$312</f>
        <v>2022</v>
      </c>
      <c r="M116" s="412">
        <f>M$312</f>
        <v>2023</v>
      </c>
      <c r="N116" s="38"/>
      <c r="O116" s="25"/>
      <c r="X116" s="607"/>
    </row>
    <row r="117" spans="2:24" ht="12.75" customHeight="1" x14ac:dyDescent="0.2">
      <c r="B117" s="38"/>
      <c r="C117" s="38"/>
      <c r="D117" s="38"/>
      <c r="E117" s="1516" t="str">
        <f>Translations!$B$419</f>
        <v>Siltuma ražošana</v>
      </c>
      <c r="F117" s="1517"/>
      <c r="G117" s="1517"/>
      <c r="H117" s="459" t="s">
        <v>392</v>
      </c>
      <c r="I117" s="704" t="str">
        <f>IF(AND(ISNUMBER(I91),ISNUMBER(I96)),I96/I91,IF(ISNUMBER(I109),$J111,""))</f>
        <v/>
      </c>
      <c r="J117" s="704" t="str">
        <f>IF(AND(ISNUMBER(J91),ISNUMBER(J96)),J96/J91,IF(ISNUMBER(J109),$J111,""))</f>
        <v/>
      </c>
      <c r="K117" s="704" t="str">
        <f>IF(AND(ISNUMBER(K91),ISNUMBER(K96)),K96/K91,IF(ISNUMBER(K109),$J111,""))</f>
        <v/>
      </c>
      <c r="L117" s="704" t="str">
        <f>IF(AND(ISNUMBER(L91),ISNUMBER(L96)),L96/L91,IF(ISNUMBER(L109),$J111,""))</f>
        <v/>
      </c>
      <c r="M117" s="704" t="str">
        <f>IF(AND(ISNUMBER(M91),ISNUMBER(M96)),M96/M91,IF(ISNUMBER(M109),$J111,""))</f>
        <v/>
      </c>
      <c r="N117" s="414"/>
      <c r="O117" s="25"/>
      <c r="X117" s="607"/>
    </row>
    <row r="118" spans="2:24" ht="12.75" customHeight="1" x14ac:dyDescent="0.2">
      <c r="B118" s="38"/>
      <c r="C118" s="38"/>
      <c r="D118" s="38"/>
      <c r="E118" s="1516" t="str">
        <f>Translations!$B$420</f>
        <v>Elektroenerģijas ražošana</v>
      </c>
      <c r="F118" s="1517"/>
      <c r="G118" s="1517"/>
      <c r="H118" s="459" t="s">
        <v>392</v>
      </c>
      <c r="I118" s="704" t="str">
        <f>IF(AND(ISNUMBER(I91),ISNUMBER(I102)),I102/I91,IF(ISNUMBER(I109),$M111,""))</f>
        <v/>
      </c>
      <c r="J118" s="704" t="str">
        <f>IF(AND(ISNUMBER(J91),ISNUMBER(J102)),J102/J91,IF(ISNUMBER(J109),$M111,""))</f>
        <v/>
      </c>
      <c r="K118" s="704" t="str">
        <f>IF(AND(ISNUMBER(K91),ISNUMBER(K102)),K102/K91,IF(ISNUMBER(K109),$M111,""))</f>
        <v/>
      </c>
      <c r="L118" s="704" t="str">
        <f>IF(AND(ISNUMBER(L91),ISNUMBER(L102)),L102/L91,IF(ISNUMBER(L109),$M111,""))</f>
        <v/>
      </c>
      <c r="M118" s="704" t="str">
        <f>IF(AND(ISNUMBER(M91),ISNUMBER(M102)),M102/M91,IF(ISNUMBER(M109),$M111,""))</f>
        <v/>
      </c>
      <c r="N118" s="38"/>
      <c r="O118" s="25"/>
      <c r="X118" s="607"/>
    </row>
    <row r="119" spans="2:24" ht="5.0999999999999996" customHeight="1" x14ac:dyDescent="0.2">
      <c r="B119" s="38"/>
      <c r="C119" s="38"/>
      <c r="D119" s="38"/>
      <c r="E119" s="38"/>
      <c r="F119" s="38"/>
      <c r="G119" s="38"/>
      <c r="H119" s="38"/>
      <c r="I119" s="38"/>
      <c r="J119" s="38"/>
      <c r="K119" s="38"/>
      <c r="L119" s="38"/>
      <c r="M119" s="38"/>
      <c r="N119" s="38"/>
      <c r="O119" s="25"/>
      <c r="X119" s="607"/>
    </row>
    <row r="120" spans="2:24" x14ac:dyDescent="0.2">
      <c r="B120" s="21"/>
      <c r="C120" s="21"/>
      <c r="D120" s="32" t="s">
        <v>81</v>
      </c>
      <c r="E120" s="1250" t="str">
        <f>Translations!$B$421</f>
        <v>References lietderības koeficienti</v>
      </c>
      <c r="F120" s="1251"/>
      <c r="G120" s="1251"/>
      <c r="H120" s="1251"/>
      <c r="I120" s="1251"/>
      <c r="J120" s="1251"/>
      <c r="K120" s="1251"/>
      <c r="L120" s="1251"/>
      <c r="M120" s="1251"/>
      <c r="N120" s="1251"/>
      <c r="O120" s="25"/>
      <c r="P120" s="26"/>
      <c r="X120" s="607"/>
    </row>
    <row r="121" spans="2:24" ht="12.75" customHeight="1" x14ac:dyDescent="0.2">
      <c r="B121" s="21"/>
      <c r="C121" s="21"/>
      <c r="D121" s="34"/>
      <c r="E121" s="1319" t="str">
        <f>Translations!$B$422</f>
        <v xml:space="preserve">Tie ir references lietderības koeficients siltuma ražošanai atsevišķā katlā un references lietderības koeficients elektroenerģijas ražošanai bez koģenerācijas. </v>
      </c>
      <c r="F121" s="1251"/>
      <c r="G121" s="1251"/>
      <c r="H121" s="1251"/>
      <c r="I121" s="1251"/>
      <c r="J121" s="1251"/>
      <c r="K121" s="1251"/>
      <c r="L121" s="1251"/>
      <c r="M121" s="1251"/>
      <c r="N121" s="1251"/>
      <c r="O121" s="25"/>
      <c r="P121" s="26"/>
      <c r="X121" s="607"/>
    </row>
    <row r="122" spans="2:24" ht="25.5" customHeight="1" x14ac:dyDescent="0.2">
      <c r="B122" s="21"/>
      <c r="C122" s="21"/>
      <c r="D122" s="34"/>
      <c r="E122" s="1319" t="str">
        <f>Translations!$B$423</f>
        <v>References lietderībai izmanto attiecīgās konkrētam kurināmajam specifiskās vērtības no Komisijas Deleģētās regulas (ES) 2015/2402, nepiemērojot minētās regulas III pielikumā norādītos klimatisko apstākļu korekcijas koeficientus un IV pielikumā norādītos korekcijas koeficientus par novērstajiem zudumiem tīklā. Regulu var lejupielādēt šeit:</v>
      </c>
      <c r="F122" s="1251"/>
      <c r="G122" s="1251"/>
      <c r="H122" s="1251"/>
      <c r="I122" s="1251"/>
      <c r="J122" s="1251"/>
      <c r="K122" s="1251"/>
      <c r="L122" s="1251"/>
      <c r="M122" s="1251"/>
      <c r="N122" s="1251"/>
      <c r="O122" s="25"/>
      <c r="P122" s="26"/>
      <c r="X122" s="607"/>
    </row>
    <row r="123" spans="2:24" ht="12.75" customHeight="1" x14ac:dyDescent="0.2">
      <c r="B123" s="21"/>
      <c r="C123" s="21"/>
      <c r="D123" s="34"/>
      <c r="E123" s="1260" t="str">
        <f>Translations!$B$424</f>
        <v>https://eur-lex.europa.eu/eli/reg_del/2015/2402/oj</v>
      </c>
      <c r="F123" s="1540"/>
      <c r="G123" s="1540"/>
      <c r="H123" s="1540"/>
      <c r="I123" s="1540"/>
      <c r="J123" s="1540"/>
      <c r="K123" s="1540"/>
      <c r="L123" s="1540"/>
      <c r="M123" s="1540"/>
      <c r="N123" s="1540"/>
      <c r="O123" s="25"/>
      <c r="P123" s="26"/>
      <c r="X123" s="607"/>
    </row>
    <row r="124" spans="2:24" ht="12.75" customHeight="1" x14ac:dyDescent="0.2">
      <c r="B124" s="21"/>
      <c r="C124" s="21"/>
      <c r="D124" s="34"/>
      <c r="E124" s="1319" t="str">
        <f>Translations!$B$425</f>
        <v>Tālāk norādītie noklusējuma lietderības koeficienti attiecas uz dabasgāzes koģenerācijas blokiem, kuros ražo elektroenerģiju un karsto ūdeni.</v>
      </c>
      <c r="F124" s="1251"/>
      <c r="G124" s="1251"/>
      <c r="H124" s="1251"/>
      <c r="I124" s="1251"/>
      <c r="J124" s="1251"/>
      <c r="K124" s="1251"/>
      <c r="L124" s="1251"/>
      <c r="M124" s="1251"/>
      <c r="N124" s="1251"/>
      <c r="O124" s="25"/>
      <c r="P124" s="26"/>
      <c r="X124" s="607"/>
    </row>
    <row r="125" spans="2:24" x14ac:dyDescent="0.2">
      <c r="B125" s="38"/>
      <c r="C125" s="38"/>
      <c r="D125" s="38"/>
      <c r="E125" s="1515"/>
      <c r="F125" s="1275"/>
      <c r="G125" s="1275"/>
      <c r="H125" s="53" t="str">
        <f>EUconst_Unit</f>
        <v>Vienība</v>
      </c>
      <c r="I125" s="412">
        <f>I$312</f>
        <v>2019</v>
      </c>
      <c r="J125" s="412">
        <f>J$312</f>
        <v>2020</v>
      </c>
      <c r="K125" s="412">
        <f>K$312</f>
        <v>2021</v>
      </c>
      <c r="L125" s="412">
        <f>L$312</f>
        <v>2022</v>
      </c>
      <c r="M125" s="412">
        <f>M$312</f>
        <v>2023</v>
      </c>
      <c r="N125" s="38"/>
      <c r="O125" s="25"/>
      <c r="X125" s="607"/>
    </row>
    <row r="126" spans="2:24" ht="12.75" customHeight="1" x14ac:dyDescent="0.2">
      <c r="B126" s="38"/>
      <c r="C126" s="38"/>
      <c r="D126" s="38"/>
      <c r="E126" s="1516" t="str">
        <f>Translations!$B$419</f>
        <v>Siltuma ražošana</v>
      </c>
      <c r="F126" s="1517"/>
      <c r="G126" s="1517"/>
      <c r="H126" s="459" t="s">
        <v>392</v>
      </c>
      <c r="I126" s="870"/>
      <c r="J126" s="870"/>
      <c r="K126" s="870"/>
      <c r="L126" s="870"/>
      <c r="M126" s="870"/>
      <c r="N126" s="38"/>
      <c r="O126" s="25"/>
      <c r="X126" s="711" t="b">
        <f>X108</f>
        <v>0</v>
      </c>
    </row>
    <row r="127" spans="2:24" ht="12.75" customHeight="1" x14ac:dyDescent="0.2">
      <c r="B127" s="38"/>
      <c r="C127" s="38"/>
      <c r="D127" s="38"/>
      <c r="E127" s="1516" t="str">
        <f>Translations!$B$420</f>
        <v>Elektroenerģijas ražošana</v>
      </c>
      <c r="F127" s="1517"/>
      <c r="G127" s="1517"/>
      <c r="H127" s="459" t="s">
        <v>392</v>
      </c>
      <c r="I127" s="870"/>
      <c r="J127" s="870"/>
      <c r="K127" s="870"/>
      <c r="L127" s="870"/>
      <c r="M127" s="870"/>
      <c r="N127" s="38"/>
      <c r="O127" s="25"/>
      <c r="X127" s="711" t="b">
        <f>X126</f>
        <v>0</v>
      </c>
    </row>
    <row r="128" spans="2:24" ht="5.0999999999999996" customHeight="1" x14ac:dyDescent="0.2">
      <c r="B128" s="38"/>
      <c r="C128" s="38"/>
      <c r="D128" s="38"/>
      <c r="E128" s="38"/>
      <c r="F128" s="38"/>
      <c r="G128" s="38"/>
      <c r="H128" s="38"/>
      <c r="I128" s="38"/>
      <c r="J128" s="38"/>
      <c r="K128" s="38"/>
      <c r="L128" s="38"/>
      <c r="M128" s="38"/>
      <c r="N128" s="38"/>
      <c r="O128" s="25"/>
      <c r="X128" s="607"/>
    </row>
    <row r="129" spans="2:24" x14ac:dyDescent="0.2">
      <c r="B129" s="21"/>
      <c r="C129" s="21"/>
      <c r="D129" s="32" t="s">
        <v>82</v>
      </c>
      <c r="E129" s="1250" t="str">
        <f>Translations!$B$426</f>
        <v>Emisijas, kas attiecināmas uz siltuma ražošanu koģenerācijas blokā</v>
      </c>
      <c r="F129" s="1251"/>
      <c r="G129" s="1251"/>
      <c r="H129" s="1251"/>
      <c r="I129" s="1251"/>
      <c r="J129" s="1251"/>
      <c r="K129" s="1251"/>
      <c r="L129" s="1251"/>
      <c r="M129" s="1251"/>
      <c r="N129" s="1251"/>
      <c r="O129" s="25"/>
      <c r="P129" s="26"/>
      <c r="X129" s="607"/>
    </row>
    <row r="130" spans="2:24" x14ac:dyDescent="0.2">
      <c r="B130" s="21"/>
      <c r="C130" s="21"/>
      <c r="D130" s="34"/>
      <c r="E130" s="1319" t="str">
        <f>Translations!$B$427</f>
        <v>Šis ir galīgais ar šo rīku iegūstamais rezultāts. Šeit attēlotās vērtības ir jāieraksta F vai G lapā kā uz attiecīgo apakšiekārtu attiecināmās emisijas.</v>
      </c>
      <c r="F130" s="1251"/>
      <c r="G130" s="1251"/>
      <c r="H130" s="1251"/>
      <c r="I130" s="1251"/>
      <c r="J130" s="1251"/>
      <c r="K130" s="1251"/>
      <c r="L130" s="1251"/>
      <c r="M130" s="1251"/>
      <c r="N130" s="1251"/>
      <c r="O130" s="25"/>
      <c r="P130" s="26"/>
      <c r="X130" s="607"/>
    </row>
    <row r="131" spans="2:24" x14ac:dyDescent="0.2">
      <c r="B131" s="21"/>
      <c r="C131" s="21"/>
      <c r="D131" s="34"/>
      <c r="E131" s="1319" t="str">
        <f>Translations!$B$428</f>
        <v>Piemēram, tas var ietvert attiecināmās emisijas, kas jāņem vērā attiecībā uz kopējām tiešajām emisijām, vai emisijas faktora izmantošanu importējamam izmērāmajam siltumam.</v>
      </c>
      <c r="F131" s="1251"/>
      <c r="G131" s="1251"/>
      <c r="H131" s="1251"/>
      <c r="I131" s="1251"/>
      <c r="J131" s="1251"/>
      <c r="K131" s="1251"/>
      <c r="L131" s="1251"/>
      <c r="M131" s="1251"/>
      <c r="N131" s="1251"/>
      <c r="O131" s="25"/>
      <c r="P131" s="26"/>
      <c r="X131" s="607"/>
    </row>
    <row r="132" spans="2:24" x14ac:dyDescent="0.2">
      <c r="B132" s="21"/>
      <c r="C132" s="21"/>
      <c r="D132" s="34"/>
      <c r="E132" s="1319" t="str">
        <f>Translations!$B$429</f>
        <v>Aprēķinu rezultātus var uzskatīt par pareiziem tikai tad, ja iepriekšējās sadaļās ziņotie dati ir pilnīgi un konsekventi.</v>
      </c>
      <c r="F132" s="1251"/>
      <c r="G132" s="1251"/>
      <c r="H132" s="1251"/>
      <c r="I132" s="1251"/>
      <c r="J132" s="1251"/>
      <c r="K132" s="1251"/>
      <c r="L132" s="1251"/>
      <c r="M132" s="1251"/>
      <c r="N132" s="1251"/>
      <c r="O132" s="25"/>
      <c r="P132" s="26"/>
      <c r="X132" s="607"/>
    </row>
    <row r="133" spans="2:24" x14ac:dyDescent="0.2">
      <c r="B133" s="38"/>
      <c r="C133" s="38"/>
      <c r="D133" s="38"/>
      <c r="E133" s="1515"/>
      <c r="F133" s="1275"/>
      <c r="G133" s="1275"/>
      <c r="H133" s="53" t="str">
        <f>EUconst_Unit</f>
        <v>Vienība</v>
      </c>
      <c r="I133" s="412">
        <f>I$312</f>
        <v>2019</v>
      </c>
      <c r="J133" s="412">
        <f>J$312</f>
        <v>2020</v>
      </c>
      <c r="K133" s="412">
        <f>K$312</f>
        <v>2021</v>
      </c>
      <c r="L133" s="412">
        <f>L$312</f>
        <v>2022</v>
      </c>
      <c r="M133" s="412">
        <f>M$312</f>
        <v>2023</v>
      </c>
      <c r="N133" s="38"/>
      <c r="O133" s="25"/>
      <c r="X133" s="607"/>
    </row>
    <row r="134" spans="2:24" x14ac:dyDescent="0.2">
      <c r="B134" s="38"/>
      <c r="C134" s="38"/>
      <c r="D134" s="38"/>
      <c r="E134" s="1516" t="str">
        <f>Translations!$B$430</f>
        <v>Emisijas, kas attiecināmas uz siltuma izlaidi</v>
      </c>
      <c r="F134" s="1517"/>
      <c r="G134" s="1517"/>
      <c r="H134" s="66" t="str">
        <f>EUconst_tCO2pa</f>
        <v>t CO2 / gads</v>
      </c>
      <c r="I134" s="328" t="str">
        <f>IF(AND(ISNUMBER(I117),ISNUMBER(I118),ISNUMBER(I109)),I117/I126/(I117/I126+I118/I127)*I109,"")</f>
        <v/>
      </c>
      <c r="J134" s="328" t="str">
        <f>IF(AND(ISNUMBER(J117),ISNUMBER(J118),ISNUMBER(J109)),J117/J126/(J117/J126+J118/J127)*J109,"")</f>
        <v/>
      </c>
      <c r="K134" s="328" t="str">
        <f>IF(AND(ISNUMBER(K117),ISNUMBER(K118),ISNUMBER(K109)),K117/K126/(K117/K126+K118/K127)*K109,"")</f>
        <v/>
      </c>
      <c r="L134" s="328" t="str">
        <f>IF(AND(ISNUMBER(L117),ISNUMBER(L118),ISNUMBER(L109)),L117/L126/(L117/L126+L118/L127)*L109,"")</f>
        <v/>
      </c>
      <c r="M134" s="328" t="str">
        <f>IF(AND(ISNUMBER(M117),ISNUMBER(M118),ISNUMBER(M109)),M117/M126/(M117/M126+M118/M127)*M109,"")</f>
        <v/>
      </c>
      <c r="N134" s="38"/>
      <c r="O134" s="25"/>
      <c r="X134" s="607"/>
    </row>
    <row r="135" spans="2:24" x14ac:dyDescent="0.2">
      <c r="B135" s="38"/>
      <c r="C135" s="38"/>
      <c r="D135" s="38"/>
      <c r="E135" s="1516" t="str">
        <f>Translations!$B$431</f>
        <v>Emisijas faktors, siltums</v>
      </c>
      <c r="F135" s="1517"/>
      <c r="G135" s="1517"/>
      <c r="H135" s="66" t="str">
        <f>EUconst_tCO2pTJ</f>
        <v>t CO2 / TJ</v>
      </c>
      <c r="I135" s="328" t="str">
        <f>IF(AND(ISNUMBER(I96),ISNUMBER(I134)),I134/I96,"")</f>
        <v/>
      </c>
      <c r="J135" s="328" t="str">
        <f>IF(AND(ISNUMBER(J96),ISNUMBER(J134)),J134/J96,"")</f>
        <v/>
      </c>
      <c r="K135" s="328" t="str">
        <f>IF(AND(ISNUMBER(K96),ISNUMBER(K134)),K134/K96,"")</f>
        <v/>
      </c>
      <c r="L135" s="328" t="str">
        <f>IF(AND(ISNUMBER(L96),ISNUMBER(L134)),L134/L96,"")</f>
        <v/>
      </c>
      <c r="M135" s="328" t="str">
        <f>IF(AND(ISNUMBER(M96),ISNUMBER(M134)),M134/M96,"")</f>
        <v/>
      </c>
      <c r="N135" s="414"/>
      <c r="O135" s="25"/>
      <c r="X135" s="607"/>
    </row>
    <row r="136" spans="2:24" ht="5.0999999999999996" customHeight="1" x14ac:dyDescent="0.2">
      <c r="B136" s="38"/>
      <c r="C136" s="38"/>
      <c r="D136" s="38"/>
      <c r="E136" s="38"/>
      <c r="F136" s="38"/>
      <c r="G136" s="38"/>
      <c r="H136" s="38"/>
      <c r="I136" s="38"/>
      <c r="J136" s="38"/>
      <c r="K136" s="38"/>
      <c r="L136" s="38"/>
      <c r="M136" s="38"/>
      <c r="N136" s="38"/>
      <c r="O136" s="25"/>
      <c r="X136" s="607"/>
    </row>
    <row r="137" spans="2:24" x14ac:dyDescent="0.2">
      <c r="B137" s="21"/>
      <c r="C137" s="21"/>
      <c r="D137" s="32" t="s">
        <v>83</v>
      </c>
      <c r="E137" s="1250" t="str">
        <f>Translations!$B$432</f>
        <v>Uz siltuma un elektroenerģijas ražošanu attiecināmā kurināmā ielaide</v>
      </c>
      <c r="F137" s="1251"/>
      <c r="G137" s="1251"/>
      <c r="H137" s="1251"/>
      <c r="I137" s="1251"/>
      <c r="J137" s="1251"/>
      <c r="K137" s="1251"/>
      <c r="L137" s="1251"/>
      <c r="M137" s="1251"/>
      <c r="N137" s="1251"/>
      <c r="O137" s="25"/>
      <c r="P137" s="26"/>
      <c r="X137" s="607"/>
    </row>
    <row r="138" spans="2:24" ht="12.75" customHeight="1" x14ac:dyDescent="0.2">
      <c r="B138" s="21"/>
      <c r="C138" s="21"/>
      <c r="D138" s="34"/>
      <c r="E138" s="1319" t="str">
        <f>Translations!$B$433</f>
        <v>Šis ir galīgais ar šo rīku iegūstamais rezultāts. Šeit attēlotās vērtības ir jāieraksta attiecīgajās E, F un G lapas sadaļās.</v>
      </c>
      <c r="F138" s="1251"/>
      <c r="G138" s="1251"/>
      <c r="H138" s="1251"/>
      <c r="I138" s="1251"/>
      <c r="J138" s="1251"/>
      <c r="K138" s="1251"/>
      <c r="L138" s="1251"/>
      <c r="M138" s="1251"/>
      <c r="N138" s="1251"/>
      <c r="O138" s="25"/>
      <c r="P138" s="26"/>
      <c r="X138" s="607"/>
    </row>
    <row r="139" spans="2:24" x14ac:dyDescent="0.2">
      <c r="B139" s="38"/>
      <c r="C139" s="38"/>
      <c r="D139" s="38"/>
      <c r="E139" s="1515"/>
      <c r="F139" s="1275"/>
      <c r="G139" s="1275"/>
      <c r="H139" s="53" t="str">
        <f>EUconst_Unit</f>
        <v>Vienība</v>
      </c>
      <c r="I139" s="412">
        <f>I$312</f>
        <v>2019</v>
      </c>
      <c r="J139" s="412">
        <f>J$312</f>
        <v>2020</v>
      </c>
      <c r="K139" s="412">
        <f>K$312</f>
        <v>2021</v>
      </c>
      <c r="L139" s="412">
        <f>L$312</f>
        <v>2022</v>
      </c>
      <c r="M139" s="412">
        <f>M$312</f>
        <v>2023</v>
      </c>
      <c r="N139" s="38"/>
      <c r="O139" s="25"/>
      <c r="X139" s="607"/>
    </row>
    <row r="140" spans="2:24" x14ac:dyDescent="0.2">
      <c r="B140" s="38"/>
      <c r="C140" s="38"/>
      <c r="D140" s="38"/>
      <c r="E140" s="1516" t="str">
        <f>Translations!$B$434</f>
        <v>Kurināmā ielaide siltuma ražošanai</v>
      </c>
      <c r="F140" s="1517"/>
      <c r="G140" s="1517"/>
      <c r="H140" s="66" t="str">
        <f>EUconst_TJpa</f>
        <v>TJ / gads</v>
      </c>
      <c r="I140" s="328" t="str">
        <f>IF(AND(ISNUMBER(I117),ISNUMBER(I118),ISNUMBER(I91)),I117/I126/(I117/I126+I118/I127)*I91,"")</f>
        <v/>
      </c>
      <c r="J140" s="328" t="str">
        <f>IF(AND(ISNUMBER(J117),ISNUMBER(J118),ISNUMBER(J91)),J117/J126/(J117/J126+J118/J127)*J91,"")</f>
        <v/>
      </c>
      <c r="K140" s="328" t="str">
        <f>IF(AND(ISNUMBER(K117),ISNUMBER(K118),ISNUMBER(K91)),K117/K126/(K117/K126+K118/K127)*K91,"")</f>
        <v/>
      </c>
      <c r="L140" s="328" t="str">
        <f>IF(AND(ISNUMBER(L117),ISNUMBER(L118),ISNUMBER(L91)),L117/L126/(L117/L126+L118/L127)*L91,"")</f>
        <v/>
      </c>
      <c r="M140" s="328" t="str">
        <f>IF(AND(ISNUMBER(M117),ISNUMBER(M118),ISNUMBER(M91)),M117/M126/(M117/M126+M118/M127)*M91,"")</f>
        <v/>
      </c>
      <c r="N140" s="414"/>
      <c r="O140" s="25"/>
      <c r="X140" s="607"/>
    </row>
    <row r="141" spans="2:24" x14ac:dyDescent="0.2">
      <c r="B141" s="38"/>
      <c r="C141" s="38"/>
      <c r="D141" s="38"/>
      <c r="E141" s="1516" t="str">
        <f>Translations!$B$435</f>
        <v>Kurināmā ielaide elektroenerģijas ražošanai</v>
      </c>
      <c r="F141" s="1517"/>
      <c r="G141" s="1517"/>
      <c r="H141" s="66" t="str">
        <f>EUconst_TJpa</f>
        <v>TJ / gads</v>
      </c>
      <c r="I141" s="328" t="str">
        <f>IF(ISNUMBER(I140),I91-I140,"")</f>
        <v/>
      </c>
      <c r="J141" s="328" t="str">
        <f>IF(ISNUMBER(J140),J91-J140,"")</f>
        <v/>
      </c>
      <c r="K141" s="328" t="str">
        <f>IF(ISNUMBER(K140),K91-K140,"")</f>
        <v/>
      </c>
      <c r="L141" s="328" t="str">
        <f>IF(ISNUMBER(L140),L91-L140,"")</f>
        <v/>
      </c>
      <c r="M141" s="328" t="str">
        <f>IF(ISNUMBER(M140),M91-M140,"")</f>
        <v/>
      </c>
      <c r="N141" s="38"/>
      <c r="O141" s="25"/>
      <c r="X141" s="607"/>
    </row>
    <row r="142" spans="2:24" x14ac:dyDescent="0.2">
      <c r="B142" s="38"/>
      <c r="C142" s="38"/>
      <c r="D142" s="38"/>
      <c r="E142" s="125"/>
      <c r="F142" s="38"/>
      <c r="G142" s="38"/>
      <c r="H142" s="38"/>
      <c r="I142" s="38"/>
      <c r="J142" s="38"/>
      <c r="K142" s="38"/>
      <c r="L142" s="38"/>
      <c r="M142" s="38"/>
      <c r="N142" s="38"/>
      <c r="O142" s="25"/>
      <c r="X142" s="607"/>
    </row>
    <row r="143" spans="2:24" ht="15" x14ac:dyDescent="0.25">
      <c r="B143" s="21"/>
      <c r="C143" s="36">
        <v>2</v>
      </c>
      <c r="D143" s="1318" t="str">
        <f>Translations!$B$399</f>
        <v>Rīks, ar ko aprēķina, kādas koģenerācijas bloku emisijas attiecināmas uz siltuma ražošanu</v>
      </c>
      <c r="E143" s="1251"/>
      <c r="F143" s="1251"/>
      <c r="G143" s="1251"/>
      <c r="H143" s="1251"/>
      <c r="I143" s="1251"/>
      <c r="J143" s="1251"/>
      <c r="K143" s="1251"/>
      <c r="L143" s="1251"/>
      <c r="M143" s="1251"/>
      <c r="N143" s="1251"/>
      <c r="O143" s="25"/>
      <c r="P143" s="26"/>
      <c r="X143" s="607"/>
    </row>
    <row r="144" spans="2:24" ht="5.0999999999999996" customHeight="1" x14ac:dyDescent="0.2">
      <c r="B144" s="21"/>
      <c r="C144" s="21"/>
      <c r="D144" s="21"/>
      <c r="E144" s="21"/>
      <c r="F144" s="21"/>
      <c r="G144" s="21"/>
      <c r="H144" s="21"/>
      <c r="I144" s="21"/>
      <c r="J144" s="21"/>
      <c r="K144" s="21"/>
      <c r="L144" s="21"/>
      <c r="M144" s="25"/>
      <c r="N144" s="25"/>
      <c r="O144" s="25"/>
      <c r="P144" s="26"/>
      <c r="X144" s="607"/>
    </row>
    <row r="145" spans="2:24" x14ac:dyDescent="0.2">
      <c r="B145" s="38"/>
      <c r="C145" s="38"/>
      <c r="D145" s="38"/>
      <c r="E145" s="1519" t="str">
        <f>HYPERLINK(Q145,CONCATENATE(EUconst_MsgSeeFirst," (D.III.1)"))</f>
        <v>Sīki norādījumi par datu ievadi šajā rīkā ir pieejami pirmajā vietā, kur parādās šis rīks.  (D.III.1)</v>
      </c>
      <c r="F145" s="1519"/>
      <c r="G145" s="1519"/>
      <c r="H145" s="1519"/>
      <c r="I145" s="1519"/>
      <c r="J145" s="1519"/>
      <c r="K145" s="1519"/>
      <c r="L145" s="1519"/>
      <c r="M145" s="1519"/>
      <c r="N145" s="1519"/>
      <c r="O145" s="25"/>
      <c r="P145" s="20" t="s">
        <v>192</v>
      </c>
      <c r="Q145" s="362" t="str">
        <f>"#"&amp;ADDRESS(ROW(C86),COLUMN(C86))</f>
        <v>#$C$86</v>
      </c>
      <c r="X145" s="607"/>
    </row>
    <row r="146" spans="2:24" ht="5.0999999999999996" customHeight="1" x14ac:dyDescent="0.2">
      <c r="B146" s="21"/>
      <c r="C146" s="21"/>
      <c r="D146" s="21"/>
      <c r="E146" s="21"/>
      <c r="F146" s="21"/>
      <c r="G146" s="21"/>
      <c r="H146" s="21"/>
      <c r="I146" s="21"/>
      <c r="J146" s="21"/>
      <c r="K146" s="21"/>
      <c r="L146" s="21"/>
      <c r="M146" s="25"/>
      <c r="N146" s="25"/>
      <c r="O146" s="25"/>
      <c r="P146" s="26"/>
      <c r="X146" s="607"/>
    </row>
    <row r="147" spans="2:24" x14ac:dyDescent="0.2">
      <c r="B147" s="21"/>
      <c r="C147" s="21"/>
      <c r="D147" s="32" t="s">
        <v>165</v>
      </c>
      <c r="E147" s="1250" t="str">
        <f>Translations!$B$400</f>
        <v>Kopējā kurināmā ielaide koģenerācijas blokos</v>
      </c>
      <c r="F147" s="1251"/>
      <c r="G147" s="1251"/>
      <c r="H147" s="1251"/>
      <c r="I147" s="1251"/>
      <c r="J147" s="1251"/>
      <c r="K147" s="1251"/>
      <c r="L147" s="1251"/>
      <c r="M147" s="1251"/>
      <c r="N147" s="1251"/>
      <c r="O147" s="25"/>
      <c r="P147" s="26"/>
      <c r="X147" s="607"/>
    </row>
    <row r="148" spans="2:24" x14ac:dyDescent="0.2">
      <c r="B148" s="38"/>
      <c r="C148" s="38"/>
      <c r="D148" s="38"/>
      <c r="E148" s="1515"/>
      <c r="F148" s="1275"/>
      <c r="G148" s="1275"/>
      <c r="H148" s="53" t="str">
        <f>EUconst_Unit</f>
        <v>Vienība</v>
      </c>
      <c r="I148" s="412">
        <f>I$312</f>
        <v>2019</v>
      </c>
      <c r="J148" s="412">
        <f>J$312</f>
        <v>2020</v>
      </c>
      <c r="K148" s="412">
        <f>K$312</f>
        <v>2021</v>
      </c>
      <c r="L148" s="412">
        <f>L$312</f>
        <v>2022</v>
      </c>
      <c r="M148" s="412">
        <f>M$312</f>
        <v>2023</v>
      </c>
      <c r="N148" s="38"/>
      <c r="O148" s="25"/>
      <c r="X148" s="607"/>
    </row>
    <row r="149" spans="2:24" x14ac:dyDescent="0.2">
      <c r="B149" s="38"/>
      <c r="C149" s="38"/>
      <c r="D149" s="38"/>
      <c r="E149" s="1516" t="str">
        <f>Translations!$B$402</f>
        <v>Kurināmā ielaide koģenerācijas blokā</v>
      </c>
      <c r="F149" s="1517"/>
      <c r="G149" s="1517"/>
      <c r="H149" s="66" t="str">
        <f>EUconst_TJpa</f>
        <v>TJ / gads</v>
      </c>
      <c r="I149" s="330"/>
      <c r="J149" s="330"/>
      <c r="K149" s="330"/>
      <c r="L149" s="330"/>
      <c r="M149" s="330"/>
      <c r="N149" s="38"/>
      <c r="O149" s="25"/>
      <c r="P149" s="26"/>
      <c r="X149" s="711" t="b">
        <f>X127</f>
        <v>0</v>
      </c>
    </row>
    <row r="150" spans="2:24" ht="5.0999999999999996" customHeight="1" x14ac:dyDescent="0.2">
      <c r="B150" s="38"/>
      <c r="C150" s="38"/>
      <c r="D150" s="38"/>
      <c r="E150" s="38"/>
      <c r="F150" s="38"/>
      <c r="G150" s="38"/>
      <c r="H150" s="38"/>
      <c r="I150" s="38"/>
      <c r="J150" s="38"/>
      <c r="K150" s="38"/>
      <c r="L150" s="38"/>
      <c r="M150" s="38"/>
      <c r="N150" s="38"/>
      <c r="O150" s="25"/>
      <c r="X150" s="607"/>
    </row>
    <row r="151" spans="2:24" x14ac:dyDescent="0.2">
      <c r="B151" s="21"/>
      <c r="C151" s="21"/>
      <c r="D151" s="32" t="s">
        <v>339</v>
      </c>
      <c r="E151" s="1250" t="str">
        <f>Translations!$B$403</f>
        <v>Koģenerācijas bloka siltuma izlaide</v>
      </c>
      <c r="F151" s="1251"/>
      <c r="G151" s="1251"/>
      <c r="H151" s="1251"/>
      <c r="I151" s="1251"/>
      <c r="J151" s="1251"/>
      <c r="K151" s="1251"/>
      <c r="L151" s="1251"/>
      <c r="M151" s="1251"/>
      <c r="N151" s="1251"/>
      <c r="O151" s="25"/>
      <c r="P151" s="26"/>
      <c r="X151" s="607"/>
    </row>
    <row r="152" spans="2:24" x14ac:dyDescent="0.2">
      <c r="B152" s="21"/>
      <c r="C152" s="21"/>
      <c r="D152" s="34"/>
      <c r="E152" s="1515"/>
      <c r="F152" s="1275"/>
      <c r="G152" s="1275"/>
      <c r="H152" s="53" t="str">
        <f>EUconst_Unit</f>
        <v>Vienība</v>
      </c>
      <c r="I152" s="412">
        <f>I$312</f>
        <v>2019</v>
      </c>
      <c r="J152" s="412">
        <f>J$312</f>
        <v>2020</v>
      </c>
      <c r="K152" s="412">
        <f>K$312</f>
        <v>2021</v>
      </c>
      <c r="L152" s="412">
        <f>L$312</f>
        <v>2022</v>
      </c>
      <c r="M152" s="412">
        <f>M$312</f>
        <v>2023</v>
      </c>
      <c r="N152" s="457"/>
      <c r="O152" s="25"/>
      <c r="P152" s="26"/>
      <c r="X152" s="607"/>
    </row>
    <row r="153" spans="2:24" x14ac:dyDescent="0.2">
      <c r="B153" s="38"/>
      <c r="C153" s="38"/>
      <c r="D153" s="38"/>
      <c r="E153" s="1516" t="str">
        <f>Translations!$B$403</f>
        <v>Koģenerācijas bloka siltuma izlaide</v>
      </c>
      <c r="F153" s="1517"/>
      <c r="G153" s="1517"/>
      <c r="H153" s="66" t="str">
        <f>EUconst_TJpa</f>
        <v>TJ / gads</v>
      </c>
      <c r="I153" s="330"/>
      <c r="J153" s="330"/>
      <c r="K153" s="330"/>
      <c r="L153" s="330"/>
      <c r="M153" s="330"/>
      <c r="N153" s="38"/>
      <c r="O153" s="25"/>
      <c r="X153" s="711" t="b">
        <f>X149</f>
        <v>0</v>
      </c>
    </row>
    <row r="154" spans="2:24" ht="5.0999999999999996" customHeight="1" x14ac:dyDescent="0.2">
      <c r="B154" s="38"/>
      <c r="C154" s="38"/>
      <c r="D154" s="38"/>
      <c r="E154" s="38"/>
      <c r="F154" s="38"/>
      <c r="G154" s="38"/>
      <c r="H154" s="38"/>
      <c r="I154" s="38"/>
      <c r="J154" s="38"/>
      <c r="K154" s="38"/>
      <c r="L154" s="38"/>
      <c r="M154" s="38"/>
      <c r="N154" s="38"/>
      <c r="O154" s="25"/>
      <c r="X154" s="607"/>
    </row>
    <row r="155" spans="2:24" x14ac:dyDescent="0.2">
      <c r="B155" s="21"/>
      <c r="C155" s="21"/>
      <c r="D155" s="32" t="s">
        <v>11</v>
      </c>
      <c r="E155" s="1250" t="str">
        <f>Translations!$B$405</f>
        <v>Koģenerācijas bloka elektroenerģijas izlaide</v>
      </c>
      <c r="F155" s="1251"/>
      <c r="G155" s="1251"/>
      <c r="H155" s="1251"/>
      <c r="I155" s="1251"/>
      <c r="J155" s="1251"/>
      <c r="K155" s="1251"/>
      <c r="L155" s="1251"/>
      <c r="M155" s="1251"/>
      <c r="N155" s="1251"/>
      <c r="O155" s="25"/>
      <c r="P155" s="26"/>
      <c r="X155" s="607"/>
    </row>
    <row r="156" spans="2:24" x14ac:dyDescent="0.2">
      <c r="B156" s="21"/>
      <c r="C156" s="21"/>
      <c r="D156" s="34"/>
      <c r="E156" s="1515"/>
      <c r="F156" s="1275"/>
      <c r="G156" s="1275"/>
      <c r="H156" s="53" t="str">
        <f>EUconst_Unit</f>
        <v>Vienība</v>
      </c>
      <c r="I156" s="412">
        <f>I$312</f>
        <v>2019</v>
      </c>
      <c r="J156" s="412">
        <f>J$312</f>
        <v>2020</v>
      </c>
      <c r="K156" s="412">
        <f>K$312</f>
        <v>2021</v>
      </c>
      <c r="L156" s="412">
        <f>L$312</f>
        <v>2022</v>
      </c>
      <c r="M156" s="412">
        <f>M$312</f>
        <v>2023</v>
      </c>
      <c r="N156" s="457"/>
      <c r="O156" s="25"/>
      <c r="P156" s="26"/>
      <c r="X156" s="607"/>
    </row>
    <row r="157" spans="2:24" x14ac:dyDescent="0.2">
      <c r="B157" s="21"/>
      <c r="C157" s="21"/>
      <c r="D157" s="34"/>
      <c r="E157" s="1516" t="str">
        <f>Translations!$B$407</f>
        <v>Koģenerācijas bloka elektroenerģijas izlaide</v>
      </c>
      <c r="F157" s="1517"/>
      <c r="G157" s="1517"/>
      <c r="H157" s="66" t="str">
        <f>EUconst_MWhpa</f>
        <v>MWh / gads</v>
      </c>
      <c r="I157" s="330"/>
      <c r="J157" s="330"/>
      <c r="K157" s="330"/>
      <c r="L157" s="330"/>
      <c r="M157" s="330"/>
      <c r="N157" s="38"/>
      <c r="O157" s="25"/>
      <c r="P157" s="26"/>
      <c r="X157" s="711" t="b">
        <f>X153</f>
        <v>0</v>
      </c>
    </row>
    <row r="158" spans="2:24" x14ac:dyDescent="0.2">
      <c r="B158" s="38"/>
      <c r="C158" s="38"/>
      <c r="D158" s="38"/>
      <c r="E158" s="1516" t="str">
        <f>Translations!$B$405</f>
        <v>Koģenerācijas bloka elektroenerģijas izlaide</v>
      </c>
      <c r="F158" s="1517"/>
      <c r="G158" s="1517"/>
      <c r="H158" s="66" t="str">
        <f>EUconst_TJpa</f>
        <v>TJ / gads</v>
      </c>
      <c r="I158" s="448" t="str">
        <f>IF(ISBLANK(I157),"",I157*3.6/1000)</f>
        <v/>
      </c>
      <c r="J158" s="448" t="str">
        <f>IF(ISBLANK(J157),"",J157*3.6/1000)</f>
        <v/>
      </c>
      <c r="K158" s="448" t="str">
        <f>IF(ISBLANK(K157),"",K157*3.6/1000)</f>
        <v/>
      </c>
      <c r="L158" s="448" t="str">
        <f>IF(ISBLANK(L157),"",L157*3.6/1000)</f>
        <v/>
      </c>
      <c r="M158" s="448" t="str">
        <f>IF(ISBLANK(M157),"",M157*3.6/1000)</f>
        <v/>
      </c>
      <c r="N158" s="38"/>
      <c r="O158" s="25"/>
      <c r="X158" s="711" t="b">
        <f>X153</f>
        <v>0</v>
      </c>
    </row>
    <row r="159" spans="2:24" ht="5.0999999999999996" customHeight="1" x14ac:dyDescent="0.2">
      <c r="B159" s="38"/>
      <c r="C159" s="38"/>
      <c r="D159" s="38"/>
      <c r="E159" s="38"/>
      <c r="F159" s="38"/>
      <c r="G159" s="38"/>
      <c r="H159" s="38"/>
      <c r="I159" s="38"/>
      <c r="J159" s="38"/>
      <c r="K159" s="38"/>
      <c r="L159" s="38"/>
      <c r="M159" s="38"/>
      <c r="N159" s="38"/>
      <c r="O159" s="25"/>
      <c r="X159" s="607"/>
    </row>
    <row r="160" spans="2:24" x14ac:dyDescent="0.2">
      <c r="B160" s="21"/>
      <c r="C160" s="21"/>
      <c r="D160" s="32" t="s">
        <v>342</v>
      </c>
      <c r="E160" s="1250" t="str">
        <f>Translations!$B$408</f>
        <v>Koģenerācijas bloka kopējās emisijas</v>
      </c>
      <c r="F160" s="1251"/>
      <c r="G160" s="1251"/>
      <c r="H160" s="1251"/>
      <c r="I160" s="1251"/>
      <c r="J160" s="1251"/>
      <c r="K160" s="1251"/>
      <c r="L160" s="1251"/>
      <c r="M160" s="1251"/>
      <c r="N160" s="1251"/>
      <c r="O160" s="25"/>
      <c r="P160" s="26"/>
      <c r="X160" s="607"/>
    </row>
    <row r="161" spans="2:24" x14ac:dyDescent="0.2">
      <c r="B161" s="21"/>
      <c r="C161" s="21"/>
      <c r="D161" s="34"/>
      <c r="E161" s="1515"/>
      <c r="F161" s="1275"/>
      <c r="G161" s="1275"/>
      <c r="H161" s="53" t="str">
        <f>EUconst_Unit</f>
        <v>Vienība</v>
      </c>
      <c r="I161" s="412">
        <f>I$312</f>
        <v>2019</v>
      </c>
      <c r="J161" s="412">
        <f>J$312</f>
        <v>2020</v>
      </c>
      <c r="K161" s="412">
        <f>K$312</f>
        <v>2021</v>
      </c>
      <c r="L161" s="412">
        <f>L$312</f>
        <v>2022</v>
      </c>
      <c r="M161" s="412">
        <f>M$312</f>
        <v>2023</v>
      </c>
      <c r="N161" s="457"/>
      <c r="O161" s="25"/>
      <c r="P161" s="26"/>
      <c r="X161" s="607"/>
    </row>
    <row r="162" spans="2:24" x14ac:dyDescent="0.2">
      <c r="B162" s="38"/>
      <c r="C162" s="38"/>
      <c r="D162" s="440" t="s">
        <v>2</v>
      </c>
      <c r="E162" s="1516" t="str">
        <f>Translations!$B$410</f>
        <v>No kurināmā ielaides koģenerācijas blokā</v>
      </c>
      <c r="F162" s="1517"/>
      <c r="G162" s="1517"/>
      <c r="H162" s="66" t="str">
        <f>EUconst_tCO2pa</f>
        <v>t CO2 / gads</v>
      </c>
      <c r="I162" s="330"/>
      <c r="J162" s="330"/>
      <c r="K162" s="330"/>
      <c r="L162" s="330"/>
      <c r="M162" s="330"/>
      <c r="N162" s="38"/>
      <c r="O162" s="25"/>
      <c r="X162" s="711" t="b">
        <f>X158</f>
        <v>0</v>
      </c>
    </row>
    <row r="163" spans="2:24" x14ac:dyDescent="0.2">
      <c r="B163" s="38"/>
      <c r="C163" s="38"/>
      <c r="D163" s="440" t="s">
        <v>3</v>
      </c>
      <c r="E163" s="1516" t="str">
        <f>Translations!$B$411</f>
        <v>No dūmgāzu attīrīšanas</v>
      </c>
      <c r="F163" s="1517"/>
      <c r="G163" s="1517"/>
      <c r="H163" s="66" t="str">
        <f>EUconst_tCO2pa</f>
        <v>t CO2 / gads</v>
      </c>
      <c r="I163" s="330"/>
      <c r="J163" s="330"/>
      <c r="K163" s="330"/>
      <c r="L163" s="330"/>
      <c r="M163" s="330"/>
      <c r="N163" s="38"/>
      <c r="O163" s="25"/>
      <c r="X163" s="711" t="b">
        <f>X162</f>
        <v>0</v>
      </c>
    </row>
    <row r="164" spans="2:24" x14ac:dyDescent="0.2">
      <c r="B164" s="38"/>
      <c r="C164" s="38"/>
      <c r="D164" s="440" t="s">
        <v>4</v>
      </c>
      <c r="E164" s="1516" t="str">
        <f>Translations!$B$412</f>
        <v>Kopējās emisijas</v>
      </c>
      <c r="F164" s="1517"/>
      <c r="G164" s="1517"/>
      <c r="H164" s="66" t="str">
        <f>EUconst_tCO2pa</f>
        <v>t CO2 / gads</v>
      </c>
      <c r="I164" s="448" t="str">
        <f>IF(COUNT(I162:I163)&gt;0,SUM(I162:I163),"")</f>
        <v/>
      </c>
      <c r="J164" s="448" t="str">
        <f>IF(COUNT(J162:J163)&gt;0,SUM(J162:J163),"")</f>
        <v/>
      </c>
      <c r="K164" s="448" t="str">
        <f>IF(COUNT(K162:K163)&gt;0,SUM(K162:K163),"")</f>
        <v/>
      </c>
      <c r="L164" s="448" t="str">
        <f>IF(COUNT(L162:L163)&gt;0,SUM(L162:L163),"")</f>
        <v/>
      </c>
      <c r="M164" s="448" t="str">
        <f>IF(COUNT(M162:M163)&gt;0,SUM(M162:M163),"")</f>
        <v/>
      </c>
      <c r="N164" s="38"/>
      <c r="O164" s="25"/>
      <c r="X164" s="607"/>
    </row>
    <row r="165" spans="2:24" ht="5.0999999999999996" customHeight="1" x14ac:dyDescent="0.2">
      <c r="B165" s="38"/>
      <c r="C165" s="38"/>
      <c r="D165" s="38"/>
      <c r="E165" s="38"/>
      <c r="F165" s="38"/>
      <c r="G165" s="38"/>
      <c r="H165" s="38"/>
      <c r="I165" s="38"/>
      <c r="J165" s="38"/>
      <c r="K165" s="38"/>
      <c r="L165" s="38"/>
      <c r="M165" s="38"/>
      <c r="N165" s="38"/>
      <c r="O165" s="25"/>
      <c r="X165" s="607"/>
    </row>
    <row r="166" spans="2:24" ht="12.75" customHeight="1" x14ac:dyDescent="0.2">
      <c r="B166" s="38"/>
      <c r="C166" s="38"/>
      <c r="D166" s="32" t="s">
        <v>12</v>
      </c>
      <c r="E166" s="1518" t="str">
        <f>Translations!$B$413</f>
        <v>Noklusējuma lietderības koeficienti:</v>
      </c>
      <c r="F166" s="1518"/>
      <c r="G166" s="1518"/>
      <c r="H166" s="1518"/>
      <c r="I166" s="703" t="str">
        <f>Translations!$B$414</f>
        <v>Siltums:</v>
      </c>
      <c r="J166" s="783">
        <v>0.55000000000000004</v>
      </c>
      <c r="K166" s="38"/>
      <c r="L166" s="703" t="str">
        <f>Translations!$B$415</f>
        <v>Elektroenerģija:</v>
      </c>
      <c r="M166" s="783">
        <v>0.25</v>
      </c>
      <c r="N166" s="696"/>
      <c r="O166" s="25"/>
      <c r="X166" s="607"/>
    </row>
    <row r="167" spans="2:24" ht="5.0999999999999996" customHeight="1" x14ac:dyDescent="0.2">
      <c r="B167" s="38"/>
      <c r="C167" s="38"/>
      <c r="D167" s="38"/>
      <c r="E167" s="38"/>
      <c r="F167" s="38"/>
      <c r="G167" s="38"/>
      <c r="H167" s="38"/>
      <c r="I167" s="38"/>
      <c r="J167" s="38"/>
      <c r="K167" s="38"/>
      <c r="L167" s="38"/>
      <c r="M167" s="38"/>
      <c r="N167" s="38"/>
      <c r="O167" s="25"/>
      <c r="X167" s="607"/>
    </row>
    <row r="168" spans="2:24" x14ac:dyDescent="0.2">
      <c r="B168" s="21"/>
      <c r="C168" s="21"/>
      <c r="D168" s="32" t="s">
        <v>13</v>
      </c>
      <c r="E168" s="1250" t="str">
        <f>Translations!$B$416</f>
        <v>Siltuma un elektroenerģijas lietderības koeficienti</v>
      </c>
      <c r="F168" s="1251"/>
      <c r="G168" s="1251"/>
      <c r="H168" s="1251"/>
      <c r="I168" s="1251"/>
      <c r="J168" s="1251"/>
      <c r="K168" s="1251"/>
      <c r="L168" s="1251"/>
      <c r="M168" s="1251"/>
      <c r="N168" s="1251"/>
      <c r="O168" s="25"/>
      <c r="P168" s="26"/>
      <c r="X168" s="607"/>
    </row>
    <row r="169" spans="2:24" x14ac:dyDescent="0.2">
      <c r="B169" s="38"/>
      <c r="C169" s="38"/>
      <c r="D169" s="38"/>
      <c r="E169" s="1515"/>
      <c r="F169" s="1275"/>
      <c r="G169" s="1275"/>
      <c r="H169" s="53" t="str">
        <f>EUconst_Unit</f>
        <v>Vienība</v>
      </c>
      <c r="I169" s="412">
        <f>I$312</f>
        <v>2019</v>
      </c>
      <c r="J169" s="412">
        <f>J$312</f>
        <v>2020</v>
      </c>
      <c r="K169" s="412">
        <f>K$312</f>
        <v>2021</v>
      </c>
      <c r="L169" s="412">
        <f>L$312</f>
        <v>2022</v>
      </c>
      <c r="M169" s="412">
        <f>M$312</f>
        <v>2023</v>
      </c>
      <c r="N169" s="38"/>
      <c r="O169" s="25"/>
      <c r="X169" s="607"/>
    </row>
    <row r="170" spans="2:24" ht="12.75" customHeight="1" x14ac:dyDescent="0.2">
      <c r="B170" s="38"/>
      <c r="C170" s="38"/>
      <c r="D170" s="440" t="s">
        <v>2</v>
      </c>
      <c r="E170" s="1516" t="str">
        <f>Translations!$B$419</f>
        <v>Siltuma ražošana</v>
      </c>
      <c r="F170" s="1517"/>
      <c r="G170" s="1517"/>
      <c r="H170" s="459" t="s">
        <v>392</v>
      </c>
      <c r="I170" s="704" t="str">
        <f>IF(AND(ISNUMBER(I149),ISNUMBER(I153)),I153/I149,IF(ISNUMBER(I164),$J166,""))</f>
        <v/>
      </c>
      <c r="J170" s="704" t="str">
        <f>IF(AND(ISNUMBER(J149),ISNUMBER(J153)),J153/J149,IF(ISNUMBER(J164),$J166,""))</f>
        <v/>
      </c>
      <c r="K170" s="704" t="str">
        <f>IF(AND(ISNUMBER(K149),ISNUMBER(K153)),K153/K149,IF(ISNUMBER(K164),$J166,""))</f>
        <v/>
      </c>
      <c r="L170" s="704" t="str">
        <f>IF(AND(ISNUMBER(L149),ISNUMBER(L153)),L153/L149,IF(ISNUMBER(L164),$J166,""))</f>
        <v/>
      </c>
      <c r="M170" s="704" t="str">
        <f>IF(AND(ISNUMBER(M149),ISNUMBER(M153)),M153/M149,IF(ISNUMBER(M164),$J166,""))</f>
        <v/>
      </c>
      <c r="N170" s="414"/>
      <c r="O170" s="25"/>
      <c r="X170" s="607"/>
    </row>
    <row r="171" spans="2:24" ht="12.75" customHeight="1" x14ac:dyDescent="0.2">
      <c r="B171" s="38"/>
      <c r="C171" s="38"/>
      <c r="D171" s="440" t="s">
        <v>3</v>
      </c>
      <c r="E171" s="1516" t="str">
        <f>Translations!$B$420</f>
        <v>Elektroenerģijas ražošana</v>
      </c>
      <c r="F171" s="1517"/>
      <c r="G171" s="1517"/>
      <c r="H171" s="459" t="s">
        <v>392</v>
      </c>
      <c r="I171" s="704" t="str">
        <f>IF(AND(ISNUMBER(I149),ISNUMBER(I158)),I158/I149,IF(ISNUMBER(I164),$M166,""))</f>
        <v/>
      </c>
      <c r="J171" s="704" t="str">
        <f>IF(AND(ISNUMBER(J149),ISNUMBER(J158)),J158/J149,IF(ISNUMBER(J164),$M166,""))</f>
        <v/>
      </c>
      <c r="K171" s="704" t="str">
        <f>IF(AND(ISNUMBER(K149),ISNUMBER(K158)),K158/K149,IF(ISNUMBER(K164),$M166,""))</f>
        <v/>
      </c>
      <c r="L171" s="704" t="str">
        <f>IF(AND(ISNUMBER(L149),ISNUMBER(L158)),L158/L149,IF(ISNUMBER(L164),$M166,""))</f>
        <v/>
      </c>
      <c r="M171" s="704" t="str">
        <f>IF(AND(ISNUMBER(M149),ISNUMBER(M158)),M158/M149,IF(ISNUMBER(M164),$M166,""))</f>
        <v/>
      </c>
      <c r="N171" s="38"/>
      <c r="O171" s="25"/>
      <c r="X171" s="607"/>
    </row>
    <row r="172" spans="2:24" ht="5.0999999999999996" customHeight="1" x14ac:dyDescent="0.2">
      <c r="B172" s="38"/>
      <c r="C172" s="38"/>
      <c r="D172" s="38"/>
      <c r="E172" s="38"/>
      <c r="F172" s="38"/>
      <c r="G172" s="38"/>
      <c r="H172" s="38"/>
      <c r="I172" s="38"/>
      <c r="J172" s="38"/>
      <c r="K172" s="38"/>
      <c r="L172" s="38"/>
      <c r="M172" s="38"/>
      <c r="N172" s="38"/>
      <c r="O172" s="25"/>
      <c r="X172" s="607"/>
    </row>
    <row r="173" spans="2:24" x14ac:dyDescent="0.2">
      <c r="B173" s="21"/>
      <c r="C173" s="21"/>
      <c r="D173" s="32" t="s">
        <v>81</v>
      </c>
      <c r="E173" s="1250" t="str">
        <f>Translations!$B$421</f>
        <v>References lietderības koeficienti</v>
      </c>
      <c r="F173" s="1251"/>
      <c r="G173" s="1251"/>
      <c r="H173" s="1251"/>
      <c r="I173" s="1251"/>
      <c r="J173" s="1251"/>
      <c r="K173" s="1251"/>
      <c r="L173" s="1251"/>
      <c r="M173" s="1251"/>
      <c r="N173" s="1251"/>
      <c r="O173" s="25"/>
      <c r="P173" s="26"/>
      <c r="X173" s="607"/>
    </row>
    <row r="174" spans="2:24" x14ac:dyDescent="0.2">
      <c r="B174" s="38"/>
      <c r="C174" s="38"/>
      <c r="D174" s="38"/>
      <c r="E174" s="1515"/>
      <c r="F174" s="1275"/>
      <c r="G174" s="1275"/>
      <c r="H174" s="53" t="str">
        <f>EUconst_Unit</f>
        <v>Vienība</v>
      </c>
      <c r="I174" s="412">
        <f>I$312</f>
        <v>2019</v>
      </c>
      <c r="J174" s="412">
        <f>J$312</f>
        <v>2020</v>
      </c>
      <c r="K174" s="412">
        <f>K$312</f>
        <v>2021</v>
      </c>
      <c r="L174" s="412">
        <f>L$312</f>
        <v>2022</v>
      </c>
      <c r="M174" s="412">
        <f>M$312</f>
        <v>2023</v>
      </c>
      <c r="N174" s="38"/>
      <c r="O174" s="25"/>
      <c r="X174" s="607"/>
    </row>
    <row r="175" spans="2:24" ht="12.75" customHeight="1" x14ac:dyDescent="0.2">
      <c r="B175" s="38"/>
      <c r="C175" s="38"/>
      <c r="D175" s="440" t="s">
        <v>2</v>
      </c>
      <c r="E175" s="1516" t="str">
        <f>Translations!$B$419</f>
        <v>Siltuma ražošana</v>
      </c>
      <c r="F175" s="1517"/>
      <c r="G175" s="1517"/>
      <c r="H175" s="459" t="s">
        <v>392</v>
      </c>
      <c r="I175" s="870"/>
      <c r="J175" s="870"/>
      <c r="K175" s="870"/>
      <c r="L175" s="870"/>
      <c r="M175" s="870"/>
      <c r="N175" s="38"/>
      <c r="O175" s="25"/>
      <c r="X175" s="711" t="b">
        <f>X163</f>
        <v>0</v>
      </c>
    </row>
    <row r="176" spans="2:24" ht="12.75" customHeight="1" thickBot="1" x14ac:dyDescent="0.25">
      <c r="B176" s="38"/>
      <c r="C176" s="38"/>
      <c r="D176" s="440" t="s">
        <v>3</v>
      </c>
      <c r="E176" s="1516" t="str">
        <f>Translations!$B$420</f>
        <v>Elektroenerģijas ražošana</v>
      </c>
      <c r="F176" s="1517"/>
      <c r="G176" s="1517"/>
      <c r="H176" s="459" t="s">
        <v>392</v>
      </c>
      <c r="I176" s="870"/>
      <c r="J176" s="870"/>
      <c r="K176" s="870"/>
      <c r="L176" s="870"/>
      <c r="M176" s="870"/>
      <c r="N176" s="38"/>
      <c r="O176" s="25"/>
      <c r="X176" s="712" t="b">
        <f>X175</f>
        <v>0</v>
      </c>
    </row>
    <row r="177" spans="2:24" ht="5.0999999999999996" customHeight="1" x14ac:dyDescent="0.2">
      <c r="B177" s="38"/>
      <c r="C177" s="38"/>
      <c r="D177" s="38"/>
      <c r="E177" s="38"/>
      <c r="F177" s="38"/>
      <c r="G177" s="38"/>
      <c r="H177" s="38"/>
      <c r="I177" s="38"/>
      <c r="J177" s="38"/>
      <c r="K177" s="38"/>
      <c r="L177" s="38"/>
      <c r="M177" s="38"/>
      <c r="N177" s="38"/>
      <c r="O177" s="25"/>
    </row>
    <row r="178" spans="2:24" x14ac:dyDescent="0.2">
      <c r="B178" s="21"/>
      <c r="C178" s="21"/>
      <c r="D178" s="32" t="s">
        <v>82</v>
      </c>
      <c r="E178" s="1250" t="str">
        <f>Translations!$B$426</f>
        <v>Emisijas, kas attiecināmas uz siltuma ražošanu koģenerācijas blokā</v>
      </c>
      <c r="F178" s="1251"/>
      <c r="G178" s="1251"/>
      <c r="H178" s="1251"/>
      <c r="I178" s="1251"/>
      <c r="J178" s="1251"/>
      <c r="K178" s="1251"/>
      <c r="L178" s="1251"/>
      <c r="M178" s="1251"/>
      <c r="N178" s="1251"/>
      <c r="O178" s="25"/>
      <c r="P178" s="26"/>
    </row>
    <row r="179" spans="2:24" x14ac:dyDescent="0.2">
      <c r="B179" s="38"/>
      <c r="C179" s="38"/>
      <c r="D179" s="38"/>
      <c r="E179" s="1515"/>
      <c r="F179" s="1275"/>
      <c r="G179" s="1275"/>
      <c r="H179" s="53" t="str">
        <f>EUconst_Unit</f>
        <v>Vienība</v>
      </c>
      <c r="I179" s="412">
        <f>I$312</f>
        <v>2019</v>
      </c>
      <c r="J179" s="412">
        <f>J$312</f>
        <v>2020</v>
      </c>
      <c r="K179" s="412">
        <f>K$312</f>
        <v>2021</v>
      </c>
      <c r="L179" s="412">
        <f>L$312</f>
        <v>2022</v>
      </c>
      <c r="M179" s="412">
        <f>M$312</f>
        <v>2023</v>
      </c>
      <c r="N179" s="38"/>
      <c r="O179" s="25"/>
    </row>
    <row r="180" spans="2:24" x14ac:dyDescent="0.2">
      <c r="B180" s="38"/>
      <c r="C180" s="38"/>
      <c r="D180" s="440" t="s">
        <v>2</v>
      </c>
      <c r="E180" s="1516" t="str">
        <f>Translations!$B$430</f>
        <v>Emisijas, kas attiecināmas uz siltuma izlaidi</v>
      </c>
      <c r="F180" s="1517"/>
      <c r="G180" s="1517"/>
      <c r="H180" s="66" t="str">
        <f>EUconst_tCO2pa</f>
        <v>t CO2 / gads</v>
      </c>
      <c r="I180" s="328" t="str">
        <f>IF(AND(ISNUMBER(I170),ISNUMBER(I171),ISNUMBER(I164)),I170/I175/(I170/I175+I171/I176)*I164,"")</f>
        <v/>
      </c>
      <c r="J180" s="328" t="str">
        <f>IF(AND(ISNUMBER(J170),ISNUMBER(J171),ISNUMBER(J164)),J170/J175/(J170/J175+J171/J176)*J164,"")</f>
        <v/>
      </c>
      <c r="K180" s="328" t="str">
        <f>IF(AND(ISNUMBER(K170),ISNUMBER(K171),ISNUMBER(K164)),K170/K175/(K170/K175+K171/K176)*K164,"")</f>
        <v/>
      </c>
      <c r="L180" s="328" t="str">
        <f>IF(AND(ISNUMBER(L170),ISNUMBER(L171),ISNUMBER(L164)),L170/L175/(L170/L175+L171/L176)*L164,"")</f>
        <v/>
      </c>
      <c r="M180" s="328" t="str">
        <f>IF(AND(ISNUMBER(M170),ISNUMBER(M171),ISNUMBER(M164)),M170/M175/(M170/M175+M171/M176)*M164,"")</f>
        <v/>
      </c>
      <c r="N180" s="38"/>
      <c r="O180" s="25"/>
    </row>
    <row r="181" spans="2:24" x14ac:dyDescent="0.2">
      <c r="B181" s="38"/>
      <c r="C181" s="38"/>
      <c r="D181" s="440" t="s">
        <v>3</v>
      </c>
      <c r="E181" s="1516" t="str">
        <f>Translations!$B$431</f>
        <v>Emisijas faktors, siltums</v>
      </c>
      <c r="F181" s="1517"/>
      <c r="G181" s="1517"/>
      <c r="H181" s="66" t="str">
        <f>EUconst_tCO2pTJ</f>
        <v>t CO2 / TJ</v>
      </c>
      <c r="I181" s="328" t="str">
        <f>IF(AND(ISNUMBER(I153),ISNUMBER(I180)),I180/I153,"")</f>
        <v/>
      </c>
      <c r="J181" s="328" t="str">
        <f>IF(AND(ISNUMBER(J153),ISNUMBER(J180)),J180/J153,"")</f>
        <v/>
      </c>
      <c r="K181" s="328" t="str">
        <f>IF(AND(ISNUMBER(K153),ISNUMBER(K180)),K180/K153,"")</f>
        <v/>
      </c>
      <c r="L181" s="328" t="str">
        <f>IF(AND(ISNUMBER(L153),ISNUMBER(L180)),L180/L153,"")</f>
        <v/>
      </c>
      <c r="M181" s="328" t="str">
        <f>IF(AND(ISNUMBER(M153),ISNUMBER(M180)),M180/M153,"")</f>
        <v/>
      </c>
      <c r="N181" s="414"/>
      <c r="O181" s="25"/>
    </row>
    <row r="182" spans="2:24" ht="5.0999999999999996" customHeight="1" x14ac:dyDescent="0.2">
      <c r="B182" s="38"/>
      <c r="C182" s="38"/>
      <c r="D182" s="38"/>
      <c r="E182" s="38"/>
      <c r="F182" s="38"/>
      <c r="G182" s="38"/>
      <c r="H182" s="38"/>
      <c r="I182" s="38"/>
      <c r="J182" s="38"/>
      <c r="K182" s="38"/>
      <c r="L182" s="38"/>
      <c r="M182" s="38"/>
      <c r="N182" s="38"/>
      <c r="O182" s="25"/>
      <c r="X182" s="607"/>
    </row>
    <row r="183" spans="2:24" x14ac:dyDescent="0.2">
      <c r="B183" s="21"/>
      <c r="C183" s="21"/>
      <c r="D183" s="32" t="s">
        <v>83</v>
      </c>
      <c r="E183" s="1250" t="str">
        <f>Translations!$B$432</f>
        <v>Uz siltuma un elektroenerģijas ražošanu attiecināmā kurināmā ielaide</v>
      </c>
      <c r="F183" s="1251"/>
      <c r="G183" s="1251"/>
      <c r="H183" s="1251"/>
      <c r="I183" s="1251"/>
      <c r="J183" s="1251"/>
      <c r="K183" s="1251"/>
      <c r="L183" s="1251"/>
      <c r="M183" s="1251"/>
      <c r="N183" s="1251"/>
      <c r="O183" s="25"/>
      <c r="P183" s="26"/>
      <c r="X183" s="607"/>
    </row>
    <row r="184" spans="2:24" x14ac:dyDescent="0.2">
      <c r="B184" s="38"/>
      <c r="C184" s="38"/>
      <c r="D184" s="38"/>
      <c r="E184" s="1515"/>
      <c r="F184" s="1275"/>
      <c r="G184" s="1275"/>
      <c r="H184" s="53" t="str">
        <f>EUconst_Unit</f>
        <v>Vienība</v>
      </c>
      <c r="I184" s="412">
        <f>I$312</f>
        <v>2019</v>
      </c>
      <c r="J184" s="412">
        <f>J$312</f>
        <v>2020</v>
      </c>
      <c r="K184" s="412">
        <f>K$312</f>
        <v>2021</v>
      </c>
      <c r="L184" s="412">
        <f>L$312</f>
        <v>2022</v>
      </c>
      <c r="M184" s="412">
        <f>M$312</f>
        <v>2023</v>
      </c>
      <c r="N184" s="38"/>
      <c r="O184" s="25"/>
      <c r="X184" s="607"/>
    </row>
    <row r="185" spans="2:24" x14ac:dyDescent="0.2">
      <c r="B185" s="38"/>
      <c r="C185" s="38"/>
      <c r="D185" s="440" t="s">
        <v>2</v>
      </c>
      <c r="E185" s="1516" t="str">
        <f>Translations!$B$434</f>
        <v>Kurināmā ielaide siltuma ražošanai</v>
      </c>
      <c r="F185" s="1517"/>
      <c r="G185" s="1517"/>
      <c r="H185" s="66" t="str">
        <f>EUconst_TJpa</f>
        <v>TJ / gads</v>
      </c>
      <c r="I185" s="328" t="str">
        <f>IF(AND(ISNUMBER(I170),ISNUMBER(I171),ISNUMBER(I149)),I170/I175/(I170/I175+I171/I176)*I149,"")</f>
        <v/>
      </c>
      <c r="J185" s="328" t="str">
        <f>IF(AND(ISNUMBER(J170),ISNUMBER(J171),ISNUMBER(J149)),J170/J175/(J170/J175+J171/J176)*J149,"")</f>
        <v/>
      </c>
      <c r="K185" s="328" t="str">
        <f>IF(AND(ISNUMBER(K170),ISNUMBER(K171),ISNUMBER(K149)),K170/K175/(K170/K175+K171/K176)*K149,"")</f>
        <v/>
      </c>
      <c r="L185" s="328" t="str">
        <f>IF(AND(ISNUMBER(L170),ISNUMBER(L171),ISNUMBER(L149)),L170/L175/(L170/L175+L171/L176)*L149,"")</f>
        <v/>
      </c>
      <c r="M185" s="328" t="str">
        <f>IF(AND(ISNUMBER(M170),ISNUMBER(M171),ISNUMBER(M149)),M170/M175/(M170/M175+M171/M176)*M149,"")</f>
        <v/>
      </c>
      <c r="N185" s="414"/>
      <c r="O185" s="25"/>
      <c r="X185" s="607"/>
    </row>
    <row r="186" spans="2:24" x14ac:dyDescent="0.2">
      <c r="B186" s="38"/>
      <c r="C186" s="38"/>
      <c r="D186" s="440" t="s">
        <v>3</v>
      </c>
      <c r="E186" s="1516" t="str">
        <f>Translations!$B$435</f>
        <v>Kurināmā ielaide elektroenerģijas ražošanai</v>
      </c>
      <c r="F186" s="1517"/>
      <c r="G186" s="1517"/>
      <c r="H186" s="66" t="str">
        <f>EUconst_TJpa</f>
        <v>TJ / gads</v>
      </c>
      <c r="I186" s="328" t="str">
        <f>IF(ISNUMBER(I185),I149-I185,"")</f>
        <v/>
      </c>
      <c r="J186" s="328" t="str">
        <f>IF(ISNUMBER(J185),J149-J185,"")</f>
        <v/>
      </c>
      <c r="K186" s="328" t="str">
        <f>IF(ISNUMBER(K185),K149-K185,"")</f>
        <v/>
      </c>
      <c r="L186" s="328" t="str">
        <f>IF(ISNUMBER(L185),L149-L185,"")</f>
        <v/>
      </c>
      <c r="M186" s="328" t="str">
        <f>IF(ISNUMBER(M185),M149-M185,"")</f>
        <v/>
      </c>
      <c r="N186" s="38"/>
      <c r="O186" s="25"/>
      <c r="X186" s="607"/>
    </row>
    <row r="187" spans="2:24" x14ac:dyDescent="0.2">
      <c r="B187" s="38"/>
      <c r="C187" s="38"/>
      <c r="D187" s="38"/>
      <c r="E187" s="125"/>
      <c r="F187" s="38"/>
      <c r="G187" s="38"/>
      <c r="H187" s="38"/>
      <c r="I187" s="38"/>
      <c r="J187" s="38"/>
      <c r="K187" s="38"/>
      <c r="L187" s="38"/>
      <c r="M187" s="38"/>
      <c r="N187" s="38"/>
      <c r="O187" s="25"/>
    </row>
    <row r="188" spans="2:24" ht="15.75" x14ac:dyDescent="0.25">
      <c r="B188" s="21"/>
      <c r="C188" s="30" t="s">
        <v>5</v>
      </c>
      <c r="D188" s="1249" t="str">
        <f>Translations!$B$436</f>
        <v>Atlikumgāzu rīks</v>
      </c>
      <c r="E188" s="1249"/>
      <c r="F188" s="1249"/>
      <c r="G188" s="1249"/>
      <c r="H188" s="1249"/>
      <c r="I188" s="1249"/>
      <c r="J188" s="1249"/>
      <c r="K188" s="1249"/>
      <c r="L188" s="1249"/>
      <c r="M188" s="1249"/>
      <c r="N188" s="1249"/>
      <c r="O188" s="25"/>
      <c r="P188" s="26"/>
    </row>
    <row r="189" spans="2:24" ht="5.0999999999999996" customHeight="1" x14ac:dyDescent="0.2">
      <c r="B189" s="21"/>
      <c r="C189" s="21"/>
      <c r="D189" s="21"/>
      <c r="E189" s="21"/>
      <c r="F189" s="21"/>
      <c r="G189" s="21"/>
      <c r="H189" s="21"/>
      <c r="I189" s="21"/>
      <c r="J189" s="21"/>
      <c r="K189" s="21"/>
      <c r="L189" s="21"/>
      <c r="M189" s="25"/>
      <c r="N189" s="25"/>
      <c r="O189" s="25"/>
      <c r="P189" s="26"/>
    </row>
    <row r="190" spans="2:24" ht="12.75" customHeight="1" x14ac:dyDescent="0.2">
      <c r="B190" s="21"/>
      <c r="C190" s="21"/>
      <c r="D190" s="718"/>
      <c r="E190" s="1325" t="str">
        <f>Translations!$B$437</f>
        <v>Vai iekārta patērē ārpus produkta līmeņatzīmes robežām radušās atlikumgāzes?</v>
      </c>
      <c r="F190" s="1325"/>
      <c r="G190" s="1325"/>
      <c r="H190" s="1325"/>
      <c r="I190" s="1325"/>
      <c r="J190" s="1325"/>
      <c r="K190" s="1325"/>
      <c r="L190" s="1489"/>
      <c r="M190" s="527"/>
      <c r="N190" s="25"/>
      <c r="O190" s="25"/>
      <c r="P190" s="26"/>
    </row>
    <row r="191" spans="2:24" x14ac:dyDescent="0.2">
      <c r="B191" s="21"/>
      <c r="C191" s="21"/>
      <c r="D191" s="34"/>
      <c r="E191" s="1319" t="str">
        <f>Translations!$B$438</f>
        <v>Saskaņā ar FAR 2. panta 10. un 11. punktā dotajām definīcijām (sadedzināmas) atlikumgāzes, kas radušās ārpus produktu līmeņatzīmju robežām, uzskata par procesa emisijām.</v>
      </c>
      <c r="F191" s="1251"/>
      <c r="G191" s="1251"/>
      <c r="H191" s="1251"/>
      <c r="I191" s="1251"/>
      <c r="J191" s="1251"/>
      <c r="K191" s="1251"/>
      <c r="L191" s="1251"/>
      <c r="M191" s="1251"/>
      <c r="N191" s="1251"/>
      <c r="O191" s="25"/>
      <c r="P191" s="26"/>
    </row>
    <row r="192" spans="2:24" x14ac:dyDescent="0.2">
      <c r="B192" s="21"/>
      <c r="C192" s="21"/>
      <c r="D192" s="34"/>
      <c r="E192" s="1319" t="str">
        <f>Translations!$B$439</f>
        <v>Tomēr attiecībā uz atlikumgāzēm no kopējām procesa emisijām ir jāatņem CO2 daudzums, kas ekvivalents emisijām no dabasgāzes, no kuras iegūts “tehniski izmantojamais enerģētiskais saturs”.</v>
      </c>
      <c r="F192" s="1251"/>
      <c r="G192" s="1251"/>
      <c r="H192" s="1251"/>
      <c r="I192" s="1251"/>
      <c r="J192" s="1251"/>
      <c r="K192" s="1251"/>
      <c r="L192" s="1251"/>
      <c r="M192" s="1251"/>
      <c r="N192" s="1251"/>
      <c r="O192" s="25"/>
      <c r="P192" s="26"/>
    </row>
    <row r="193" spans="2:24" x14ac:dyDescent="0.2">
      <c r="B193" s="21"/>
      <c r="C193" s="21"/>
      <c r="D193" s="34"/>
      <c r="E193" s="1319" t="str">
        <f>Translations!$B$440</f>
        <v>Procesa emisiju daudzums, no kā šīs emisijas nav atņemtas, tālāk saukts par “nekoriģētajām procesa emisijām”.</v>
      </c>
      <c r="F193" s="1251"/>
      <c r="G193" s="1251"/>
      <c r="H193" s="1251"/>
      <c r="I193" s="1251"/>
      <c r="J193" s="1251"/>
      <c r="K193" s="1251"/>
      <c r="L193" s="1251"/>
      <c r="M193" s="1251"/>
      <c r="N193" s="1251"/>
      <c r="O193" s="25"/>
      <c r="P193" s="26"/>
    </row>
    <row r="194" spans="2:24" x14ac:dyDescent="0.2">
      <c r="B194" s="21"/>
      <c r="C194" s="21"/>
      <c r="D194" s="34"/>
      <c r="E194" s="1319" t="str">
        <f>Translations!$B$441</f>
        <v>Lai noteiktu, kāds ir "tehniski izmantojamais enerģētiskais saturs", ir vajadzīga šāda informācija:</v>
      </c>
      <c r="F194" s="1251"/>
      <c r="G194" s="1251"/>
      <c r="H194" s="1251"/>
      <c r="I194" s="1251"/>
      <c r="J194" s="1251"/>
      <c r="K194" s="1251"/>
      <c r="L194" s="1251"/>
      <c r="M194" s="1251"/>
      <c r="N194" s="1251"/>
      <c r="O194" s="25"/>
      <c r="P194" s="26"/>
    </row>
    <row r="195" spans="2:24" ht="25.5" customHeight="1" x14ac:dyDescent="0.2">
      <c r="B195" s="21"/>
      <c r="C195" s="21"/>
      <c r="D195" s="34"/>
      <c r="E195" s="141" t="s">
        <v>392</v>
      </c>
      <c r="F195" s="1301" t="str">
        <f>Translations!$B$442</f>
        <v>atlikumgāzu daudzums, ko izmanto elektroenerģijas ražošanai un izmērāma vai cita siltuma ražošanai ārpus produkta līmeņatzīmes apakšiekārtām vai ko no iekārtas eksportē;</v>
      </c>
      <c r="G195" s="1302"/>
      <c r="H195" s="1302"/>
      <c r="I195" s="1302"/>
      <c r="J195" s="1302"/>
      <c r="K195" s="1302"/>
      <c r="L195" s="1302"/>
      <c r="M195" s="1302"/>
      <c r="N195" s="1302"/>
      <c r="O195" s="25"/>
      <c r="P195" s="26"/>
    </row>
    <row r="196" spans="2:24" x14ac:dyDescent="0.2">
      <c r="B196" s="21"/>
      <c r="C196" s="21"/>
      <c r="D196" s="34"/>
      <c r="E196" s="141" t="s">
        <v>392</v>
      </c>
      <c r="F196" s="1319" t="str">
        <f>Translations!$B$443</f>
        <v>neobligāti (lai pārbaudītu konsekvenci) — procesa emisijas, kas saistītas ar šiem atlikumgāzu daudzumiem;</v>
      </c>
      <c r="G196" s="1251"/>
      <c r="H196" s="1251"/>
      <c r="I196" s="1251"/>
      <c r="J196" s="1251"/>
      <c r="K196" s="1251"/>
      <c r="L196" s="1251"/>
      <c r="M196" s="1251"/>
      <c r="N196" s="1251"/>
      <c r="O196" s="25"/>
      <c r="P196" s="26"/>
    </row>
    <row r="197" spans="2:24" x14ac:dyDescent="0.2">
      <c r="B197" s="21"/>
      <c r="C197" s="21"/>
      <c r="D197" s="34"/>
      <c r="E197" s="141" t="s">
        <v>392</v>
      </c>
      <c r="F197" s="1319" t="str">
        <f>Translations!$B$444</f>
        <v>atlikumgāzes zemākā siltumspēja;</v>
      </c>
      <c r="G197" s="1251"/>
      <c r="H197" s="1251"/>
      <c r="I197" s="1251"/>
      <c r="J197" s="1251"/>
      <c r="K197" s="1251"/>
      <c r="L197" s="1251"/>
      <c r="M197" s="1251"/>
      <c r="N197" s="1251"/>
      <c r="O197" s="25"/>
      <c r="P197" s="26"/>
    </row>
    <row r="198" spans="2:24" ht="25.5" customHeight="1" x14ac:dyDescent="0.2">
      <c r="B198" s="21"/>
      <c r="C198" s="21"/>
      <c r="D198" s="34"/>
      <c r="E198" s="141" t="s">
        <v>392</v>
      </c>
      <c r="F198" s="1301" t="str">
        <f>Translations!$B$445</f>
        <v>pieņēmumi par lietderības atšķirībām atkarībā no tā, vai izmanto atlikumgāzes vai dabasgāzi. Šie pieņēmumi ir šādi: elektroenerģijas ražošanas lietderība, ja to ražo no dabasgāzes, ir 52,5 %, ja no atlikumgāzēm — 35 %;</v>
      </c>
      <c r="G198" s="1302"/>
      <c r="H198" s="1302"/>
      <c r="I198" s="1302"/>
      <c r="J198" s="1302"/>
      <c r="K198" s="1302"/>
      <c r="L198" s="1302"/>
      <c r="M198" s="1302"/>
      <c r="N198" s="1302"/>
      <c r="O198" s="25"/>
      <c r="P198" s="26"/>
    </row>
    <row r="199" spans="2:24" x14ac:dyDescent="0.2">
      <c r="B199" s="21"/>
      <c r="C199" s="21"/>
      <c r="D199" s="34"/>
      <c r="E199" s="141" t="s">
        <v>392</v>
      </c>
      <c r="F199" s="1319" t="str">
        <f>Translations!$B$446</f>
        <v>dabasgāzes emisijas faktors: 56,1 t CO2/TJ.</v>
      </c>
      <c r="G199" s="1251"/>
      <c r="H199" s="1251"/>
      <c r="I199" s="1251"/>
      <c r="J199" s="1251"/>
      <c r="K199" s="1251"/>
      <c r="L199" s="1251"/>
      <c r="M199" s="1251"/>
      <c r="N199" s="1251"/>
      <c r="O199" s="25"/>
      <c r="P199" s="26"/>
    </row>
    <row r="200" spans="2:24" x14ac:dyDescent="0.2">
      <c r="B200" s="38"/>
      <c r="C200" s="38"/>
      <c r="D200" s="38"/>
      <c r="E200" s="1319" t="str">
        <f>Translations!$B$447</f>
        <v>Tā kā vienā iekārtā aktuālas var būt abas iespējamās apakšiekārtas vai atlikumgāzes var būt dažādas, šis atlikumgāzu rīks veidnē iekļauts divreiz.</v>
      </c>
      <c r="F200" s="1251"/>
      <c r="G200" s="1251"/>
      <c r="H200" s="1251"/>
      <c r="I200" s="1251"/>
      <c r="J200" s="1251"/>
      <c r="K200" s="1251"/>
      <c r="L200" s="1251"/>
      <c r="M200" s="1251"/>
      <c r="N200" s="1251"/>
      <c r="O200" s="25"/>
      <c r="X200" s="607"/>
    </row>
    <row r="201" spans="2:24" ht="5.0999999999999996" customHeight="1" x14ac:dyDescent="0.2">
      <c r="B201" s="21"/>
      <c r="C201" s="21"/>
      <c r="D201" s="21"/>
      <c r="E201" s="21"/>
      <c r="F201" s="21"/>
      <c r="G201" s="21"/>
      <c r="H201" s="21"/>
      <c r="I201" s="21"/>
      <c r="J201" s="21"/>
      <c r="K201" s="21"/>
      <c r="L201" s="21"/>
      <c r="M201" s="25"/>
      <c r="N201" s="25"/>
      <c r="O201" s="25"/>
      <c r="P201" s="26"/>
    </row>
    <row r="202" spans="2:24" ht="15" customHeight="1" x14ac:dyDescent="0.25">
      <c r="B202" s="21"/>
      <c r="C202" s="36">
        <v>1</v>
      </c>
      <c r="D202" s="1318" t="str">
        <f>Translations!$B$448</f>
        <v>Rīks procesa emisiju aprēķināšanai, ja atlikumgāzes saražotas ārpus produktu līmeņatzīmēm</v>
      </c>
      <c r="E202" s="1251"/>
      <c r="F202" s="1251"/>
      <c r="G202" s="1251"/>
      <c r="H202" s="1251"/>
      <c r="I202" s="1251"/>
      <c r="J202" s="1251"/>
      <c r="K202" s="1251"/>
      <c r="L202" s="1251"/>
      <c r="M202" s="1251"/>
      <c r="N202" s="1251"/>
      <c r="O202" s="25"/>
      <c r="P202" s="26"/>
      <c r="X202" s="437" t="s">
        <v>450</v>
      </c>
    </row>
    <row r="203" spans="2:24" ht="5.0999999999999996" customHeight="1" thickBot="1" x14ac:dyDescent="0.25">
      <c r="B203" s="21"/>
      <c r="C203" s="21"/>
      <c r="D203" s="21"/>
      <c r="E203" s="21"/>
      <c r="F203" s="21"/>
      <c r="G203" s="21"/>
      <c r="H203" s="21"/>
      <c r="I203" s="21"/>
      <c r="J203" s="21"/>
      <c r="K203" s="21"/>
      <c r="L203" s="21"/>
      <c r="M203" s="25"/>
      <c r="N203" s="25"/>
      <c r="O203" s="25"/>
      <c r="P203" s="26"/>
    </row>
    <row r="204" spans="2:24" ht="14.25" x14ac:dyDescent="0.2">
      <c r="B204" s="21"/>
      <c r="C204" s="21"/>
      <c r="D204" s="32" t="s">
        <v>165</v>
      </c>
      <c r="E204" s="1250" t="str">
        <f>Translations!$B$449</f>
        <v>Šī sadaļa attiecas uz šāda veida procesa emisiju apakšiekārtu:</v>
      </c>
      <c r="F204" s="1250"/>
      <c r="G204" s="1250"/>
      <c r="H204" s="1250"/>
      <c r="I204" s="1250"/>
      <c r="J204" s="1250"/>
      <c r="K204" s="1524"/>
      <c r="L204" s="1534"/>
      <c r="M204" s="1535"/>
      <c r="N204" s="1536"/>
      <c r="O204" s="25"/>
      <c r="P204" s="26"/>
      <c r="X204" s="710" t="b">
        <f>AND(M190&lt;&gt;"",M190=FALSE)</f>
        <v>0</v>
      </c>
    </row>
    <row r="205" spans="2:24" x14ac:dyDescent="0.2">
      <c r="B205" s="38"/>
      <c r="C205" s="38"/>
      <c r="D205" s="38"/>
      <c r="E205" s="1319" t="str">
        <f>Translations!$B$450</f>
        <v>Šeit izvēlieties, uz kuru no divām procesa emisiju apakšiekārtām attiecas dati šajā rīkā.</v>
      </c>
      <c r="F205" s="1251"/>
      <c r="G205" s="1251"/>
      <c r="H205" s="1251"/>
      <c r="I205" s="1251"/>
      <c r="J205" s="1251"/>
      <c r="K205" s="1251"/>
      <c r="L205" s="1251"/>
      <c r="M205" s="1251"/>
      <c r="N205" s="1251"/>
      <c r="O205" s="25"/>
      <c r="X205" s="607"/>
    </row>
    <row r="206" spans="2:24" x14ac:dyDescent="0.2">
      <c r="B206" s="38"/>
      <c r="C206" s="38"/>
      <c r="D206" s="38"/>
      <c r="E206" s="1319" t="str">
        <f>Translations!$B$451</f>
        <v>Nosakot pareizo apakšiekārtu, relevanta ir atlikumgāzu rašanās, nevis izmantošana.</v>
      </c>
      <c r="F206" s="1251"/>
      <c r="G206" s="1251"/>
      <c r="H206" s="1251"/>
      <c r="I206" s="1251"/>
      <c r="J206" s="1251"/>
      <c r="K206" s="1251"/>
      <c r="L206" s="1251"/>
      <c r="M206" s="1251"/>
      <c r="N206" s="1251"/>
      <c r="O206" s="25"/>
      <c r="X206" s="607"/>
    </row>
    <row r="207" spans="2:24" ht="5.0999999999999996" customHeight="1" x14ac:dyDescent="0.2">
      <c r="B207" s="21"/>
      <c r="C207" s="21"/>
      <c r="D207" s="21"/>
      <c r="E207" s="21"/>
      <c r="F207" s="21"/>
      <c r="G207" s="21"/>
      <c r="H207" s="21"/>
      <c r="I207" s="21"/>
      <c r="J207" s="21"/>
      <c r="K207" s="21"/>
      <c r="L207" s="21"/>
      <c r="M207" s="25"/>
      <c r="N207" s="25"/>
      <c r="O207" s="25"/>
      <c r="P207" s="26"/>
      <c r="X207" s="607"/>
    </row>
    <row r="208" spans="2:24" ht="15" x14ac:dyDescent="0.25">
      <c r="B208" s="21"/>
      <c r="C208" s="21"/>
      <c r="D208" s="32" t="s">
        <v>339</v>
      </c>
      <c r="E208" s="1250" t="str">
        <f>Translations!$B$452</f>
        <v>Norādiet, vai atlikumgāzes apakšiekārtai ir relevantas:</v>
      </c>
      <c r="F208" s="1250"/>
      <c r="G208" s="1250"/>
      <c r="H208" s="1250"/>
      <c r="I208" s="1250"/>
      <c r="J208" s="1250"/>
      <c r="K208" s="1524"/>
      <c r="L208" s="1531"/>
      <c r="M208" s="1532"/>
      <c r="N208" s="1533"/>
      <c r="O208" s="25"/>
      <c r="P208" s="26"/>
      <c r="X208" s="361" t="b">
        <f>X204</f>
        <v>0</v>
      </c>
    </row>
    <row r="209" spans="2:24" ht="5.0999999999999996" customHeight="1" x14ac:dyDescent="0.2">
      <c r="B209" s="21"/>
      <c r="C209" s="21"/>
      <c r="D209" s="21"/>
      <c r="E209" s="21"/>
      <c r="F209" s="21"/>
      <c r="G209" s="21"/>
      <c r="H209" s="21"/>
      <c r="I209" s="21"/>
      <c r="J209" s="21"/>
      <c r="K209" s="21"/>
      <c r="L209" s="21"/>
      <c r="M209" s="25"/>
      <c r="N209" s="25"/>
      <c r="O209" s="25"/>
      <c r="P209" s="26"/>
      <c r="X209" s="607"/>
    </row>
    <row r="210" spans="2:24" x14ac:dyDescent="0.2">
      <c r="B210" s="21"/>
      <c r="C210" s="21"/>
      <c r="D210" s="32" t="s">
        <v>11</v>
      </c>
      <c r="E210" s="1250" t="str">
        <f>Translations!$B$453</f>
        <v>Atlikumgāzes veids:</v>
      </c>
      <c r="F210" s="1251"/>
      <c r="G210" s="1328"/>
      <c r="H210" s="1537"/>
      <c r="I210" s="1538"/>
      <c r="J210" s="1538"/>
      <c r="K210" s="1538"/>
      <c r="L210" s="1538"/>
      <c r="M210" s="1538"/>
      <c r="N210" s="1539"/>
      <c r="O210" s="25"/>
      <c r="P210" s="26"/>
      <c r="X210" s="361" t="b">
        <f>X208</f>
        <v>0</v>
      </c>
    </row>
    <row r="211" spans="2:24" x14ac:dyDescent="0.2">
      <c r="B211" s="38"/>
      <c r="C211" s="38"/>
      <c r="D211" s="38"/>
      <c r="E211" s="1319" t="str">
        <f>Translations!$B$454</f>
        <v>Aprakstiet atlikumgāzi un procesu, kurā tā rodas. Augstāk ierakstiet gāzes plūsmas nosaukumu, bet zemāk — īsu procesa aprakstu.</v>
      </c>
      <c r="F211" s="1251"/>
      <c r="G211" s="1251"/>
      <c r="H211" s="1251"/>
      <c r="I211" s="1251"/>
      <c r="J211" s="1251"/>
      <c r="K211" s="1251"/>
      <c r="L211" s="1251"/>
      <c r="M211" s="1251"/>
      <c r="N211" s="1251"/>
      <c r="O211" s="25"/>
      <c r="X211" s="607"/>
    </row>
    <row r="212" spans="2:24" x14ac:dyDescent="0.2">
      <c r="B212" s="38"/>
      <c r="C212" s="38"/>
      <c r="D212" s="38"/>
      <c r="E212" s="1274" t="str">
        <f>Translations!$B$455</f>
        <v>Ja jūsu iekārtai relevantas ir vairākas atšķirīgas atlikumgāzes, sīkākas ziņas norādiet atsevišķos failos, sarežģītākiem gadījumiem izmantojot šo rīku.</v>
      </c>
      <c r="F212" s="1275"/>
      <c r="G212" s="1275"/>
      <c r="H212" s="1275"/>
      <c r="I212" s="1275"/>
      <c r="J212" s="1275"/>
      <c r="K212" s="1275"/>
      <c r="L212" s="1275"/>
      <c r="M212" s="1275"/>
      <c r="N212" s="1275"/>
      <c r="O212" s="25"/>
      <c r="X212" s="607"/>
    </row>
    <row r="213" spans="2:24" x14ac:dyDescent="0.2">
      <c r="B213" s="21"/>
      <c r="C213" s="21"/>
      <c r="D213" s="32"/>
      <c r="E213" s="1525"/>
      <c r="F213" s="1526"/>
      <c r="G213" s="1526"/>
      <c r="H213" s="1526"/>
      <c r="I213" s="1526"/>
      <c r="J213" s="1526"/>
      <c r="K213" s="1526"/>
      <c r="L213" s="1526"/>
      <c r="M213" s="1526"/>
      <c r="N213" s="1527"/>
      <c r="O213" s="25"/>
      <c r="P213" s="26"/>
      <c r="X213" s="361" t="b">
        <f>X210</f>
        <v>0</v>
      </c>
    </row>
    <row r="214" spans="2:24" x14ac:dyDescent="0.2">
      <c r="B214" s="21"/>
      <c r="C214" s="21"/>
      <c r="D214" s="32"/>
      <c r="E214" s="1528"/>
      <c r="F214" s="1529"/>
      <c r="G214" s="1529"/>
      <c r="H214" s="1529"/>
      <c r="I214" s="1529"/>
      <c r="J214" s="1529"/>
      <c r="K214" s="1529"/>
      <c r="L214" s="1529"/>
      <c r="M214" s="1529"/>
      <c r="N214" s="1530"/>
      <c r="O214" s="25"/>
      <c r="P214" s="26"/>
      <c r="X214" s="361" t="b">
        <f>X213</f>
        <v>0</v>
      </c>
    </row>
    <row r="215" spans="2:24" ht="5.0999999999999996" customHeight="1" x14ac:dyDescent="0.2">
      <c r="B215" s="21"/>
      <c r="C215" s="21"/>
      <c r="D215" s="21"/>
      <c r="E215" s="21"/>
      <c r="F215" s="21"/>
      <c r="G215" s="21"/>
      <c r="H215" s="21"/>
      <c r="I215" s="21"/>
      <c r="J215" s="21"/>
      <c r="K215" s="21"/>
      <c r="L215" s="21"/>
      <c r="M215" s="25"/>
      <c r="N215" s="25"/>
      <c r="O215" s="25"/>
      <c r="P215" s="26"/>
      <c r="X215" s="607"/>
    </row>
    <row r="216" spans="2:24" x14ac:dyDescent="0.2">
      <c r="B216" s="21"/>
      <c r="C216" s="21"/>
      <c r="D216" s="32" t="s">
        <v>342</v>
      </c>
      <c r="E216" s="1250" t="str">
        <f>Translations!$B$456</f>
        <v>Kopējais procesa emisiju daudzums, pirms tiek atņemts tehniski izmantojamā enerģētiskā satura ekvivalents:</v>
      </c>
      <c r="F216" s="1251"/>
      <c r="G216" s="1251"/>
      <c r="H216" s="1251"/>
      <c r="I216" s="1251"/>
      <c r="J216" s="1251"/>
      <c r="K216" s="1251"/>
      <c r="L216" s="1251"/>
      <c r="M216" s="1251"/>
      <c r="N216" s="1251"/>
      <c r="O216" s="25"/>
      <c r="P216" s="26"/>
      <c r="X216" s="607"/>
    </row>
    <row r="217" spans="2:24" x14ac:dyDescent="0.2">
      <c r="B217" s="21"/>
      <c r="C217" s="21"/>
      <c r="D217" s="34"/>
      <c r="E217" s="1319" t="str">
        <f>Translations!$B$457</f>
        <v>Šim daudzumam jāatbilst oglekļa emisiju pārvirzes statusam, kas norādīts a) punktā.</v>
      </c>
      <c r="F217" s="1251"/>
      <c r="G217" s="1251"/>
      <c r="H217" s="1251"/>
      <c r="I217" s="1251"/>
      <c r="J217" s="1251"/>
      <c r="K217" s="1251"/>
      <c r="L217" s="1251"/>
      <c r="M217" s="1251"/>
      <c r="N217" s="1251"/>
      <c r="O217" s="25"/>
      <c r="P217" s="26"/>
      <c r="X217" s="607"/>
    </row>
    <row r="218" spans="2:24" x14ac:dyDescent="0.2">
      <c r="B218" s="38"/>
      <c r="C218" s="38"/>
      <c r="D218" s="32"/>
      <c r="E218" s="43"/>
      <c r="F218" s="40"/>
      <c r="G218" s="40"/>
      <c r="H218" s="53" t="str">
        <f>EUconst_Unit</f>
        <v>Vienība</v>
      </c>
      <c r="I218" s="412">
        <f>I$312</f>
        <v>2019</v>
      </c>
      <c r="J218" s="412">
        <f>J$312</f>
        <v>2020</v>
      </c>
      <c r="K218" s="412">
        <f>K$312</f>
        <v>2021</v>
      </c>
      <c r="L218" s="412">
        <f>L$312</f>
        <v>2022</v>
      </c>
      <c r="M218" s="412">
        <f>M$312</f>
        <v>2023</v>
      </c>
      <c r="N218" s="25"/>
      <c r="O218" s="25"/>
      <c r="X218" s="607"/>
    </row>
    <row r="219" spans="2:24" x14ac:dyDescent="0.2">
      <c r="B219" s="38"/>
      <c r="C219" s="38"/>
      <c r="D219" s="38"/>
      <c r="E219" s="1517" t="str">
        <f>Translations!$B$458</f>
        <v>Nekoriģētas procesa emisijas</v>
      </c>
      <c r="F219" s="1517"/>
      <c r="G219" s="1517"/>
      <c r="H219" s="66" t="str">
        <f>EUconst_tCO2epa</f>
        <v>t CO2e/gads</v>
      </c>
      <c r="I219" s="330"/>
      <c r="J219" s="330"/>
      <c r="K219" s="330"/>
      <c r="L219" s="330"/>
      <c r="M219" s="330"/>
      <c r="N219" s="25"/>
      <c r="O219" s="25"/>
      <c r="X219" s="361" t="b">
        <f>X214</f>
        <v>0</v>
      </c>
    </row>
    <row r="220" spans="2:24" ht="5.0999999999999996" customHeight="1" x14ac:dyDescent="0.2">
      <c r="B220" s="21"/>
      <c r="C220" s="21"/>
      <c r="D220" s="21"/>
      <c r="E220" s="21"/>
      <c r="F220" s="21"/>
      <c r="G220" s="21"/>
      <c r="H220" s="21"/>
      <c r="I220" s="21"/>
      <c r="J220" s="21"/>
      <c r="K220" s="21"/>
      <c r="L220" s="21"/>
      <c r="M220" s="25"/>
      <c r="N220" s="25"/>
      <c r="O220" s="25"/>
      <c r="P220" s="26"/>
      <c r="X220" s="607"/>
    </row>
    <row r="221" spans="2:24" x14ac:dyDescent="0.2">
      <c r="B221" s="21"/>
      <c r="C221" s="21"/>
      <c r="D221" s="32" t="s">
        <v>12</v>
      </c>
      <c r="E221" s="1250" t="str">
        <f>Translations!$B$459</f>
        <v>Atlikumgāzu emisiju aplēse</v>
      </c>
      <c r="F221" s="1251"/>
      <c r="G221" s="1251"/>
      <c r="H221" s="1251"/>
      <c r="I221" s="1251"/>
      <c r="J221" s="1251"/>
      <c r="K221" s="1251"/>
      <c r="L221" s="1251"/>
      <c r="M221" s="1251"/>
      <c r="N221" s="1251"/>
      <c r="O221" s="25"/>
      <c r="P221" s="26"/>
      <c r="X221" s="607"/>
    </row>
    <row r="222" spans="2:24" x14ac:dyDescent="0.2">
      <c r="B222" s="21"/>
      <c r="C222" s="21"/>
      <c r="D222" s="34"/>
      <c r="E222" s="1319" t="str">
        <f>Translations!$B$460</f>
        <v>Neobligāti (un tikai konsekvences pārbaudīšanai) sniedziet aplēsi par emisiju daudzumu, kas saistīts ar izmantoto vai eksportēto atlikumgāzi.</v>
      </c>
      <c r="F222" s="1251"/>
      <c r="G222" s="1251"/>
      <c r="H222" s="1251"/>
      <c r="I222" s="1251"/>
      <c r="J222" s="1251"/>
      <c r="K222" s="1251"/>
      <c r="L222" s="1251"/>
      <c r="M222" s="1251"/>
      <c r="N222" s="1251"/>
      <c r="O222" s="25"/>
      <c r="P222" s="26"/>
      <c r="X222" s="607"/>
    </row>
    <row r="223" spans="2:24" x14ac:dyDescent="0.2">
      <c r="B223" s="21"/>
      <c r="C223" s="21"/>
      <c r="D223" s="34"/>
      <c r="E223" s="1319" t="str">
        <f>Translations!$B$461</f>
        <v>Šim daudzumam jāatbilst atlikumgāzu daudzumam f) punktā.</v>
      </c>
      <c r="F223" s="1251"/>
      <c r="G223" s="1251"/>
      <c r="H223" s="1251"/>
      <c r="I223" s="1251"/>
      <c r="J223" s="1251"/>
      <c r="K223" s="1251"/>
      <c r="L223" s="1251"/>
      <c r="M223" s="1251"/>
      <c r="N223" s="1251"/>
      <c r="O223" s="25"/>
      <c r="P223" s="26"/>
      <c r="X223" s="607"/>
    </row>
    <row r="224" spans="2:24" x14ac:dyDescent="0.2">
      <c r="B224" s="38"/>
      <c r="C224" s="38"/>
      <c r="D224" s="32"/>
      <c r="E224" s="1320" t="str">
        <f>Translations!$B$462</f>
        <v>Emisijas no atlikumgāzēm</v>
      </c>
      <c r="F224" s="1275"/>
      <c r="G224" s="1275"/>
      <c r="H224" s="53" t="str">
        <f>EUconst_Unit</f>
        <v>Vienība</v>
      </c>
      <c r="I224" s="412">
        <f>I$312</f>
        <v>2019</v>
      </c>
      <c r="J224" s="412">
        <f>J$312</f>
        <v>2020</v>
      </c>
      <c r="K224" s="412">
        <f>K$312</f>
        <v>2021</v>
      </c>
      <c r="L224" s="412">
        <f>L$312</f>
        <v>2022</v>
      </c>
      <c r="M224" s="412">
        <f>M$312</f>
        <v>2023</v>
      </c>
      <c r="N224" s="25"/>
      <c r="O224" s="25"/>
      <c r="X224" s="607"/>
    </row>
    <row r="225" spans="2:24" x14ac:dyDescent="0.2">
      <c r="B225" s="38"/>
      <c r="C225" s="38"/>
      <c r="D225" s="38"/>
      <c r="E225" s="1517" t="str">
        <f>Translations!$B$463</f>
        <v>ārpus produktu līmeņatzīmēm</v>
      </c>
      <c r="F225" s="1517"/>
      <c r="G225" s="1517"/>
      <c r="H225" s="66" t="str">
        <f>EUconst_tCO2epa</f>
        <v>t CO2e/gads</v>
      </c>
      <c r="I225" s="329"/>
      <c r="J225" s="329"/>
      <c r="K225" s="329"/>
      <c r="L225" s="329"/>
      <c r="M225" s="329"/>
      <c r="N225" s="25"/>
      <c r="O225" s="25"/>
      <c r="X225" s="361" t="b">
        <f>X219</f>
        <v>0</v>
      </c>
    </row>
    <row r="226" spans="2:24" ht="5.0999999999999996" customHeight="1" x14ac:dyDescent="0.2">
      <c r="B226" s="21"/>
      <c r="C226" s="21"/>
      <c r="D226" s="21"/>
      <c r="E226" s="21"/>
      <c r="F226" s="21"/>
      <c r="G226" s="21"/>
      <c r="H226" s="21"/>
      <c r="I226" s="21"/>
      <c r="J226" s="21"/>
      <c r="K226" s="21"/>
      <c r="L226" s="21"/>
      <c r="M226" s="25"/>
      <c r="N226" s="25"/>
      <c r="O226" s="25"/>
      <c r="P226" s="26"/>
      <c r="X226" s="607"/>
    </row>
    <row r="227" spans="2:24" x14ac:dyDescent="0.2">
      <c r="B227" s="21"/>
      <c r="C227" s="21"/>
      <c r="D227" s="32" t="s">
        <v>13</v>
      </c>
      <c r="E227" s="1250" t="str">
        <f>Translations!$B$464</f>
        <v>Ārpus produkta līmeņatzīmju apakšiekārtām saražoto atlikumgāzu daudzums, arī eksportam:</v>
      </c>
      <c r="F227" s="1251"/>
      <c r="G227" s="1251"/>
      <c r="H227" s="1251"/>
      <c r="I227" s="1251"/>
      <c r="J227" s="1251"/>
      <c r="K227" s="1251"/>
      <c r="L227" s="1251"/>
      <c r="M227" s="1251"/>
      <c r="N227" s="1251"/>
      <c r="O227" s="25"/>
      <c r="P227" s="26"/>
      <c r="X227" s="607"/>
    </row>
    <row r="228" spans="2:24" ht="12.75" customHeight="1" x14ac:dyDescent="0.2">
      <c r="B228" s="21"/>
      <c r="C228" s="21"/>
      <c r="D228" s="34"/>
      <c r="E228" s="1319" t="str">
        <f>Translations!$B$457</f>
        <v>Šim daudzumam jāatbilst oglekļa emisiju pārvirzes statusam, kas norādīts a) punktā.</v>
      </c>
      <c r="F228" s="1251"/>
      <c r="G228" s="1251"/>
      <c r="H228" s="1251"/>
      <c r="I228" s="1251"/>
      <c r="J228" s="1251"/>
      <c r="K228" s="1251"/>
      <c r="L228" s="1251"/>
      <c r="M228" s="1251"/>
      <c r="N228" s="1251"/>
      <c r="O228" s="25"/>
      <c r="P228" s="26"/>
      <c r="X228" s="607"/>
    </row>
    <row r="229" spans="2:24" x14ac:dyDescent="0.2">
      <c r="B229" s="21"/>
      <c r="C229" s="21"/>
      <c r="D229" s="34"/>
      <c r="E229" s="1319" t="str">
        <f>Translations!$B$465</f>
        <v>Relevantas ir tikai atlikumgāzes, ko izmanto siltuma vai elektroenerģijas ražošanai. Ja atlikumgāzes tiek sadedzinātas lāpā, relevants ir tikai daudzums, kas lāpā sadedzināts drošības apsvērumu dēļ.</v>
      </c>
      <c r="F229" s="1251"/>
      <c r="G229" s="1251"/>
      <c r="H229" s="1251"/>
      <c r="I229" s="1251"/>
      <c r="J229" s="1251"/>
      <c r="K229" s="1251"/>
      <c r="L229" s="1251"/>
      <c r="M229" s="1251"/>
      <c r="N229" s="1251"/>
      <c r="O229" s="25"/>
      <c r="P229" s="26"/>
      <c r="X229" s="607"/>
    </row>
    <row r="230" spans="2:24" x14ac:dyDescent="0.2">
      <c r="B230" s="21"/>
      <c r="C230" s="21"/>
      <c r="D230" s="34"/>
      <c r="E230" s="1319" t="str">
        <f>Translations!$B$466</f>
        <v>Var izvēlēties, vai daudzumu norādīt tonnās vai 1000 Nm3 (kubikmetri standartapstākļos). Mērvienībām jāatbilst tām, kas tālāk izmantotas zemākajai siltumspējai (NCV).</v>
      </c>
      <c r="F230" s="1251"/>
      <c r="G230" s="1251"/>
      <c r="H230" s="1251"/>
      <c r="I230" s="1251"/>
      <c r="J230" s="1251"/>
      <c r="K230" s="1251"/>
      <c r="L230" s="1251"/>
      <c r="M230" s="1251"/>
      <c r="N230" s="1251"/>
      <c r="O230" s="25"/>
      <c r="P230" s="26"/>
      <c r="X230" s="607"/>
    </row>
    <row r="231" spans="2:24" x14ac:dyDescent="0.2">
      <c r="B231" s="38"/>
      <c r="C231" s="38"/>
      <c r="D231" s="32"/>
      <c r="E231" s="1515" t="str">
        <f>Translations!$B$467</f>
        <v>Atlikumgāzes daudzums gadā</v>
      </c>
      <c r="F231" s="1275"/>
      <c r="G231" s="1275"/>
      <c r="H231" s="53" t="str">
        <f>EUconst_Unit</f>
        <v>Vienība</v>
      </c>
      <c r="I231" s="412">
        <f>I$312</f>
        <v>2019</v>
      </c>
      <c r="J231" s="412">
        <f>J$312</f>
        <v>2020</v>
      </c>
      <c r="K231" s="412">
        <f>K$312</f>
        <v>2021</v>
      </c>
      <c r="L231" s="412">
        <f>L$312</f>
        <v>2022</v>
      </c>
      <c r="M231" s="412">
        <f>M$312</f>
        <v>2023</v>
      </c>
      <c r="N231" s="38"/>
      <c r="O231" s="25"/>
      <c r="X231" s="607"/>
    </row>
    <row r="232" spans="2:24" x14ac:dyDescent="0.2">
      <c r="B232" s="38"/>
      <c r="C232" s="38"/>
      <c r="D232" s="38"/>
      <c r="E232" s="1517" t="str">
        <f>Translations!$B$463</f>
        <v>ārpus produktu līmeņatzīmēm</v>
      </c>
      <c r="F232" s="1517"/>
      <c r="G232" s="1517"/>
      <c r="H232" s="246"/>
      <c r="I232" s="330"/>
      <c r="J232" s="330"/>
      <c r="K232" s="330"/>
      <c r="L232" s="330"/>
      <c r="M232" s="330"/>
      <c r="N232" s="38"/>
      <c r="O232" s="25"/>
      <c r="X232" s="361" t="b">
        <f>X225</f>
        <v>0</v>
      </c>
    </row>
    <row r="233" spans="2:24" ht="5.0999999999999996" customHeight="1" x14ac:dyDescent="0.2">
      <c r="B233" s="21"/>
      <c r="C233" s="21"/>
      <c r="D233" s="21"/>
      <c r="E233" s="21"/>
      <c r="F233" s="21"/>
      <c r="G233" s="21"/>
      <c r="H233" s="21"/>
      <c r="I233" s="21"/>
      <c r="J233" s="21"/>
      <c r="K233" s="21"/>
      <c r="L233" s="21"/>
      <c r="M233" s="25"/>
      <c r="N233" s="25"/>
      <c r="O233" s="25"/>
      <c r="P233" s="26"/>
      <c r="X233" s="607"/>
    </row>
    <row r="234" spans="2:24" x14ac:dyDescent="0.2">
      <c r="B234" s="21"/>
      <c r="C234" s="21"/>
      <c r="D234" s="32" t="s">
        <v>81</v>
      </c>
      <c r="E234" s="1250" t="str">
        <f>Translations!$B$468</f>
        <v>Atlikumgāzes zemākā siltumspēja</v>
      </c>
      <c r="F234" s="1251"/>
      <c r="G234" s="1251"/>
      <c r="H234" s="1251"/>
      <c r="I234" s="1251"/>
      <c r="J234" s="1251"/>
      <c r="K234" s="1251"/>
      <c r="L234" s="1251"/>
      <c r="M234" s="1251"/>
      <c r="N234" s="1251"/>
      <c r="O234" s="25"/>
      <c r="P234" s="26"/>
      <c r="X234" s="607"/>
    </row>
    <row r="235" spans="2:24" x14ac:dyDescent="0.2">
      <c r="B235" s="21"/>
      <c r="C235" s="21"/>
      <c r="D235" s="34"/>
      <c r="E235" s="1319" t="str">
        <f>Translations!$B$469</f>
        <v>Iespējams izvēlēties, vai to norādīt GJ/t vai GJ/1000 Nm3. Mērvienībām jāatbilst tām, kas izmantotas iepriekšējos punktos.</v>
      </c>
      <c r="F235" s="1251"/>
      <c r="G235" s="1251"/>
      <c r="H235" s="1251"/>
      <c r="I235" s="1251"/>
      <c r="J235" s="1251"/>
      <c r="K235" s="1251"/>
      <c r="L235" s="1251"/>
      <c r="M235" s="1251"/>
      <c r="N235" s="1251"/>
      <c r="O235" s="25"/>
      <c r="P235" s="26"/>
      <c r="X235" s="607"/>
    </row>
    <row r="236" spans="2:24" x14ac:dyDescent="0.2">
      <c r="B236" s="38"/>
      <c r="C236" s="38"/>
      <c r="D236" s="32"/>
      <c r="E236" s="40"/>
      <c r="F236" s="40"/>
      <c r="G236" s="40"/>
      <c r="H236" s="53" t="str">
        <f>EUconst_Unit</f>
        <v>Vienība</v>
      </c>
      <c r="I236" s="412">
        <f>I$312</f>
        <v>2019</v>
      </c>
      <c r="J236" s="412">
        <f>J$312</f>
        <v>2020</v>
      </c>
      <c r="K236" s="412">
        <f>K$312</f>
        <v>2021</v>
      </c>
      <c r="L236" s="412">
        <f>L$312</f>
        <v>2022</v>
      </c>
      <c r="M236" s="412">
        <f>M$312</f>
        <v>2023</v>
      </c>
      <c r="N236" s="38"/>
      <c r="O236" s="25"/>
      <c r="S236" s="63">
        <f>I236</f>
        <v>2019</v>
      </c>
      <c r="T236" s="63">
        <f>J236</f>
        <v>2020</v>
      </c>
      <c r="U236" s="63">
        <f>K236</f>
        <v>2021</v>
      </c>
      <c r="V236" s="63">
        <f>L236</f>
        <v>2022</v>
      </c>
      <c r="W236" s="63">
        <f>M236</f>
        <v>2023</v>
      </c>
      <c r="X236" s="607"/>
    </row>
    <row r="237" spans="2:24" x14ac:dyDescent="0.2">
      <c r="B237" s="38"/>
      <c r="C237" s="38"/>
      <c r="D237" s="38"/>
      <c r="E237" s="1517" t="str">
        <f>Translations!$B$470</f>
        <v>Zemākā siltumspēja</v>
      </c>
      <c r="F237" s="1517"/>
      <c r="G237" s="1517"/>
      <c r="H237" s="116" t="str">
        <f>IF(ISBLANK(H232),EUconst_GJperUnit,INDEX(EUconst_GJperTorKNm3,MATCH(H232,EUconst_TonnesOrkNm3pa,0)))</f>
        <v>GJ / Vienība</v>
      </c>
      <c r="I237" s="330"/>
      <c r="J237" s="330"/>
      <c r="K237" s="330"/>
      <c r="L237" s="330"/>
      <c r="M237" s="330"/>
      <c r="N237" s="38"/>
      <c r="O237" s="25"/>
      <c r="P237" s="453" t="str">
        <f>EUconst_CNTR_WGProduced &amp; C202</f>
        <v>WasteGasProd_1</v>
      </c>
      <c r="R237" s="891" t="s">
        <v>526</v>
      </c>
      <c r="S237" s="134" t="str">
        <f>IF(COUNT(I232,I237)&gt;0,I232*I237/1000,"")</f>
        <v/>
      </c>
      <c r="T237" s="134" t="str">
        <f>IF(COUNT(J232,J237)&gt;0,J232*J237/1000,"")</f>
        <v/>
      </c>
      <c r="U237" s="134" t="str">
        <f>IF(COUNT(K232,K237)&gt;0,K232*K237/1000,"")</f>
        <v/>
      </c>
      <c r="V237" s="134" t="str">
        <f>IF(COUNT(L232,L237)&gt;0,L232*L237/1000,"")</f>
        <v/>
      </c>
      <c r="W237" s="182" t="str">
        <f>IF(COUNT(M232,M237)&gt;0,M232*M237/1000,"")</f>
        <v/>
      </c>
      <c r="X237" s="361" t="b">
        <f>X232</f>
        <v>0</v>
      </c>
    </row>
    <row r="238" spans="2:24" ht="5.0999999999999996" customHeight="1" x14ac:dyDescent="0.2">
      <c r="B238" s="21"/>
      <c r="C238" s="21"/>
      <c r="D238" s="21"/>
      <c r="E238" s="21"/>
      <c r="F238" s="21"/>
      <c r="G238" s="21"/>
      <c r="H238" s="21"/>
      <c r="I238" s="21"/>
      <c r="J238" s="21"/>
      <c r="K238" s="21"/>
      <c r="L238" s="21"/>
      <c r="M238" s="25"/>
      <c r="N238" s="25"/>
      <c r="O238" s="25"/>
      <c r="P238" s="26"/>
      <c r="X238" s="607"/>
    </row>
    <row r="239" spans="2:24" x14ac:dyDescent="0.2">
      <c r="B239" s="21"/>
      <c r="C239" s="21"/>
      <c r="D239" s="32" t="s">
        <v>82</v>
      </c>
      <c r="E239" s="1250" t="str">
        <f>Translations!$B$471</f>
        <v>Nepieciešamie pieņēmumi:</v>
      </c>
      <c r="F239" s="1251"/>
      <c r="G239" s="1251"/>
      <c r="H239" s="1251"/>
      <c r="I239" s="1251"/>
      <c r="J239" s="1251"/>
      <c r="K239" s="1251"/>
      <c r="L239" s="1251"/>
      <c r="M239" s="1251"/>
      <c r="N239" s="1251"/>
      <c r="O239" s="25"/>
      <c r="P239" s="26"/>
      <c r="X239" s="607"/>
    </row>
    <row r="240" spans="2:24" x14ac:dyDescent="0.2">
      <c r="B240" s="38"/>
      <c r="C240" s="38"/>
      <c r="D240" s="38"/>
      <c r="E240" s="1520" t="str">
        <f>Translations!$B$472</f>
        <v>Elektroenerģijas ražošanas references lietderība:</v>
      </c>
      <c r="F240" s="1520"/>
      <c r="G240" s="1520"/>
      <c r="H240" s="1520"/>
      <c r="I240" s="143"/>
      <c r="J240" s="143" t="str">
        <f>Translations!$B$473</f>
        <v>izmantojot dabasgāzi:</v>
      </c>
      <c r="K240" s="247">
        <v>0.52500000000000002</v>
      </c>
      <c r="L240" s="49"/>
      <c r="M240" s="143" t="str">
        <f>Translations!$B$474</f>
        <v>izmantojot atlikumgāzes:</v>
      </c>
      <c r="N240" s="247">
        <v>0.35</v>
      </c>
      <c r="O240" s="25"/>
      <c r="X240" s="607"/>
    </row>
    <row r="241" spans="2:24" x14ac:dyDescent="0.2">
      <c r="B241" s="38"/>
      <c r="C241" s="38"/>
      <c r="D241" s="38"/>
      <c r="E241" s="1523" t="str">
        <f>Translations!$B$475</f>
        <v>Dabasgāzes emisijas faktors:</v>
      </c>
      <c r="F241" s="1521"/>
      <c r="G241" s="1522"/>
      <c r="H241" s="42">
        <f>EUconst_NGEFvalue</f>
        <v>56.1</v>
      </c>
      <c r="I241" s="49" t="str">
        <f>EUconst_tCO2pTJ</f>
        <v>t CO2 / TJ</v>
      </c>
      <c r="J241" s="38"/>
      <c r="K241" s="38"/>
      <c r="L241" s="38"/>
      <c r="M241" s="38"/>
      <c r="N241" s="38"/>
      <c r="O241" s="25"/>
      <c r="X241" s="607"/>
    </row>
    <row r="242" spans="2:24" ht="5.0999999999999996" customHeight="1" x14ac:dyDescent="0.2">
      <c r="B242" s="21"/>
      <c r="C242" s="21"/>
      <c r="D242" s="21"/>
      <c r="E242" s="21"/>
      <c r="F242" s="21"/>
      <c r="G242" s="21"/>
      <c r="H242" s="21"/>
      <c r="I242" s="21"/>
      <c r="J242" s="21"/>
      <c r="K242" s="21"/>
      <c r="L242" s="21"/>
      <c r="M242" s="25"/>
      <c r="N242" s="25"/>
      <c r="O242" s="25"/>
      <c r="P242" s="26"/>
      <c r="X242" s="607"/>
    </row>
    <row r="243" spans="2:24" x14ac:dyDescent="0.2">
      <c r="B243" s="21"/>
      <c r="C243" s="21"/>
      <c r="D243" s="32" t="s">
        <v>83</v>
      </c>
      <c r="E243" s="1250" t="str">
        <f>Translations!$B$476</f>
        <v>Emisijas, kas atskaitāmas, lai ņemtu vērā tehniski izmantojamo enerģētisko saturu:</v>
      </c>
      <c r="F243" s="1251"/>
      <c r="G243" s="1251"/>
      <c r="H243" s="1251"/>
      <c r="I243" s="1251"/>
      <c r="J243" s="1251"/>
      <c r="K243" s="1251"/>
      <c r="L243" s="1251"/>
      <c r="M243" s="1251"/>
      <c r="N243" s="1251"/>
      <c r="O243" s="25"/>
      <c r="P243" s="26"/>
      <c r="X243" s="607"/>
    </row>
    <row r="244" spans="2:24" x14ac:dyDescent="0.2">
      <c r="B244" s="21"/>
      <c r="C244" s="21"/>
      <c r="D244" s="34"/>
      <c r="E244" s="1319" t="str">
        <f>Translations!$B$477</f>
        <v>Šie daudzumi tiek aprēķināti automātiski, balstoties uz iepriekš ievadītajiem skaitļiem. Formula ir aprakstīta norādījumu dokumentā Nr. 8.</v>
      </c>
      <c r="F244" s="1251"/>
      <c r="G244" s="1251"/>
      <c r="H244" s="1251"/>
      <c r="I244" s="1251"/>
      <c r="J244" s="1251"/>
      <c r="K244" s="1251"/>
      <c r="L244" s="1251"/>
      <c r="M244" s="1251"/>
      <c r="N244" s="1251"/>
      <c r="O244" s="25"/>
      <c r="P244" s="26"/>
      <c r="X244" s="607"/>
    </row>
    <row r="245" spans="2:24" x14ac:dyDescent="0.2">
      <c r="B245" s="38"/>
      <c r="C245" s="38"/>
      <c r="D245" s="32"/>
      <c r="E245" s="1515" t="str">
        <f>Translations!$B$478</f>
        <v>Atskaitījums par atlikumgāzēm</v>
      </c>
      <c r="F245" s="1275"/>
      <c r="G245" s="1275"/>
      <c r="H245" s="53" t="str">
        <f>EUconst_Unit</f>
        <v>Vienība</v>
      </c>
      <c r="I245" s="412">
        <f>I$312</f>
        <v>2019</v>
      </c>
      <c r="J245" s="412">
        <f>J$312</f>
        <v>2020</v>
      </c>
      <c r="K245" s="412">
        <f>K$312</f>
        <v>2021</v>
      </c>
      <c r="L245" s="412">
        <f>L$312</f>
        <v>2022</v>
      </c>
      <c r="M245" s="412">
        <f>M$312</f>
        <v>2023</v>
      </c>
      <c r="N245" s="38"/>
      <c r="O245" s="25"/>
      <c r="X245" s="607"/>
    </row>
    <row r="246" spans="2:24" x14ac:dyDescent="0.2">
      <c r="B246" s="38"/>
      <c r="C246" s="38"/>
      <c r="D246" s="38"/>
      <c r="E246" s="1517" t="str">
        <f>Translations!$B$463</f>
        <v>ārpus produktu līmeņatzīmēm</v>
      </c>
      <c r="F246" s="1517"/>
      <c r="G246" s="1517"/>
      <c r="H246" s="66" t="str">
        <f>EUconst_tCO2pa</f>
        <v>t CO2 / gads</v>
      </c>
      <c r="I246" s="328" t="str">
        <f>IF(AND(ISNUMBER(I232),ISNUMBER(I237)),(I232*I237/1000)*$H241*$N240/$K240,"")</f>
        <v/>
      </c>
      <c r="J246" s="328" t="str">
        <f>IF(AND(ISNUMBER(J232),ISNUMBER(J237)),(J232*J237/1000)*$H241*$N240/$K240,"")</f>
        <v/>
      </c>
      <c r="K246" s="328" t="str">
        <f>IF(AND(ISNUMBER(K232),ISNUMBER(K237)),(K232*K237/1000)*$H241*$N240/$K240,"")</f>
        <v/>
      </c>
      <c r="L246" s="328" t="str">
        <f>IF(AND(ISNUMBER(L232),ISNUMBER(L237)),(L232*L237/1000)*$H241*$N240/$K240,"")</f>
        <v/>
      </c>
      <c r="M246" s="328" t="str">
        <f>IF(AND(ISNUMBER(M232),ISNUMBER(M237)),(M232*M237/1000)*$H241*$N240/$K240,"")</f>
        <v/>
      </c>
      <c r="N246" s="38"/>
      <c r="O246" s="25"/>
      <c r="X246" s="607"/>
    </row>
    <row r="247" spans="2:24" x14ac:dyDescent="0.2">
      <c r="B247" s="38"/>
      <c r="C247" s="38"/>
      <c r="D247" s="38"/>
      <c r="E247" s="38"/>
      <c r="F247" s="38"/>
      <c r="G247" s="38"/>
      <c r="H247" s="38"/>
      <c r="I247" s="38"/>
      <c r="J247" s="38"/>
      <c r="K247" s="38"/>
      <c r="L247" s="38"/>
      <c r="M247" s="38"/>
      <c r="N247" s="38"/>
      <c r="O247" s="25"/>
      <c r="X247" s="607"/>
    </row>
    <row r="248" spans="2:24" x14ac:dyDescent="0.2">
      <c r="B248" s="21"/>
      <c r="C248" s="21"/>
      <c r="D248" s="32" t="s">
        <v>211</v>
      </c>
      <c r="E248" s="1250" t="str">
        <f>Translations!$B$479</f>
        <v>Procesa emisijas, kas aprēķinātas, ņemot vērā ar atlikumgāzēm saistīto korekciju (=d-i)</v>
      </c>
      <c r="F248" s="1251"/>
      <c r="G248" s="1251"/>
      <c r="H248" s="1251"/>
      <c r="I248" s="1251"/>
      <c r="J248" s="1251"/>
      <c r="K248" s="1251"/>
      <c r="L248" s="1251"/>
      <c r="M248" s="1251"/>
      <c r="N248" s="1251"/>
      <c r="O248" s="25"/>
      <c r="P248" s="26"/>
      <c r="X248" s="607"/>
    </row>
    <row r="249" spans="2:24" x14ac:dyDescent="0.2">
      <c r="B249" s="21"/>
      <c r="C249" s="21"/>
      <c r="D249" s="34"/>
      <c r="E249" s="1343" t="str">
        <f>Translations!$B$480</f>
        <v>Šis ir galīgais ar šo rīku iegūstamais rezultāts. Šeit attēlotās vērtības ir jāieraksta G lapā kā uz relevanto procesa emisiju apakšiekārtu attiecināmās emisijas.</v>
      </c>
      <c r="F249" s="1344"/>
      <c r="G249" s="1344"/>
      <c r="H249" s="1344"/>
      <c r="I249" s="1344"/>
      <c r="J249" s="1344"/>
      <c r="K249" s="1344"/>
      <c r="L249" s="1344"/>
      <c r="M249" s="1344"/>
      <c r="N249" s="1344"/>
      <c r="O249" s="25"/>
      <c r="P249" s="26"/>
      <c r="X249" s="607"/>
    </row>
    <row r="250" spans="2:24" x14ac:dyDescent="0.2">
      <c r="B250" s="21"/>
      <c r="C250" s="21"/>
      <c r="D250" s="34"/>
      <c r="E250" s="1319" t="str">
        <f>Translations!$B$429</f>
        <v>Aprēķinu rezultātus var uzskatīt par pareiziem tikai tad, ja iepriekšējās sadaļās ziņotie dati ir pilnīgi un konsekventi.</v>
      </c>
      <c r="F250" s="1251"/>
      <c r="G250" s="1251"/>
      <c r="H250" s="1251"/>
      <c r="I250" s="1251"/>
      <c r="J250" s="1251"/>
      <c r="K250" s="1251"/>
      <c r="L250" s="1251"/>
      <c r="M250" s="1251"/>
      <c r="N250" s="1251"/>
      <c r="O250" s="25"/>
      <c r="P250" s="26"/>
      <c r="X250" s="607"/>
    </row>
    <row r="251" spans="2:24" x14ac:dyDescent="0.2">
      <c r="B251" s="21"/>
      <c r="C251" s="21"/>
      <c r="D251" s="34"/>
      <c r="E251" s="1319" t="str">
        <f>Translations!$B$481</f>
        <v>Ja rezultāts ir negatīvs, tas tiek nomainīts uz nulli.</v>
      </c>
      <c r="F251" s="1251"/>
      <c r="G251" s="1251"/>
      <c r="H251" s="1251"/>
      <c r="I251" s="1251"/>
      <c r="J251" s="1251"/>
      <c r="K251" s="1251"/>
      <c r="L251" s="1251"/>
      <c r="M251" s="1251"/>
      <c r="N251" s="1251"/>
      <c r="O251" s="25"/>
      <c r="P251" s="26"/>
      <c r="X251" s="607"/>
    </row>
    <row r="252" spans="2:24" x14ac:dyDescent="0.2">
      <c r="B252" s="38"/>
      <c r="C252" s="38"/>
      <c r="D252" s="32"/>
      <c r="E252" s="40"/>
      <c r="F252" s="40"/>
      <c r="G252" s="40"/>
      <c r="H252" s="53" t="str">
        <f>EUconst_Unit</f>
        <v>Vienība</v>
      </c>
      <c r="I252" s="412">
        <f>I$312</f>
        <v>2019</v>
      </c>
      <c r="J252" s="412">
        <f>J$312</f>
        <v>2020</v>
      </c>
      <c r="K252" s="412">
        <f>K$312</f>
        <v>2021</v>
      </c>
      <c r="L252" s="412">
        <f>L$312</f>
        <v>2022</v>
      </c>
      <c r="M252" s="412">
        <f>M$312</f>
        <v>2023</v>
      </c>
      <c r="N252" s="38"/>
      <c r="O252" s="25"/>
      <c r="X252" s="607"/>
    </row>
    <row r="253" spans="2:24" x14ac:dyDescent="0.2">
      <c r="B253" s="38"/>
      <c r="C253" s="38"/>
      <c r="D253" s="38"/>
      <c r="E253" s="1517" t="str">
        <f>Translations!$B$482</f>
        <v>Atlikumgāzu rīka rezultāts:</v>
      </c>
      <c r="F253" s="1517"/>
      <c r="G253" s="1517"/>
      <c r="H253" s="70" t="str">
        <f>EUconst_tCO2pa</f>
        <v>t CO2 / gads</v>
      </c>
      <c r="I253" s="328" t="str">
        <f>IF(ISNUMBER(I246),IF((IF(ISNUMBER(I219),I219,0)-SUM(I246))&lt;0,0,IF(ISNUMBER(I219),I219,0)-SUM(I246)),"")</f>
        <v/>
      </c>
      <c r="J253" s="328" t="str">
        <f>IF(ISNUMBER(J246),IF((IF(ISNUMBER(J219),J219,0)-SUM(J246))&lt;0,0,IF(ISNUMBER(J219),J219,0)-SUM(J246)),"")</f>
        <v/>
      </c>
      <c r="K253" s="328" t="str">
        <f>IF(ISNUMBER(K246),IF((IF(ISNUMBER(K219),K219,0)-SUM(K246))&lt;0,0,IF(ISNUMBER(K219),K219,0)-SUM(K246)),"")</f>
        <v/>
      </c>
      <c r="L253" s="328" t="str">
        <f>IF(ISNUMBER(L246),IF((IF(ISNUMBER(L219),L219,0)-SUM(L246))&lt;0,0,IF(ISNUMBER(L219),L219,0)-SUM(L246)),"")</f>
        <v/>
      </c>
      <c r="M253" s="328" t="str">
        <f>IF(ISNUMBER(M246),IF((IF(ISNUMBER(M219),M219,0)-SUM(M246))&lt;0,0,IF(ISNUMBER(M219),M219,0)-SUM(M246)),"")</f>
        <v/>
      </c>
      <c r="N253" s="38"/>
      <c r="O253" s="25"/>
      <c r="X253" s="607"/>
    </row>
    <row r="254" spans="2:24" x14ac:dyDescent="0.2">
      <c r="B254" s="38"/>
      <c r="C254" s="38"/>
      <c r="D254" s="38"/>
      <c r="E254" s="38"/>
      <c r="F254" s="38"/>
      <c r="G254" s="38"/>
      <c r="H254" s="38"/>
      <c r="I254" s="38"/>
      <c r="J254" s="38"/>
      <c r="K254" s="38"/>
      <c r="L254" s="38"/>
      <c r="M254" s="38"/>
      <c r="N254" s="38"/>
      <c r="O254" s="25"/>
      <c r="X254" s="607"/>
    </row>
    <row r="255" spans="2:24" ht="5.0999999999999996" customHeight="1" x14ac:dyDescent="0.2">
      <c r="B255" s="21"/>
      <c r="C255" s="21"/>
      <c r="D255" s="21"/>
      <c r="E255" s="21"/>
      <c r="F255" s="21"/>
      <c r="G255" s="21"/>
      <c r="H255" s="21"/>
      <c r="I255" s="21"/>
      <c r="J255" s="21"/>
      <c r="K255" s="21"/>
      <c r="L255" s="21"/>
      <c r="M255" s="25"/>
      <c r="N255" s="25"/>
      <c r="O255" s="25"/>
      <c r="P255" s="26"/>
      <c r="X255" s="607"/>
    </row>
    <row r="256" spans="2:24" ht="15" x14ac:dyDescent="0.25">
      <c r="B256" s="21"/>
      <c r="C256" s="36">
        <v>2</v>
      </c>
      <c r="D256" s="1318" t="str">
        <f>Translations!$B$448</f>
        <v>Rīks procesa emisiju aprēķināšanai, ja atlikumgāzes saražotas ārpus produktu līmeņatzīmēm</v>
      </c>
      <c r="E256" s="1251"/>
      <c r="F256" s="1251"/>
      <c r="G256" s="1251"/>
      <c r="H256" s="1251"/>
      <c r="I256" s="1251"/>
      <c r="J256" s="1251"/>
      <c r="K256" s="1251"/>
      <c r="L256" s="1251"/>
      <c r="M256" s="1251"/>
      <c r="N256" s="1251"/>
      <c r="O256" s="25"/>
      <c r="P256" s="26"/>
      <c r="X256" s="607"/>
    </row>
    <row r="257" spans="2:24" ht="5.0999999999999996" customHeight="1" x14ac:dyDescent="0.2">
      <c r="B257" s="21"/>
      <c r="C257" s="21"/>
      <c r="D257" s="21"/>
      <c r="E257" s="21"/>
      <c r="F257" s="21"/>
      <c r="G257" s="21"/>
      <c r="H257" s="21"/>
      <c r="I257" s="21"/>
      <c r="J257" s="21"/>
      <c r="K257" s="21"/>
      <c r="L257" s="21"/>
      <c r="M257" s="25"/>
      <c r="N257" s="25"/>
      <c r="O257" s="25"/>
      <c r="P257" s="26"/>
      <c r="X257" s="607"/>
    </row>
    <row r="258" spans="2:24" x14ac:dyDescent="0.2">
      <c r="B258" s="38"/>
      <c r="C258" s="38"/>
      <c r="D258" s="38"/>
      <c r="E258" s="1519" t="str">
        <f>HYPERLINK($Q258,CONCATENATE(EUconst_MsgSeeFirst," (D.IV.1)"))</f>
        <v>Sīki norādījumi par datu ievadi šajā rīkā ir pieejami pirmajā vietā, kur parādās šis rīks.  (D.IV.1)</v>
      </c>
      <c r="F258" s="1519"/>
      <c r="G258" s="1519"/>
      <c r="H258" s="1519"/>
      <c r="I258" s="1519"/>
      <c r="J258" s="1519"/>
      <c r="K258" s="1519"/>
      <c r="L258" s="1519"/>
      <c r="M258" s="1519"/>
      <c r="N258" s="1519"/>
      <c r="O258" s="25"/>
      <c r="P258" s="20" t="s">
        <v>192</v>
      </c>
      <c r="Q258" s="362" t="str">
        <f>"#"&amp;ADDRESS(ROW(C202),COLUMN(C202))</f>
        <v>#$C$202</v>
      </c>
      <c r="X258" s="607"/>
    </row>
    <row r="259" spans="2:24" ht="5.0999999999999996" customHeight="1" x14ac:dyDescent="0.2">
      <c r="B259" s="21"/>
      <c r="C259" s="21"/>
      <c r="D259" s="21"/>
      <c r="E259" s="21"/>
      <c r="F259" s="21"/>
      <c r="G259" s="21"/>
      <c r="H259" s="21"/>
      <c r="I259" s="21"/>
      <c r="J259" s="21"/>
      <c r="K259" s="21"/>
      <c r="L259" s="21"/>
      <c r="M259" s="25"/>
      <c r="N259" s="25"/>
      <c r="O259" s="25"/>
      <c r="P259" s="26"/>
      <c r="X259" s="607"/>
    </row>
    <row r="260" spans="2:24" ht="14.25" x14ac:dyDescent="0.2">
      <c r="B260" s="21"/>
      <c r="C260" s="21"/>
      <c r="D260" s="32" t="s">
        <v>165</v>
      </c>
      <c r="E260" s="1250" t="str">
        <f>Translations!$B$449</f>
        <v>Šī sadaļa attiecas uz šāda veida procesa emisiju apakšiekārtu:</v>
      </c>
      <c r="F260" s="1250"/>
      <c r="G260" s="1250"/>
      <c r="H260" s="1250"/>
      <c r="I260" s="1250"/>
      <c r="J260" s="1250"/>
      <c r="K260" s="1524"/>
      <c r="L260" s="1534"/>
      <c r="M260" s="1535"/>
      <c r="N260" s="1536"/>
      <c r="O260" s="25"/>
      <c r="P260" s="26"/>
      <c r="X260" s="361" t="b">
        <f>X237</f>
        <v>0</v>
      </c>
    </row>
    <row r="261" spans="2:24" ht="5.0999999999999996" customHeight="1" x14ac:dyDescent="0.2">
      <c r="B261" s="21"/>
      <c r="C261" s="21"/>
      <c r="D261" s="21"/>
      <c r="E261" s="21"/>
      <c r="F261" s="21"/>
      <c r="G261" s="21"/>
      <c r="H261" s="21"/>
      <c r="I261" s="21"/>
      <c r="J261" s="21"/>
      <c r="K261" s="21"/>
      <c r="L261" s="21"/>
      <c r="M261" s="25"/>
      <c r="N261" s="25"/>
      <c r="O261" s="25"/>
      <c r="P261" s="26"/>
      <c r="X261" s="607"/>
    </row>
    <row r="262" spans="2:24" ht="15" x14ac:dyDescent="0.25">
      <c r="B262" s="21"/>
      <c r="C262" s="21"/>
      <c r="D262" s="32" t="s">
        <v>339</v>
      </c>
      <c r="E262" s="1250" t="str">
        <f>Translations!$B$452</f>
        <v>Norādiet, vai atlikumgāzes apakšiekārtai ir relevantas:</v>
      </c>
      <c r="F262" s="1250"/>
      <c r="G262" s="1250"/>
      <c r="H262" s="1250"/>
      <c r="I262" s="1250"/>
      <c r="J262" s="1250"/>
      <c r="K262" s="1524"/>
      <c r="L262" s="1531"/>
      <c r="M262" s="1532"/>
      <c r="N262" s="1533"/>
      <c r="O262" s="25"/>
      <c r="P262" s="26"/>
      <c r="X262" s="361" t="b">
        <f>X260</f>
        <v>0</v>
      </c>
    </row>
    <row r="263" spans="2:24" ht="5.0999999999999996" customHeight="1" x14ac:dyDescent="0.2">
      <c r="B263" s="21"/>
      <c r="C263" s="21"/>
      <c r="D263" s="21"/>
      <c r="E263" s="21"/>
      <c r="F263" s="21"/>
      <c r="G263" s="21"/>
      <c r="H263" s="21"/>
      <c r="I263" s="21"/>
      <c r="J263" s="21"/>
      <c r="K263" s="21"/>
      <c r="L263" s="21"/>
      <c r="M263" s="25"/>
      <c r="N263" s="25"/>
      <c r="O263" s="25"/>
      <c r="P263" s="26"/>
      <c r="X263" s="607"/>
    </row>
    <row r="264" spans="2:24" x14ac:dyDescent="0.2">
      <c r="B264" s="21"/>
      <c r="C264" s="21"/>
      <c r="D264" s="32" t="s">
        <v>11</v>
      </c>
      <c r="E264" s="1250" t="str">
        <f>Translations!$B$453</f>
        <v>Atlikumgāzes veids:</v>
      </c>
      <c r="F264" s="1251"/>
      <c r="G264" s="1328"/>
      <c r="H264" s="1537"/>
      <c r="I264" s="1538"/>
      <c r="J264" s="1538"/>
      <c r="K264" s="1538"/>
      <c r="L264" s="1538"/>
      <c r="M264" s="1538"/>
      <c r="N264" s="1539"/>
      <c r="O264" s="25"/>
      <c r="P264" s="26"/>
      <c r="X264" s="361" t="b">
        <f>X262</f>
        <v>0</v>
      </c>
    </row>
    <row r="265" spans="2:24" ht="5.0999999999999996" customHeight="1" x14ac:dyDescent="0.2">
      <c r="B265" s="21"/>
      <c r="C265" s="21"/>
      <c r="D265" s="21"/>
      <c r="E265" s="21"/>
      <c r="F265" s="21"/>
      <c r="G265" s="21"/>
      <c r="H265" s="21"/>
      <c r="I265" s="21"/>
      <c r="J265" s="21"/>
      <c r="K265" s="21"/>
      <c r="L265" s="21"/>
      <c r="M265" s="25"/>
      <c r="N265" s="25"/>
      <c r="O265" s="25"/>
      <c r="P265" s="26"/>
      <c r="X265" s="607"/>
    </row>
    <row r="266" spans="2:24" x14ac:dyDescent="0.2">
      <c r="B266" s="21"/>
      <c r="C266" s="21"/>
      <c r="D266" s="32"/>
      <c r="E266" s="1525"/>
      <c r="F266" s="1526"/>
      <c r="G266" s="1526"/>
      <c r="H266" s="1526"/>
      <c r="I266" s="1526"/>
      <c r="J266" s="1526"/>
      <c r="K266" s="1526"/>
      <c r="L266" s="1526"/>
      <c r="M266" s="1526"/>
      <c r="N266" s="1527"/>
      <c r="O266" s="25"/>
      <c r="P266" s="26"/>
      <c r="X266" s="361" t="b">
        <f>X264</f>
        <v>0</v>
      </c>
    </row>
    <row r="267" spans="2:24" x14ac:dyDescent="0.2">
      <c r="B267" s="21"/>
      <c r="C267" s="21"/>
      <c r="D267" s="32"/>
      <c r="E267" s="1528"/>
      <c r="F267" s="1529"/>
      <c r="G267" s="1529"/>
      <c r="H267" s="1529"/>
      <c r="I267" s="1529"/>
      <c r="J267" s="1529"/>
      <c r="K267" s="1529"/>
      <c r="L267" s="1529"/>
      <c r="M267" s="1529"/>
      <c r="N267" s="1530"/>
      <c r="O267" s="25"/>
      <c r="P267" s="26"/>
      <c r="X267" s="361" t="b">
        <f>X266</f>
        <v>0</v>
      </c>
    </row>
    <row r="268" spans="2:24" ht="5.0999999999999996" customHeight="1" x14ac:dyDescent="0.2">
      <c r="B268" s="21"/>
      <c r="C268" s="21"/>
      <c r="D268" s="21"/>
      <c r="E268" s="21"/>
      <c r="F268" s="21"/>
      <c r="G268" s="21"/>
      <c r="H268" s="21"/>
      <c r="I268" s="21"/>
      <c r="J268" s="21"/>
      <c r="K268" s="21"/>
      <c r="L268" s="21"/>
      <c r="M268" s="25"/>
      <c r="N268" s="25"/>
      <c r="O268" s="25"/>
      <c r="P268" s="26"/>
      <c r="X268" s="607"/>
    </row>
    <row r="269" spans="2:24" x14ac:dyDescent="0.2">
      <c r="B269" s="21"/>
      <c r="C269" s="21"/>
      <c r="D269" s="32" t="s">
        <v>342</v>
      </c>
      <c r="E269" s="1250" t="str">
        <f>Translations!$B$456</f>
        <v>Kopējais procesa emisiju daudzums, pirms tiek atņemts tehniski izmantojamā enerģētiskā satura ekvivalents:</v>
      </c>
      <c r="F269" s="1251"/>
      <c r="G269" s="1251"/>
      <c r="H269" s="1251"/>
      <c r="I269" s="1251"/>
      <c r="J269" s="1251"/>
      <c r="K269" s="1251"/>
      <c r="L269" s="1251"/>
      <c r="M269" s="1251"/>
      <c r="N269" s="1251"/>
      <c r="O269" s="25"/>
      <c r="P269" s="26"/>
      <c r="X269" s="607"/>
    </row>
    <row r="270" spans="2:24" ht="5.0999999999999996" customHeight="1" x14ac:dyDescent="0.2">
      <c r="B270" s="21"/>
      <c r="C270" s="21"/>
      <c r="D270" s="21"/>
      <c r="E270" s="21"/>
      <c r="F270" s="21"/>
      <c r="G270" s="21"/>
      <c r="H270" s="21"/>
      <c r="I270" s="21"/>
      <c r="J270" s="21"/>
      <c r="K270" s="21"/>
      <c r="L270" s="21"/>
      <c r="M270" s="25"/>
      <c r="N270" s="25"/>
      <c r="O270" s="25"/>
      <c r="P270" s="26"/>
      <c r="X270" s="607"/>
    </row>
    <row r="271" spans="2:24" x14ac:dyDescent="0.2">
      <c r="B271" s="38"/>
      <c r="C271" s="38"/>
      <c r="D271" s="32"/>
      <c r="E271" s="43"/>
      <c r="F271" s="40"/>
      <c r="G271" s="40"/>
      <c r="H271" s="53" t="str">
        <f>EUconst_Unit</f>
        <v>Vienība</v>
      </c>
      <c r="I271" s="412">
        <f>I$312</f>
        <v>2019</v>
      </c>
      <c r="J271" s="412">
        <f>J$312</f>
        <v>2020</v>
      </c>
      <c r="K271" s="412">
        <f>K$312</f>
        <v>2021</v>
      </c>
      <c r="L271" s="412">
        <f>L$312</f>
        <v>2022</v>
      </c>
      <c r="M271" s="412">
        <f>M$312</f>
        <v>2023</v>
      </c>
      <c r="N271" s="25"/>
      <c r="O271" s="25"/>
      <c r="X271" s="607"/>
    </row>
    <row r="272" spans="2:24" x14ac:dyDescent="0.2">
      <c r="B272" s="38"/>
      <c r="C272" s="38"/>
      <c r="D272" s="38"/>
      <c r="E272" s="1517" t="str">
        <f>Translations!$B$458</f>
        <v>Nekoriģētas procesa emisijas</v>
      </c>
      <c r="F272" s="1517"/>
      <c r="G272" s="1517"/>
      <c r="H272" s="66" t="str">
        <f>EUconst_tCO2epa</f>
        <v>t CO2e/gads</v>
      </c>
      <c r="I272" s="330"/>
      <c r="J272" s="330"/>
      <c r="K272" s="330"/>
      <c r="L272" s="330"/>
      <c r="M272" s="330"/>
      <c r="N272" s="25"/>
      <c r="O272" s="25"/>
      <c r="X272" s="361" t="b">
        <f>X267</f>
        <v>0</v>
      </c>
    </row>
    <row r="273" spans="2:24" ht="5.0999999999999996" customHeight="1" x14ac:dyDescent="0.2">
      <c r="B273" s="21"/>
      <c r="C273" s="21"/>
      <c r="D273" s="21"/>
      <c r="E273" s="21"/>
      <c r="F273" s="21"/>
      <c r="G273" s="21"/>
      <c r="H273" s="21"/>
      <c r="I273" s="21"/>
      <c r="J273" s="21"/>
      <c r="K273" s="21"/>
      <c r="L273" s="21"/>
      <c r="M273" s="25"/>
      <c r="N273" s="25"/>
      <c r="O273" s="25"/>
      <c r="P273" s="26"/>
      <c r="X273" s="607"/>
    </row>
    <row r="274" spans="2:24" x14ac:dyDescent="0.2">
      <c r="B274" s="21"/>
      <c r="C274" s="21"/>
      <c r="D274" s="32" t="s">
        <v>12</v>
      </c>
      <c r="E274" s="1250" t="str">
        <f>Translations!$B$459</f>
        <v>Atlikumgāzu emisiju aplēse</v>
      </c>
      <c r="F274" s="1251"/>
      <c r="G274" s="1251"/>
      <c r="H274" s="1251"/>
      <c r="I274" s="1251"/>
      <c r="J274" s="1251"/>
      <c r="K274" s="1251"/>
      <c r="L274" s="1251"/>
      <c r="M274" s="1251"/>
      <c r="N274" s="1251"/>
      <c r="O274" s="25"/>
      <c r="P274" s="26"/>
      <c r="X274" s="607"/>
    </row>
    <row r="275" spans="2:24" ht="5.0999999999999996" customHeight="1" x14ac:dyDescent="0.2">
      <c r="B275" s="21"/>
      <c r="C275" s="21"/>
      <c r="D275" s="21"/>
      <c r="E275" s="21"/>
      <c r="F275" s="21"/>
      <c r="G275" s="21"/>
      <c r="H275" s="21"/>
      <c r="I275" s="21"/>
      <c r="J275" s="21"/>
      <c r="K275" s="21"/>
      <c r="L275" s="21"/>
      <c r="M275" s="25"/>
      <c r="N275" s="25"/>
      <c r="O275" s="25"/>
      <c r="P275" s="26"/>
      <c r="X275" s="607"/>
    </row>
    <row r="276" spans="2:24" x14ac:dyDescent="0.2">
      <c r="B276" s="38"/>
      <c r="C276" s="38"/>
      <c r="D276" s="32"/>
      <c r="E276" s="1320" t="str">
        <f>Translations!$B$462</f>
        <v>Emisijas no atlikumgāzēm</v>
      </c>
      <c r="F276" s="1275"/>
      <c r="G276" s="1275"/>
      <c r="H276" s="53" t="str">
        <f>EUconst_Unit</f>
        <v>Vienība</v>
      </c>
      <c r="I276" s="412">
        <f>I$312</f>
        <v>2019</v>
      </c>
      <c r="J276" s="412">
        <f>J$312</f>
        <v>2020</v>
      </c>
      <c r="K276" s="412">
        <f>K$312</f>
        <v>2021</v>
      </c>
      <c r="L276" s="412">
        <f>L$312</f>
        <v>2022</v>
      </c>
      <c r="M276" s="412">
        <f>M$312</f>
        <v>2023</v>
      </c>
      <c r="N276" s="25"/>
      <c r="O276" s="25"/>
      <c r="X276" s="607"/>
    </row>
    <row r="277" spans="2:24" x14ac:dyDescent="0.2">
      <c r="B277" s="38"/>
      <c r="C277" s="38"/>
      <c r="D277" s="38"/>
      <c r="E277" s="1517" t="str">
        <f>Translations!$B$463</f>
        <v>ārpus produktu līmeņatzīmēm</v>
      </c>
      <c r="F277" s="1517"/>
      <c r="G277" s="1517"/>
      <c r="H277" s="66" t="str">
        <f>EUconst_tCO2epa</f>
        <v>t CO2e/gads</v>
      </c>
      <c r="I277" s="329"/>
      <c r="J277" s="329"/>
      <c r="K277" s="329"/>
      <c r="L277" s="329"/>
      <c r="M277" s="329"/>
      <c r="N277" s="25"/>
      <c r="O277" s="25"/>
      <c r="X277" s="361" t="b">
        <f>X272</f>
        <v>0</v>
      </c>
    </row>
    <row r="278" spans="2:24" ht="5.0999999999999996" customHeight="1" x14ac:dyDescent="0.2">
      <c r="B278" s="21"/>
      <c r="C278" s="21"/>
      <c r="D278" s="21"/>
      <c r="E278" s="21"/>
      <c r="F278" s="21"/>
      <c r="G278" s="21"/>
      <c r="H278" s="21"/>
      <c r="I278" s="21"/>
      <c r="J278" s="21"/>
      <c r="K278" s="21"/>
      <c r="L278" s="21"/>
      <c r="M278" s="25"/>
      <c r="N278" s="25"/>
      <c r="O278" s="25"/>
      <c r="P278" s="26"/>
      <c r="X278" s="607"/>
    </row>
    <row r="279" spans="2:24" x14ac:dyDescent="0.2">
      <c r="B279" s="21"/>
      <c r="C279" s="21"/>
      <c r="D279" s="32" t="s">
        <v>13</v>
      </c>
      <c r="E279" s="1250" t="str">
        <f>Translations!$B$464</f>
        <v>Ārpus produkta līmeņatzīmju apakšiekārtām saražoto atlikumgāzu daudzums, arī eksportam:</v>
      </c>
      <c r="F279" s="1251"/>
      <c r="G279" s="1251"/>
      <c r="H279" s="1251"/>
      <c r="I279" s="1251"/>
      <c r="J279" s="1251"/>
      <c r="K279" s="1251"/>
      <c r="L279" s="1251"/>
      <c r="M279" s="1251"/>
      <c r="N279" s="1251"/>
      <c r="O279" s="25"/>
      <c r="P279" s="26"/>
      <c r="X279" s="607"/>
    </row>
    <row r="280" spans="2:24" ht="5.0999999999999996" customHeight="1" x14ac:dyDescent="0.2">
      <c r="B280" s="21"/>
      <c r="C280" s="21"/>
      <c r="D280" s="21"/>
      <c r="E280" s="21"/>
      <c r="F280" s="21"/>
      <c r="G280" s="21"/>
      <c r="H280" s="21"/>
      <c r="I280" s="21"/>
      <c r="J280" s="21"/>
      <c r="K280" s="21"/>
      <c r="L280" s="21"/>
      <c r="M280" s="25"/>
      <c r="N280" s="25"/>
      <c r="O280" s="25"/>
      <c r="P280" s="26"/>
      <c r="X280" s="607"/>
    </row>
    <row r="281" spans="2:24" x14ac:dyDescent="0.2">
      <c r="B281" s="38"/>
      <c r="C281" s="38"/>
      <c r="D281" s="32"/>
      <c r="E281" s="1515" t="str">
        <f>Translations!$B$467</f>
        <v>Atlikumgāzes daudzums gadā</v>
      </c>
      <c r="F281" s="1275"/>
      <c r="G281" s="1275"/>
      <c r="H281" s="53" t="str">
        <f>EUconst_Unit</f>
        <v>Vienība</v>
      </c>
      <c r="I281" s="412">
        <f>I$312</f>
        <v>2019</v>
      </c>
      <c r="J281" s="412">
        <f>J$312</f>
        <v>2020</v>
      </c>
      <c r="K281" s="412">
        <f>K$312</f>
        <v>2021</v>
      </c>
      <c r="L281" s="412">
        <f>L$312</f>
        <v>2022</v>
      </c>
      <c r="M281" s="412">
        <f>M$312</f>
        <v>2023</v>
      </c>
      <c r="N281" s="25"/>
      <c r="O281" s="25"/>
      <c r="X281" s="607"/>
    </row>
    <row r="282" spans="2:24" x14ac:dyDescent="0.2">
      <c r="B282" s="38"/>
      <c r="C282" s="38"/>
      <c r="D282" s="38"/>
      <c r="E282" s="1517" t="str">
        <f>Translations!$B$463</f>
        <v>ārpus produktu līmeņatzīmēm</v>
      </c>
      <c r="F282" s="1517"/>
      <c r="G282" s="1517"/>
      <c r="H282" s="246"/>
      <c r="I282" s="330"/>
      <c r="J282" s="330"/>
      <c r="K282" s="330"/>
      <c r="L282" s="330"/>
      <c r="M282" s="330"/>
      <c r="N282" s="25"/>
      <c r="O282" s="25"/>
      <c r="X282" s="361" t="b">
        <f>X277</f>
        <v>0</v>
      </c>
    </row>
    <row r="283" spans="2:24" ht="5.0999999999999996" customHeight="1" x14ac:dyDescent="0.2">
      <c r="B283" s="21"/>
      <c r="C283" s="21"/>
      <c r="D283" s="21"/>
      <c r="E283" s="21"/>
      <c r="F283" s="21"/>
      <c r="G283" s="21"/>
      <c r="H283" s="21"/>
      <c r="I283" s="21"/>
      <c r="J283" s="21"/>
      <c r="K283" s="21"/>
      <c r="L283" s="21"/>
      <c r="M283" s="25"/>
      <c r="N283" s="25"/>
      <c r="O283" s="25"/>
      <c r="P283" s="26"/>
      <c r="X283" s="607"/>
    </row>
    <row r="284" spans="2:24" x14ac:dyDescent="0.2">
      <c r="B284" s="21"/>
      <c r="C284" s="21"/>
      <c r="D284" s="32" t="s">
        <v>81</v>
      </c>
      <c r="E284" s="1250" t="str">
        <f>Translations!$B$468</f>
        <v>Atlikumgāzes zemākā siltumspēja</v>
      </c>
      <c r="F284" s="1251"/>
      <c r="G284" s="1251"/>
      <c r="H284" s="1251"/>
      <c r="I284" s="1251"/>
      <c r="J284" s="1251"/>
      <c r="K284" s="1251"/>
      <c r="L284" s="1251"/>
      <c r="M284" s="1251"/>
      <c r="N284" s="1251"/>
      <c r="O284" s="25"/>
      <c r="P284" s="26"/>
      <c r="X284" s="607"/>
    </row>
    <row r="285" spans="2:24" x14ac:dyDescent="0.2">
      <c r="B285" s="38"/>
      <c r="C285" s="38"/>
      <c r="D285" s="32"/>
      <c r="E285" s="40"/>
      <c r="F285" s="40"/>
      <c r="G285" s="40"/>
      <c r="H285" s="53" t="str">
        <f>EUconst_Unit</f>
        <v>Vienība</v>
      </c>
      <c r="I285" s="412">
        <f>I$312</f>
        <v>2019</v>
      </c>
      <c r="J285" s="412">
        <f>J$312</f>
        <v>2020</v>
      </c>
      <c r="K285" s="412">
        <f>K$312</f>
        <v>2021</v>
      </c>
      <c r="L285" s="412">
        <f>L$312</f>
        <v>2022</v>
      </c>
      <c r="M285" s="412">
        <f>M$312</f>
        <v>2023</v>
      </c>
      <c r="N285" s="25"/>
      <c r="O285" s="25"/>
      <c r="S285" s="63">
        <f>I285</f>
        <v>2019</v>
      </c>
      <c r="T285" s="63">
        <f>J285</f>
        <v>2020</v>
      </c>
      <c r="U285" s="63">
        <f>K285</f>
        <v>2021</v>
      </c>
      <c r="V285" s="63">
        <f>L285</f>
        <v>2022</v>
      </c>
      <c r="W285" s="63">
        <f>M285</f>
        <v>2023</v>
      </c>
      <c r="X285" s="607"/>
    </row>
    <row r="286" spans="2:24" ht="13.5" thickBot="1" x14ac:dyDescent="0.25">
      <c r="B286" s="38"/>
      <c r="C286" s="38"/>
      <c r="D286" s="38"/>
      <c r="E286" s="1517" t="str">
        <f>Translations!$B$470</f>
        <v>Zemākā siltumspēja</v>
      </c>
      <c r="F286" s="1517"/>
      <c r="G286" s="1517"/>
      <c r="H286" s="116" t="str">
        <f>IF(ISBLANK(H282),EUconst_GJperUnit,INDEX(EUconst_GJperTorKNm3,MATCH(H282,EUconst_TonnesOrkNm3pa,0)))</f>
        <v>GJ / Vienība</v>
      </c>
      <c r="I286" s="330"/>
      <c r="J286" s="330"/>
      <c r="K286" s="330"/>
      <c r="L286" s="330"/>
      <c r="M286" s="330"/>
      <c r="N286" s="25"/>
      <c r="O286" s="25"/>
      <c r="P286" s="453" t="str">
        <f>EUconst_CNTR_WGProduced &amp; C256</f>
        <v>WasteGasProd_2</v>
      </c>
      <c r="R286" s="891" t="s">
        <v>526</v>
      </c>
      <c r="S286" s="134" t="str">
        <f>IF(COUNT(I282,I286)&gt;0,I282*I286/1000,"")</f>
        <v/>
      </c>
      <c r="T286" s="134" t="str">
        <f>IF(COUNT(J282,J286)&gt;0,J282*J286/1000,"")</f>
        <v/>
      </c>
      <c r="U286" s="134" t="str">
        <f>IF(COUNT(K282,K286)&gt;0,K282*K286/1000,"")</f>
        <v/>
      </c>
      <c r="V286" s="134" t="str">
        <f>IF(COUNT(L282,L286)&gt;0,L282*L286/1000,"")</f>
        <v/>
      </c>
      <c r="W286" s="182" t="str">
        <f>IF(COUNT(M282,M286)&gt;0,M282*M286/1000,"")</f>
        <v/>
      </c>
      <c r="X286" s="186" t="b">
        <f>X282</f>
        <v>0</v>
      </c>
    </row>
    <row r="287" spans="2:24" ht="5.0999999999999996" customHeight="1" x14ac:dyDescent="0.2">
      <c r="B287" s="21"/>
      <c r="C287" s="21"/>
      <c r="D287" s="21"/>
      <c r="E287" s="21"/>
      <c r="F287" s="21"/>
      <c r="G287" s="21"/>
      <c r="H287" s="21"/>
      <c r="I287" s="21"/>
      <c r="J287" s="21"/>
      <c r="K287" s="21"/>
      <c r="L287" s="21"/>
      <c r="M287" s="25"/>
      <c r="N287" s="25"/>
      <c r="O287" s="25"/>
      <c r="P287" s="26"/>
    </row>
    <row r="288" spans="2:24" x14ac:dyDescent="0.2">
      <c r="B288" s="21"/>
      <c r="C288" s="21"/>
      <c r="D288" s="32" t="s">
        <v>82</v>
      </c>
      <c r="E288" s="1250" t="str">
        <f>Translations!$B$471</f>
        <v>Nepieciešamie pieņēmumi:</v>
      </c>
      <c r="F288" s="1251"/>
      <c r="G288" s="1251"/>
      <c r="H288" s="1251"/>
      <c r="I288" s="1251"/>
      <c r="J288" s="1251"/>
      <c r="K288" s="1251"/>
      <c r="L288" s="1251"/>
      <c r="M288" s="1251"/>
      <c r="N288" s="1251"/>
      <c r="O288" s="25"/>
      <c r="P288" s="26"/>
    </row>
    <row r="289" spans="2:16" ht="5.0999999999999996" customHeight="1" x14ac:dyDescent="0.2">
      <c r="B289" s="21"/>
      <c r="C289" s="21"/>
      <c r="D289" s="21"/>
      <c r="E289" s="21"/>
      <c r="F289" s="21"/>
      <c r="G289" s="21"/>
      <c r="H289" s="21"/>
      <c r="I289" s="21"/>
      <c r="J289" s="21"/>
      <c r="K289" s="21"/>
      <c r="L289" s="21"/>
      <c r="M289" s="25"/>
      <c r="N289" s="25"/>
      <c r="O289" s="25"/>
      <c r="P289" s="26"/>
    </row>
    <row r="290" spans="2:16" x14ac:dyDescent="0.2">
      <c r="B290" s="38"/>
      <c r="C290" s="38"/>
      <c r="D290" s="38"/>
      <c r="E290" s="1520" t="str">
        <f>Translations!$B$472</f>
        <v>Elektroenerģijas ražošanas references lietderība:</v>
      </c>
      <c r="F290" s="1520"/>
      <c r="G290" s="1520"/>
      <c r="H290" s="1520"/>
      <c r="I290" s="143"/>
      <c r="J290" s="143" t="str">
        <f>Translations!$B$473</f>
        <v>izmantojot dabasgāzi:</v>
      </c>
      <c r="K290" s="247">
        <v>0.52500000000000002</v>
      </c>
      <c r="L290" s="49"/>
      <c r="M290" s="143" t="str">
        <f>Translations!$B$474</f>
        <v>izmantojot atlikumgāzes:</v>
      </c>
      <c r="N290" s="247">
        <v>0.35</v>
      </c>
      <c r="O290" s="25"/>
    </row>
    <row r="291" spans="2:16" x14ac:dyDescent="0.2">
      <c r="B291" s="38"/>
      <c r="C291" s="38"/>
      <c r="D291" s="38"/>
      <c r="E291" s="1521" t="str">
        <f>Translations!$B$475</f>
        <v>Dabasgāzes emisijas faktors:</v>
      </c>
      <c r="F291" s="1521"/>
      <c r="G291" s="1522"/>
      <c r="H291" s="42">
        <f>EUconst_NGEFvalue</f>
        <v>56.1</v>
      </c>
      <c r="I291" s="49" t="str">
        <f>EUconst_tCO2pTJ</f>
        <v>t CO2 / TJ</v>
      </c>
      <c r="J291" s="38"/>
      <c r="K291" s="38"/>
      <c r="L291" s="38"/>
      <c r="M291" s="38"/>
      <c r="N291" s="38"/>
      <c r="O291" s="25"/>
    </row>
    <row r="292" spans="2:16" ht="5.0999999999999996" customHeight="1" x14ac:dyDescent="0.2">
      <c r="B292" s="21"/>
      <c r="C292" s="21"/>
      <c r="D292" s="21"/>
      <c r="E292" s="21"/>
      <c r="F292" s="21"/>
      <c r="G292" s="21"/>
      <c r="H292" s="21"/>
      <c r="I292" s="21"/>
      <c r="J292" s="21"/>
      <c r="K292" s="21"/>
      <c r="L292" s="21"/>
      <c r="M292" s="25"/>
      <c r="N292" s="25"/>
      <c r="O292" s="25"/>
      <c r="P292" s="26"/>
    </row>
    <row r="293" spans="2:16" x14ac:dyDescent="0.2">
      <c r="B293" s="21"/>
      <c r="C293" s="21"/>
      <c r="D293" s="32" t="s">
        <v>83</v>
      </c>
      <c r="E293" s="1250" t="str">
        <f>Translations!$B$476</f>
        <v>Emisijas, kas atskaitāmas, lai ņemtu vērā tehniski izmantojamo enerģētisko saturu:</v>
      </c>
      <c r="F293" s="1251"/>
      <c r="G293" s="1251"/>
      <c r="H293" s="1251"/>
      <c r="I293" s="1251"/>
      <c r="J293" s="1251"/>
      <c r="K293" s="1251"/>
      <c r="L293" s="1251"/>
      <c r="M293" s="1251"/>
      <c r="N293" s="1251"/>
      <c r="O293" s="25"/>
      <c r="P293" s="26"/>
    </row>
    <row r="294" spans="2:16" ht="5.0999999999999996" customHeight="1" x14ac:dyDescent="0.2">
      <c r="B294" s="21"/>
      <c r="C294" s="21"/>
      <c r="D294" s="21"/>
      <c r="E294" s="21"/>
      <c r="F294" s="21"/>
      <c r="G294" s="21"/>
      <c r="H294" s="21"/>
      <c r="I294" s="21"/>
      <c r="J294" s="21"/>
      <c r="K294" s="21"/>
      <c r="L294" s="21"/>
      <c r="M294" s="25"/>
      <c r="N294" s="25"/>
      <c r="O294" s="25"/>
      <c r="P294" s="26"/>
    </row>
    <row r="295" spans="2:16" x14ac:dyDescent="0.2">
      <c r="B295" s="38"/>
      <c r="C295" s="38"/>
      <c r="D295" s="32"/>
      <c r="E295" s="1515" t="str">
        <f>Translations!$B$478</f>
        <v>Atskaitījums par atlikumgāzēm</v>
      </c>
      <c r="F295" s="1275"/>
      <c r="G295" s="1275"/>
      <c r="H295" s="53" t="str">
        <f>EUconst_Unit</f>
        <v>Vienība</v>
      </c>
      <c r="I295" s="412">
        <f>I$312</f>
        <v>2019</v>
      </c>
      <c r="J295" s="412">
        <f>J$312</f>
        <v>2020</v>
      </c>
      <c r="K295" s="412">
        <f>K$312</f>
        <v>2021</v>
      </c>
      <c r="L295" s="412">
        <f>L$312</f>
        <v>2022</v>
      </c>
      <c r="M295" s="412">
        <f>M$312</f>
        <v>2023</v>
      </c>
      <c r="N295" s="25"/>
      <c r="O295" s="25"/>
    </row>
    <row r="296" spans="2:16" x14ac:dyDescent="0.2">
      <c r="B296" s="38"/>
      <c r="C296" s="38"/>
      <c r="D296" s="38"/>
      <c r="E296" s="1517" t="str">
        <f>Translations!$B$463</f>
        <v>ārpus produktu līmeņatzīmēm</v>
      </c>
      <c r="F296" s="1517"/>
      <c r="G296" s="1517"/>
      <c r="H296" s="66" t="str">
        <f>EUconst_tCO2pa</f>
        <v>t CO2 / gads</v>
      </c>
      <c r="I296" s="328" t="str">
        <f>IF(AND(ISNUMBER(I282),ISNUMBER(I286)),(I282*I286/1000)*$H291*$N290/$K290,"")</f>
        <v/>
      </c>
      <c r="J296" s="328" t="str">
        <f>IF(AND(ISNUMBER(J282),ISNUMBER(J286)),(J282*J286/1000)*$H291*$N290/$K290,"")</f>
        <v/>
      </c>
      <c r="K296" s="328" t="str">
        <f>IF(AND(ISNUMBER(K282),ISNUMBER(K286)),(K282*K286/1000)*$H291*$N290/$K290,"")</f>
        <v/>
      </c>
      <c r="L296" s="328" t="str">
        <f>IF(AND(ISNUMBER(L282),ISNUMBER(L286)),(L282*L286/1000)*$H291*$N290/$K290,"")</f>
        <v/>
      </c>
      <c r="M296" s="328" t="str">
        <f>IF(AND(ISNUMBER(M282),ISNUMBER(M286)),(M282*M286/1000)*$H291*$N290/$K290,"")</f>
        <v/>
      </c>
      <c r="N296" s="25"/>
      <c r="O296" s="25"/>
    </row>
    <row r="297" spans="2:16" ht="5.0999999999999996" customHeight="1" x14ac:dyDescent="0.2">
      <c r="B297" s="21"/>
      <c r="C297" s="21"/>
      <c r="D297" s="21"/>
      <c r="E297" s="21"/>
      <c r="F297" s="21"/>
      <c r="G297" s="21"/>
      <c r="H297" s="21"/>
      <c r="I297" s="21"/>
      <c r="J297" s="21"/>
      <c r="K297" s="21"/>
      <c r="L297" s="21"/>
      <c r="M297" s="25"/>
      <c r="N297" s="25"/>
      <c r="O297" s="25"/>
      <c r="P297" s="26"/>
    </row>
    <row r="298" spans="2:16" x14ac:dyDescent="0.2">
      <c r="B298" s="21"/>
      <c r="C298" s="21"/>
      <c r="D298" s="32" t="s">
        <v>211</v>
      </c>
      <c r="E298" s="1250" t="str">
        <f>Translations!$B$479</f>
        <v>Procesa emisijas, kas aprēķinātas, ņemot vērā ar atlikumgāzēm saistīto korekciju (=d-i)</v>
      </c>
      <c r="F298" s="1251"/>
      <c r="G298" s="1251"/>
      <c r="H298" s="1251"/>
      <c r="I298" s="1251"/>
      <c r="J298" s="1251"/>
      <c r="K298" s="1251"/>
      <c r="L298" s="1251"/>
      <c r="M298" s="1251"/>
      <c r="N298" s="1251"/>
      <c r="O298" s="25"/>
      <c r="P298" s="26"/>
    </row>
    <row r="299" spans="2:16" ht="5.0999999999999996" customHeight="1" x14ac:dyDescent="0.2">
      <c r="B299" s="21"/>
      <c r="C299" s="21"/>
      <c r="D299" s="21"/>
      <c r="E299" s="21"/>
      <c r="F299" s="21"/>
      <c r="G299" s="21"/>
      <c r="H299" s="21"/>
      <c r="I299" s="21"/>
      <c r="J299" s="21"/>
      <c r="K299" s="21"/>
      <c r="L299" s="21"/>
      <c r="M299" s="25"/>
      <c r="N299" s="25"/>
      <c r="O299" s="25"/>
      <c r="P299" s="26"/>
    </row>
    <row r="300" spans="2:16" x14ac:dyDescent="0.2">
      <c r="B300" s="38"/>
      <c r="C300" s="38"/>
      <c r="D300" s="32"/>
      <c r="E300" s="40"/>
      <c r="F300" s="40"/>
      <c r="G300" s="40"/>
      <c r="H300" s="53" t="str">
        <f>EUconst_Unit</f>
        <v>Vienība</v>
      </c>
      <c r="I300" s="412">
        <f>I$312</f>
        <v>2019</v>
      </c>
      <c r="J300" s="412">
        <f>J$312</f>
        <v>2020</v>
      </c>
      <c r="K300" s="412">
        <f>K$312</f>
        <v>2021</v>
      </c>
      <c r="L300" s="412">
        <f>L$312</f>
        <v>2022</v>
      </c>
      <c r="M300" s="412">
        <f>M$312</f>
        <v>2023</v>
      </c>
      <c r="N300" s="25"/>
      <c r="O300" s="25"/>
    </row>
    <row r="301" spans="2:16" x14ac:dyDescent="0.2">
      <c r="B301" s="38"/>
      <c r="C301" s="38"/>
      <c r="D301" s="38"/>
      <c r="E301" s="1517" t="str">
        <f>Translations!$B$482</f>
        <v>Atlikumgāzu rīka rezultāts:</v>
      </c>
      <c r="F301" s="1517"/>
      <c r="G301" s="1517"/>
      <c r="H301" s="70" t="str">
        <f>EUconst_tCO2pa</f>
        <v>t CO2 / gads</v>
      </c>
      <c r="I301" s="328" t="str">
        <f>IF(ISNUMBER(I296),IF((IF(ISNUMBER(I272),I272,0)-SUM(I296))&lt;0,0,IF(ISNUMBER(I272),I272,0)-SUM(I296)),"")</f>
        <v/>
      </c>
      <c r="J301" s="328" t="str">
        <f>IF(ISNUMBER(J296),IF((IF(ISNUMBER(J272),J272,0)-SUM(J296))&lt;0,0,IF(ISNUMBER(J272),J272,0)-SUM(J296)),"")</f>
        <v/>
      </c>
      <c r="K301" s="328" t="str">
        <f>IF(ISNUMBER(K296),IF((IF(ISNUMBER(K272),K272,0)-SUM(K296))&lt;0,0,IF(ISNUMBER(K272),K272,0)-SUM(K296)),"")</f>
        <v/>
      </c>
      <c r="L301" s="328" t="str">
        <f>IF(ISNUMBER(L296),IF((IF(ISNUMBER(L272),L272,0)-SUM(L296))&lt;0,0,IF(ISNUMBER(L272),L272,0)-SUM(L296)),"")</f>
        <v/>
      </c>
      <c r="M301" s="328" t="str">
        <f>IF(ISNUMBER(M296),IF((IF(ISNUMBER(M272),M272,0)-SUM(M296))&lt;0,0,IF(ISNUMBER(M272),M272,0)-SUM(M296)),"")</f>
        <v/>
      </c>
      <c r="N301" s="25"/>
      <c r="O301" s="25"/>
    </row>
    <row r="302" spans="2:16" x14ac:dyDescent="0.2">
      <c r="B302" s="38"/>
      <c r="C302" s="38"/>
      <c r="D302" s="38"/>
      <c r="E302" s="38"/>
      <c r="F302" s="38"/>
      <c r="G302" s="38"/>
      <c r="H302" s="38"/>
      <c r="I302" s="38"/>
      <c r="J302" s="38"/>
      <c r="K302" s="38"/>
      <c r="L302" s="38"/>
      <c r="M302" s="38"/>
      <c r="N302" s="38"/>
      <c r="O302" s="25"/>
    </row>
    <row r="303" spans="2:16" x14ac:dyDescent="0.2">
      <c r="B303" s="38"/>
      <c r="C303" s="38"/>
      <c r="D303" s="1519" t="str">
        <f>Translations!$B$73</f>
        <v xml:space="preserve">&lt;&lt;&lt; Lai pārietu uz nākamo lapu, klikšķiniet šeit &gt;&gt;&gt; </v>
      </c>
      <c r="E303" s="1519"/>
      <c r="F303" s="1519"/>
      <c r="G303" s="1519"/>
      <c r="H303" s="1519"/>
      <c r="I303" s="1519"/>
      <c r="J303" s="1519"/>
      <c r="K303" s="1519"/>
      <c r="L303" s="1519"/>
      <c r="M303" s="1519"/>
      <c r="N303" s="1519"/>
      <c r="O303" s="25"/>
    </row>
    <row r="304" spans="2:16" x14ac:dyDescent="0.2">
      <c r="B304" s="38"/>
      <c r="C304" s="38"/>
      <c r="D304" s="38"/>
      <c r="E304" s="38"/>
      <c r="F304" s="38"/>
      <c r="G304" s="38"/>
      <c r="H304" s="38"/>
      <c r="I304" s="38"/>
      <c r="J304" s="38"/>
      <c r="K304" s="38"/>
      <c r="L304" s="38"/>
      <c r="M304" s="38"/>
      <c r="N304" s="38"/>
      <c r="O304" s="25"/>
    </row>
    <row r="305" spans="1:24" hidden="1" x14ac:dyDescent="0.2">
      <c r="A305" s="20" t="s">
        <v>93</v>
      </c>
      <c r="B305" s="20" t="s">
        <v>336</v>
      </c>
      <c r="C305" s="20" t="s">
        <v>336</v>
      </c>
      <c r="D305" s="20" t="s">
        <v>336</v>
      </c>
      <c r="E305" s="20" t="s">
        <v>336</v>
      </c>
      <c r="F305" s="20" t="s">
        <v>336</v>
      </c>
      <c r="G305" s="20" t="s">
        <v>336</v>
      </c>
      <c r="H305" s="20" t="s">
        <v>336</v>
      </c>
      <c r="I305" s="20" t="s">
        <v>336</v>
      </c>
      <c r="J305" s="20" t="s">
        <v>336</v>
      </c>
      <c r="K305" s="20" t="s">
        <v>336</v>
      </c>
      <c r="L305" s="20" t="s">
        <v>336</v>
      </c>
      <c r="M305" s="20" t="s">
        <v>336</v>
      </c>
      <c r="N305" s="20" t="s">
        <v>336</v>
      </c>
      <c r="O305" s="20" t="s">
        <v>336</v>
      </c>
      <c r="P305" s="20" t="s">
        <v>336</v>
      </c>
      <c r="Q305" s="20" t="s">
        <v>336</v>
      </c>
      <c r="R305" s="20" t="s">
        <v>336</v>
      </c>
      <c r="S305" s="20" t="s">
        <v>336</v>
      </c>
      <c r="T305" s="20" t="s">
        <v>336</v>
      </c>
      <c r="U305" s="20" t="s">
        <v>336</v>
      </c>
      <c r="V305" s="20" t="s">
        <v>336</v>
      </c>
      <c r="W305" s="20" t="s">
        <v>336</v>
      </c>
      <c r="X305" s="20" t="s">
        <v>336</v>
      </c>
    </row>
    <row r="306" spans="1:24" hidden="1" x14ac:dyDescent="0.2">
      <c r="A306" s="20" t="s">
        <v>93</v>
      </c>
    </row>
    <row r="307" spans="1:24" hidden="1" x14ac:dyDescent="0.2">
      <c r="A307" s="20" t="s">
        <v>93</v>
      </c>
      <c r="B307" s="20"/>
      <c r="C307" s="20"/>
      <c r="D307" s="63" t="s">
        <v>337</v>
      </c>
      <c r="E307" s="20"/>
      <c r="F307" s="20"/>
      <c r="G307" s="20"/>
      <c r="H307" s="20"/>
      <c r="I307" s="20"/>
      <c r="J307" s="20"/>
      <c r="K307" s="20"/>
      <c r="L307" s="20"/>
      <c r="M307" s="20"/>
      <c r="N307" s="20"/>
      <c r="O307" s="20"/>
    </row>
    <row r="308" spans="1:24" ht="13.5" hidden="1" thickBot="1" x14ac:dyDescent="0.25">
      <c r="A308" s="20" t="s">
        <v>93</v>
      </c>
    </row>
    <row r="309" spans="1:24" hidden="1" x14ac:dyDescent="0.2">
      <c r="A309" s="20" t="s">
        <v>93</v>
      </c>
      <c r="E309" s="180" t="s">
        <v>227</v>
      </c>
      <c r="F309" s="84"/>
      <c r="G309" s="84"/>
      <c r="H309" s="84"/>
      <c r="I309" s="84"/>
      <c r="J309" s="84"/>
      <c r="K309" s="84"/>
      <c r="L309" s="84"/>
      <c r="M309" s="84"/>
      <c r="N309" s="86"/>
    </row>
    <row r="310" spans="1:24" hidden="1" x14ac:dyDescent="0.2">
      <c r="A310" s="20" t="s">
        <v>93</v>
      </c>
      <c r="E310" s="119" t="s">
        <v>340</v>
      </c>
      <c r="F310" s="41"/>
      <c r="G310" s="41"/>
      <c r="H310" s="41"/>
      <c r="I310" s="170">
        <v>1</v>
      </c>
      <c r="J310" s="170">
        <v>2</v>
      </c>
      <c r="K310" s="170">
        <v>3</v>
      </c>
      <c r="L310" s="170">
        <v>4</v>
      </c>
      <c r="M310" s="170">
        <v>5</v>
      </c>
      <c r="N310" s="173"/>
    </row>
    <row r="311" spans="1:24" hidden="1" x14ac:dyDescent="0.2">
      <c r="A311" s="20" t="s">
        <v>93</v>
      </c>
      <c r="E311" s="174" t="s">
        <v>457</v>
      </c>
      <c r="F311" s="41"/>
      <c r="G311" s="41"/>
      <c r="H311" s="41"/>
      <c r="I311" s="170">
        <f>INDEX(EUconst_ReportingYears,I310)</f>
        <v>2014</v>
      </c>
      <c r="J311" s="170">
        <f>INDEX(EUconst_ReportingYears,J310)</f>
        <v>2015</v>
      </c>
      <c r="K311" s="170">
        <f>INDEX(EUconst_ReportingYears,K310)</f>
        <v>2016</v>
      </c>
      <c r="L311" s="170">
        <f>INDEX(EUconst_ReportingYears,L310)</f>
        <v>2017</v>
      </c>
      <c r="M311" s="170">
        <f>INDEX(EUconst_ReportingYears,M310)</f>
        <v>2018</v>
      </c>
      <c r="N311" s="173"/>
    </row>
    <row r="312" spans="1:24" hidden="1" x14ac:dyDescent="0.2">
      <c r="A312" s="20" t="s">
        <v>93</v>
      </c>
      <c r="E312" s="174" t="s">
        <v>456</v>
      </c>
      <c r="F312" s="171"/>
      <c r="G312" s="171"/>
      <c r="H312" s="171"/>
      <c r="I312" s="172">
        <f>IF(CNTR_BaselinePeriod=EUconst_NA,I311,INDEX(EUconst_ReportingYears,I310)+(CNTR_BaselinePeriod-1)*5)</f>
        <v>2019</v>
      </c>
      <c r="J312" s="172">
        <f>IF(CNTR_BaselinePeriod=EUconst_NA,J311,INDEX(EUconst_ReportingYears,J310)+(CNTR_BaselinePeriod-1)*5)</f>
        <v>2020</v>
      </c>
      <c r="K312" s="172">
        <f>IF(CNTR_BaselinePeriod=EUconst_NA,K311,INDEX(EUconst_ReportingYears,K310)+(CNTR_BaselinePeriod-1)*5)</f>
        <v>2021</v>
      </c>
      <c r="L312" s="172">
        <f>IF(CNTR_BaselinePeriod=EUconst_NA,L311,INDEX(EUconst_ReportingYears,L310)+(CNTR_BaselinePeriod-1)*5)</f>
        <v>2022</v>
      </c>
      <c r="M312" s="172">
        <f>IF(CNTR_BaselinePeriod=EUconst_NA,M311,INDEX(EUconst_ReportingYears,M310)+(CNTR_BaselinePeriod-1)*5)</f>
        <v>2023</v>
      </c>
      <c r="N312" s="175"/>
      <c r="O312" s="38"/>
    </row>
    <row r="313" spans="1:24" hidden="1" x14ac:dyDescent="0.2">
      <c r="A313" s="20" t="s">
        <v>93</v>
      </c>
      <c r="E313" s="174" t="s">
        <v>226</v>
      </c>
      <c r="F313" s="171"/>
      <c r="G313" s="171"/>
      <c r="H313" s="171"/>
      <c r="I313" s="172">
        <v>1</v>
      </c>
      <c r="J313" s="172">
        <v>1</v>
      </c>
      <c r="K313" s="172">
        <v>1</v>
      </c>
      <c r="L313" s="172">
        <v>1</v>
      </c>
      <c r="M313" s="172">
        <v>1</v>
      </c>
      <c r="N313" s="175"/>
    </row>
    <row r="314" spans="1:24" hidden="1" x14ac:dyDescent="0.2">
      <c r="A314" s="20" t="s">
        <v>93</v>
      </c>
      <c r="E314" s="174" t="s">
        <v>224</v>
      </c>
      <c r="F314" s="171"/>
      <c r="G314" s="171"/>
      <c r="H314" s="171"/>
      <c r="I314" s="171" t="b">
        <f>(I313=CNTR_BaselinePeriod)</f>
        <v>0</v>
      </c>
      <c r="J314" s="171" t="b">
        <f>(J313=CNTR_BaselinePeriod)</f>
        <v>0</v>
      </c>
      <c r="K314" s="171" t="b">
        <f>(K313=CNTR_BaselinePeriod)</f>
        <v>0</v>
      </c>
      <c r="L314" s="171" t="b">
        <f>(L313=CNTR_BaselinePeriod)</f>
        <v>0</v>
      </c>
      <c r="M314" s="171" t="b">
        <f>(M313=CNTR_BaselinePeriod)</f>
        <v>0</v>
      </c>
      <c r="N314" s="176"/>
    </row>
    <row r="315" spans="1:24" ht="13.5" hidden="1" thickBot="1" x14ac:dyDescent="0.25">
      <c r="A315" s="20" t="s">
        <v>93</v>
      </c>
      <c r="E315" s="177" t="s">
        <v>225</v>
      </c>
      <c r="F315" s="178"/>
      <c r="G315" s="178"/>
      <c r="H315" s="178"/>
      <c r="I315" s="178">
        <f>INDEX(CNTR_BaslineYearRelevant,I310)</f>
        <v>0</v>
      </c>
      <c r="J315" s="178">
        <f>INDEX(CNTR_BaslineYearRelevant,J310)</f>
        <v>0</v>
      </c>
      <c r="K315" s="178">
        <f>INDEX(CNTR_BaslineYearRelevant,K310)</f>
        <v>0</v>
      </c>
      <c r="L315" s="178">
        <f>INDEX(CNTR_BaslineYearRelevant,L310)</f>
        <v>0</v>
      </c>
      <c r="M315" s="178">
        <f>INDEX(CNTR_BaslineYearRelevant,M310)</f>
        <v>0</v>
      </c>
      <c r="N315" s="179"/>
    </row>
    <row r="316" spans="1:24" hidden="1" x14ac:dyDescent="0.2">
      <c r="A316" s="20" t="s">
        <v>93</v>
      </c>
    </row>
    <row r="317" spans="1:24" ht="13.5" hidden="1" thickBot="1" x14ac:dyDescent="0.25">
      <c r="A317" s="20" t="s">
        <v>93</v>
      </c>
      <c r="E317" s="19" t="s">
        <v>30</v>
      </c>
    </row>
    <row r="318" spans="1:24" hidden="1" x14ac:dyDescent="0.2">
      <c r="A318" s="20" t="s">
        <v>93</v>
      </c>
      <c r="D318" s="19">
        <v>8</v>
      </c>
      <c r="E318" s="133" t="str">
        <f>INDEX(EUconst_FallBackListNames,D318)</f>
        <v>Procesa emisiju apakšiekārta (OEP | bez OIM)</v>
      </c>
      <c r="F318" s="132"/>
      <c r="G318" s="132"/>
      <c r="H318" s="1217" t="str">
        <f>EUconst_tCO2epa</f>
        <v>t CO2e/gads</v>
      </c>
      <c r="I318" s="129" t="str">
        <f>IF(ISNUMBER(K_Summary!I132),INDEX(K_Summary!I$114:I$158,MATCH(EUconst_CNTR_HAL&amp;$E318,K_Summary!$P$114:$P$158,0)),"")</f>
        <v/>
      </c>
      <c r="J318" s="129" t="str">
        <f>IF(ISNUMBER(K_Summary!J132),INDEX(K_Summary!J$114:J$158,MATCH(EUconst_CNTR_HAL&amp;$E318,K_Summary!$P$114:$P$158,0)),"")</f>
        <v/>
      </c>
      <c r="K318" s="129" t="str">
        <f>IF(ISNUMBER(K_Summary!K132),INDEX(K_Summary!K$114:K$158,MATCH(EUconst_CNTR_HAL&amp;$E318,K_Summary!$P$114:$P$158,0)),"")</f>
        <v/>
      </c>
      <c r="L318" s="129" t="str">
        <f>IF(ISNUMBER(K_Summary!L132),INDEX(K_Summary!L$114:L$158,MATCH(EUconst_CNTR_HAL&amp;$E318,K_Summary!$P$114:$P$158,0)),"")</f>
        <v/>
      </c>
      <c r="M318" s="128" t="str">
        <f>IF(ISNUMBER(K_Summary!M132),INDEX(K_Summary!M$114:M$158,MATCH(EUconst_CNTR_HAL&amp;$E318,K_Summary!$P$114:$P$158,0)),"")</f>
        <v/>
      </c>
    </row>
    <row r="319" spans="1:24" hidden="1" x14ac:dyDescent="0.2">
      <c r="A319" s="20" t="s">
        <v>93</v>
      </c>
      <c r="D319" s="19">
        <v>9</v>
      </c>
      <c r="E319" s="566" t="str">
        <f>INDEX(EUconst_FallBackListNames,D319)</f>
        <v>Procesa emisiju apakšiekārta (bez OEP | bez OIM)</v>
      </c>
      <c r="F319" s="567"/>
      <c r="G319" s="567"/>
      <c r="H319" s="568" t="str">
        <f>EUconst_tCO2epa</f>
        <v>t CO2e/gads</v>
      </c>
      <c r="I319" s="569" t="str">
        <f>IF(ISNUMBER(K_Summary!I133),INDEX(K_Summary!I$114:I$158,MATCH(EUconst_CNTR_HAL&amp;$E319,K_Summary!$P$114:$P$158,0)),"")</f>
        <v/>
      </c>
      <c r="J319" s="569" t="str">
        <f>IF(ISNUMBER(K_Summary!J133),INDEX(K_Summary!J$114:J$158,MATCH(EUconst_CNTR_HAL&amp;$E319,K_Summary!$P$114:$P$158,0)),"")</f>
        <v/>
      </c>
      <c r="K319" s="569" t="str">
        <f>IF(ISNUMBER(K_Summary!K133),INDEX(K_Summary!K$114:K$158,MATCH(EUconst_CNTR_HAL&amp;$E319,K_Summary!$P$114:$P$158,0)),"")</f>
        <v/>
      </c>
      <c r="L319" s="569" t="str">
        <f>IF(ISNUMBER(K_Summary!L133),INDEX(K_Summary!L$114:L$158,MATCH(EUconst_CNTR_HAL&amp;$E319,K_Summary!$P$114:$P$158,0)),"")</f>
        <v/>
      </c>
      <c r="M319" s="570" t="str">
        <f>IF(ISNUMBER(K_Summary!M133),INDEX(K_Summary!M$114:M$158,MATCH(EUconst_CNTR_HAL&amp;$E319,K_Summary!$P$114:$P$158,0)),"")</f>
        <v/>
      </c>
    </row>
    <row r="320" spans="1:24" ht="13.5" hidden="1" thickBot="1" x14ac:dyDescent="0.25">
      <c r="A320" s="20" t="s">
        <v>93</v>
      </c>
      <c r="D320" s="19">
        <v>10</v>
      </c>
      <c r="E320" s="131" t="str">
        <f>INDEX(EUconst_FallBackListNames,D320)</f>
        <v>Procesa emisiju apakšiekārta (OEP | OIM)</v>
      </c>
      <c r="F320" s="130"/>
      <c r="G320" s="130"/>
      <c r="H320" s="192" t="str">
        <f>EUconst_tCO2epa</f>
        <v>t CO2e/gads</v>
      </c>
      <c r="I320" s="127" t="str">
        <f>IF(ISNUMBER(K_Summary!I134),INDEX(K_Summary!I$114:I$158,MATCH(EUconst_CNTR_HAL&amp;$E320,K_Summary!$P$114:$P$158,0)),"")</f>
        <v/>
      </c>
      <c r="J320" s="127" t="str">
        <f>IF(ISNUMBER(K_Summary!J134),INDEX(K_Summary!J$114:J$158,MATCH(EUconst_CNTR_HAL&amp;$E320,K_Summary!$P$114:$P$158,0)),"")</f>
        <v/>
      </c>
      <c r="K320" s="127" t="str">
        <f>IF(ISNUMBER(K_Summary!K134),INDEX(K_Summary!K$114:K$158,MATCH(EUconst_CNTR_HAL&amp;$E320,K_Summary!$P$114:$P$158,0)),"")</f>
        <v/>
      </c>
      <c r="L320" s="127" t="str">
        <f>IF(ISNUMBER(K_Summary!L134),INDEX(K_Summary!L$114:L$158,MATCH(EUconst_CNTR_HAL&amp;$E320,K_Summary!$P$114:$P$158,0)),"")</f>
        <v/>
      </c>
      <c r="M320" s="126" t="str">
        <f>IF(ISNUMBER(K_Summary!M134),INDEX(K_Summary!M$114:M$158,MATCH(EUconst_CNTR_HAL&amp;$E320,K_Summary!$P$114:$P$158,0)),"")</f>
        <v/>
      </c>
    </row>
    <row r="321" spans="1:1" hidden="1" x14ac:dyDescent="0.2">
      <c r="A321" s="20" t="s">
        <v>93</v>
      </c>
    </row>
  </sheetData>
  <sheetCalcPr fullCalcOnLoad="1"/>
  <sheetProtection sheet="1" objects="1" scenarios="1" formatCells="0" formatColumns="0" formatRows="0"/>
  <mergeCells count="241">
    <mergeCell ref="E84:N84"/>
    <mergeCell ref="E61:G61"/>
    <mergeCell ref="E60:G60"/>
    <mergeCell ref="E157:G157"/>
    <mergeCell ref="F31:N31"/>
    <mergeCell ref="F30:N30"/>
    <mergeCell ref="E48:N48"/>
    <mergeCell ref="D86:N86"/>
    <mergeCell ref="E49:N49"/>
    <mergeCell ref="E107:G107"/>
    <mergeCell ref="F29:N29"/>
    <mergeCell ref="E73:N73"/>
    <mergeCell ref="E78:L78"/>
    <mergeCell ref="E57:G57"/>
    <mergeCell ref="E67:G67"/>
    <mergeCell ref="D76:N76"/>
    <mergeCell ref="F33:N33"/>
    <mergeCell ref="F34:N34"/>
    <mergeCell ref="E42:G42"/>
    <mergeCell ref="E56:G56"/>
    <mergeCell ref="E190:L190"/>
    <mergeCell ref="E82:N82"/>
    <mergeCell ref="E74:M74"/>
    <mergeCell ref="E72:N72"/>
    <mergeCell ref="E58:G58"/>
    <mergeCell ref="E59:G59"/>
    <mergeCell ref="E68:G68"/>
    <mergeCell ref="D70:N70"/>
    <mergeCell ref="D63:N63"/>
    <mergeCell ref="D65:N65"/>
    <mergeCell ref="D26:N26"/>
    <mergeCell ref="E43:G43"/>
    <mergeCell ref="E51:G51"/>
    <mergeCell ref="E53:G53"/>
    <mergeCell ref="E91:G91"/>
    <mergeCell ref="E19:G19"/>
    <mergeCell ref="E38:G38"/>
    <mergeCell ref="E20:G20"/>
    <mergeCell ref="E40:G40"/>
    <mergeCell ref="E55:G55"/>
    <mergeCell ref="E14:N14"/>
    <mergeCell ref="M2:N2"/>
    <mergeCell ref="K3:L3"/>
    <mergeCell ref="M3:N3"/>
    <mergeCell ref="E3:F3"/>
    <mergeCell ref="G3:H3"/>
    <mergeCell ref="D6:N6"/>
    <mergeCell ref="D11:N11"/>
    <mergeCell ref="E28:N28"/>
    <mergeCell ref="D13:N13"/>
    <mergeCell ref="D8:N8"/>
    <mergeCell ref="B2:D4"/>
    <mergeCell ref="G2:H2"/>
    <mergeCell ref="K2:L2"/>
    <mergeCell ref="I2:J2"/>
    <mergeCell ref="D10:N10"/>
    <mergeCell ref="M4:N4"/>
    <mergeCell ref="I3:J3"/>
    <mergeCell ref="D303:N303"/>
    <mergeCell ref="E4:F4"/>
    <mergeCell ref="G4:H4"/>
    <mergeCell ref="I4:J4"/>
    <mergeCell ref="K4:L4"/>
    <mergeCell ref="E36:G36"/>
    <mergeCell ref="E54:G54"/>
    <mergeCell ref="E44:G44"/>
    <mergeCell ref="E50:N50"/>
    <mergeCell ref="E39:G39"/>
    <mergeCell ref="E23:G23"/>
    <mergeCell ref="E52:G52"/>
    <mergeCell ref="E18:G18"/>
    <mergeCell ref="D47:N47"/>
    <mergeCell ref="E21:G21"/>
    <mergeCell ref="F32:N32"/>
    <mergeCell ref="E24:G24"/>
    <mergeCell ref="E37:G37"/>
    <mergeCell ref="E27:N27"/>
    <mergeCell ref="E41:G41"/>
    <mergeCell ref="E16:G16"/>
    <mergeCell ref="E17:G17"/>
    <mergeCell ref="E22:G22"/>
    <mergeCell ref="E80:N80"/>
    <mergeCell ref="E125:G125"/>
    <mergeCell ref="E93:N93"/>
    <mergeCell ref="E104:N104"/>
    <mergeCell ref="E94:N94"/>
    <mergeCell ref="E120:N120"/>
    <mergeCell ref="E121:N121"/>
    <mergeCell ref="E105:N105"/>
    <mergeCell ref="E98:N98"/>
    <mergeCell ref="E106:G106"/>
    <mergeCell ref="E123:N123"/>
    <mergeCell ref="E122:N122"/>
    <mergeCell ref="E117:G117"/>
    <mergeCell ref="E100:G100"/>
    <mergeCell ref="E115:N115"/>
    <mergeCell ref="E113:N113"/>
    <mergeCell ref="E114:N114"/>
    <mergeCell ref="E116:G116"/>
    <mergeCell ref="E101:G101"/>
    <mergeCell ref="F198:N198"/>
    <mergeCell ref="F195:N195"/>
    <mergeCell ref="L204:N204"/>
    <mergeCell ref="D202:N202"/>
    <mergeCell ref="E193:N193"/>
    <mergeCell ref="E108:G108"/>
    <mergeCell ref="E109:G109"/>
    <mergeCell ref="E191:N191"/>
    <mergeCell ref="E192:N192"/>
    <mergeCell ref="E205:N205"/>
    <mergeCell ref="H210:N210"/>
    <mergeCell ref="E213:N214"/>
    <mergeCell ref="L208:N208"/>
    <mergeCell ref="E200:N200"/>
    <mergeCell ref="E194:N194"/>
    <mergeCell ref="F196:N196"/>
    <mergeCell ref="F197:N197"/>
    <mergeCell ref="F199:N199"/>
    <mergeCell ref="E204:K204"/>
    <mergeCell ref="E217:N217"/>
    <mergeCell ref="E219:G219"/>
    <mergeCell ref="E206:N206"/>
    <mergeCell ref="E208:K208"/>
    <mergeCell ref="E210:G210"/>
    <mergeCell ref="E211:N211"/>
    <mergeCell ref="E212:N212"/>
    <mergeCell ref="E216:N216"/>
    <mergeCell ref="E225:G225"/>
    <mergeCell ref="E227:N227"/>
    <mergeCell ref="E228:N228"/>
    <mergeCell ref="E229:N229"/>
    <mergeCell ref="E221:N221"/>
    <mergeCell ref="E222:N222"/>
    <mergeCell ref="E223:N223"/>
    <mergeCell ref="E224:G224"/>
    <mergeCell ref="E239:N239"/>
    <mergeCell ref="E240:H240"/>
    <mergeCell ref="E230:N230"/>
    <mergeCell ref="E231:G231"/>
    <mergeCell ref="E232:G232"/>
    <mergeCell ref="E234:N234"/>
    <mergeCell ref="E243:N243"/>
    <mergeCell ref="E244:N244"/>
    <mergeCell ref="E245:G245"/>
    <mergeCell ref="E235:N235"/>
    <mergeCell ref="E237:G237"/>
    <mergeCell ref="E258:N258"/>
    <mergeCell ref="E246:G246"/>
    <mergeCell ref="E248:N248"/>
    <mergeCell ref="E249:N249"/>
    <mergeCell ref="E250:N250"/>
    <mergeCell ref="E251:N251"/>
    <mergeCell ref="E253:G253"/>
    <mergeCell ref="D256:N256"/>
    <mergeCell ref="L262:N262"/>
    <mergeCell ref="L260:N260"/>
    <mergeCell ref="H264:N264"/>
    <mergeCell ref="E276:G276"/>
    <mergeCell ref="E277:G277"/>
    <mergeCell ref="E260:K260"/>
    <mergeCell ref="E262:K262"/>
    <mergeCell ref="E264:G264"/>
    <mergeCell ref="E269:N269"/>
    <mergeCell ref="E266:N267"/>
    <mergeCell ref="E288:N288"/>
    <mergeCell ref="E290:H290"/>
    <mergeCell ref="E291:G291"/>
    <mergeCell ref="E241:G241"/>
    <mergeCell ref="E279:N279"/>
    <mergeCell ref="E281:G281"/>
    <mergeCell ref="E282:G282"/>
    <mergeCell ref="E284:N284"/>
    <mergeCell ref="E272:G272"/>
    <mergeCell ref="E274:N274"/>
    <mergeCell ref="E95:G95"/>
    <mergeCell ref="E90:G90"/>
    <mergeCell ref="E96:G96"/>
    <mergeCell ref="E301:G301"/>
    <mergeCell ref="E293:N293"/>
    <mergeCell ref="E295:G295"/>
    <mergeCell ref="E296:G296"/>
    <mergeCell ref="E298:N298"/>
    <mergeCell ref="E286:G286"/>
    <mergeCell ref="E111:H111"/>
    <mergeCell ref="E79:N79"/>
    <mergeCell ref="E81:N81"/>
    <mergeCell ref="E83:N83"/>
    <mergeCell ref="E88:N88"/>
    <mergeCell ref="E134:G134"/>
    <mergeCell ref="E133:G133"/>
    <mergeCell ref="E99:N99"/>
    <mergeCell ref="E102:G102"/>
    <mergeCell ref="E89:N89"/>
    <mergeCell ref="E118:G118"/>
    <mergeCell ref="E127:G127"/>
    <mergeCell ref="E129:N129"/>
    <mergeCell ref="E126:G126"/>
    <mergeCell ref="E135:G135"/>
    <mergeCell ref="E145:N145"/>
    <mergeCell ref="E137:N137"/>
    <mergeCell ref="E138:N138"/>
    <mergeCell ref="D143:N143"/>
    <mergeCell ref="E158:G158"/>
    <mergeCell ref="E130:N130"/>
    <mergeCell ref="E132:N132"/>
    <mergeCell ref="E131:N131"/>
    <mergeCell ref="E139:G139"/>
    <mergeCell ref="E140:G140"/>
    <mergeCell ref="E141:G141"/>
    <mergeCell ref="E147:N147"/>
    <mergeCell ref="E152:G152"/>
    <mergeCell ref="E148:G148"/>
    <mergeCell ref="E149:G149"/>
    <mergeCell ref="E184:G184"/>
    <mergeCell ref="E185:G185"/>
    <mergeCell ref="E151:N151"/>
    <mergeCell ref="E153:G153"/>
    <mergeCell ref="E155:N155"/>
    <mergeCell ref="E156:G156"/>
    <mergeCell ref="E166:H166"/>
    <mergeCell ref="E168:N168"/>
    <mergeCell ref="E164:G164"/>
    <mergeCell ref="E176:G176"/>
    <mergeCell ref="E170:G170"/>
    <mergeCell ref="E163:G163"/>
    <mergeCell ref="E179:G179"/>
    <mergeCell ref="E180:G180"/>
    <mergeCell ref="E181:G181"/>
    <mergeCell ref="E175:G175"/>
    <mergeCell ref="E178:N178"/>
    <mergeCell ref="E169:G169"/>
    <mergeCell ref="D188:N188"/>
    <mergeCell ref="E160:N160"/>
    <mergeCell ref="E161:G161"/>
    <mergeCell ref="E162:G162"/>
    <mergeCell ref="E124:N124"/>
    <mergeCell ref="E186:G186"/>
    <mergeCell ref="E183:N183"/>
    <mergeCell ref="E171:G171"/>
    <mergeCell ref="E173:N173"/>
    <mergeCell ref="E174:G174"/>
  </mergeCells>
  <phoneticPr fontId="34" type="noConversion"/>
  <conditionalFormatting sqref="I59:M59 I52:M56">
    <cfRule type="expression" dxfId="322" priority="29" stopIfTrue="1">
      <formula>AND(ISNUMBER(I17),ISNUMBER(I37))</formula>
    </cfRule>
  </conditionalFormatting>
  <conditionalFormatting sqref="I109:M109">
    <cfRule type="expression" dxfId="321" priority="18" stopIfTrue="1">
      <formula>AND(NOT(MSconst_RequireAllYears),NOT(INDEX(CNTR_BaselineHighlight,I$312-2004)))</formula>
    </cfRule>
  </conditionalFormatting>
  <conditionalFormatting sqref="I37:M40 I42:M42 I44:M44">
    <cfRule type="expression" dxfId="320" priority="15" stopIfTrue="1">
      <formula>(MSconst_AllowInstEmmisionTotals=FALSE)</formula>
    </cfRule>
  </conditionalFormatting>
  <conditionalFormatting sqref="I57:M57">
    <cfRule type="expression" dxfId="319" priority="192" stopIfTrue="1">
      <formula>AND(ISNUMBER(I21),ISNUMBER(I41))</formula>
    </cfRule>
  </conditionalFormatting>
  <conditionalFormatting sqref="I126:M127 I107:M108 I96:M96 I91:M91 I102:M102">
    <cfRule type="expression" dxfId="318" priority="12" stopIfTrue="1">
      <formula>$X91</formula>
    </cfRule>
  </conditionalFormatting>
  <conditionalFormatting sqref="I164:M164">
    <cfRule type="expression" dxfId="317" priority="11" stopIfTrue="1">
      <formula>AND(NOT(MSconst_RequireAllYears),NOT(INDEX(CNTR_BaselineHighlight,I$312-2004)))</formula>
    </cfRule>
  </conditionalFormatting>
  <conditionalFormatting sqref="I162:M163 I153:M153 I149:M149">
    <cfRule type="expression" dxfId="316" priority="10" stopIfTrue="1">
      <formula>$X149</formula>
    </cfRule>
  </conditionalFormatting>
  <conditionalFormatting sqref="I286:M286 I282:M282 I277:M277 I272:M272 E266:N267 H264:N264 L262:N262 L260:N260 I237:M237 I232:M232 I225:M225 I219:M219 E213:N214 H210:N210 L208:N208 L204:N204">
    <cfRule type="expression" dxfId="315" priority="9" stopIfTrue="1">
      <formula>$X204</formula>
    </cfRule>
  </conditionalFormatting>
  <conditionalFormatting sqref="I175:M176">
    <cfRule type="expression" dxfId="314" priority="5" stopIfTrue="1">
      <formula>$X175</formula>
    </cfRule>
  </conditionalFormatting>
  <conditionalFormatting sqref="I101:M101">
    <cfRule type="expression" dxfId="313" priority="4" stopIfTrue="1">
      <formula>$X101</formula>
    </cfRule>
  </conditionalFormatting>
  <conditionalFormatting sqref="I157:M157">
    <cfRule type="expression" dxfId="312" priority="3" stopIfTrue="1">
      <formula>$X157</formula>
    </cfRule>
  </conditionalFormatting>
  <conditionalFormatting sqref="I158:M158">
    <cfRule type="expression" dxfId="311" priority="1" stopIfTrue="1">
      <formula>$X158</formula>
    </cfRule>
  </conditionalFormatting>
  <dataValidations count="7">
    <dataValidation type="list" allowBlank="1" showInputMessage="1" showErrorMessage="1" sqref="H282 H232">
      <formula1>EUconst_TonnesOrkNm3pa</formula1>
    </dataValidation>
    <dataValidation type="list" allowBlank="1" showInputMessage="1" showErrorMessage="1" sqref="L262:N262 L208:N208">
      <formula1>EUconst_RelevantNotRelevant</formula1>
    </dataValidation>
    <dataValidation type="list" allowBlank="1" showInputMessage="1" showErrorMessage="1" sqref="L204:N204 L260:N260">
      <formula1>EUconst_CLnonCL</formula1>
    </dataValidation>
    <dataValidation type="list" allowBlank="1" showInputMessage="1" showErrorMessage="1" sqref="M78 M190">
      <formula1>Euconst_TrueFalse</formula1>
    </dataValidation>
    <dataValidation type="decimal" allowBlank="1" showInputMessage="1" showErrorMessage="1" errorTitle="0 &lt; value &lt; 1" error="Values should be between 0 and 1" sqref="I126:M127 I175:M176">
      <formula1>0</formula1>
      <formula2>1</formula2>
    </dataValidation>
    <dataValidation type="decimal" operator="lessThanOrEqual" allowBlank="1" showInputMessage="1" showErrorMessage="1" errorTitle="Data error!" error="Exported amounts should be reported as negative values." sqref="I42:M42">
      <formula1>0</formula1>
    </dataValidation>
    <dataValidation type="decimal" operator="lessThanOrEqual" allowBlank="1" showInputMessage="1" showErrorMessage="1" sqref="I57:M57">
      <formula1>0</formula1>
    </dataValidation>
  </dataValidations>
  <hyperlinks>
    <hyperlink ref="G2:H2" location="JUMP_TOC_Home" display="Table of contents"/>
    <hyperlink ref="M2:N2" location="JUMP_K_I" display="Summary"/>
    <hyperlink ref="I2:J2" location="JUMP_BY5_Top" display="JUMP_BY5_Top"/>
    <hyperlink ref="E3:F3" location="JUMP_D_Top" display="Top of sheet"/>
    <hyperlink ref="E4:F4" location="JUMP_D_Bottom" display="End of sheet"/>
    <hyperlink ref="K2:L2" location="JUMP_E_Top" display="Next sheet"/>
    <hyperlink ref="D303:N303" location="JUMP_E_Top" display="&lt;&lt;&lt; Click here to proceed to next sheet &gt;&gt;&gt; "/>
    <hyperlink ref="G3:H3" location="JUMP_D_I" display="Emissions and Energy Input"/>
    <hyperlink ref="I3:J3" location="JUMP_D_II" display="Emissions Attribution"/>
    <hyperlink ref="G4:H4" location="JUMP_D_IV" display="JUMP_D_IV"/>
    <hyperlink ref="I4:J4" location="JUMP_D_IV2" display="JUMP_D_IV2"/>
    <hyperlink ref="D11:N11" location="JUMP_B_I" display="JUMP_B_I"/>
    <hyperlink ref="E123" r:id="rId1" display="https://eur-lex.europa.eu/eli/reg_del/2015/2402/oj"/>
    <hyperlink ref="K3:L3" location="JUMP_D_III" display="Cogeneration (1)"/>
    <hyperlink ref="M3:N3" location="JUMP_D_III2" display="Cogeneration (2)"/>
    <hyperlink ref="E74:M74" location="JUMP_K_III2" display="JUMP_K_III2"/>
  </hyperlinks>
  <pageMargins left="0.78740157480314965" right="0.78740157480314965" top="0.78740157480314965" bottom="0.78740157480314965" header="0.51181102362204722" footer="0.51181102362204722"/>
  <pageSetup paperSize="9" scale="59" fitToHeight="10" orientation="portrait" r:id="rId2"/>
  <headerFooter alignWithMargins="0">
    <oddHeader>&amp;L&amp;F; &amp;A&amp;R&amp;D; &amp;T</oddHeader>
    <oddFooter>&amp;C&amp;P / &amp;N</oddFooter>
  </headerFooter>
  <rowBreaks count="3" manualBreakCount="3">
    <brk id="59" min="2" max="13" man="1"/>
    <brk id="141" min="2" max="13" man="1"/>
    <brk id="187" min="2"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380</vt:i4>
      </vt:variant>
    </vt:vector>
  </HeadingPairs>
  <TitlesOfParts>
    <vt:vector size="400" baseType="lpstr">
      <vt:lpstr>a_Contents</vt:lpstr>
      <vt:lpstr>b_Guidelines &amp; conditions</vt:lpstr>
      <vt:lpstr>A_InstallationData</vt:lpstr>
      <vt:lpstr>B+C_Emissions_Y1</vt:lpstr>
      <vt:lpstr>B+C_Emissions_Y2</vt:lpstr>
      <vt:lpstr>B+C_Emissions_Y3</vt:lpstr>
      <vt:lpstr>B+C_Emissions_Y4</vt:lpstr>
      <vt:lpstr>B+C_Emissions_Y5</vt:lpstr>
      <vt:lpstr>D_Emissions</vt:lpstr>
      <vt:lpstr>E_EnergyFlows</vt:lpstr>
      <vt:lpstr>F_ProductBM</vt:lpstr>
      <vt:lpstr>G_Fall-back</vt:lpstr>
      <vt:lpstr>H_SpecialBM</vt:lpstr>
      <vt:lpstr>I_MSspecific</vt:lpstr>
      <vt:lpstr>J_Comments</vt:lpstr>
      <vt:lpstr>K_Summary</vt:lpstr>
      <vt:lpstr>EUwideConstants</vt:lpstr>
      <vt:lpstr>MSParameters</vt:lpstr>
      <vt:lpstr>Translations</vt:lpstr>
      <vt:lpstr>VersionDocumentation</vt:lpstr>
      <vt:lpstr>CNTR_AnnexIActivities</vt:lpstr>
      <vt:lpstr>CNTR_BaselinePeriod</vt:lpstr>
      <vt:lpstr>CNTR_BaslineYearRelevant</vt:lpstr>
      <vt:lpstr>CNTR_Conditionality22a</vt:lpstr>
      <vt:lpstr>CNTR_Conditionality22a22b</vt:lpstr>
      <vt:lpstr>CNTR_Conditionality22b</vt:lpstr>
      <vt:lpstr>CNTR_ConditionalityOK</vt:lpstr>
      <vt:lpstr>CNTR_ConfirmationOK</vt:lpstr>
      <vt:lpstr>CNTR_ConnectionEntityList</vt:lpstr>
      <vt:lpstr>CNTR_ConnectionEntityListCITL_IDs</vt:lpstr>
      <vt:lpstr>CNTR_ConnectionEntityListTypes</vt:lpstr>
      <vt:lpstr>CNTR_ConnectionListAndWithinInst</vt:lpstr>
      <vt:lpstr>CNTR_ExistConnectionEntries</vt:lpstr>
      <vt:lpstr>CNTR_ExistProductSubEntries</vt:lpstr>
      <vt:lpstr>CNTR_ExistSubInstEntries</vt:lpstr>
      <vt:lpstr>CNTR_FallBackSubInstListSigChanges</vt:lpstr>
      <vt:lpstr>CNTR_FallBackSubInstRelevant</vt:lpstr>
      <vt:lpstr>CNTR_HasEntries_A_I</vt:lpstr>
      <vt:lpstr>CNTR_HasErrors_A</vt:lpstr>
      <vt:lpstr>CNTR_MinMaxActual</vt:lpstr>
      <vt:lpstr>CNTR_NACEInstallation</vt:lpstr>
      <vt:lpstr>CNTR_OnlyCombustion</vt:lpstr>
      <vt:lpstr>CNTR_ProdElec</vt:lpstr>
      <vt:lpstr>CNTR_SubInstLess1Year</vt:lpstr>
      <vt:lpstr>CNTR_SubInstListBMnumbers</vt:lpstr>
      <vt:lpstr>CNTR_SubInstListHALUnit</vt:lpstr>
      <vt:lpstr>CNTR_SubInstListIsProdBM</vt:lpstr>
      <vt:lpstr>CNTR_SubInstListNames</vt:lpstr>
      <vt:lpstr>CNTR_SubInstStartDate</vt:lpstr>
      <vt:lpstr>CNTR_TemplateVersion</vt:lpstr>
      <vt:lpstr>CNTR_UniqueID</vt:lpstr>
      <vt:lpstr>CTRL_InputMethodFuelDistribution</vt:lpstr>
      <vt:lpstr>CTRL_InputMethodHeatSubInstSplit</vt:lpstr>
      <vt:lpstr>EUconst_AbsRel</vt:lpstr>
      <vt:lpstr>EUconst_AllocPrelim</vt:lpstr>
      <vt:lpstr>EUconst_Allowances</vt:lpstr>
      <vt:lpstr>EUconst_AllYears</vt:lpstr>
      <vt:lpstr>EUconst_AnnexIActivities</vt:lpstr>
      <vt:lpstr>EUconst_AnnexIActivitiesMW</vt:lpstr>
      <vt:lpstr>EUconst_BaselinePeriods</vt:lpstr>
      <vt:lpstr>EUconst_BM</vt:lpstr>
      <vt:lpstr>EUconst_BM_ARR_Range</vt:lpstr>
      <vt:lpstr>EUconst_BMlist107</vt:lpstr>
      <vt:lpstr>EUconst_BMlist10Pctvalues</vt:lpstr>
      <vt:lpstr>EUconst_BMlist80Pctvalues</vt:lpstr>
      <vt:lpstr>EUconst_BMlistARR</vt:lpstr>
      <vt:lpstr>EUconst_BMlistBMARRvaluesMatrix</vt:lpstr>
      <vt:lpstr>EUconst_BMlistBMmaxvalues</vt:lpstr>
      <vt:lpstr>EUconst_BMlistBMminvalues</vt:lpstr>
      <vt:lpstr>EUconst_BMlistBMvalues</vt:lpstr>
      <vt:lpstr>EUconst_BMlistBMvaluesMatrix</vt:lpstr>
      <vt:lpstr>EUconst_BMlistCBAMstatus</vt:lpstr>
      <vt:lpstr>EUconst_BMlistCLstatus</vt:lpstr>
      <vt:lpstr>EUconst_BMlistElExchangability</vt:lpstr>
      <vt:lpstr>EUconst_BMlistMainNumberOfBM</vt:lpstr>
      <vt:lpstr>EUconst_BMlistMatrix</vt:lpstr>
      <vt:lpstr>EUconst_BMlistNames</vt:lpstr>
      <vt:lpstr>EUconst_BMlistNotCWT</vt:lpstr>
      <vt:lpstr>EUconst_BMlistNumberOfActivity</vt:lpstr>
      <vt:lpstr>EUconst_BMlistNumberOfBM</vt:lpstr>
      <vt:lpstr>EUconst_BMlistPulp</vt:lpstr>
      <vt:lpstr>EUconst_BMlistSpecialJumpTable</vt:lpstr>
      <vt:lpstr>EUconst_BMlistSpecialReporting</vt:lpstr>
      <vt:lpstr>EUconst_BMlistUnits</vt:lpstr>
      <vt:lpstr>EUconst_BMSubinst</vt:lpstr>
      <vt:lpstr>EUconst_CBAMFactor</vt:lpstr>
      <vt:lpstr>EUconst_CLEFDistrict</vt:lpstr>
      <vt:lpstr>EUconst_CLEFYears</vt:lpstr>
      <vt:lpstr>EUconst_CLnonCL</vt:lpstr>
      <vt:lpstr>EUconst_CNTR_AttributedEmissions</vt:lpstr>
      <vt:lpstr>EUconst_CNTR_CO2Feedstock</vt:lpstr>
      <vt:lpstr>EUconst_CNTR_ConditionalityOK</vt:lpstr>
      <vt:lpstr>EUconst_CNTR_ElectricityEF</vt:lpstr>
      <vt:lpstr>EUconst_CNTR_ElectricityExported</vt:lpstr>
      <vt:lpstr>EUconst_CNTR_ElectricityInput</vt:lpstr>
      <vt:lpstr>EUconst_CNTR_ELEXCH</vt:lpstr>
      <vt:lpstr>EUconst_CNTR_ELEXCH_max</vt:lpstr>
      <vt:lpstr>EUconst_CNTR_ELEXCH_min</vt:lpstr>
      <vt:lpstr>EUconst_CNTR_Emissions</vt:lpstr>
      <vt:lpstr>EUconst_CNTR_EmissionsIntSource1</vt:lpstr>
      <vt:lpstr>EUconst_CNTR_EmissionsIntSource2</vt:lpstr>
      <vt:lpstr>EUconst_CNTR_FuelEF</vt:lpstr>
      <vt:lpstr>EUconst_CNTR_FuelInput</vt:lpstr>
      <vt:lpstr>EUconst_CNTR_H2ActualPlusTheoretical</vt:lpstr>
      <vt:lpstr>EUconst_CNTR_H2AdditionalEmissions</vt:lpstr>
      <vt:lpstr>EUconst_CNTR_HAL</vt:lpstr>
      <vt:lpstr>EUconst_CNTR_HALPulpTotal</vt:lpstr>
      <vt:lpstr>EUconst_CNTR_HALspecial</vt:lpstr>
      <vt:lpstr>EUconst_CNTR_HEAT</vt:lpstr>
      <vt:lpstr>EUconst_CNTR_HeatExport</vt:lpstr>
      <vt:lpstr>EUconst_CNTR_HeatExportEF</vt:lpstr>
      <vt:lpstr>EUconst_CNTR_HeatImport</vt:lpstr>
      <vt:lpstr>EUconst_CNTR_HeatImportEF</vt:lpstr>
      <vt:lpstr>EUconst_CNTR_HeatImportFuel</vt:lpstr>
      <vt:lpstr>EUconst_CNTR_HeatImportFuelEF</vt:lpstr>
      <vt:lpstr>EUconst_CNTR_HeatImportNitric</vt:lpstr>
      <vt:lpstr>EUconst_CNTR_HeatImportProduct</vt:lpstr>
      <vt:lpstr>EUconst_CNTR_HeatImportProductEF</vt:lpstr>
      <vt:lpstr>EUconst_CNTR_HeatImportPulp</vt:lpstr>
      <vt:lpstr>EUconst_CNTR_HeatImportPulpEF</vt:lpstr>
      <vt:lpstr>EUconst_CNTR_HeatProduced</vt:lpstr>
      <vt:lpstr>EUconst_CNTR_HeatProducedElectricity</vt:lpstr>
      <vt:lpstr>EUconst_CNTR_HVC</vt:lpstr>
      <vt:lpstr>EUconst_CNTR_IntermediateExport</vt:lpstr>
      <vt:lpstr>EUconst_CNTR_IntermediateImport</vt:lpstr>
      <vt:lpstr>EUconst_CNTR_nonETSMeasHeat</vt:lpstr>
      <vt:lpstr>EUconst_CNTR_OtherEnergyEF</vt:lpstr>
      <vt:lpstr>EUconst_CNTR_OtherEnergyInput</vt:lpstr>
      <vt:lpstr>EUconst_CNTR_TotalEnergyInput</vt:lpstr>
      <vt:lpstr>EUconst_CNTR_VCM</vt:lpstr>
      <vt:lpstr>EUconst_CNTR_WGConsumed</vt:lpstr>
      <vt:lpstr>EUconst_CNTR_WGConsumedEF</vt:lpstr>
      <vt:lpstr>EUconst_CNTR_WGExport</vt:lpstr>
      <vt:lpstr>EUconst_CNTR_WGExportEF</vt:lpstr>
      <vt:lpstr>EUconst_CNTR_WGFlared</vt:lpstr>
      <vt:lpstr>EUconst_CNTR_WGFlaredEF</vt:lpstr>
      <vt:lpstr>EUconst_CNTR_WGImport</vt:lpstr>
      <vt:lpstr>EUconst_CNTR_WGImportEF</vt:lpstr>
      <vt:lpstr>EUconst_CNTR_WGProduced</vt:lpstr>
      <vt:lpstr>EUconst_CNTR_WGProducedEF</vt:lpstr>
      <vt:lpstr>EUconst_CombustionActivity</vt:lpstr>
      <vt:lpstr>EUconst_ConditionalityMissing</vt:lpstr>
      <vt:lpstr>EUconst_ConfirmAllowUseOfData</vt:lpstr>
      <vt:lpstr>EUconst_ConfirmApplicationForAlloc</vt:lpstr>
      <vt:lpstr>EUconst_ConfirmationNotEligible</vt:lpstr>
      <vt:lpstr>EUconst_ConnectedEntityTypes</vt:lpstr>
      <vt:lpstr>EUconst_ConnectionShortTypes</vt:lpstr>
      <vt:lpstr>EUconst_ConnectionTransferTypes</vt:lpstr>
      <vt:lpstr>EUconst_ConnectionTypes</vt:lpstr>
      <vt:lpstr>EUconst_CWTpa</vt:lpstr>
      <vt:lpstr>EUconst_DateMissing</vt:lpstr>
      <vt:lpstr>EUconst_ElBM</vt:lpstr>
      <vt:lpstr>EUconst_ERR_ActivityMissing</vt:lpstr>
      <vt:lpstr>EUconst_ERR_AttrEmBMapplied</vt:lpstr>
      <vt:lpstr>EUconst_ERR_DatesSorting</vt:lpstr>
      <vt:lpstr>EUconst_ERR_DoubleBMentry</vt:lpstr>
      <vt:lpstr>EUconst_ERR_Goto_DI2</vt:lpstr>
      <vt:lpstr>EUconst_ERR_Mandatory_abd</vt:lpstr>
      <vt:lpstr>EUconst_ERR_Mandatory_Bbc</vt:lpstr>
      <vt:lpstr>EUconst_ERR_Mandatory_ef</vt:lpstr>
      <vt:lpstr>EUconst_ERR_Mandatory_g</vt:lpstr>
      <vt:lpstr>EUconst_ERR_MandatoryDII3a</vt:lpstr>
      <vt:lpstr>EUconst_ERR_MandatoryEII4</vt:lpstr>
      <vt:lpstr>EUconst_ERR_MissingFallBackEntry</vt:lpstr>
      <vt:lpstr>EUconst_ERR_MissingSubInstEntry</vt:lpstr>
      <vt:lpstr>EUconst_ERR_StartWithFuels</vt:lpstr>
      <vt:lpstr>EUconst_Error</vt:lpstr>
      <vt:lpstr>EUconst_EUA</vt:lpstr>
      <vt:lpstr>EUconst_EUApa</vt:lpstr>
      <vt:lpstr>EUconst_EUApt</vt:lpstr>
      <vt:lpstr>EUconst_FallBackARR</vt:lpstr>
      <vt:lpstr>EUconst_FallBackListBMARRvaluesMatrix</vt:lpstr>
      <vt:lpstr>EUconst_FallBackListBMvalues</vt:lpstr>
      <vt:lpstr>EUconst_FallBackListBMvaluesMatrix</vt:lpstr>
      <vt:lpstr>EUconst_FallBackListCBAMstatus</vt:lpstr>
      <vt:lpstr>EUconst_FallBackListCLstatus</vt:lpstr>
      <vt:lpstr>EUconst_FallBackListMatrix</vt:lpstr>
      <vt:lpstr>EUconst_FallbackListMissing</vt:lpstr>
      <vt:lpstr>EUconst_FallBackListNames</vt:lpstr>
      <vt:lpstr>EUconst_FallBackListNumber</vt:lpstr>
      <vt:lpstr>EUconst_FallBackListUnits</vt:lpstr>
      <vt:lpstr>EUconst_FBSubinst</vt:lpstr>
      <vt:lpstr>EUconst_Fuel</vt:lpstr>
      <vt:lpstr>EUconst_FuelBMvalue</vt:lpstr>
      <vt:lpstr>EUconst_FuelBMvalueForBM</vt:lpstr>
      <vt:lpstr>EUconst_FuelUseTypes</vt:lpstr>
      <vt:lpstr>EUconst_GJ</vt:lpstr>
      <vt:lpstr>EUconst_GJpa</vt:lpstr>
      <vt:lpstr>EUconst_GJperTorKNm3</vt:lpstr>
      <vt:lpstr>EUconst_GJperUnit</vt:lpstr>
      <vt:lpstr>EUconst_GJpt</vt:lpstr>
      <vt:lpstr>EUconst_HALsum</vt:lpstr>
      <vt:lpstr>EUconst_HeatBMvalue</vt:lpstr>
      <vt:lpstr>EUconst_HeatBMvalueForBM</vt:lpstr>
      <vt:lpstr>EUconst_HeatUseTypes</vt:lpstr>
      <vt:lpstr>EUconst_Incomplete</vt:lpstr>
      <vt:lpstr>EUconst_Inconsistent</vt:lpstr>
      <vt:lpstr>EUconst_kNm3pa</vt:lpstr>
      <vt:lpstr>EUconst_MinOrMaxOrActual</vt:lpstr>
      <vt:lpstr>EUconst_MNm3pa</vt:lpstr>
      <vt:lpstr>EUconst_Month</vt:lpstr>
      <vt:lpstr>EUconst_MSDHConditionalityList</vt:lpstr>
      <vt:lpstr>EUconst_MsgAttrEm</vt:lpstr>
      <vt:lpstr>EUconst_MsgBackToSheetF</vt:lpstr>
      <vt:lpstr>EUconst_MsgEnterThisSection</vt:lpstr>
      <vt:lpstr>EUconst_MsgGoOn</vt:lpstr>
      <vt:lpstr>EUconst_MsgGoOn_cd</vt:lpstr>
      <vt:lpstr>EUconst_MsgGoOn_d</vt:lpstr>
      <vt:lpstr>EUconst_MsgGoOn_e</vt:lpstr>
      <vt:lpstr>EUconst_MsgGoOnIfNotRelevant</vt:lpstr>
      <vt:lpstr>EUconst_MsgGoToNextSubInst</vt:lpstr>
      <vt:lpstr>EUconst_MsgProceedEII2</vt:lpstr>
      <vt:lpstr>EUconst_MsgProceedF</vt:lpstr>
      <vt:lpstr>EUconst_MsgSeeFirst</vt:lpstr>
      <vt:lpstr>EUconst_MsgUseElExchTool</vt:lpstr>
      <vt:lpstr>EUconst_MSlist</vt:lpstr>
      <vt:lpstr>EUconst_MSlistEUTLcodes</vt:lpstr>
      <vt:lpstr>EUconst_MSlistISOcodes</vt:lpstr>
      <vt:lpstr>EUconst_MWh</vt:lpstr>
      <vt:lpstr>EUconst_MWhpa</vt:lpstr>
      <vt:lpstr>EUconst_NA</vt:lpstr>
      <vt:lpstr>EUconst_Negative</vt:lpstr>
      <vt:lpstr>EUconst_NGEFvalue</vt:lpstr>
      <vt:lpstr>EUconst_NotRelevant</vt:lpstr>
      <vt:lpstr>EUconst_OK</vt:lpstr>
      <vt:lpstr>EUconst_Or</vt:lpstr>
      <vt:lpstr>EUconst_ProcessEmissionTypes</vt:lpstr>
      <vt:lpstr>EUconst_Relevant</vt:lpstr>
      <vt:lpstr>EUconst_RelevantNotRelevant</vt:lpstr>
      <vt:lpstr>EUconst_relOrMWhpa</vt:lpstr>
      <vt:lpstr>EUconst_relOrtCO2pa</vt:lpstr>
      <vt:lpstr>EUconst_relOrTJpa</vt:lpstr>
      <vt:lpstr>EUconst_ReportingYears</vt:lpstr>
      <vt:lpstr>EUconst_StatusOfDataCollection</vt:lpstr>
      <vt:lpstr>EUconst_SumBioCO2</vt:lpstr>
      <vt:lpstr>EUconst_SumCO2</vt:lpstr>
      <vt:lpstr>EUconst_SumEnergyIN</vt:lpstr>
      <vt:lpstr>EUconst_SumN2O</vt:lpstr>
      <vt:lpstr>EUconst_SumPFC</vt:lpstr>
      <vt:lpstr>EUconst_SumTransferCO2</vt:lpstr>
      <vt:lpstr>EUconst_t</vt:lpstr>
      <vt:lpstr>EUconst_tCO2</vt:lpstr>
      <vt:lpstr>EUconst_tCO2e</vt:lpstr>
      <vt:lpstr>EUconst_tCO2epa</vt:lpstr>
      <vt:lpstr>EUconst_tCO2ept</vt:lpstr>
      <vt:lpstr>EUconst_tCO2eptN2O</vt:lpstr>
      <vt:lpstr>EUconst_tCO2pa</vt:lpstr>
      <vt:lpstr>EUconst_tCO2pkNm3</vt:lpstr>
      <vt:lpstr>EUconst_tCO2pMWh</vt:lpstr>
      <vt:lpstr>EUconst_tCO2pt</vt:lpstr>
      <vt:lpstr>EUconst_tCO2pTJ</vt:lpstr>
      <vt:lpstr>EUconst_tCO2pTJorT</vt:lpstr>
      <vt:lpstr>EUconst_TJ</vt:lpstr>
      <vt:lpstr>EUconst_TJpa</vt:lpstr>
      <vt:lpstr>EUconst_tN2O</vt:lpstr>
      <vt:lpstr>EUconst_tN2Opa</vt:lpstr>
      <vt:lpstr>EUconst_TonnesOrkNm3pa</vt:lpstr>
      <vt:lpstr>EUconst_Tons</vt:lpstr>
      <vt:lpstr>EUconst_tpa</vt:lpstr>
      <vt:lpstr>Euconst_TrueFalse</vt:lpstr>
      <vt:lpstr>Euconst_TrueFalseNA</vt:lpstr>
      <vt:lpstr>EUconst_Unit</vt:lpstr>
      <vt:lpstr>EUconst_WasteGasCorrFactor</vt:lpstr>
      <vt:lpstr>EUconst_WithinInst</vt:lpstr>
      <vt:lpstr>EUconst_Year</vt:lpstr>
      <vt:lpstr>JUMP_A_Bottom</vt:lpstr>
      <vt:lpstr>JUMP_A_I</vt:lpstr>
      <vt:lpstr>JUMP_A_I1</vt:lpstr>
      <vt:lpstr>JUMP_A_I2</vt:lpstr>
      <vt:lpstr>JUMP_A_I3</vt:lpstr>
      <vt:lpstr>JUMP_A_I4</vt:lpstr>
      <vt:lpstr>JUMP_A_II</vt:lpstr>
      <vt:lpstr>JUMP_A_II1</vt:lpstr>
      <vt:lpstr>JUMP_A_II2</vt:lpstr>
      <vt:lpstr>JUMP_A_III</vt:lpstr>
      <vt:lpstr>JUMP_A_III1</vt:lpstr>
      <vt:lpstr>JUMP_A_IV</vt:lpstr>
      <vt:lpstr>JUMP_A_IV1</vt:lpstr>
      <vt:lpstr>JUMP_B_I</vt:lpstr>
      <vt:lpstr>JUMP_B_II</vt:lpstr>
      <vt:lpstr>JUMP_BY1_Emissions</vt:lpstr>
      <vt:lpstr>JUMP_BY1_Fallback</vt:lpstr>
      <vt:lpstr>JUMP_BY1_PFC</vt:lpstr>
      <vt:lpstr>JUMP_BY1_Source</vt:lpstr>
      <vt:lpstr>JUMP_BY1_Top</vt:lpstr>
      <vt:lpstr>JUMP_BY2_Emissions</vt:lpstr>
      <vt:lpstr>JUMP_BY2_Fallback</vt:lpstr>
      <vt:lpstr>JUMP_BY2_PFC</vt:lpstr>
      <vt:lpstr>JUMP_BY2_Source</vt:lpstr>
      <vt:lpstr>JUMP_BY2_Top</vt:lpstr>
      <vt:lpstr>JUMP_BY3_Emissions</vt:lpstr>
      <vt:lpstr>JUMP_BY3_Fallback</vt:lpstr>
      <vt:lpstr>JUMP_BY3_PFC</vt:lpstr>
      <vt:lpstr>JUMP_BY3_Source</vt:lpstr>
      <vt:lpstr>JUMP_BY3_Top</vt:lpstr>
      <vt:lpstr>JUMP_BY4_Emissions</vt:lpstr>
      <vt:lpstr>JUMP_BY4_Fallback</vt:lpstr>
      <vt:lpstr>JUMP_BY4_PFC</vt:lpstr>
      <vt:lpstr>JUMP_BY4_Source</vt:lpstr>
      <vt:lpstr>JUMP_BY4_Top</vt:lpstr>
      <vt:lpstr>JUMP_BY5_Emissions</vt:lpstr>
      <vt:lpstr>JUMP_BY5_Fallback</vt:lpstr>
      <vt:lpstr>JUMP_BY5_PFC</vt:lpstr>
      <vt:lpstr>JUMP_BY5_Source</vt:lpstr>
      <vt:lpstr>JUMP_BY5_Top</vt:lpstr>
      <vt:lpstr>JUMP_Coverpage_Bottom</vt:lpstr>
      <vt:lpstr>JUMP_Coverpage_Top</vt:lpstr>
      <vt:lpstr>JUMP_D_Bottom</vt:lpstr>
      <vt:lpstr>JUMP_D_I</vt:lpstr>
      <vt:lpstr>JUMP_D_II</vt:lpstr>
      <vt:lpstr>JUMP_D_III</vt:lpstr>
      <vt:lpstr>JUMP_D_III2</vt:lpstr>
      <vt:lpstr>JUMP_D_IV</vt:lpstr>
      <vt:lpstr>JUMP_D_IV2</vt:lpstr>
      <vt:lpstr>JUMP_D_Top</vt:lpstr>
      <vt:lpstr>JUMP_E_Bottom</vt:lpstr>
      <vt:lpstr>JUMP_E_HeatFinal</vt:lpstr>
      <vt:lpstr>JUMP_E_I</vt:lpstr>
      <vt:lpstr>JUMP_E_II</vt:lpstr>
      <vt:lpstr>JUMP_E_II_2</vt:lpstr>
      <vt:lpstr>JUMP_E_III</vt:lpstr>
      <vt:lpstr>JUMP_E_IV</vt:lpstr>
      <vt:lpstr>JUMP_E_Top</vt:lpstr>
      <vt:lpstr>JUMP_EmissionTotals</vt:lpstr>
      <vt:lpstr>JUMP_F_Bottom</vt:lpstr>
      <vt:lpstr>JUMP_F_I</vt:lpstr>
      <vt:lpstr>JUMP_F_Top</vt:lpstr>
      <vt:lpstr>JUMP_F1</vt:lpstr>
      <vt:lpstr>JUMP_F10</vt:lpstr>
      <vt:lpstr>JUMP_F2</vt:lpstr>
      <vt:lpstr>JUMP_F3</vt:lpstr>
      <vt:lpstr>JUMP_F4</vt:lpstr>
      <vt:lpstr>JUMP_F5</vt:lpstr>
      <vt:lpstr>JUMP_F6</vt:lpstr>
      <vt:lpstr>JUMP_F7</vt:lpstr>
      <vt:lpstr>JUMP_F8</vt:lpstr>
      <vt:lpstr>JUMP_F9</vt:lpstr>
      <vt:lpstr>JUMP_G_Bottom</vt:lpstr>
      <vt:lpstr>JUMP_G_I</vt:lpstr>
      <vt:lpstr>JUMP_G_Top</vt:lpstr>
      <vt:lpstr>JUMP_G1</vt:lpstr>
      <vt:lpstr>JUMP_G10</vt:lpstr>
      <vt:lpstr>JUMP_G2</vt:lpstr>
      <vt:lpstr>JUMP_G3</vt:lpstr>
      <vt:lpstr>JUMP_G4</vt:lpstr>
      <vt:lpstr>JUMP_G5</vt:lpstr>
      <vt:lpstr>JUMP_G6</vt:lpstr>
      <vt:lpstr>JUMP_G7</vt:lpstr>
      <vt:lpstr>JUMP_G8</vt:lpstr>
      <vt:lpstr>JUMP_G9</vt:lpstr>
      <vt:lpstr>JUMP_Guidelines_Bottom</vt:lpstr>
      <vt:lpstr>JUMP_Guidelines_Home</vt:lpstr>
      <vt:lpstr>JUMP_H_Bottom</vt:lpstr>
      <vt:lpstr>JUMP_H_I</vt:lpstr>
      <vt:lpstr>JUMP_H_II</vt:lpstr>
      <vt:lpstr>JUMP_H_III</vt:lpstr>
      <vt:lpstr>JUMP_H_IV</vt:lpstr>
      <vt:lpstr>JUMP_H_IX</vt:lpstr>
      <vt:lpstr>JUMP_H_Top</vt:lpstr>
      <vt:lpstr>JUMP_H_V</vt:lpstr>
      <vt:lpstr>JUMP_H_VI</vt:lpstr>
      <vt:lpstr>JUMP_H_VII</vt:lpstr>
      <vt:lpstr>JUMP_H_VIII</vt:lpstr>
      <vt:lpstr>JUMP_I_Bottom</vt:lpstr>
      <vt:lpstr>JUMP_I_MSspecific</vt:lpstr>
      <vt:lpstr>JUMP_I_Top</vt:lpstr>
      <vt:lpstr>JUMP_J_I</vt:lpstr>
      <vt:lpstr>JUMP_J_II</vt:lpstr>
      <vt:lpstr>JUMP_J_Top</vt:lpstr>
      <vt:lpstr>JUMP_K_Bottom</vt:lpstr>
      <vt:lpstr>JUMP_K_I</vt:lpstr>
      <vt:lpstr>JUMP_K_II</vt:lpstr>
      <vt:lpstr>JUMP_K_III</vt:lpstr>
      <vt:lpstr>JUMP_K_III2</vt:lpstr>
      <vt:lpstr>JUMP_K_IV</vt:lpstr>
      <vt:lpstr>JUMP_K_Top</vt:lpstr>
      <vt:lpstr>JUMP_K_V</vt:lpstr>
      <vt:lpstr>JUMP_K_V_Disclaimer</vt:lpstr>
      <vt:lpstr>JUMP_TOC_Home</vt:lpstr>
      <vt:lpstr>MSconst_AllowInstEmmisionTotals</vt:lpstr>
      <vt:lpstr>MSconst_RequireArt27aInfo</vt:lpstr>
      <vt:lpstr>MSconst_RequireArt27Info</vt:lpstr>
      <vt:lpstr>MSconst_RequirePermitInfo</vt:lpstr>
      <vt:lpstr>a_Contents!Print_Area</vt:lpstr>
      <vt:lpstr>A_InstallationData!Print_Area</vt:lpstr>
      <vt:lpstr>'b_Guidelines &amp; conditions'!Print_Area</vt:lpstr>
      <vt:lpstr>'B+C_Emissions_Y1'!Print_Area</vt:lpstr>
      <vt:lpstr>'B+C_Emissions_Y2'!Print_Area</vt:lpstr>
      <vt:lpstr>'B+C_Emissions_Y3'!Print_Area</vt:lpstr>
      <vt:lpstr>'B+C_Emissions_Y4'!Print_Area</vt:lpstr>
      <vt:lpstr>'B+C_Emissions_Y5'!Print_Area</vt:lpstr>
      <vt:lpstr>D_Emissions!Print_Area</vt:lpstr>
      <vt:lpstr>E_EnergyFlows!Print_Area</vt:lpstr>
      <vt:lpstr>F_ProductBM!Print_Area</vt:lpstr>
      <vt:lpstr>'G_Fall-back'!Print_Area</vt:lpstr>
      <vt:lpstr>H_SpecialBM!Print_Area</vt:lpstr>
      <vt:lpstr>I_MSspecific!Print_Area</vt:lpstr>
      <vt:lpstr>J_Comments!Print_Area</vt:lpstr>
      <vt:lpstr>K_Summary!Print_Area</vt:lpstr>
      <vt:lpstr>VersionDocumentation!Print_Area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Reporting tool for NIMs under the EU ETS</dc:title>
  <dc:creator>Heller Christian</dc:creator>
  <dc:description>Template developed by Umweltbundesamt GmbH (Austria) for DG CLIMA</dc:description>
  <cp:lastModifiedBy>Ilze Kamarūte</cp:lastModifiedBy>
  <cp:lastPrinted>2019-02-28T16:14:46Z</cp:lastPrinted>
  <dcterms:created xsi:type="dcterms:W3CDTF">2008-05-26T08:52:55Z</dcterms:created>
  <dcterms:modified xsi:type="dcterms:W3CDTF">2024-04-08T13:28:56Z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